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hidePivotFieldList="1" defaultThemeVersion="124226"/>
  <mc:AlternateContent xmlns:mc="http://schemas.openxmlformats.org/markup-compatibility/2006">
    <mc:Choice Requires="x15">
      <x15ac:absPath xmlns:x15ac="http://schemas.microsoft.com/office/spreadsheetml/2010/11/ac" url="C:\Users\user.user-PC\Desktop\"/>
    </mc:Choice>
  </mc:AlternateContent>
  <xr:revisionPtr revIDLastSave="0" documentId="8_{99CBC8D0-C636-4001-B7B9-B8FB95340123}" xr6:coauthVersionLast="47" xr6:coauthVersionMax="47" xr10:uidLastSave="{00000000-0000-0000-0000-000000000000}"/>
  <bookViews>
    <workbookView xWindow="-120" yWindow="-120" windowWidth="29040" windowHeight="15840" tabRatio="882" activeTab="2" xr2:uid="{00000000-000D-0000-FFFF-FFFF00000000}"/>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final'!$A$6:$CO$139</definedName>
  </definedNames>
  <calcPr calcId="191029"/>
  <pivotCaches>
    <pivotCache cacheId="1" r:id="rId11"/>
  </pivotCaches>
</workbook>
</file>

<file path=xl/calcChain.xml><?xml version="1.0" encoding="utf-8"?>
<calcChain xmlns="http://schemas.openxmlformats.org/spreadsheetml/2006/main">
  <c r="AO139" i="1" l="1"/>
  <c r="AR139" i="1"/>
  <c r="T9" i="1" l="1"/>
  <c r="AE9" i="1" s="1"/>
  <c r="AD9" i="1" s="1"/>
  <c r="AA9" i="1" l="1"/>
  <c r="AB9" i="1" l="1"/>
  <c r="AF9" i="1" s="1"/>
  <c r="AC9" i="1"/>
  <c r="X219" i="19" l="1"/>
  <c r="X211" i="19"/>
  <c r="W211" i="19"/>
  <c r="X207" i="19"/>
  <c r="W207" i="19"/>
  <c r="X206" i="19"/>
  <c r="W206" i="19"/>
  <c r="X205" i="19"/>
  <c r="W205" i="19"/>
  <c r="X204" i="19"/>
  <c r="W204" i="19"/>
  <c r="V195" i="19"/>
  <c r="X194" i="19"/>
  <c r="X175" i="19"/>
  <c r="X167" i="19"/>
  <c r="W167" i="19"/>
  <c r="X163" i="19"/>
  <c r="W163" i="19"/>
  <c r="X162" i="19"/>
  <c r="W162" i="19"/>
  <c r="X161" i="19"/>
  <c r="W161" i="19"/>
  <c r="X160" i="19"/>
  <c r="W160" i="19"/>
  <c r="V151" i="19"/>
  <c r="X150" i="19"/>
  <c r="X131" i="19"/>
  <c r="X123" i="19"/>
  <c r="W123" i="19"/>
  <c r="X119" i="19"/>
  <c r="W119" i="19"/>
  <c r="X118" i="19"/>
  <c r="W118" i="19"/>
  <c r="X117" i="19"/>
  <c r="W117" i="19"/>
  <c r="X116" i="19"/>
  <c r="W116" i="19"/>
  <c r="V107" i="19"/>
  <c r="X106" i="19"/>
  <c r="X87" i="19"/>
  <c r="X79" i="19"/>
  <c r="W79" i="19"/>
  <c r="X75" i="19"/>
  <c r="W75" i="19"/>
  <c r="X74" i="19"/>
  <c r="W74" i="19"/>
  <c r="X73" i="19"/>
  <c r="W73" i="19"/>
  <c r="X72" i="19"/>
  <c r="W72" i="19"/>
  <c r="V63" i="19"/>
  <c r="X62" i="19"/>
  <c r="X43" i="19"/>
  <c r="X35" i="19"/>
  <c r="W35" i="19"/>
  <c r="X31" i="19"/>
  <c r="W31" i="19"/>
  <c r="X30" i="19"/>
  <c r="W30" i="19"/>
  <c r="X29" i="19"/>
  <c r="W29" i="19"/>
  <c r="X28" i="19"/>
  <c r="W28" i="19"/>
  <c r="V19" i="19"/>
  <c r="X18" i="19"/>
  <c r="U219" i="19"/>
  <c r="U211" i="19"/>
  <c r="T211" i="19"/>
  <c r="U207" i="19"/>
  <c r="T207" i="19"/>
  <c r="U206" i="19"/>
  <c r="T206" i="19"/>
  <c r="U205" i="19"/>
  <c r="T205" i="19"/>
  <c r="U204" i="19"/>
  <c r="T204" i="19"/>
  <c r="S195" i="19"/>
  <c r="U194" i="19"/>
  <c r="U175" i="19"/>
  <c r="U167" i="19"/>
  <c r="T167" i="19"/>
  <c r="U163" i="19"/>
  <c r="T163" i="19"/>
  <c r="U162" i="19"/>
  <c r="T162" i="19"/>
  <c r="U161" i="19"/>
  <c r="T161" i="19"/>
  <c r="U160" i="19"/>
  <c r="T160" i="19"/>
  <c r="S151" i="19"/>
  <c r="U150" i="19"/>
  <c r="U131" i="19"/>
  <c r="U123" i="19"/>
  <c r="T123" i="19"/>
  <c r="U119" i="19"/>
  <c r="T119" i="19"/>
  <c r="U118" i="19"/>
  <c r="T118" i="19"/>
  <c r="U117" i="19"/>
  <c r="T117" i="19"/>
  <c r="U116" i="19"/>
  <c r="T116" i="19"/>
  <c r="S107" i="19"/>
  <c r="U106" i="19"/>
  <c r="U87" i="19"/>
  <c r="U79" i="19"/>
  <c r="T79" i="19"/>
  <c r="U75" i="19"/>
  <c r="T75" i="19"/>
  <c r="U74" i="19"/>
  <c r="T74" i="19"/>
  <c r="U73" i="19"/>
  <c r="T73" i="19"/>
  <c r="U72" i="19"/>
  <c r="T72" i="19"/>
  <c r="S63" i="19"/>
  <c r="U62" i="19"/>
  <c r="U43" i="19"/>
  <c r="U35" i="19"/>
  <c r="T35" i="19"/>
  <c r="U31" i="19"/>
  <c r="T31" i="19"/>
  <c r="U30" i="19"/>
  <c r="T30" i="19"/>
  <c r="U29" i="19"/>
  <c r="T29" i="19"/>
  <c r="U28" i="19"/>
  <c r="T28" i="19"/>
  <c r="S19" i="19"/>
  <c r="U18" i="19"/>
  <c r="R219" i="19"/>
  <c r="R211" i="19"/>
  <c r="Q211" i="19"/>
  <c r="R207" i="19"/>
  <c r="Q207" i="19"/>
  <c r="R206" i="19"/>
  <c r="Q206" i="19"/>
  <c r="R205" i="19"/>
  <c r="Q205" i="19"/>
  <c r="R204" i="19"/>
  <c r="Q204" i="19"/>
  <c r="P195" i="19"/>
  <c r="R194" i="19"/>
  <c r="R175" i="19"/>
  <c r="R167" i="19"/>
  <c r="Q167" i="19"/>
  <c r="R163" i="19"/>
  <c r="Q163" i="19"/>
  <c r="R162" i="19"/>
  <c r="Q162" i="19"/>
  <c r="R161" i="19"/>
  <c r="Q161" i="19"/>
  <c r="R160" i="19"/>
  <c r="Q160" i="19"/>
  <c r="P151" i="19"/>
  <c r="R150" i="19"/>
  <c r="R131" i="19"/>
  <c r="R123" i="19"/>
  <c r="Q123" i="19"/>
  <c r="R119" i="19"/>
  <c r="Q119" i="19"/>
  <c r="R118" i="19"/>
  <c r="Q118" i="19"/>
  <c r="R117" i="19"/>
  <c r="Q117" i="19"/>
  <c r="R116" i="19"/>
  <c r="Q116" i="19"/>
  <c r="P107" i="19"/>
  <c r="R106" i="19"/>
  <c r="R87" i="19"/>
  <c r="R79" i="19"/>
  <c r="Q79" i="19"/>
  <c r="R75" i="19"/>
  <c r="Q75" i="19"/>
  <c r="R74" i="19"/>
  <c r="Q74" i="19"/>
  <c r="R73" i="19"/>
  <c r="Q73" i="19"/>
  <c r="R72" i="19"/>
  <c r="Q72" i="19"/>
  <c r="P63" i="19"/>
  <c r="R62" i="19"/>
  <c r="R43" i="19"/>
  <c r="R35" i="19"/>
  <c r="Q35" i="19"/>
  <c r="R31" i="19"/>
  <c r="Q31" i="19"/>
  <c r="R30" i="19"/>
  <c r="Q30" i="19"/>
  <c r="R29" i="19"/>
  <c r="Q29" i="19"/>
  <c r="R28" i="19"/>
  <c r="Q28" i="19"/>
  <c r="P19" i="19"/>
  <c r="R18" i="19"/>
  <c r="O219" i="19"/>
  <c r="O211" i="19"/>
  <c r="N211" i="19"/>
  <c r="O207" i="19"/>
  <c r="N207" i="19"/>
  <c r="O206" i="19"/>
  <c r="N206" i="19"/>
  <c r="O205" i="19"/>
  <c r="N205" i="19"/>
  <c r="O204" i="19"/>
  <c r="N204" i="19"/>
  <c r="M195" i="19"/>
  <c r="O194" i="19"/>
  <c r="O175" i="19"/>
  <c r="O167" i="19"/>
  <c r="N167" i="19"/>
  <c r="O163" i="19"/>
  <c r="N163" i="19"/>
  <c r="O162" i="19"/>
  <c r="N162" i="19"/>
  <c r="O161" i="19"/>
  <c r="N161" i="19"/>
  <c r="O160" i="19"/>
  <c r="N160" i="19"/>
  <c r="M151" i="19"/>
  <c r="O150" i="19"/>
  <c r="O131" i="19"/>
  <c r="O123" i="19"/>
  <c r="N123" i="19"/>
  <c r="O119" i="19"/>
  <c r="N119" i="19"/>
  <c r="O118" i="19"/>
  <c r="N118" i="19"/>
  <c r="O117" i="19"/>
  <c r="N117" i="19"/>
  <c r="O116" i="19"/>
  <c r="N116" i="19"/>
  <c r="M107" i="19"/>
  <c r="O106" i="19"/>
  <c r="O87" i="19"/>
  <c r="O79" i="19"/>
  <c r="N79" i="19"/>
  <c r="O75" i="19"/>
  <c r="N75" i="19"/>
  <c r="O74" i="19"/>
  <c r="N74" i="19"/>
  <c r="O73" i="19"/>
  <c r="N73" i="19"/>
  <c r="O72" i="19"/>
  <c r="N72" i="19"/>
  <c r="M63" i="19"/>
  <c r="O62" i="19"/>
  <c r="O43" i="19"/>
  <c r="O35" i="19"/>
  <c r="N35" i="19"/>
  <c r="O31" i="19"/>
  <c r="N31" i="19"/>
  <c r="O30" i="19"/>
  <c r="N30" i="19"/>
  <c r="O29" i="19"/>
  <c r="N29" i="19"/>
  <c r="O28" i="19"/>
  <c r="N28" i="19"/>
  <c r="M19" i="19"/>
  <c r="O18" i="19"/>
  <c r="L219" i="19"/>
  <c r="L211" i="19"/>
  <c r="K211" i="19"/>
  <c r="L207" i="19"/>
  <c r="K207" i="19"/>
  <c r="L206" i="19"/>
  <c r="K206" i="19"/>
  <c r="L205" i="19"/>
  <c r="K205" i="19"/>
  <c r="L204" i="19"/>
  <c r="K204" i="19"/>
  <c r="J195" i="19"/>
  <c r="L194" i="19"/>
  <c r="L175" i="19"/>
  <c r="L167" i="19"/>
  <c r="K167" i="19"/>
  <c r="L163" i="19"/>
  <c r="K163" i="19"/>
  <c r="L162" i="19"/>
  <c r="K162" i="19"/>
  <c r="L161" i="19"/>
  <c r="K161" i="19"/>
  <c r="L160" i="19"/>
  <c r="K160" i="19"/>
  <c r="J151" i="19"/>
  <c r="L150" i="19"/>
  <c r="L131" i="19"/>
  <c r="L123" i="19"/>
  <c r="K123" i="19"/>
  <c r="L119" i="19"/>
  <c r="K119" i="19"/>
  <c r="L118" i="19"/>
  <c r="K118" i="19"/>
  <c r="L117" i="19"/>
  <c r="K117" i="19"/>
  <c r="L116" i="19"/>
  <c r="K116" i="19"/>
  <c r="J107" i="19"/>
  <c r="L106" i="19"/>
  <c r="L87" i="19"/>
  <c r="L79" i="19"/>
  <c r="K79" i="19"/>
  <c r="L75" i="19"/>
  <c r="K75" i="19"/>
  <c r="L74" i="19"/>
  <c r="K74" i="19"/>
  <c r="L73" i="19"/>
  <c r="K73" i="19"/>
  <c r="L72" i="19"/>
  <c r="K72" i="19"/>
  <c r="J63" i="19"/>
  <c r="L62" i="19"/>
  <c r="L43" i="19"/>
  <c r="L35" i="19"/>
  <c r="K35" i="19"/>
  <c r="L31" i="19"/>
  <c r="K31" i="19"/>
  <c r="L30" i="19"/>
  <c r="K30" i="19"/>
  <c r="L29" i="19"/>
  <c r="K29" i="19"/>
  <c r="L28" i="19"/>
  <c r="K28" i="19"/>
  <c r="J19" i="19"/>
  <c r="L18" i="19"/>
  <c r="BF94" i="18"/>
  <c r="BD94" i="18"/>
  <c r="BF76" i="18"/>
  <c r="BD76" i="18"/>
  <c r="BF58" i="18"/>
  <c r="BD58" i="18"/>
  <c r="BF40" i="18"/>
  <c r="BD40" i="18"/>
  <c r="BF22" i="18"/>
  <c r="BD22" i="18"/>
  <c r="AV94" i="18"/>
  <c r="AT94" i="18"/>
  <c r="AV76" i="18"/>
  <c r="AT76" i="18"/>
  <c r="AV58" i="18"/>
  <c r="AT58" i="18"/>
  <c r="AV40" i="18"/>
  <c r="AT40" i="18"/>
  <c r="AV22" i="18"/>
  <c r="AT22" i="18"/>
  <c r="AL94" i="18"/>
  <c r="AJ94" i="18"/>
  <c r="AL76" i="18"/>
  <c r="AJ76" i="18"/>
  <c r="AL58" i="18"/>
  <c r="AJ58" i="18"/>
  <c r="AL40" i="18"/>
  <c r="AJ40" i="18"/>
  <c r="AL22" i="18"/>
  <c r="AJ22" i="18"/>
  <c r="AB94" i="18"/>
  <c r="Z94" i="18"/>
  <c r="AB76" i="18"/>
  <c r="Z76" i="18"/>
  <c r="AB58" i="18"/>
  <c r="Z58" i="18"/>
  <c r="AB40" i="18"/>
  <c r="Z40" i="18"/>
  <c r="AB22" i="18"/>
  <c r="Z22" i="18"/>
  <c r="R94" i="18"/>
  <c r="P94" i="18"/>
  <c r="R76" i="18"/>
  <c r="P76" i="18"/>
  <c r="R58" i="18"/>
  <c r="P58" i="18"/>
  <c r="R40" i="18"/>
  <c r="P40" i="18"/>
  <c r="R22" i="18"/>
  <c r="P22" i="18"/>
  <c r="K7" i="1" l="1"/>
  <c r="T119" i="1"/>
  <c r="AE119" i="1" s="1"/>
  <c r="AD119" i="1" s="1"/>
  <c r="W119" i="1" l="1"/>
  <c r="AA119" i="1" s="1"/>
  <c r="AC119" i="1" l="1"/>
  <c r="AB119" i="1"/>
  <c r="W68" i="1"/>
  <c r="T68" i="1"/>
  <c r="AE68" i="1" s="1"/>
  <c r="AD68" i="1" s="1"/>
  <c r="W67" i="1"/>
  <c r="T67" i="1"/>
  <c r="AF119" i="1" l="1"/>
  <c r="W175" i="19"/>
  <c r="W219" i="19"/>
  <c r="W43" i="19"/>
  <c r="W87" i="19"/>
  <c r="T87" i="19"/>
  <c r="T131" i="19"/>
  <c r="W131" i="19"/>
  <c r="T175" i="19"/>
  <c r="T43" i="19"/>
  <c r="Q131" i="19"/>
  <c r="Q175" i="19"/>
  <c r="Q87" i="19"/>
  <c r="T219" i="19"/>
  <c r="N175" i="19"/>
  <c r="K219" i="19"/>
  <c r="N131" i="19"/>
  <c r="Q43" i="19"/>
  <c r="N87" i="19"/>
  <c r="Q219" i="19"/>
  <c r="K175" i="19"/>
  <c r="K131" i="19"/>
  <c r="N219" i="19"/>
  <c r="N43" i="19"/>
  <c r="K87" i="19"/>
  <c r="K43" i="19"/>
  <c r="W108" i="1"/>
  <c r="T108" i="1"/>
  <c r="W107" i="1"/>
  <c r="T107" i="1"/>
  <c r="AE107" i="1" s="1"/>
  <c r="AD107" i="1" s="1"/>
  <c r="W106" i="1"/>
  <c r="T106" i="1"/>
  <c r="K106" i="1"/>
  <c r="L106" i="1" l="1"/>
  <c r="AE108" i="1"/>
  <c r="AD108" i="1" s="1"/>
  <c r="AA106" i="1"/>
  <c r="AA107" i="1" s="1"/>
  <c r="AC107" i="1" l="1"/>
  <c r="AB107" i="1"/>
  <c r="AA108" i="1"/>
  <c r="AC106" i="1"/>
  <c r="AB106" i="1"/>
  <c r="AF107" i="1" l="1"/>
  <c r="W215" i="19"/>
  <c r="W83" i="19"/>
  <c r="W127" i="19"/>
  <c r="T127" i="19"/>
  <c r="T215" i="19"/>
  <c r="T171" i="19"/>
  <c r="Q171" i="19"/>
  <c r="W39" i="19"/>
  <c r="Q215" i="19"/>
  <c r="T39" i="19"/>
  <c r="T83" i="19"/>
  <c r="Q127" i="19"/>
  <c r="N215" i="19"/>
  <c r="N39" i="19"/>
  <c r="W171" i="19"/>
  <c r="Q83" i="19"/>
  <c r="Q39" i="19"/>
  <c r="N171" i="19"/>
  <c r="N127" i="19"/>
  <c r="K171" i="19"/>
  <c r="N83" i="19"/>
  <c r="K215" i="19"/>
  <c r="K83" i="19"/>
  <c r="K127" i="19"/>
  <c r="K39" i="19"/>
  <c r="AC108" i="1"/>
  <c r="AB108" i="1"/>
  <c r="AF108" i="1" l="1"/>
  <c r="X83" i="19"/>
  <c r="X171" i="19"/>
  <c r="U215" i="19"/>
  <c r="X215" i="19"/>
  <c r="U171" i="19"/>
  <c r="R171" i="19"/>
  <c r="U127" i="19"/>
  <c r="X39" i="19"/>
  <c r="R215" i="19"/>
  <c r="X127" i="19"/>
  <c r="U39" i="19"/>
  <c r="U83" i="19"/>
  <c r="R39" i="19"/>
  <c r="O83" i="19"/>
  <c r="O39" i="19"/>
  <c r="R127" i="19"/>
  <c r="R83" i="19"/>
  <c r="O215" i="19"/>
  <c r="L215" i="19"/>
  <c r="O171" i="19"/>
  <c r="O127" i="19"/>
  <c r="L127" i="19"/>
  <c r="L39" i="19"/>
  <c r="L171" i="19"/>
  <c r="L83" i="19"/>
  <c r="W93" i="1"/>
  <c r="T93" i="1"/>
  <c r="AA93" i="1" s="1"/>
  <c r="W92" i="1"/>
  <c r="T92" i="1"/>
  <c r="AA92" i="1" s="1"/>
  <c r="AC92" i="1" s="1"/>
  <c r="AE92" i="1" l="1"/>
  <c r="AD92" i="1" s="1"/>
  <c r="AB93" i="1"/>
  <c r="AC93" i="1"/>
  <c r="AE93" i="1"/>
  <c r="AD93" i="1" s="1"/>
  <c r="AB92" i="1"/>
  <c r="W72" i="1"/>
  <c r="T72" i="1"/>
  <c r="AD71" i="1"/>
  <c r="W71" i="1"/>
  <c r="T71" i="1"/>
  <c r="W70" i="1"/>
  <c r="T70" i="1"/>
  <c r="K70" i="1"/>
  <c r="W78" i="19" l="1"/>
  <c r="W166" i="19"/>
  <c r="T210" i="19"/>
  <c r="T166" i="19"/>
  <c r="W122" i="19"/>
  <c r="W34" i="19"/>
  <c r="Q166" i="19"/>
  <c r="T122" i="19"/>
  <c r="Q210" i="19"/>
  <c r="T34" i="19"/>
  <c r="Q34" i="19"/>
  <c r="N78" i="19"/>
  <c r="N166" i="19"/>
  <c r="N122" i="19"/>
  <c r="Q122" i="19"/>
  <c r="W210" i="19"/>
  <c r="N34" i="19"/>
  <c r="K210" i="19"/>
  <c r="N210" i="19"/>
  <c r="T78" i="19"/>
  <c r="K166" i="19"/>
  <c r="K78" i="19"/>
  <c r="Q78" i="19"/>
  <c r="K122" i="19"/>
  <c r="K34" i="19"/>
  <c r="L70" i="1"/>
  <c r="X78" i="19"/>
  <c r="X122" i="19"/>
  <c r="X166" i="19"/>
  <c r="U210" i="19"/>
  <c r="U166" i="19"/>
  <c r="U78" i="19"/>
  <c r="U122" i="19"/>
  <c r="R210" i="19"/>
  <c r="U34" i="19"/>
  <c r="R34" i="19"/>
  <c r="O78" i="19"/>
  <c r="X210" i="19"/>
  <c r="O122" i="19"/>
  <c r="R122" i="19"/>
  <c r="X34" i="19"/>
  <c r="R166" i="19"/>
  <c r="L210" i="19"/>
  <c r="O210" i="19"/>
  <c r="O166" i="19"/>
  <c r="L166" i="19"/>
  <c r="L78" i="19"/>
  <c r="O34" i="19"/>
  <c r="R78" i="19"/>
  <c r="L122" i="19"/>
  <c r="L34" i="19"/>
  <c r="AA70" i="1"/>
  <c r="AA71" i="1" s="1"/>
  <c r="AA72" i="1" s="1"/>
  <c r="AF92" i="1"/>
  <c r="AF93" i="1"/>
  <c r="AE72" i="1"/>
  <c r="AD72" i="1" s="1"/>
  <c r="W105" i="1"/>
  <c r="W104" i="1"/>
  <c r="AB72" i="1" l="1"/>
  <c r="AC72" i="1"/>
  <c r="AC71" i="1"/>
  <c r="AB71" i="1"/>
  <c r="AC70" i="1"/>
  <c r="AB70" i="1"/>
  <c r="AF71" i="1" l="1"/>
  <c r="W115" i="19"/>
  <c r="W159" i="19"/>
  <c r="T203" i="19"/>
  <c r="W203" i="19"/>
  <c r="W27" i="19"/>
  <c r="W71" i="19"/>
  <c r="T71" i="19"/>
  <c r="T115" i="19"/>
  <c r="T27" i="19"/>
  <c r="Q115" i="19"/>
  <c r="T159" i="19"/>
  <c r="Q27" i="19"/>
  <c r="Q71" i="19"/>
  <c r="N115" i="19"/>
  <c r="K159" i="19"/>
  <c r="Q159" i="19"/>
  <c r="N203" i="19"/>
  <c r="N159" i="19"/>
  <c r="Q203" i="19"/>
  <c r="N71" i="19"/>
  <c r="K203" i="19"/>
  <c r="K115" i="19"/>
  <c r="K71" i="19"/>
  <c r="N27" i="19"/>
  <c r="K27" i="19"/>
  <c r="AF72" i="1"/>
  <c r="X159" i="19"/>
  <c r="U203" i="19"/>
  <c r="X71" i="19"/>
  <c r="X115" i="19"/>
  <c r="U71" i="19"/>
  <c r="X203" i="19"/>
  <c r="X27" i="19"/>
  <c r="U115" i="19"/>
  <c r="U27" i="19"/>
  <c r="R115" i="19"/>
  <c r="U159" i="19"/>
  <c r="R159" i="19"/>
  <c r="O159" i="19"/>
  <c r="L203" i="19"/>
  <c r="R203" i="19"/>
  <c r="O115" i="19"/>
  <c r="O71" i="19"/>
  <c r="R27" i="19"/>
  <c r="L115" i="19"/>
  <c r="L159" i="19"/>
  <c r="O203" i="19"/>
  <c r="O27" i="19"/>
  <c r="L27" i="19"/>
  <c r="R71" i="19"/>
  <c r="L71" i="19"/>
  <c r="W51" i="1"/>
  <c r="AA51" i="1" s="1"/>
  <c r="W50" i="1"/>
  <c r="AA50" i="1" s="1"/>
  <c r="W49" i="1"/>
  <c r="AA49" i="1" s="1"/>
  <c r="W48" i="1"/>
  <c r="T48" i="1"/>
  <c r="AA48" i="1" s="1"/>
  <c r="W47" i="1"/>
  <c r="T47" i="1"/>
  <c r="AE51" i="1"/>
  <c r="AD51" i="1" s="1"/>
  <c r="AE50" i="1"/>
  <c r="AD50" i="1" s="1"/>
  <c r="K47" i="1"/>
  <c r="T42" i="1"/>
  <c r="AA42" i="1" s="1"/>
  <c r="L47" i="1" l="1"/>
  <c r="AA47" i="1" s="1"/>
  <c r="AE48" i="1"/>
  <c r="AD48" i="1" s="1"/>
  <c r="AC49" i="1"/>
  <c r="AB49" i="1"/>
  <c r="AE49" i="1"/>
  <c r="AD49" i="1" s="1"/>
  <c r="AC48" i="1"/>
  <c r="AB48" i="1"/>
  <c r="AC51" i="1"/>
  <c r="AB51" i="1"/>
  <c r="AC42" i="1"/>
  <c r="AB42" i="1"/>
  <c r="AE42" i="1"/>
  <c r="AD42" i="1" s="1"/>
  <c r="X193" i="19" l="1"/>
  <c r="X17" i="19"/>
  <c r="X105" i="19"/>
  <c r="U105" i="19"/>
  <c r="U193" i="19"/>
  <c r="U149" i="19"/>
  <c r="U61" i="19"/>
  <c r="X149" i="19"/>
  <c r="R149" i="19"/>
  <c r="U17" i="19"/>
  <c r="O193" i="19"/>
  <c r="O17" i="19"/>
  <c r="R61" i="19"/>
  <c r="O149" i="19"/>
  <c r="O105" i="19"/>
  <c r="R17" i="19"/>
  <c r="O61" i="19"/>
  <c r="R193" i="19"/>
  <c r="X61" i="19"/>
  <c r="L193" i="19"/>
  <c r="L17" i="19"/>
  <c r="L61" i="19"/>
  <c r="R105" i="19"/>
  <c r="L105" i="19"/>
  <c r="L149" i="19"/>
  <c r="V152" i="19"/>
  <c r="V196" i="19"/>
  <c r="V20" i="19"/>
  <c r="V64" i="19"/>
  <c r="V108" i="19"/>
  <c r="S108" i="19"/>
  <c r="S152" i="19"/>
  <c r="S196" i="19"/>
  <c r="S64" i="19"/>
  <c r="P152" i="19"/>
  <c r="P64" i="19"/>
  <c r="M152" i="19"/>
  <c r="J196" i="19"/>
  <c r="M196" i="19"/>
  <c r="P196" i="19"/>
  <c r="P108" i="19"/>
  <c r="M20" i="19"/>
  <c r="M108" i="19"/>
  <c r="P20" i="19"/>
  <c r="M64" i="19"/>
  <c r="J152" i="19"/>
  <c r="J108" i="19"/>
  <c r="J20" i="19"/>
  <c r="J64" i="19"/>
  <c r="S20" i="19"/>
  <c r="AF51" i="1"/>
  <c r="X196" i="19"/>
  <c r="X64" i="19"/>
  <c r="X108" i="19"/>
  <c r="U108" i="19"/>
  <c r="X152" i="19"/>
  <c r="U152" i="19"/>
  <c r="U196" i="19"/>
  <c r="U64" i="19"/>
  <c r="R152" i="19"/>
  <c r="R196" i="19"/>
  <c r="X20" i="19"/>
  <c r="O196" i="19"/>
  <c r="O20" i="19"/>
  <c r="U20" i="19"/>
  <c r="R108" i="19"/>
  <c r="R64" i="19"/>
  <c r="O152" i="19"/>
  <c r="O108" i="19"/>
  <c r="O64" i="19"/>
  <c r="R20" i="19"/>
  <c r="L196" i="19"/>
  <c r="L20" i="19"/>
  <c r="L64" i="19"/>
  <c r="L152" i="19"/>
  <c r="L108" i="19"/>
  <c r="X151" i="19"/>
  <c r="X63" i="19"/>
  <c r="U63" i="19"/>
  <c r="X107" i="19"/>
  <c r="U107" i="19"/>
  <c r="X195" i="19"/>
  <c r="U19" i="19"/>
  <c r="U195" i="19"/>
  <c r="R107" i="19"/>
  <c r="R195" i="19"/>
  <c r="X19" i="19"/>
  <c r="U151" i="19"/>
  <c r="O151" i="19"/>
  <c r="L195" i="19"/>
  <c r="O19" i="19"/>
  <c r="O195" i="19"/>
  <c r="R63" i="19"/>
  <c r="O107" i="19"/>
  <c r="L107" i="19"/>
  <c r="R151" i="19"/>
  <c r="L151" i="19"/>
  <c r="L63" i="19"/>
  <c r="O63" i="19"/>
  <c r="L19" i="19"/>
  <c r="R19" i="19"/>
  <c r="AF48" i="1"/>
  <c r="AF49" i="1"/>
  <c r="AC50" i="1"/>
  <c r="AB50" i="1"/>
  <c r="AC47" i="1"/>
  <c r="AB47" i="1"/>
  <c r="AF42" i="1"/>
  <c r="AF50" i="1" l="1"/>
  <c r="W196" i="19"/>
  <c r="W20" i="19"/>
  <c r="W108" i="19"/>
  <c r="T108" i="19"/>
  <c r="W152" i="19"/>
  <c r="W64" i="19"/>
  <c r="T152" i="19"/>
  <c r="T196" i="19"/>
  <c r="T64" i="19"/>
  <c r="Q152" i="19"/>
  <c r="N196" i="19"/>
  <c r="N20" i="19"/>
  <c r="Q196" i="19"/>
  <c r="Q108" i="19"/>
  <c r="Q64" i="19"/>
  <c r="N152" i="19"/>
  <c r="N108" i="19"/>
  <c r="T20" i="19"/>
  <c r="N64" i="19"/>
  <c r="K20" i="19"/>
  <c r="K64" i="19"/>
  <c r="K196" i="19"/>
  <c r="K152" i="19"/>
  <c r="Q20" i="19"/>
  <c r="K108" i="19"/>
  <c r="W39" i="1"/>
  <c r="T39" i="1"/>
  <c r="AE39" i="1" s="1"/>
  <c r="AD39" i="1" s="1"/>
  <c r="W38" i="1"/>
  <c r="T38" i="1"/>
  <c r="AE38" i="1" s="1"/>
  <c r="AD38" i="1" s="1"/>
  <c r="W37" i="1"/>
  <c r="T37" i="1"/>
  <c r="K37" i="1"/>
  <c r="L37" i="1" l="1"/>
  <c r="AA37" i="1" s="1"/>
  <c r="AA38" i="1"/>
  <c r="AA39" i="1"/>
  <c r="AC39" i="1" l="1"/>
  <c r="AB39" i="1"/>
  <c r="AC38" i="1"/>
  <c r="AB38" i="1"/>
  <c r="A10" i="1"/>
  <c r="W27" i="1"/>
  <c r="T27" i="1"/>
  <c r="AA27" i="1" s="1"/>
  <c r="W26" i="1"/>
  <c r="T26" i="1"/>
  <c r="AA26" i="1" s="1"/>
  <c r="W25" i="1"/>
  <c r="T25" i="1"/>
  <c r="K25" i="1"/>
  <c r="L25" i="1" l="1"/>
  <c r="AF38" i="1"/>
  <c r="W104" i="19"/>
  <c r="W192" i="19"/>
  <c r="W16" i="19"/>
  <c r="W60" i="19"/>
  <c r="Q192" i="19"/>
  <c r="T104" i="19"/>
  <c r="T60" i="19"/>
  <c r="T16" i="19"/>
  <c r="W148" i="19"/>
  <c r="T148" i="19"/>
  <c r="T192" i="19"/>
  <c r="Q60" i="19"/>
  <c r="N104" i="19"/>
  <c r="K148" i="19"/>
  <c r="Q104" i="19"/>
  <c r="N192" i="19"/>
  <c r="Q148" i="19"/>
  <c r="N148" i="19"/>
  <c r="N16" i="19"/>
  <c r="Q16" i="19"/>
  <c r="N60" i="19"/>
  <c r="K60" i="19"/>
  <c r="K104" i="19"/>
  <c r="K192" i="19"/>
  <c r="K16" i="19"/>
  <c r="AF39" i="1"/>
  <c r="X104" i="19"/>
  <c r="X148" i="19"/>
  <c r="U192" i="19"/>
  <c r="X192" i="19"/>
  <c r="X16" i="19"/>
  <c r="U60" i="19"/>
  <c r="U104" i="19"/>
  <c r="U16" i="19"/>
  <c r="U148" i="19"/>
  <c r="R104" i="19"/>
  <c r="X60" i="19"/>
  <c r="R16" i="19"/>
  <c r="R60" i="19"/>
  <c r="O104" i="19"/>
  <c r="L148" i="19"/>
  <c r="R148" i="19"/>
  <c r="O192" i="19"/>
  <c r="O148" i="19"/>
  <c r="L192" i="19"/>
  <c r="O16" i="19"/>
  <c r="L104" i="19"/>
  <c r="R192" i="19"/>
  <c r="O60" i="19"/>
  <c r="L16" i="19"/>
  <c r="L60" i="19"/>
  <c r="AE27" i="1"/>
  <c r="AD27" i="1" s="1"/>
  <c r="AE26" i="1"/>
  <c r="AD26" i="1" s="1"/>
  <c r="AA25" i="1"/>
  <c r="AB26" i="1"/>
  <c r="AC26" i="1"/>
  <c r="AB27" i="1"/>
  <c r="AC27" i="1"/>
  <c r="X188" i="19" l="1"/>
  <c r="X56" i="19"/>
  <c r="X100" i="19"/>
  <c r="U100" i="19"/>
  <c r="U144" i="19"/>
  <c r="X144" i="19"/>
  <c r="X12" i="19"/>
  <c r="U188" i="19"/>
  <c r="R144" i="19"/>
  <c r="U56" i="19"/>
  <c r="R188" i="19"/>
  <c r="R100" i="19"/>
  <c r="O188" i="19"/>
  <c r="O12" i="19"/>
  <c r="R56" i="19"/>
  <c r="U12" i="19"/>
  <c r="O56" i="19"/>
  <c r="O100" i="19"/>
  <c r="L188" i="19"/>
  <c r="L12" i="19"/>
  <c r="O144" i="19"/>
  <c r="R12" i="19"/>
  <c r="L144" i="19"/>
  <c r="L56" i="19"/>
  <c r="L100" i="19"/>
  <c r="W188" i="19"/>
  <c r="W12" i="19"/>
  <c r="W100" i="19"/>
  <c r="T100" i="19"/>
  <c r="T144" i="19"/>
  <c r="W144" i="19"/>
  <c r="W56" i="19"/>
  <c r="T188" i="19"/>
  <c r="Q144" i="19"/>
  <c r="T56" i="19"/>
  <c r="N188" i="19"/>
  <c r="N12" i="19"/>
  <c r="Q188" i="19"/>
  <c r="Q56" i="19"/>
  <c r="T12" i="19"/>
  <c r="N56" i="19"/>
  <c r="N144" i="19"/>
  <c r="Q100" i="19"/>
  <c r="K188" i="19"/>
  <c r="N100" i="19"/>
  <c r="K12" i="19"/>
  <c r="Q12" i="19"/>
  <c r="K144" i="19"/>
  <c r="K56" i="19"/>
  <c r="K100" i="19"/>
  <c r="AF27" i="1"/>
  <c r="AF26" i="1"/>
  <c r="AB25" i="1"/>
  <c r="AC25" i="1"/>
  <c r="T15" i="1" l="1"/>
  <c r="AE15" i="1" s="1"/>
  <c r="AD15" i="1" s="1"/>
  <c r="T14" i="1"/>
  <c r="AA14" i="1" s="1"/>
  <c r="W13" i="1"/>
  <c r="T13" i="1"/>
  <c r="K13" i="1"/>
  <c r="A13" i="1"/>
  <c r="A16" i="1" s="1"/>
  <c r="L13" i="1" l="1"/>
  <c r="AA13" i="1" s="1"/>
  <c r="AB13" i="1" s="1"/>
  <c r="AA15" i="1"/>
  <c r="AC15" i="1" s="1"/>
  <c r="AB14" i="1"/>
  <c r="AC14" i="1"/>
  <c r="AE14" i="1"/>
  <c r="AD14" i="1" s="1"/>
  <c r="W96" i="19" l="1"/>
  <c r="W184" i="19"/>
  <c r="W8" i="19"/>
  <c r="W140" i="19"/>
  <c r="T184" i="19"/>
  <c r="W52" i="19"/>
  <c r="Q184" i="19"/>
  <c r="T96" i="19"/>
  <c r="T8" i="19"/>
  <c r="T140" i="19"/>
  <c r="T52" i="19"/>
  <c r="Q140" i="19"/>
  <c r="Q52" i="19"/>
  <c r="N96" i="19"/>
  <c r="K140" i="19"/>
  <c r="N52" i="19"/>
  <c r="N8" i="19"/>
  <c r="N184" i="19"/>
  <c r="N140" i="19"/>
  <c r="K52" i="19"/>
  <c r="Q96" i="19"/>
  <c r="K96" i="19"/>
  <c r="K184" i="19"/>
  <c r="Q8" i="19"/>
  <c r="K8" i="19"/>
  <c r="AB15" i="1"/>
  <c r="AF14" i="1"/>
  <c r="AC13" i="1"/>
  <c r="A19" i="1"/>
  <c r="A22" i="1" s="1"/>
  <c r="AF15" i="1" l="1"/>
  <c r="X96" i="19"/>
  <c r="X140" i="19"/>
  <c r="X184" i="19"/>
  <c r="X8" i="19"/>
  <c r="U184" i="19"/>
  <c r="U52" i="19"/>
  <c r="X52" i="19"/>
  <c r="U96" i="19"/>
  <c r="U8" i="19"/>
  <c r="U140" i="19"/>
  <c r="R8" i="19"/>
  <c r="R52" i="19"/>
  <c r="O96" i="19"/>
  <c r="L140" i="19"/>
  <c r="R184" i="19"/>
  <c r="R140" i="19"/>
  <c r="O184" i="19"/>
  <c r="O140" i="19"/>
  <c r="L184" i="19"/>
  <c r="R96" i="19"/>
  <c r="O8" i="19"/>
  <c r="L96" i="19"/>
  <c r="L52" i="19"/>
  <c r="L8" i="19"/>
  <c r="O52" i="19"/>
  <c r="A25" i="1"/>
  <c r="A28" i="1" s="1"/>
  <c r="A31" i="1" s="1"/>
  <c r="A34" i="1" s="1"/>
  <c r="A37" i="1" s="1"/>
  <c r="A40" i="1" s="1"/>
  <c r="A44" i="1" s="1"/>
  <c r="A47" i="1" s="1"/>
  <c r="A52" i="1" s="1"/>
  <c r="W101" i="1"/>
  <c r="T101" i="1"/>
  <c r="W7" i="1"/>
  <c r="T133" i="1"/>
  <c r="T130" i="1"/>
  <c r="AA101" i="1" l="1"/>
  <c r="K79" i="1"/>
  <c r="W79" i="1"/>
  <c r="T79" i="1"/>
  <c r="L79" i="1" l="1"/>
  <c r="AA79" i="1" s="1"/>
  <c r="K130" i="1"/>
  <c r="W130" i="1"/>
  <c r="T131" i="1"/>
  <c r="AA131" i="1" s="1"/>
  <c r="W131" i="1"/>
  <c r="T132" i="1"/>
  <c r="AA132" i="1" s="1"/>
  <c r="W132" i="1"/>
  <c r="K133" i="1"/>
  <c r="W133" i="1"/>
  <c r="T134" i="1"/>
  <c r="AA134" i="1" s="1"/>
  <c r="W134" i="1"/>
  <c r="T135" i="1"/>
  <c r="AA135" i="1" s="1"/>
  <c r="AC135" i="1" s="1"/>
  <c r="W135" i="1"/>
  <c r="K136" i="1"/>
  <c r="T136" i="1"/>
  <c r="AA136" i="1" s="1"/>
  <c r="W136" i="1"/>
  <c r="T137" i="1"/>
  <c r="AA137" i="1" s="1"/>
  <c r="W137" i="1"/>
  <c r="T138" i="1"/>
  <c r="AA138" i="1" s="1"/>
  <c r="W138" i="1"/>
  <c r="AE135" i="1" l="1"/>
  <c r="AD135" i="1" s="1"/>
  <c r="AB135" i="1"/>
  <c r="AE134" i="1"/>
  <c r="AD134" i="1" s="1"/>
  <c r="AC79" i="1"/>
  <c r="AB79" i="1"/>
  <c r="AC134" i="1"/>
  <c r="AB134" i="1"/>
  <c r="L130" i="1"/>
  <c r="AA130" i="1" s="1"/>
  <c r="L136" i="1"/>
  <c r="L133" i="1"/>
  <c r="AA133" i="1" s="1"/>
  <c r="AB137" i="1"/>
  <c r="AC137" i="1"/>
  <c r="AB132" i="1"/>
  <c r="AC132" i="1"/>
  <c r="AB138" i="1"/>
  <c r="AC138" i="1"/>
  <c r="AB136" i="1"/>
  <c r="AC136" i="1"/>
  <c r="AB131" i="1"/>
  <c r="AC131" i="1"/>
  <c r="AE138" i="1"/>
  <c r="AD138" i="1" s="1"/>
  <c r="AE137" i="1"/>
  <c r="AD137" i="1" s="1"/>
  <c r="AE136" i="1"/>
  <c r="AD136" i="1" s="1"/>
  <c r="AE132" i="1"/>
  <c r="AD132" i="1" s="1"/>
  <c r="AE131" i="1"/>
  <c r="AD131" i="1" s="1"/>
  <c r="X135" i="19" l="1"/>
  <c r="X223" i="19"/>
  <c r="X47" i="19"/>
  <c r="U223" i="19"/>
  <c r="U47" i="19"/>
  <c r="U91" i="19"/>
  <c r="U135" i="19"/>
  <c r="R223" i="19"/>
  <c r="X179" i="19"/>
  <c r="U179" i="19"/>
  <c r="X91" i="19"/>
  <c r="R179" i="19"/>
  <c r="R91" i="19"/>
  <c r="O135" i="19"/>
  <c r="L179" i="19"/>
  <c r="O91" i="19"/>
  <c r="R47" i="19"/>
  <c r="O47" i="19"/>
  <c r="O179" i="19"/>
  <c r="L223" i="19"/>
  <c r="O223" i="19"/>
  <c r="L91" i="19"/>
  <c r="R135" i="19"/>
  <c r="L47" i="19"/>
  <c r="L135" i="19"/>
  <c r="W225" i="19"/>
  <c r="W93" i="19"/>
  <c r="W137" i="19"/>
  <c r="T137" i="19"/>
  <c r="W49" i="19"/>
  <c r="T181" i="19"/>
  <c r="W181" i="19"/>
  <c r="T225" i="19"/>
  <c r="Q181" i="19"/>
  <c r="T49" i="19"/>
  <c r="Q225" i="19"/>
  <c r="N225" i="19"/>
  <c r="N49" i="19"/>
  <c r="N181" i="19"/>
  <c r="Q137" i="19"/>
  <c r="T93" i="19"/>
  <c r="Q93" i="19"/>
  <c r="Q49" i="19"/>
  <c r="K181" i="19"/>
  <c r="K225" i="19"/>
  <c r="N137" i="19"/>
  <c r="N93" i="19"/>
  <c r="K49" i="19"/>
  <c r="K93" i="19"/>
  <c r="K137" i="19"/>
  <c r="X180" i="19"/>
  <c r="X224" i="19"/>
  <c r="X48" i="19"/>
  <c r="X92" i="19"/>
  <c r="U92" i="19"/>
  <c r="U136" i="19"/>
  <c r="X136" i="19"/>
  <c r="U180" i="19"/>
  <c r="R136" i="19"/>
  <c r="U224" i="19"/>
  <c r="R180" i="19"/>
  <c r="R92" i="19"/>
  <c r="U48" i="19"/>
  <c r="O180" i="19"/>
  <c r="L224" i="19"/>
  <c r="R224" i="19"/>
  <c r="R48" i="19"/>
  <c r="O224" i="19"/>
  <c r="O92" i="19"/>
  <c r="O48" i="19"/>
  <c r="O136" i="19"/>
  <c r="L180" i="19"/>
  <c r="L136" i="19"/>
  <c r="L48" i="19"/>
  <c r="L92" i="19"/>
  <c r="W91" i="19"/>
  <c r="W135" i="19"/>
  <c r="W179" i="19"/>
  <c r="T223" i="19"/>
  <c r="W223" i="19"/>
  <c r="T179" i="19"/>
  <c r="T47" i="19"/>
  <c r="W47" i="19"/>
  <c r="T91" i="19"/>
  <c r="T135" i="19"/>
  <c r="Q223" i="19"/>
  <c r="N223" i="19"/>
  <c r="Q47" i="19"/>
  <c r="N91" i="19"/>
  <c r="K135" i="19"/>
  <c r="Q179" i="19"/>
  <c r="K179" i="19"/>
  <c r="N179" i="19"/>
  <c r="N135" i="19"/>
  <c r="K223" i="19"/>
  <c r="Q135" i="19"/>
  <c r="N47" i="19"/>
  <c r="K47" i="19"/>
  <c r="K91" i="19"/>
  <c r="Q91" i="19"/>
  <c r="X225" i="19"/>
  <c r="X93" i="19"/>
  <c r="X181" i="19"/>
  <c r="U225" i="19"/>
  <c r="X49" i="19"/>
  <c r="U181" i="19"/>
  <c r="X137" i="19"/>
  <c r="R181" i="19"/>
  <c r="U49" i="19"/>
  <c r="R225" i="19"/>
  <c r="R49" i="19"/>
  <c r="O93" i="19"/>
  <c r="L137" i="19"/>
  <c r="O225" i="19"/>
  <c r="O181" i="19"/>
  <c r="R137" i="19"/>
  <c r="O137" i="19"/>
  <c r="U137" i="19"/>
  <c r="R93" i="19"/>
  <c r="L49" i="19"/>
  <c r="L93" i="19"/>
  <c r="L181" i="19"/>
  <c r="O49" i="19"/>
  <c r="U93" i="19"/>
  <c r="L225" i="19"/>
  <c r="W180" i="19"/>
  <c r="T224" i="19"/>
  <c r="W224" i="19"/>
  <c r="W92" i="19"/>
  <c r="T92" i="19"/>
  <c r="W48" i="19"/>
  <c r="T136" i="19"/>
  <c r="T180" i="19"/>
  <c r="Q136" i="19"/>
  <c r="Q224" i="19"/>
  <c r="Q180" i="19"/>
  <c r="T48" i="19"/>
  <c r="N180" i="19"/>
  <c r="K224" i="19"/>
  <c r="W136" i="19"/>
  <c r="N48" i="19"/>
  <c r="Q48" i="19"/>
  <c r="N136" i="19"/>
  <c r="N92" i="19"/>
  <c r="Q92" i="19"/>
  <c r="N224" i="19"/>
  <c r="K180" i="19"/>
  <c r="K136" i="19"/>
  <c r="K92" i="19"/>
  <c r="K48" i="19"/>
  <c r="V225" i="19"/>
  <c r="V49" i="19"/>
  <c r="V137" i="19"/>
  <c r="S137" i="19"/>
  <c r="S181" i="19"/>
  <c r="V93" i="19"/>
  <c r="P137" i="19"/>
  <c r="V181" i="19"/>
  <c r="S225" i="19"/>
  <c r="P181" i="19"/>
  <c r="S49" i="19"/>
  <c r="P225" i="19"/>
  <c r="M225" i="19"/>
  <c r="M49" i="19"/>
  <c r="S93" i="19"/>
  <c r="J225" i="19"/>
  <c r="P93" i="19"/>
  <c r="P49" i="19"/>
  <c r="M137" i="19"/>
  <c r="J181" i="19"/>
  <c r="J137" i="19"/>
  <c r="J93" i="19"/>
  <c r="M181" i="19"/>
  <c r="J49" i="19"/>
  <c r="M93" i="19"/>
  <c r="AB133" i="1"/>
  <c r="AC133" i="1"/>
  <c r="AB130" i="1"/>
  <c r="AC130" i="1"/>
  <c r="AF135" i="1"/>
  <c r="AF131" i="1"/>
  <c r="AF138" i="1"/>
  <c r="AF134" i="1"/>
  <c r="AF136" i="1"/>
  <c r="AF132" i="1"/>
  <c r="AF137" i="1"/>
  <c r="F221" i="13" l="1"/>
  <c r="F220" i="13"/>
  <c r="F219" i="13"/>
  <c r="F218" i="13"/>
  <c r="F217" i="13"/>
  <c r="F216" i="13"/>
  <c r="F215" i="13"/>
  <c r="F214" i="13"/>
  <c r="F213" i="13"/>
  <c r="F212" i="13"/>
  <c r="F211" i="13"/>
  <c r="F210" i="13"/>
  <c r="K94" i="1" l="1"/>
  <c r="L94" i="1" l="1"/>
  <c r="T36" i="1" l="1"/>
  <c r="AE36" i="1" s="1"/>
  <c r="AD36" i="1" s="1"/>
  <c r="T21" i="1" l="1"/>
  <c r="AE21" i="1" s="1"/>
  <c r="AD21" i="1" s="1"/>
  <c r="T20" i="1"/>
  <c r="AE20" i="1" s="1"/>
  <c r="AD20" i="1" s="1"/>
  <c r="W129" i="1" l="1"/>
  <c r="T129" i="1"/>
  <c r="AE129" i="1" s="1"/>
  <c r="W128" i="1"/>
  <c r="T128" i="1"/>
  <c r="AE128" i="1" s="1"/>
  <c r="W127" i="1"/>
  <c r="T127" i="1"/>
  <c r="K127" i="1"/>
  <c r="T126" i="1"/>
  <c r="W125" i="1"/>
  <c r="T125" i="1"/>
  <c r="AE125" i="1" s="1"/>
  <c r="W124" i="1"/>
  <c r="T124" i="1"/>
  <c r="K124" i="1"/>
  <c r="T123" i="1"/>
  <c r="W122" i="1"/>
  <c r="T122" i="1"/>
  <c r="AE122" i="1" s="1"/>
  <c r="W121" i="1"/>
  <c r="T121" i="1"/>
  <c r="K121" i="1"/>
  <c r="T117" i="1"/>
  <c r="W116" i="1"/>
  <c r="T116" i="1"/>
  <c r="W115" i="1"/>
  <c r="T115" i="1"/>
  <c r="K115" i="1"/>
  <c r="K112" i="1"/>
  <c r="K109" i="1"/>
  <c r="K118" i="1"/>
  <c r="K103" i="1"/>
  <c r="K100" i="1"/>
  <c r="K97" i="1"/>
  <c r="K91" i="1"/>
  <c r="K88" i="1"/>
  <c r="K85" i="1"/>
  <c r="K82" i="1"/>
  <c r="K76" i="1"/>
  <c r="K73" i="1"/>
  <c r="K67" i="1"/>
  <c r="K64" i="1"/>
  <c r="K61" i="1"/>
  <c r="K58" i="1"/>
  <c r="K55" i="1"/>
  <c r="K52" i="1"/>
  <c r="K44" i="1"/>
  <c r="K40" i="1"/>
  <c r="K34" i="1"/>
  <c r="K31" i="1"/>
  <c r="K28" i="1"/>
  <c r="K22" i="1"/>
  <c r="K19" i="1"/>
  <c r="K16" i="1"/>
  <c r="K10" i="1"/>
  <c r="T114" i="1"/>
  <c r="W113" i="1"/>
  <c r="T113" i="1"/>
  <c r="T111" i="1"/>
  <c r="W110" i="1"/>
  <c r="T110" i="1"/>
  <c r="W109" i="1"/>
  <c r="T109" i="1"/>
  <c r="T105" i="1"/>
  <c r="AE105" i="1" s="1"/>
  <c r="T104" i="1"/>
  <c r="AE104" i="1" s="1"/>
  <c r="T102" i="1"/>
  <c r="W103" i="1"/>
  <c r="T103" i="1"/>
  <c r="T99" i="1"/>
  <c r="T98" i="1"/>
  <c r="W97" i="1"/>
  <c r="T97" i="1"/>
  <c r="W94" i="1"/>
  <c r="T94" i="1"/>
  <c r="W90" i="1"/>
  <c r="T90" i="1"/>
  <c r="W89" i="1"/>
  <c r="T89" i="1"/>
  <c r="AE89" i="1" s="1"/>
  <c r="T87" i="1"/>
  <c r="W85" i="1"/>
  <c r="T85" i="1"/>
  <c r="T86" i="1"/>
  <c r="W82" i="1"/>
  <c r="T82" i="1"/>
  <c r="T75" i="1"/>
  <c r="T69" i="1"/>
  <c r="AE69" i="1" s="1"/>
  <c r="AD69" i="1" s="1"/>
  <c r="T66" i="1"/>
  <c r="AE66" i="1" s="1"/>
  <c r="AD66" i="1" s="1"/>
  <c r="W65" i="1"/>
  <c r="T65" i="1"/>
  <c r="AE65" i="1" s="1"/>
  <c r="T63" i="1"/>
  <c r="T62" i="1"/>
  <c r="T60" i="1"/>
  <c r="AE60" i="1" s="1"/>
  <c r="AD60" i="1" s="1"/>
  <c r="W61" i="1"/>
  <c r="T61" i="1"/>
  <c r="T59" i="1"/>
  <c r="T57" i="1"/>
  <c r="AE57" i="1" s="1"/>
  <c r="AD57" i="1" s="1"/>
  <c r="T56" i="1"/>
  <c r="T54" i="1"/>
  <c r="AE54" i="1" s="1"/>
  <c r="AD54" i="1" s="1"/>
  <c r="W53" i="1"/>
  <c r="T53" i="1"/>
  <c r="AE53" i="1" s="1"/>
  <c r="W55" i="1"/>
  <c r="T55" i="1"/>
  <c r="W52" i="1"/>
  <c r="T52" i="1"/>
  <c r="T46" i="1"/>
  <c r="T45" i="1"/>
  <c r="W44" i="1"/>
  <c r="T44" i="1"/>
  <c r="T43" i="1"/>
  <c r="T41" i="1"/>
  <c r="W40" i="1"/>
  <c r="T40" i="1"/>
  <c r="W36" i="1"/>
  <c r="W35" i="1"/>
  <c r="T35" i="1"/>
  <c r="AE35" i="1" s="1"/>
  <c r="AD35" i="1" s="1"/>
  <c r="W34" i="1"/>
  <c r="T34" i="1"/>
  <c r="T33" i="1"/>
  <c r="AE33" i="1" s="1"/>
  <c r="AD33" i="1" s="1"/>
  <c r="W32" i="1"/>
  <c r="T32" i="1"/>
  <c r="AE32" i="1" s="1"/>
  <c r="W31" i="1"/>
  <c r="T31" i="1"/>
  <c r="T30" i="1"/>
  <c r="AE30" i="1" s="1"/>
  <c r="AD30" i="1" s="1"/>
  <c r="T29" i="1"/>
  <c r="W28" i="1"/>
  <c r="T28" i="1"/>
  <c r="W24" i="1"/>
  <c r="T24" i="1"/>
  <c r="AE24" i="1" s="1"/>
  <c r="AD24" i="1" s="1"/>
  <c r="W23" i="1"/>
  <c r="T23" i="1"/>
  <c r="AA41" i="1" l="1"/>
  <c r="AE41" i="1"/>
  <c r="AD41" i="1" s="1"/>
  <c r="AE43" i="1"/>
  <c r="AD43" i="1" s="1"/>
  <c r="AA43" i="1"/>
  <c r="AE90" i="1"/>
  <c r="AD90" i="1" s="1"/>
  <c r="AE29" i="1"/>
  <c r="AD29" i="1" s="1"/>
  <c r="AD65" i="1"/>
  <c r="AD89" i="1"/>
  <c r="AE98" i="1"/>
  <c r="AD98" i="1" s="1"/>
  <c r="AE102" i="1"/>
  <c r="AD102" i="1" s="1"/>
  <c r="AA102" i="1"/>
  <c r="AE123" i="1"/>
  <c r="AD123" i="1" s="1"/>
  <c r="AD128" i="1"/>
  <c r="AE23" i="1"/>
  <c r="AD23" i="1" s="1"/>
  <c r="AD32" i="1"/>
  <c r="AE56" i="1"/>
  <c r="AD56" i="1" s="1"/>
  <c r="AE59" i="1"/>
  <c r="AD59" i="1" s="1"/>
  <c r="AE63" i="1"/>
  <c r="AD63" i="1" s="1"/>
  <c r="AE86" i="1"/>
  <c r="AD86" i="1" s="1"/>
  <c r="AE87" i="1"/>
  <c r="AD87" i="1" s="1"/>
  <c r="AE99" i="1"/>
  <c r="AD99" i="1" s="1"/>
  <c r="AD104" i="1"/>
  <c r="AD110" i="1"/>
  <c r="AD113" i="1"/>
  <c r="AE117" i="1"/>
  <c r="AD117" i="1" s="1"/>
  <c r="AD125" i="1"/>
  <c r="AE62" i="1"/>
  <c r="AD62" i="1" s="1"/>
  <c r="AD105" i="1"/>
  <c r="AE111" i="1"/>
  <c r="AD111" i="1" s="1"/>
  <c r="AE114" i="1"/>
  <c r="AD114" i="1" s="1"/>
  <c r="AD116" i="1"/>
  <c r="AE126" i="1"/>
  <c r="AD126" i="1" s="1"/>
  <c r="AD122" i="1"/>
  <c r="AD129" i="1"/>
  <c r="AE101" i="1"/>
  <c r="AD101" i="1" s="1"/>
  <c r="AD53" i="1"/>
  <c r="L127" i="1"/>
  <c r="AA127" i="1" s="1"/>
  <c r="AA128" i="1" s="1"/>
  <c r="AA129" i="1" s="1"/>
  <c r="L124" i="1"/>
  <c r="AA124" i="1" s="1"/>
  <c r="AA125" i="1" s="1"/>
  <c r="AA126" i="1" s="1"/>
  <c r="L121" i="1"/>
  <c r="AA121" i="1" s="1"/>
  <c r="AA122" i="1" s="1"/>
  <c r="AA123" i="1" s="1"/>
  <c r="L115" i="1"/>
  <c r="AA115" i="1" s="1"/>
  <c r="AA116" i="1" s="1"/>
  <c r="AA117" i="1" s="1"/>
  <c r="L112" i="1"/>
  <c r="L109" i="1"/>
  <c r="AA109" i="1" s="1"/>
  <c r="AA110" i="1" s="1"/>
  <c r="AA111" i="1" s="1"/>
  <c r="L118" i="1"/>
  <c r="L103" i="1"/>
  <c r="AA104" i="1" s="1"/>
  <c r="AA105" i="1" s="1"/>
  <c r="L100" i="1"/>
  <c r="L97" i="1"/>
  <c r="L91" i="1"/>
  <c r="L88" i="1"/>
  <c r="L85" i="1"/>
  <c r="AA85" i="1" s="1"/>
  <c r="AA86" i="1" s="1"/>
  <c r="AA87" i="1" s="1"/>
  <c r="L82" i="1"/>
  <c r="AA82" i="1" s="1"/>
  <c r="L76" i="1"/>
  <c r="L73" i="1"/>
  <c r="L67" i="1"/>
  <c r="AA67" i="1" s="1"/>
  <c r="L64" i="1"/>
  <c r="L61" i="1"/>
  <c r="AA61" i="1" s="1"/>
  <c r="AA62" i="1" s="1"/>
  <c r="AA63" i="1" s="1"/>
  <c r="L58" i="1"/>
  <c r="L55" i="1"/>
  <c r="AA55" i="1" s="1"/>
  <c r="AA56" i="1" s="1"/>
  <c r="AA57" i="1" s="1"/>
  <c r="L52" i="1"/>
  <c r="AA52" i="1" s="1"/>
  <c r="AA53" i="1" s="1"/>
  <c r="AA54" i="1" s="1"/>
  <c r="L44" i="1"/>
  <c r="AA44" i="1" s="1"/>
  <c r="L40" i="1"/>
  <c r="AA40" i="1" s="1"/>
  <c r="L34" i="1"/>
  <c r="AA35" i="1" s="1"/>
  <c r="AA36" i="1" s="1"/>
  <c r="L31" i="1"/>
  <c r="AA32" i="1" s="1"/>
  <c r="AA33" i="1" s="1"/>
  <c r="L28" i="1"/>
  <c r="AA28" i="1" s="1"/>
  <c r="AA29" i="1" s="1"/>
  <c r="AA30" i="1" s="1"/>
  <c r="L22" i="1"/>
  <c r="L19" i="1"/>
  <c r="L16" i="1"/>
  <c r="L10" i="1"/>
  <c r="T19" i="1"/>
  <c r="W19" i="1"/>
  <c r="T22" i="1"/>
  <c r="W22" i="1"/>
  <c r="T58" i="1"/>
  <c r="W58" i="1"/>
  <c r="T64" i="1"/>
  <c r="W64" i="1"/>
  <c r="T73" i="1"/>
  <c r="W73" i="1"/>
  <c r="T76" i="1"/>
  <c r="W76" i="1"/>
  <c r="T88" i="1"/>
  <c r="W88" i="1"/>
  <c r="T91" i="1"/>
  <c r="W91" i="1"/>
  <c r="T100" i="1"/>
  <c r="W100" i="1"/>
  <c r="T118" i="1"/>
  <c r="W118" i="1"/>
  <c r="T112" i="1"/>
  <c r="W112" i="1"/>
  <c r="T17" i="1"/>
  <c r="T18" i="1"/>
  <c r="T11" i="1"/>
  <c r="T12" i="1"/>
  <c r="AA68" i="1" l="1"/>
  <c r="AC67" i="1"/>
  <c r="AB67" i="1"/>
  <c r="AC41" i="1"/>
  <c r="AB41" i="1"/>
  <c r="AA34" i="1"/>
  <c r="AB34" i="1" s="1"/>
  <c r="AA103" i="1"/>
  <c r="AC103" i="1" s="1"/>
  <c r="AB37" i="1"/>
  <c r="AC37" i="1"/>
  <c r="AA22" i="1"/>
  <c r="AA31" i="1"/>
  <c r="AB31" i="1" s="1"/>
  <c r="AA91" i="1"/>
  <c r="AA94" i="1" s="1"/>
  <c r="AA97" i="1" s="1"/>
  <c r="AB97" i="1" s="1"/>
  <c r="AA100" i="1"/>
  <c r="AB128" i="1"/>
  <c r="AC128" i="1"/>
  <c r="AB127" i="1"/>
  <c r="AC127" i="1"/>
  <c r="AB129" i="1"/>
  <c r="AC129" i="1"/>
  <c r="AB124" i="1"/>
  <c r="AC124" i="1"/>
  <c r="AB125" i="1"/>
  <c r="AC125" i="1"/>
  <c r="AB126" i="1"/>
  <c r="AC126" i="1"/>
  <c r="AB121" i="1"/>
  <c r="AC121" i="1"/>
  <c r="AB122" i="1"/>
  <c r="AC122" i="1"/>
  <c r="AB123" i="1"/>
  <c r="AC123" i="1"/>
  <c r="AB115" i="1"/>
  <c r="AC115" i="1"/>
  <c r="AB116" i="1"/>
  <c r="AC116" i="1"/>
  <c r="AB117" i="1"/>
  <c r="AC117" i="1"/>
  <c r="AB111" i="1"/>
  <c r="AC111" i="1"/>
  <c r="AB110" i="1"/>
  <c r="AC110" i="1"/>
  <c r="AB109" i="1"/>
  <c r="AC109" i="1"/>
  <c r="AB105" i="1"/>
  <c r="AC105" i="1"/>
  <c r="AB104" i="1"/>
  <c r="AC104" i="1"/>
  <c r="AB102" i="1"/>
  <c r="AC102" i="1"/>
  <c r="AB101" i="1"/>
  <c r="AC101" i="1"/>
  <c r="AB87" i="1"/>
  <c r="AC87" i="1"/>
  <c r="AB85" i="1"/>
  <c r="AC85" i="1"/>
  <c r="AB86" i="1"/>
  <c r="AC86" i="1"/>
  <c r="AB82" i="1"/>
  <c r="AC82" i="1"/>
  <c r="AB63" i="1"/>
  <c r="AC63" i="1"/>
  <c r="AB62" i="1"/>
  <c r="AC62" i="1"/>
  <c r="AB61" i="1"/>
  <c r="AC61" i="1"/>
  <c r="AB57" i="1"/>
  <c r="AC57" i="1"/>
  <c r="AB56" i="1"/>
  <c r="AC56" i="1"/>
  <c r="AB54" i="1"/>
  <c r="AC54" i="1"/>
  <c r="AB53" i="1"/>
  <c r="AC53" i="1"/>
  <c r="AB55" i="1"/>
  <c r="AC55" i="1"/>
  <c r="AB52" i="1"/>
  <c r="AC52" i="1"/>
  <c r="AB44" i="1"/>
  <c r="AC44" i="1"/>
  <c r="AB43" i="1"/>
  <c r="AC43" i="1"/>
  <c r="AB40" i="1"/>
  <c r="AC40" i="1"/>
  <c r="AB36" i="1"/>
  <c r="AC36" i="1"/>
  <c r="AB35" i="1"/>
  <c r="AC35" i="1"/>
  <c r="AB33" i="1"/>
  <c r="AC33" i="1"/>
  <c r="AB32" i="1"/>
  <c r="AC32" i="1"/>
  <c r="AB30" i="1"/>
  <c r="AC30" i="1"/>
  <c r="AB29" i="1"/>
  <c r="AC29" i="1"/>
  <c r="AB28" i="1"/>
  <c r="AC28" i="1"/>
  <c r="T8" i="1"/>
  <c r="W8" i="1"/>
  <c r="T7" i="1"/>
  <c r="T10" i="1"/>
  <c r="T16" i="1"/>
  <c r="X125" i="19" l="1"/>
  <c r="X213" i="19"/>
  <c r="X37" i="19"/>
  <c r="X169" i="19"/>
  <c r="U81" i="19"/>
  <c r="U213" i="19"/>
  <c r="R213" i="19"/>
  <c r="U125" i="19"/>
  <c r="U37" i="19"/>
  <c r="X81" i="19"/>
  <c r="U169" i="19"/>
  <c r="R81" i="19"/>
  <c r="O125" i="19"/>
  <c r="L169" i="19"/>
  <c r="R169" i="19"/>
  <c r="R37" i="19"/>
  <c r="R125" i="19"/>
  <c r="L213" i="19"/>
  <c r="O37" i="19"/>
  <c r="O213" i="19"/>
  <c r="O169" i="19"/>
  <c r="L81" i="19"/>
  <c r="L37" i="19"/>
  <c r="L125" i="19"/>
  <c r="O81" i="19"/>
  <c r="X109" i="19"/>
  <c r="X197" i="19"/>
  <c r="X21" i="19"/>
  <c r="X153" i="19"/>
  <c r="X65" i="19"/>
  <c r="U197" i="19"/>
  <c r="R197" i="19"/>
  <c r="U21" i="19"/>
  <c r="U109" i="19"/>
  <c r="U153" i="19"/>
  <c r="U65" i="19"/>
  <c r="R109" i="19"/>
  <c r="R65" i="19"/>
  <c r="O109" i="19"/>
  <c r="L153" i="19"/>
  <c r="O65" i="19"/>
  <c r="R21" i="19"/>
  <c r="R153" i="19"/>
  <c r="L65" i="19"/>
  <c r="O197" i="19"/>
  <c r="O21" i="19"/>
  <c r="L109" i="19"/>
  <c r="O153" i="19"/>
  <c r="L197" i="19"/>
  <c r="L21" i="19"/>
  <c r="W133" i="19"/>
  <c r="W177" i="19"/>
  <c r="T221" i="19"/>
  <c r="W221" i="19"/>
  <c r="W45" i="19"/>
  <c r="W89" i="19"/>
  <c r="T89" i="19"/>
  <c r="T133" i="19"/>
  <c r="Q133" i="19"/>
  <c r="T177" i="19"/>
  <c r="Q45" i="19"/>
  <c r="Q89" i="19"/>
  <c r="N133" i="19"/>
  <c r="K177" i="19"/>
  <c r="T45" i="19"/>
  <c r="Q221" i="19"/>
  <c r="Q177" i="19"/>
  <c r="N221" i="19"/>
  <c r="N177" i="19"/>
  <c r="N45" i="19"/>
  <c r="N89" i="19"/>
  <c r="K45" i="19"/>
  <c r="K221" i="19"/>
  <c r="K133" i="19"/>
  <c r="K89" i="19"/>
  <c r="W222" i="19"/>
  <c r="W46" i="19"/>
  <c r="W134" i="19"/>
  <c r="W178" i="19"/>
  <c r="T134" i="19"/>
  <c r="T222" i="19"/>
  <c r="T178" i="19"/>
  <c r="W90" i="19"/>
  <c r="Q134" i="19"/>
  <c r="T90" i="19"/>
  <c r="T46" i="19"/>
  <c r="Q178" i="19"/>
  <c r="Q222" i="19"/>
  <c r="N222" i="19"/>
  <c r="N46" i="19"/>
  <c r="N178" i="19"/>
  <c r="Q90" i="19"/>
  <c r="N134" i="19"/>
  <c r="N90" i="19"/>
  <c r="K222" i="19"/>
  <c r="K134" i="19"/>
  <c r="K46" i="19"/>
  <c r="Q46" i="19"/>
  <c r="K90" i="19"/>
  <c r="K178" i="19"/>
  <c r="AF41" i="1"/>
  <c r="W149" i="19"/>
  <c r="W193" i="19"/>
  <c r="W17" i="19"/>
  <c r="W61" i="19"/>
  <c r="T105" i="19"/>
  <c r="T193" i="19"/>
  <c r="T149" i="19"/>
  <c r="W105" i="19"/>
  <c r="T61" i="19"/>
  <c r="Q149" i="19"/>
  <c r="Q61" i="19"/>
  <c r="T17" i="19"/>
  <c r="N149" i="19"/>
  <c r="K193" i="19"/>
  <c r="N105" i="19"/>
  <c r="Q17" i="19"/>
  <c r="Q193" i="19"/>
  <c r="N61" i="19"/>
  <c r="N193" i="19"/>
  <c r="K149" i="19"/>
  <c r="K17" i="19"/>
  <c r="N17" i="19"/>
  <c r="K61" i="19"/>
  <c r="K105" i="19"/>
  <c r="Q105" i="19"/>
  <c r="X146" i="19"/>
  <c r="X190" i="19"/>
  <c r="X14" i="19"/>
  <c r="X58" i="19"/>
  <c r="X102" i="19"/>
  <c r="U190" i="19"/>
  <c r="U102" i="19"/>
  <c r="U146" i="19"/>
  <c r="R146" i="19"/>
  <c r="R58" i="19"/>
  <c r="R190" i="19"/>
  <c r="U58" i="19"/>
  <c r="O146" i="19"/>
  <c r="L190" i="19"/>
  <c r="R102" i="19"/>
  <c r="R14" i="19"/>
  <c r="O102" i="19"/>
  <c r="O58" i="19"/>
  <c r="U14" i="19"/>
  <c r="O190" i="19"/>
  <c r="L146" i="19"/>
  <c r="O14" i="19"/>
  <c r="L102" i="19"/>
  <c r="L14" i="19"/>
  <c r="L58" i="19"/>
  <c r="W170" i="19"/>
  <c r="T214" i="19"/>
  <c r="W82" i="19"/>
  <c r="W214" i="19"/>
  <c r="T82" i="19"/>
  <c r="T126" i="19"/>
  <c r="T38" i="19"/>
  <c r="T170" i="19"/>
  <c r="Q126" i="19"/>
  <c r="W38" i="19"/>
  <c r="W126" i="19"/>
  <c r="Q214" i="19"/>
  <c r="N170" i="19"/>
  <c r="K214" i="19"/>
  <c r="Q38" i="19"/>
  <c r="N126" i="19"/>
  <c r="N82" i="19"/>
  <c r="Q82" i="19"/>
  <c r="K170" i="19"/>
  <c r="Q170" i="19"/>
  <c r="N214" i="19"/>
  <c r="K126" i="19"/>
  <c r="N38" i="19"/>
  <c r="K38" i="19"/>
  <c r="K82" i="19"/>
  <c r="X59" i="19"/>
  <c r="X147" i="19"/>
  <c r="X103" i="19"/>
  <c r="U147" i="19"/>
  <c r="X191" i="19"/>
  <c r="R147" i="19"/>
  <c r="R191" i="19"/>
  <c r="X15" i="19"/>
  <c r="U103" i="19"/>
  <c r="U59" i="19"/>
  <c r="U15" i="19"/>
  <c r="R103" i="19"/>
  <c r="R15" i="19"/>
  <c r="O59" i="19"/>
  <c r="O15" i="19"/>
  <c r="R59" i="19"/>
  <c r="U191" i="19"/>
  <c r="O103" i="19"/>
  <c r="L15" i="19"/>
  <c r="O147" i="19"/>
  <c r="L59" i="19"/>
  <c r="L191" i="19"/>
  <c r="L103" i="19"/>
  <c r="L147" i="19"/>
  <c r="O191" i="19"/>
  <c r="W154" i="19"/>
  <c r="W66" i="19"/>
  <c r="W198" i="19"/>
  <c r="T198" i="19"/>
  <c r="T66" i="19"/>
  <c r="W22" i="19"/>
  <c r="T110" i="19"/>
  <c r="T22" i="19"/>
  <c r="T154" i="19"/>
  <c r="Q110" i="19"/>
  <c r="Q154" i="19"/>
  <c r="W110" i="19"/>
  <c r="N154" i="19"/>
  <c r="K198" i="19"/>
  <c r="Q22" i="19"/>
  <c r="N22" i="19"/>
  <c r="Q66" i="19"/>
  <c r="N66" i="19"/>
  <c r="Q198" i="19"/>
  <c r="K110" i="19"/>
  <c r="N110" i="19"/>
  <c r="K154" i="19"/>
  <c r="K66" i="19"/>
  <c r="K22" i="19"/>
  <c r="N198" i="19"/>
  <c r="X120" i="19"/>
  <c r="X164" i="19"/>
  <c r="U208" i="19"/>
  <c r="X208" i="19"/>
  <c r="X32" i="19"/>
  <c r="U76" i="19"/>
  <c r="U120" i="19"/>
  <c r="U164" i="19"/>
  <c r="U32" i="19"/>
  <c r="R120" i="19"/>
  <c r="R32" i="19"/>
  <c r="R208" i="19"/>
  <c r="R76" i="19"/>
  <c r="O120" i="19"/>
  <c r="L164" i="19"/>
  <c r="O32" i="19"/>
  <c r="O208" i="19"/>
  <c r="X76" i="19"/>
  <c r="O164" i="19"/>
  <c r="L208" i="19"/>
  <c r="L120" i="19"/>
  <c r="O76" i="19"/>
  <c r="L32" i="19"/>
  <c r="L76" i="19"/>
  <c r="R164" i="19"/>
  <c r="X130" i="19"/>
  <c r="X174" i="19"/>
  <c r="U218" i="19"/>
  <c r="X218" i="19"/>
  <c r="X42" i="19"/>
  <c r="U86" i="19"/>
  <c r="X86" i="19"/>
  <c r="U130" i="19"/>
  <c r="U174" i="19"/>
  <c r="U42" i="19"/>
  <c r="R130" i="19"/>
  <c r="R218" i="19"/>
  <c r="R42" i="19"/>
  <c r="R174" i="19"/>
  <c r="R86" i="19"/>
  <c r="O130" i="19"/>
  <c r="L174" i="19"/>
  <c r="O174" i="19"/>
  <c r="O218" i="19"/>
  <c r="O86" i="19"/>
  <c r="L218" i="19"/>
  <c r="L130" i="19"/>
  <c r="L42" i="19"/>
  <c r="L86" i="19"/>
  <c r="O42" i="19"/>
  <c r="W88" i="19"/>
  <c r="W176" i="19"/>
  <c r="T220" i="19"/>
  <c r="W44" i="19"/>
  <c r="W132" i="19"/>
  <c r="T176" i="19"/>
  <c r="W220" i="19"/>
  <c r="Q176" i="19"/>
  <c r="Q220" i="19"/>
  <c r="T88" i="19"/>
  <c r="Q44" i="19"/>
  <c r="N88" i="19"/>
  <c r="T44" i="19"/>
  <c r="N44" i="19"/>
  <c r="T132" i="19"/>
  <c r="K132" i="19"/>
  <c r="N220" i="19"/>
  <c r="N176" i="19"/>
  <c r="K220" i="19"/>
  <c r="K88" i="19"/>
  <c r="N132" i="19"/>
  <c r="Q88" i="19"/>
  <c r="K176" i="19"/>
  <c r="K44" i="19"/>
  <c r="Q132" i="19"/>
  <c r="V194" i="19"/>
  <c r="V62" i="19"/>
  <c r="V106" i="19"/>
  <c r="S106" i="19"/>
  <c r="S194" i="19"/>
  <c r="S150" i="19"/>
  <c r="V18" i="19"/>
  <c r="V150" i="19"/>
  <c r="P150" i="19"/>
  <c r="P194" i="19"/>
  <c r="S18" i="19"/>
  <c r="M194" i="19"/>
  <c r="M18" i="19"/>
  <c r="P106" i="19"/>
  <c r="M106" i="19"/>
  <c r="P18" i="19"/>
  <c r="M62" i="19"/>
  <c r="S62" i="19"/>
  <c r="J194" i="19"/>
  <c r="J150" i="19"/>
  <c r="J18" i="19"/>
  <c r="P62" i="19"/>
  <c r="M150" i="19"/>
  <c r="J62" i="19"/>
  <c r="J106" i="19"/>
  <c r="W120" i="19"/>
  <c r="W208" i="19"/>
  <c r="W32" i="19"/>
  <c r="W164" i="19"/>
  <c r="T76" i="19"/>
  <c r="W76" i="19"/>
  <c r="Q208" i="19"/>
  <c r="T164" i="19"/>
  <c r="T120" i="19"/>
  <c r="T32" i="19"/>
  <c r="T208" i="19"/>
  <c r="Q76" i="19"/>
  <c r="N120" i="19"/>
  <c r="K164" i="19"/>
  <c r="N32" i="19"/>
  <c r="N208" i="19"/>
  <c r="Q164" i="19"/>
  <c r="Q32" i="19"/>
  <c r="K76" i="19"/>
  <c r="Q120" i="19"/>
  <c r="K120" i="19"/>
  <c r="K208" i="19"/>
  <c r="N164" i="19"/>
  <c r="N76" i="19"/>
  <c r="K32" i="19"/>
  <c r="W101" i="19"/>
  <c r="W145" i="19"/>
  <c r="T189" i="19"/>
  <c r="T145" i="19"/>
  <c r="W13" i="19"/>
  <c r="W189" i="19"/>
  <c r="W57" i="19"/>
  <c r="T57" i="19"/>
  <c r="Q189" i="19"/>
  <c r="T13" i="19"/>
  <c r="T101" i="19"/>
  <c r="Q145" i="19"/>
  <c r="Q13" i="19"/>
  <c r="N57" i="19"/>
  <c r="N189" i="19"/>
  <c r="N145" i="19"/>
  <c r="N101" i="19"/>
  <c r="Q101" i="19"/>
  <c r="Q57" i="19"/>
  <c r="K189" i="19"/>
  <c r="K57" i="19"/>
  <c r="K145" i="19"/>
  <c r="N13" i="19"/>
  <c r="K101" i="19"/>
  <c r="K13" i="19"/>
  <c r="X88" i="19"/>
  <c r="X132" i="19"/>
  <c r="X176" i="19"/>
  <c r="U220" i="19"/>
  <c r="U176" i="19"/>
  <c r="U44" i="19"/>
  <c r="X220" i="19"/>
  <c r="U88" i="19"/>
  <c r="X44" i="19"/>
  <c r="R220" i="19"/>
  <c r="U132" i="19"/>
  <c r="O220" i="19"/>
  <c r="R44" i="19"/>
  <c r="O88" i="19"/>
  <c r="L132" i="19"/>
  <c r="R132" i="19"/>
  <c r="O44" i="19"/>
  <c r="R176" i="19"/>
  <c r="R88" i="19"/>
  <c r="O176" i="19"/>
  <c r="O132" i="19"/>
  <c r="L220" i="19"/>
  <c r="L88" i="19"/>
  <c r="L176" i="19"/>
  <c r="L44" i="19"/>
  <c r="W109" i="19"/>
  <c r="W153" i="19"/>
  <c r="T197" i="19"/>
  <c r="T153" i="19"/>
  <c r="W65" i="19"/>
  <c r="W197" i="19"/>
  <c r="W21" i="19"/>
  <c r="Q197" i="19"/>
  <c r="T21" i="19"/>
  <c r="T109" i="19"/>
  <c r="Q21" i="19"/>
  <c r="N65" i="19"/>
  <c r="T65" i="19"/>
  <c r="Q109" i="19"/>
  <c r="N197" i="19"/>
  <c r="N153" i="19"/>
  <c r="N109" i="19"/>
  <c r="K197" i="19"/>
  <c r="Q153" i="19"/>
  <c r="Q65" i="19"/>
  <c r="K65" i="19"/>
  <c r="K153" i="19"/>
  <c r="K21" i="19"/>
  <c r="K109" i="19"/>
  <c r="N21" i="19"/>
  <c r="X101" i="19"/>
  <c r="X189" i="19"/>
  <c r="X13" i="19"/>
  <c r="X145" i="19"/>
  <c r="X57" i="19"/>
  <c r="U189" i="19"/>
  <c r="U57" i="19"/>
  <c r="R189" i="19"/>
  <c r="U13" i="19"/>
  <c r="U101" i="19"/>
  <c r="U145" i="19"/>
  <c r="R145" i="19"/>
  <c r="R57" i="19"/>
  <c r="O101" i="19"/>
  <c r="L145" i="19"/>
  <c r="O145" i="19"/>
  <c r="R13" i="19"/>
  <c r="R101" i="19"/>
  <c r="L189" i="19"/>
  <c r="L57" i="19"/>
  <c r="O57" i="19"/>
  <c r="L101" i="19"/>
  <c r="O189" i="19"/>
  <c r="L13" i="19"/>
  <c r="O13" i="19"/>
  <c r="X112" i="19"/>
  <c r="X156" i="19"/>
  <c r="U200" i="19"/>
  <c r="X200" i="19"/>
  <c r="X24" i="19"/>
  <c r="U68" i="19"/>
  <c r="X68" i="19"/>
  <c r="U112" i="19"/>
  <c r="U156" i="19"/>
  <c r="U24" i="19"/>
  <c r="R112" i="19"/>
  <c r="R24" i="19"/>
  <c r="R200" i="19"/>
  <c r="R68" i="19"/>
  <c r="O112" i="19"/>
  <c r="L156" i="19"/>
  <c r="O68" i="19"/>
  <c r="R156" i="19"/>
  <c r="L200" i="19"/>
  <c r="O24" i="19"/>
  <c r="O156" i="19"/>
  <c r="L112" i="19"/>
  <c r="O200" i="19"/>
  <c r="L68" i="19"/>
  <c r="L24" i="19"/>
  <c r="X170" i="19"/>
  <c r="X214" i="19"/>
  <c r="X38" i="19"/>
  <c r="X82" i="19"/>
  <c r="U82" i="19"/>
  <c r="U126" i="19"/>
  <c r="U214" i="19"/>
  <c r="U170" i="19"/>
  <c r="R126" i="19"/>
  <c r="R170" i="19"/>
  <c r="X126" i="19"/>
  <c r="R82" i="19"/>
  <c r="R214" i="19"/>
  <c r="U38" i="19"/>
  <c r="O170" i="19"/>
  <c r="L214" i="19"/>
  <c r="O82" i="19"/>
  <c r="O38" i="19"/>
  <c r="L170" i="19"/>
  <c r="O214" i="19"/>
  <c r="O126" i="19"/>
  <c r="L126" i="19"/>
  <c r="L38" i="19"/>
  <c r="R38" i="19"/>
  <c r="L82" i="19"/>
  <c r="W146" i="19"/>
  <c r="W58" i="19"/>
  <c r="W14" i="19"/>
  <c r="T58" i="19"/>
  <c r="W102" i="19"/>
  <c r="W190" i="19"/>
  <c r="T190" i="19"/>
  <c r="T102" i="19"/>
  <c r="T14" i="19"/>
  <c r="T146" i="19"/>
  <c r="Q190" i="19"/>
  <c r="N146" i="19"/>
  <c r="K190" i="19"/>
  <c r="Q14" i="19"/>
  <c r="N102" i="19"/>
  <c r="N58" i="19"/>
  <c r="Q102" i="19"/>
  <c r="Q58" i="19"/>
  <c r="N190" i="19"/>
  <c r="K102" i="19"/>
  <c r="Q146" i="19"/>
  <c r="K146" i="19"/>
  <c r="N14" i="19"/>
  <c r="K58" i="19"/>
  <c r="K14" i="19"/>
  <c r="W81" i="19"/>
  <c r="W125" i="19"/>
  <c r="W169" i="19"/>
  <c r="T213" i="19"/>
  <c r="W37" i="19"/>
  <c r="T169" i="19"/>
  <c r="W213" i="19"/>
  <c r="T81" i="19"/>
  <c r="Q213" i="19"/>
  <c r="T125" i="19"/>
  <c r="T37" i="19"/>
  <c r="Q169" i="19"/>
  <c r="Q37" i="19"/>
  <c r="N81" i="19"/>
  <c r="N169" i="19"/>
  <c r="N125" i="19"/>
  <c r="Q125" i="19"/>
  <c r="K213" i="19"/>
  <c r="Q81" i="19"/>
  <c r="N37" i="19"/>
  <c r="K37" i="19"/>
  <c r="K81" i="19"/>
  <c r="K169" i="19"/>
  <c r="K125" i="19"/>
  <c r="N213" i="19"/>
  <c r="W130" i="19"/>
  <c r="W218" i="19"/>
  <c r="W42" i="19"/>
  <c r="T218" i="19"/>
  <c r="T42" i="19"/>
  <c r="T86" i="19"/>
  <c r="W86" i="19"/>
  <c r="Q218" i="19"/>
  <c r="T174" i="19"/>
  <c r="W174" i="19"/>
  <c r="Q174" i="19"/>
  <c r="Q86" i="19"/>
  <c r="N130" i="19"/>
  <c r="K174" i="19"/>
  <c r="N218" i="19"/>
  <c r="Q130" i="19"/>
  <c r="N174" i="19"/>
  <c r="Q42" i="19"/>
  <c r="T130" i="19"/>
  <c r="N86" i="19"/>
  <c r="K86" i="19"/>
  <c r="N42" i="19"/>
  <c r="K42" i="19"/>
  <c r="K130" i="19"/>
  <c r="K218" i="19"/>
  <c r="X222" i="19"/>
  <c r="X90" i="19"/>
  <c r="X134" i="19"/>
  <c r="X178" i="19"/>
  <c r="U134" i="19"/>
  <c r="U222" i="19"/>
  <c r="U178" i="19"/>
  <c r="U90" i="19"/>
  <c r="U46" i="19"/>
  <c r="R178" i="19"/>
  <c r="R222" i="19"/>
  <c r="R134" i="19"/>
  <c r="X46" i="19"/>
  <c r="O222" i="19"/>
  <c r="O46" i="19"/>
  <c r="O178" i="19"/>
  <c r="R90" i="19"/>
  <c r="O134" i="19"/>
  <c r="O90" i="19"/>
  <c r="R46" i="19"/>
  <c r="L178" i="19"/>
  <c r="L134" i="19"/>
  <c r="L222" i="19"/>
  <c r="L90" i="19"/>
  <c r="L46" i="19"/>
  <c r="X177" i="19"/>
  <c r="U221" i="19"/>
  <c r="X89" i="19"/>
  <c r="X133" i="19"/>
  <c r="U89" i="19"/>
  <c r="X221" i="19"/>
  <c r="U133" i="19"/>
  <c r="R133" i="19"/>
  <c r="U177" i="19"/>
  <c r="U45" i="19"/>
  <c r="X45" i="19"/>
  <c r="R221" i="19"/>
  <c r="O177" i="19"/>
  <c r="L221" i="19"/>
  <c r="R177" i="19"/>
  <c r="O221" i="19"/>
  <c r="R89" i="19"/>
  <c r="O45" i="19"/>
  <c r="O89" i="19"/>
  <c r="O133" i="19"/>
  <c r="L177" i="19"/>
  <c r="L45" i="19"/>
  <c r="L133" i="19"/>
  <c r="R45" i="19"/>
  <c r="L89" i="19"/>
  <c r="W191" i="19"/>
  <c r="W59" i="19"/>
  <c r="W103" i="19"/>
  <c r="W147" i="19"/>
  <c r="T191" i="19"/>
  <c r="T103" i="19"/>
  <c r="T147" i="19"/>
  <c r="Q147" i="19"/>
  <c r="Q191" i="19"/>
  <c r="W15" i="19"/>
  <c r="T59" i="19"/>
  <c r="N191" i="19"/>
  <c r="N15" i="19"/>
  <c r="T15" i="19"/>
  <c r="Q103" i="19"/>
  <c r="N147" i="19"/>
  <c r="N103" i="19"/>
  <c r="N59" i="19"/>
  <c r="K15" i="19"/>
  <c r="Q15" i="19"/>
  <c r="Q59" i="19"/>
  <c r="K59" i="19"/>
  <c r="K147" i="19"/>
  <c r="K103" i="19"/>
  <c r="K191" i="19"/>
  <c r="W112" i="19"/>
  <c r="W200" i="19"/>
  <c r="W24" i="19"/>
  <c r="T112" i="19"/>
  <c r="T68" i="19"/>
  <c r="Q200" i="19"/>
  <c r="W68" i="19"/>
  <c r="T156" i="19"/>
  <c r="T24" i="19"/>
  <c r="W156" i="19"/>
  <c r="Q156" i="19"/>
  <c r="Q68" i="19"/>
  <c r="N112" i="19"/>
  <c r="K156" i="19"/>
  <c r="N156" i="19"/>
  <c r="T200" i="19"/>
  <c r="Q112" i="19"/>
  <c r="K200" i="19"/>
  <c r="N24" i="19"/>
  <c r="N200" i="19"/>
  <c r="N68" i="19"/>
  <c r="K68" i="19"/>
  <c r="K112" i="19"/>
  <c r="Q24" i="19"/>
  <c r="K24" i="19"/>
  <c r="X154" i="19"/>
  <c r="X198" i="19"/>
  <c r="X22" i="19"/>
  <c r="X66" i="19"/>
  <c r="U198" i="19"/>
  <c r="U110" i="19"/>
  <c r="U154" i="19"/>
  <c r="R154" i="19"/>
  <c r="X110" i="19"/>
  <c r="R66" i="19"/>
  <c r="U66" i="19"/>
  <c r="U22" i="19"/>
  <c r="O154" i="19"/>
  <c r="L198" i="19"/>
  <c r="R198" i="19"/>
  <c r="R22" i="19"/>
  <c r="O22" i="19"/>
  <c r="O198" i="19"/>
  <c r="O66" i="19"/>
  <c r="O110" i="19"/>
  <c r="L154" i="19"/>
  <c r="L66" i="19"/>
  <c r="R110" i="19"/>
  <c r="L110" i="19"/>
  <c r="L22" i="19"/>
  <c r="W172" i="19"/>
  <c r="W84" i="19"/>
  <c r="T216" i="19"/>
  <c r="T128" i="19"/>
  <c r="T40" i="19"/>
  <c r="Q172" i="19"/>
  <c r="Q84" i="19"/>
  <c r="N216" i="19"/>
  <c r="N128" i="19"/>
  <c r="N40" i="19"/>
  <c r="K172" i="19"/>
  <c r="K84" i="19"/>
  <c r="K40" i="19"/>
  <c r="W216" i="19"/>
  <c r="W128" i="19"/>
  <c r="W40" i="19"/>
  <c r="T172" i="19"/>
  <c r="T84" i="19"/>
  <c r="Q216" i="19"/>
  <c r="Q128" i="19"/>
  <c r="Q40" i="19"/>
  <c r="N172" i="19"/>
  <c r="N84" i="19"/>
  <c r="K216" i="19"/>
  <c r="K128" i="19"/>
  <c r="L40" i="19"/>
  <c r="X216" i="19"/>
  <c r="X128" i="19"/>
  <c r="X40" i="19"/>
  <c r="U172" i="19"/>
  <c r="U84" i="19"/>
  <c r="R216" i="19"/>
  <c r="R128" i="19"/>
  <c r="R40" i="19"/>
  <c r="O172" i="19"/>
  <c r="O84" i="19"/>
  <c r="L216" i="19"/>
  <c r="L128" i="19"/>
  <c r="L84" i="19"/>
  <c r="X172" i="19"/>
  <c r="X84" i="19"/>
  <c r="U216" i="19"/>
  <c r="U128" i="19"/>
  <c r="U40" i="19"/>
  <c r="R172" i="19"/>
  <c r="R84" i="19"/>
  <c r="O216" i="19"/>
  <c r="O128" i="19"/>
  <c r="O40" i="19"/>
  <c r="L172" i="19"/>
  <c r="AC68" i="1"/>
  <c r="AB68" i="1"/>
  <c r="AC34" i="1"/>
  <c r="AB103" i="1"/>
  <c r="AC31" i="1"/>
  <c r="AC94" i="1"/>
  <c r="AB94" i="1"/>
  <c r="AC97" i="1"/>
  <c r="AF32" i="1"/>
  <c r="AF102" i="1"/>
  <c r="AF122" i="1"/>
  <c r="AF29" i="1"/>
  <c r="AF56" i="1"/>
  <c r="AF86" i="1"/>
  <c r="AF104" i="1"/>
  <c r="AF110" i="1"/>
  <c r="AF116" i="1"/>
  <c r="AF129" i="1"/>
  <c r="AF36" i="1"/>
  <c r="AF33" i="1"/>
  <c r="AF101" i="1"/>
  <c r="AF105" i="1"/>
  <c r="AF111" i="1"/>
  <c r="AF126" i="1"/>
  <c r="AF117" i="1"/>
  <c r="AF43" i="1"/>
  <c r="AF57" i="1"/>
  <c r="AF62" i="1"/>
  <c r="AF30" i="1"/>
  <c r="AF35" i="1"/>
  <c r="AF53" i="1"/>
  <c r="AF63" i="1"/>
  <c r="AF87" i="1"/>
  <c r="AF123" i="1"/>
  <c r="AF125" i="1"/>
  <c r="AF128" i="1"/>
  <c r="AF54" i="1"/>
  <c r="AA58" i="1"/>
  <c r="AA59" i="1" s="1"/>
  <c r="AA73" i="1"/>
  <c r="AA76" i="1"/>
  <c r="AA88" i="1"/>
  <c r="AA89" i="1" s="1"/>
  <c r="AA98" i="1"/>
  <c r="AA112" i="1"/>
  <c r="AA113" i="1" s="1"/>
  <c r="AF68" i="1" l="1"/>
  <c r="W70" i="19"/>
  <c r="W158" i="19"/>
  <c r="T202" i="19"/>
  <c r="T158" i="19"/>
  <c r="W114" i="19"/>
  <c r="Q158" i="19"/>
  <c r="W26" i="19"/>
  <c r="Q202" i="19"/>
  <c r="T26" i="19"/>
  <c r="Q114" i="19"/>
  <c r="Q26" i="19"/>
  <c r="N70" i="19"/>
  <c r="T114" i="19"/>
  <c r="N26" i="19"/>
  <c r="N202" i="19"/>
  <c r="N158" i="19"/>
  <c r="N114" i="19"/>
  <c r="K202" i="19"/>
  <c r="K26" i="19"/>
  <c r="K70" i="19"/>
  <c r="K114" i="19"/>
  <c r="K158" i="19"/>
  <c r="W202" i="19"/>
  <c r="Q70" i="19"/>
  <c r="T70" i="19"/>
  <c r="AA114" i="1"/>
  <c r="AC113" i="1"/>
  <c r="AB113" i="1"/>
  <c r="AA60" i="1"/>
  <c r="AC59" i="1"/>
  <c r="AB59" i="1"/>
  <c r="AA99" i="1"/>
  <c r="AB98" i="1"/>
  <c r="AC98" i="1"/>
  <c r="AA90" i="1"/>
  <c r="AB89" i="1"/>
  <c r="AC89" i="1"/>
  <c r="AA69" i="1"/>
  <c r="AC91" i="1"/>
  <c r="AB91" i="1"/>
  <c r="AC76" i="1"/>
  <c r="AB76" i="1"/>
  <c r="AC100" i="1"/>
  <c r="AB100" i="1"/>
  <c r="AC58" i="1"/>
  <c r="AB58" i="1"/>
  <c r="AC112" i="1"/>
  <c r="AB112" i="1"/>
  <c r="AC88" i="1"/>
  <c r="AB88" i="1"/>
  <c r="AC73" i="1"/>
  <c r="AB73" i="1"/>
  <c r="AA118" i="1"/>
  <c r="AA64" i="1"/>
  <c r="AA65" i="1" s="1"/>
  <c r="AA19" i="1"/>
  <c r="AA20" i="1" s="1"/>
  <c r="W165" i="19" l="1"/>
  <c r="W209" i="19"/>
  <c r="W33" i="19"/>
  <c r="W77" i="19"/>
  <c r="T77" i="19"/>
  <c r="T121" i="19"/>
  <c r="T165" i="19"/>
  <c r="W121" i="19"/>
  <c r="T209" i="19"/>
  <c r="Q165" i="19"/>
  <c r="Q121" i="19"/>
  <c r="Q77" i="19"/>
  <c r="T33" i="19"/>
  <c r="N165" i="19"/>
  <c r="K209" i="19"/>
  <c r="Q209" i="19"/>
  <c r="Q33" i="19"/>
  <c r="N33" i="19"/>
  <c r="N77" i="19"/>
  <c r="N209" i="19"/>
  <c r="N121" i="19"/>
  <c r="K165" i="19"/>
  <c r="K121" i="19"/>
  <c r="K77" i="19"/>
  <c r="K33" i="19"/>
  <c r="W212" i="19"/>
  <c r="W36" i="19"/>
  <c r="W124" i="19"/>
  <c r="W80" i="19"/>
  <c r="T124" i="19"/>
  <c r="W168" i="19"/>
  <c r="T168" i="19"/>
  <c r="Q168" i="19"/>
  <c r="T80" i="19"/>
  <c r="Q212" i="19"/>
  <c r="Q124" i="19"/>
  <c r="T212" i="19"/>
  <c r="N212" i="19"/>
  <c r="N36" i="19"/>
  <c r="Q80" i="19"/>
  <c r="Q36" i="19"/>
  <c r="K212" i="19"/>
  <c r="N124" i="19"/>
  <c r="K36" i="19"/>
  <c r="T36" i="19"/>
  <c r="N168" i="19"/>
  <c r="K80" i="19"/>
  <c r="K168" i="19"/>
  <c r="K124" i="19"/>
  <c r="N80" i="19"/>
  <c r="W199" i="19"/>
  <c r="W67" i="19"/>
  <c r="W111" i="19"/>
  <c r="T111" i="19"/>
  <c r="W23" i="19"/>
  <c r="T155" i="19"/>
  <c r="Q155" i="19"/>
  <c r="T67" i="19"/>
  <c r="Q199" i="19"/>
  <c r="W155" i="19"/>
  <c r="T23" i="19"/>
  <c r="N199" i="19"/>
  <c r="N23" i="19"/>
  <c r="Q23" i="19"/>
  <c r="Q111" i="19"/>
  <c r="N155" i="19"/>
  <c r="N111" i="19"/>
  <c r="K199" i="19"/>
  <c r="K155" i="19"/>
  <c r="T199" i="19"/>
  <c r="Q67" i="19"/>
  <c r="N67" i="19"/>
  <c r="K23" i="19"/>
  <c r="K111" i="19"/>
  <c r="K67" i="19"/>
  <c r="W217" i="19"/>
  <c r="W173" i="19"/>
  <c r="W129" i="19"/>
  <c r="W85" i="19"/>
  <c r="W41" i="19"/>
  <c r="T217" i="19"/>
  <c r="T173" i="19"/>
  <c r="T129" i="19"/>
  <c r="T85" i="19"/>
  <c r="T41" i="19"/>
  <c r="Q217" i="19"/>
  <c r="Q173" i="19"/>
  <c r="Q129" i="19"/>
  <c r="Q85" i="19"/>
  <c r="Q41" i="19"/>
  <c r="N217" i="19"/>
  <c r="N173" i="19"/>
  <c r="N129" i="19"/>
  <c r="N85" i="19"/>
  <c r="N41" i="19"/>
  <c r="K217" i="19"/>
  <c r="K173" i="19"/>
  <c r="K129" i="19"/>
  <c r="K85" i="19"/>
  <c r="K41" i="19"/>
  <c r="AF98" i="1"/>
  <c r="AF89" i="1"/>
  <c r="AC99" i="1"/>
  <c r="AB99" i="1"/>
  <c r="AF59" i="1"/>
  <c r="AB114" i="1"/>
  <c r="AC114" i="1"/>
  <c r="AA21" i="1"/>
  <c r="AB20" i="1"/>
  <c r="AC20" i="1"/>
  <c r="AB90" i="1"/>
  <c r="AC90" i="1"/>
  <c r="AA66" i="1"/>
  <c r="AB65" i="1"/>
  <c r="AC65" i="1"/>
  <c r="AC69" i="1"/>
  <c r="AB69" i="1"/>
  <c r="AB60" i="1"/>
  <c r="AC60" i="1"/>
  <c r="AF113" i="1"/>
  <c r="AC19" i="1"/>
  <c r="AB19" i="1"/>
  <c r="AC64" i="1"/>
  <c r="AB64" i="1"/>
  <c r="AC118" i="1"/>
  <c r="AB118" i="1"/>
  <c r="L7" i="1"/>
  <c r="AA23" i="1"/>
  <c r="B221" i="13" a="1"/>
  <c r="X212" i="19" l="1"/>
  <c r="X80" i="19"/>
  <c r="X124" i="19"/>
  <c r="U124" i="19"/>
  <c r="X168" i="19"/>
  <c r="X36" i="19"/>
  <c r="U168" i="19"/>
  <c r="R168" i="19"/>
  <c r="U80" i="19"/>
  <c r="R212" i="19"/>
  <c r="U212" i="19"/>
  <c r="O212" i="19"/>
  <c r="O36" i="19"/>
  <c r="U36" i="19"/>
  <c r="R80" i="19"/>
  <c r="R36" i="19"/>
  <c r="O168" i="19"/>
  <c r="R124" i="19"/>
  <c r="L168" i="19"/>
  <c r="L124" i="19"/>
  <c r="O124" i="19"/>
  <c r="O80" i="19"/>
  <c r="L212" i="19"/>
  <c r="L80" i="19"/>
  <c r="L36" i="19"/>
  <c r="X67" i="19"/>
  <c r="X155" i="19"/>
  <c r="U199" i="19"/>
  <c r="X199" i="19"/>
  <c r="X23" i="19"/>
  <c r="U155" i="19"/>
  <c r="R155" i="19"/>
  <c r="U111" i="19"/>
  <c r="U67" i="19"/>
  <c r="R199" i="19"/>
  <c r="X111" i="19"/>
  <c r="U23" i="19"/>
  <c r="R23" i="19"/>
  <c r="O67" i="19"/>
  <c r="O23" i="19"/>
  <c r="O199" i="19"/>
  <c r="O155" i="19"/>
  <c r="O111" i="19"/>
  <c r="R67" i="19"/>
  <c r="R111" i="19"/>
  <c r="L155" i="19"/>
  <c r="L23" i="19"/>
  <c r="L67" i="19"/>
  <c r="L111" i="19"/>
  <c r="L199" i="19"/>
  <c r="W54" i="19"/>
  <c r="W142" i="19"/>
  <c r="W186" i="19"/>
  <c r="T142" i="19"/>
  <c r="T186" i="19"/>
  <c r="T54" i="19"/>
  <c r="Q142" i="19"/>
  <c r="T98" i="19"/>
  <c r="Q186" i="19"/>
  <c r="W98" i="19"/>
  <c r="T10" i="19"/>
  <c r="Q10" i="19"/>
  <c r="N54" i="19"/>
  <c r="N142" i="19"/>
  <c r="N98" i="19"/>
  <c r="Q98" i="19"/>
  <c r="W10" i="19"/>
  <c r="N186" i="19"/>
  <c r="K186" i="19"/>
  <c r="Q54" i="19"/>
  <c r="N10" i="19"/>
  <c r="K10" i="19"/>
  <c r="K54" i="19"/>
  <c r="K98" i="19"/>
  <c r="K142" i="19"/>
  <c r="X209" i="19"/>
  <c r="X33" i="19"/>
  <c r="X121" i="19"/>
  <c r="U121" i="19"/>
  <c r="U165" i="19"/>
  <c r="X77" i="19"/>
  <c r="U209" i="19"/>
  <c r="U77" i="19"/>
  <c r="R165" i="19"/>
  <c r="X165" i="19"/>
  <c r="R209" i="19"/>
  <c r="U33" i="19"/>
  <c r="O209" i="19"/>
  <c r="O33" i="19"/>
  <c r="R33" i="19"/>
  <c r="O165" i="19"/>
  <c r="R77" i="19"/>
  <c r="O121" i="19"/>
  <c r="L165" i="19"/>
  <c r="R121" i="19"/>
  <c r="O77" i="19"/>
  <c r="L33" i="19"/>
  <c r="L77" i="19"/>
  <c r="L121" i="19"/>
  <c r="L209" i="19"/>
  <c r="X70" i="19"/>
  <c r="X114" i="19"/>
  <c r="X158" i="19"/>
  <c r="U202" i="19"/>
  <c r="U158" i="19"/>
  <c r="X202" i="19"/>
  <c r="X26" i="19"/>
  <c r="R202" i="19"/>
  <c r="U26" i="19"/>
  <c r="U70" i="19"/>
  <c r="R26" i="19"/>
  <c r="O70" i="19"/>
  <c r="U114" i="19"/>
  <c r="R158" i="19"/>
  <c r="R114" i="19"/>
  <c r="O26" i="19"/>
  <c r="O202" i="19"/>
  <c r="R70" i="19"/>
  <c r="L202" i="19"/>
  <c r="L158" i="19"/>
  <c r="O158" i="19"/>
  <c r="L70" i="19"/>
  <c r="L26" i="19"/>
  <c r="O114" i="19"/>
  <c r="L114" i="19"/>
  <c r="W157" i="19"/>
  <c r="W201" i="19"/>
  <c r="W25" i="19"/>
  <c r="W69" i="19"/>
  <c r="T69" i="19"/>
  <c r="T113" i="19"/>
  <c r="W113" i="19"/>
  <c r="T201" i="19"/>
  <c r="T157" i="19"/>
  <c r="Q157" i="19"/>
  <c r="Q69" i="19"/>
  <c r="N157" i="19"/>
  <c r="K201" i="19"/>
  <c r="Q113" i="19"/>
  <c r="N69" i="19"/>
  <c r="N201" i="19"/>
  <c r="Q201" i="19"/>
  <c r="N25" i="19"/>
  <c r="K113" i="19"/>
  <c r="Q25" i="19"/>
  <c r="N113" i="19"/>
  <c r="K25" i="19"/>
  <c r="K157" i="19"/>
  <c r="T25" i="19"/>
  <c r="K69" i="19"/>
  <c r="X217" i="19"/>
  <c r="X173" i="19"/>
  <c r="X129" i="19"/>
  <c r="X85" i="19"/>
  <c r="X41" i="19"/>
  <c r="U217" i="19"/>
  <c r="U173" i="19"/>
  <c r="U129" i="19"/>
  <c r="U85" i="19"/>
  <c r="U41" i="19"/>
  <c r="R217" i="19"/>
  <c r="R173" i="19"/>
  <c r="R129" i="19"/>
  <c r="R85" i="19"/>
  <c r="R41" i="19"/>
  <c r="O217" i="19"/>
  <c r="O173" i="19"/>
  <c r="O129" i="19"/>
  <c r="O85" i="19"/>
  <c r="O41" i="19"/>
  <c r="L217" i="19"/>
  <c r="L173" i="19"/>
  <c r="L129" i="19"/>
  <c r="L85" i="19"/>
  <c r="L41" i="19"/>
  <c r="AA7" i="1"/>
  <c r="AA8" i="1" s="1"/>
  <c r="AF69" i="1"/>
  <c r="AB66" i="1"/>
  <c r="AC66" i="1"/>
  <c r="AF90" i="1"/>
  <c r="AF20" i="1"/>
  <c r="AF99" i="1"/>
  <c r="AF60" i="1"/>
  <c r="AB21" i="1"/>
  <c r="AC21" i="1"/>
  <c r="AA24" i="1"/>
  <c r="AC23" i="1"/>
  <c r="AB23" i="1"/>
  <c r="AF65" i="1"/>
  <c r="AF114" i="1"/>
  <c r="AC22" i="1"/>
  <c r="AB22" i="1"/>
  <c r="B221" i="13"/>
  <c r="X201" i="19" l="1"/>
  <c r="X25" i="19"/>
  <c r="X113" i="19"/>
  <c r="U113" i="19"/>
  <c r="X69" i="19"/>
  <c r="U201" i="19"/>
  <c r="U157" i="19"/>
  <c r="X157" i="19"/>
  <c r="R157" i="19"/>
  <c r="U69" i="19"/>
  <c r="R113" i="19"/>
  <c r="O201" i="19"/>
  <c r="O25" i="19"/>
  <c r="R69" i="19"/>
  <c r="R25" i="19"/>
  <c r="U25" i="19"/>
  <c r="R201" i="19"/>
  <c r="O157" i="19"/>
  <c r="O113" i="19"/>
  <c r="L201" i="19"/>
  <c r="L25" i="19"/>
  <c r="L69" i="19"/>
  <c r="L157" i="19"/>
  <c r="O69" i="19"/>
  <c r="L113" i="19"/>
  <c r="W99" i="19"/>
  <c r="W143" i="19"/>
  <c r="T187" i="19"/>
  <c r="W187" i="19"/>
  <c r="W11" i="19"/>
  <c r="T55" i="19"/>
  <c r="T99" i="19"/>
  <c r="T143" i="19"/>
  <c r="T11" i="19"/>
  <c r="W55" i="19"/>
  <c r="Q11" i="19"/>
  <c r="Q55" i="19"/>
  <c r="N99" i="19"/>
  <c r="K143" i="19"/>
  <c r="Q143" i="19"/>
  <c r="Q99" i="19"/>
  <c r="N55" i="19"/>
  <c r="Q187" i="19"/>
  <c r="N11" i="19"/>
  <c r="N187" i="19"/>
  <c r="K187" i="19"/>
  <c r="K99" i="19"/>
  <c r="K11" i="19"/>
  <c r="N143" i="19"/>
  <c r="K55" i="19"/>
  <c r="X98" i="19"/>
  <c r="X142" i="19"/>
  <c r="U186" i="19"/>
  <c r="U142" i="19"/>
  <c r="X54" i="19"/>
  <c r="U98" i="19"/>
  <c r="R186" i="19"/>
  <c r="U10" i="19"/>
  <c r="X186" i="19"/>
  <c r="R10" i="19"/>
  <c r="O54" i="19"/>
  <c r="O98" i="19"/>
  <c r="R98" i="19"/>
  <c r="L186" i="19"/>
  <c r="L142" i="19"/>
  <c r="R142" i="19"/>
  <c r="L54" i="19"/>
  <c r="O186" i="19"/>
  <c r="X10" i="19"/>
  <c r="U54" i="19"/>
  <c r="R54" i="19"/>
  <c r="O10" i="19"/>
  <c r="L10" i="19"/>
  <c r="O142" i="19"/>
  <c r="L98" i="19"/>
  <c r="AB24" i="1"/>
  <c r="AC24" i="1"/>
  <c r="AF21" i="1"/>
  <c r="AF66" i="1"/>
  <c r="AF23" i="1"/>
  <c r="AC8" i="1"/>
  <c r="AB8" i="1"/>
  <c r="X143" i="19" l="1"/>
  <c r="X55" i="19"/>
  <c r="U187" i="19"/>
  <c r="U55" i="19"/>
  <c r="U99" i="19"/>
  <c r="X11" i="19"/>
  <c r="U11" i="19"/>
  <c r="X99" i="19"/>
  <c r="X187" i="19"/>
  <c r="U143" i="19"/>
  <c r="R143" i="19"/>
  <c r="R99" i="19"/>
  <c r="O143" i="19"/>
  <c r="L187" i="19"/>
  <c r="O55" i="19"/>
  <c r="R187" i="19"/>
  <c r="O11" i="19"/>
  <c r="R55" i="19"/>
  <c r="R11" i="19"/>
  <c r="O187" i="19"/>
  <c r="L99" i="19"/>
  <c r="O99" i="19"/>
  <c r="L143" i="19"/>
  <c r="L11" i="19"/>
  <c r="L55" i="19"/>
  <c r="AF24" i="1"/>
  <c r="AE18" i="1" l="1"/>
  <c r="AD18" i="1" s="1"/>
  <c r="AE17" i="1"/>
  <c r="AD17" i="1" s="1"/>
  <c r="AE12" i="1"/>
  <c r="AD12" i="1" s="1"/>
  <c r="AE11" i="1"/>
  <c r="AD11" i="1" s="1"/>
  <c r="W10" i="1"/>
  <c r="AA10" i="1" s="1"/>
  <c r="AA11" i="1" s="1"/>
  <c r="W16" i="1"/>
  <c r="AA16" i="1" s="1"/>
  <c r="AA17" i="1" s="1"/>
  <c r="AA18" i="1" l="1"/>
  <c r="AC17" i="1"/>
  <c r="AB17" i="1"/>
  <c r="AA12" i="1"/>
  <c r="AB11" i="1"/>
  <c r="AC11" i="1"/>
  <c r="AB7" i="1"/>
  <c r="W141" i="19" l="1"/>
  <c r="W185" i="19"/>
  <c r="W9" i="19"/>
  <c r="W53" i="19"/>
  <c r="T97" i="19"/>
  <c r="T141" i="19"/>
  <c r="T185" i="19"/>
  <c r="T53" i="19"/>
  <c r="Q141" i="19"/>
  <c r="Q53" i="19"/>
  <c r="Q185" i="19"/>
  <c r="Q97" i="19"/>
  <c r="N141" i="19"/>
  <c r="K185" i="19"/>
  <c r="T9" i="19"/>
  <c r="N185" i="19"/>
  <c r="Q9" i="19"/>
  <c r="N97" i="19"/>
  <c r="W97" i="19"/>
  <c r="K141" i="19"/>
  <c r="N53" i="19"/>
  <c r="K97" i="19"/>
  <c r="N9" i="19"/>
  <c r="K9" i="19"/>
  <c r="K53" i="19"/>
  <c r="W183" i="19"/>
  <c r="W51" i="19"/>
  <c r="W95" i="19"/>
  <c r="T95" i="19"/>
  <c r="W139" i="19"/>
  <c r="T139" i="19"/>
  <c r="W7" i="19"/>
  <c r="T183" i="19"/>
  <c r="Q139" i="19"/>
  <c r="Q183" i="19"/>
  <c r="T51" i="19"/>
  <c r="Q95" i="19"/>
  <c r="N183" i="19"/>
  <c r="N7" i="19"/>
  <c r="N95" i="19"/>
  <c r="N51" i="19"/>
  <c r="Q51" i="19"/>
  <c r="K183" i="19"/>
  <c r="T7" i="19"/>
  <c r="K139" i="19"/>
  <c r="Q7" i="19"/>
  <c r="N139" i="19"/>
  <c r="K51" i="19"/>
  <c r="K95" i="19"/>
  <c r="K7" i="19"/>
  <c r="AF17" i="1"/>
  <c r="AF11" i="1"/>
  <c r="AC18" i="1"/>
  <c r="AB18" i="1"/>
  <c r="AB12" i="1"/>
  <c r="AC12" i="1"/>
  <c r="AC7" i="1"/>
  <c r="X51" i="19" l="1"/>
  <c r="X139" i="19"/>
  <c r="X95" i="19"/>
  <c r="U139" i="19"/>
  <c r="X7" i="19"/>
  <c r="X183" i="19"/>
  <c r="U183" i="19"/>
  <c r="R139" i="19"/>
  <c r="R183" i="19"/>
  <c r="U95" i="19"/>
  <c r="U7" i="19"/>
  <c r="R7" i="19"/>
  <c r="O51" i="19"/>
  <c r="R95" i="19"/>
  <c r="R51" i="19"/>
  <c r="O7" i="19"/>
  <c r="O95" i="19"/>
  <c r="U51" i="19"/>
  <c r="L51" i="19"/>
  <c r="L139" i="19"/>
  <c r="L95" i="19"/>
  <c r="O139" i="19"/>
  <c r="O183" i="19"/>
  <c r="L183" i="19"/>
  <c r="X185" i="19"/>
  <c r="X9" i="19"/>
  <c r="X97" i="19"/>
  <c r="U97" i="19"/>
  <c r="X53" i="19"/>
  <c r="U141" i="19"/>
  <c r="U185" i="19"/>
  <c r="U53" i="19"/>
  <c r="R141" i="19"/>
  <c r="R185" i="19"/>
  <c r="U9" i="19"/>
  <c r="O185" i="19"/>
  <c r="O9" i="19"/>
  <c r="R9" i="19"/>
  <c r="O141" i="19"/>
  <c r="O97" i="19"/>
  <c r="X141" i="19"/>
  <c r="R97" i="19"/>
  <c r="O53" i="19"/>
  <c r="L141" i="19"/>
  <c r="R53" i="19"/>
  <c r="L9" i="19"/>
  <c r="L53" i="19"/>
  <c r="L97" i="19"/>
  <c r="L185" i="19"/>
  <c r="L7" i="19"/>
  <c r="AF18" i="1"/>
  <c r="AF12" i="1"/>
  <c r="AB10" i="1"/>
  <c r="AC10" i="1" l="1"/>
  <c r="AB16" i="1" s="1"/>
  <c r="AC16" i="1" l="1"/>
  <c r="U50" i="19" l="1"/>
  <c r="O50" i="19"/>
  <c r="L94" i="19"/>
  <c r="X94" i="19"/>
  <c r="R182" i="19"/>
  <c r="X138" i="19"/>
  <c r="R138" i="19"/>
  <c r="O6" i="19"/>
  <c r="X182" i="19"/>
  <c r="R50" i="19"/>
  <c r="O182" i="19"/>
  <c r="R94" i="19"/>
  <c r="X50" i="19"/>
  <c r="U6" i="19"/>
  <c r="L138" i="19"/>
  <c r="X6" i="19"/>
  <c r="R6" i="19"/>
  <c r="O138" i="19"/>
  <c r="L50" i="19"/>
  <c r="U138" i="19"/>
  <c r="L182" i="19"/>
  <c r="U94" i="19"/>
  <c r="O94" i="19"/>
  <c r="U182" i="19"/>
  <c r="L6" i="19"/>
  <c r="B223" i="13"/>
  <c r="B222" i="13"/>
  <c r="H210" i="13"/>
  <c r="N106" i="1" l="1"/>
  <c r="O106" i="1" s="1"/>
  <c r="N70" i="1"/>
  <c r="O70" i="1" s="1"/>
  <c r="N37" i="1"/>
  <c r="O37" i="1" s="1"/>
  <c r="N47" i="1"/>
  <c r="O47" i="1" s="1"/>
  <c r="N13" i="1"/>
  <c r="O13" i="1" s="1"/>
  <c r="N25" i="1"/>
  <c r="O25" i="1" s="1"/>
  <c r="N19" i="1"/>
  <c r="O19" i="1" s="1"/>
  <c r="N124" i="1"/>
  <c r="O124" i="1" s="1"/>
  <c r="N76" i="1"/>
  <c r="O76" i="1" s="1"/>
  <c r="N115" i="1"/>
  <c r="O115" i="1" s="1"/>
  <c r="N10" i="1"/>
  <c r="O10" i="1" s="1"/>
  <c r="N121" i="1"/>
  <c r="O121" i="1" s="1"/>
  <c r="N112" i="1"/>
  <c r="O112" i="1" s="1"/>
  <c r="N16" i="1"/>
  <c r="O16" i="1" s="1"/>
  <c r="N79" i="1"/>
  <c r="O79" i="1" s="1"/>
  <c r="N109" i="1"/>
  <c r="O109" i="1" s="1"/>
  <c r="N97" i="1"/>
  <c r="O97" i="1" s="1"/>
  <c r="N52" i="1"/>
  <c r="O52" i="1" s="1"/>
  <c r="N100" i="1"/>
  <c r="O100" i="1" s="1"/>
  <c r="N91" i="1"/>
  <c r="O91" i="1" s="1"/>
  <c r="N118" i="1"/>
  <c r="O118" i="1" s="1"/>
  <c r="N34" i="1"/>
  <c r="O34" i="1" s="1"/>
  <c r="N130" i="1"/>
  <c r="O130" i="1" s="1"/>
  <c r="N82" i="1"/>
  <c r="O82" i="1" s="1"/>
  <c r="N85" i="1"/>
  <c r="O85" i="1" s="1"/>
  <c r="N67" i="1"/>
  <c r="O67" i="1" s="1"/>
  <c r="N22" i="1"/>
  <c r="O22" i="1" s="1"/>
  <c r="N133" i="1"/>
  <c r="O133" i="1" s="1"/>
  <c r="N55" i="1"/>
  <c r="O55" i="1" s="1"/>
  <c r="N40" i="1"/>
  <c r="O40" i="1" s="1"/>
  <c r="N28" i="1"/>
  <c r="O28" i="1" s="1"/>
  <c r="N136" i="1"/>
  <c r="O136" i="1" s="1"/>
  <c r="N103" i="1"/>
  <c r="O103" i="1" s="1"/>
  <c r="N58" i="1"/>
  <c r="O58" i="1" s="1"/>
  <c r="N88" i="1"/>
  <c r="O88" i="1" s="1"/>
  <c r="N44" i="1"/>
  <c r="O44" i="1" s="1"/>
  <c r="N94" i="1"/>
  <c r="O94" i="1" s="1"/>
  <c r="N73" i="1"/>
  <c r="O73" i="1" s="1"/>
  <c r="N31" i="1"/>
  <c r="O31" i="1" s="1"/>
  <c r="N64" i="1"/>
  <c r="O64" i="1" s="1"/>
  <c r="N127" i="1"/>
  <c r="O127" i="1" s="1"/>
  <c r="N61" i="1"/>
  <c r="O61" i="1" s="1"/>
  <c r="N7" i="1"/>
  <c r="O7" i="1" s="1"/>
  <c r="AT92" i="18" l="1"/>
  <c r="P74" i="18"/>
  <c r="AJ38" i="18"/>
  <c r="AT74" i="18"/>
  <c r="P38" i="18"/>
  <c r="BD74" i="18"/>
  <c r="AJ20" i="18"/>
  <c r="AT20" i="18"/>
  <c r="P92" i="18"/>
  <c r="BD38" i="18"/>
  <c r="AJ92" i="18"/>
  <c r="P20" i="18"/>
  <c r="AT38" i="18"/>
  <c r="BD20" i="18"/>
  <c r="Z56" i="18"/>
  <c r="Z92" i="18"/>
  <c r="AJ56" i="18"/>
  <c r="Z74" i="18"/>
  <c r="P56" i="18"/>
  <c r="BD56" i="18"/>
  <c r="Z20" i="18"/>
  <c r="AJ74" i="18"/>
  <c r="Z38" i="18"/>
  <c r="BD92" i="18"/>
  <c r="AT26" i="18"/>
  <c r="BD62" i="18"/>
  <c r="Z8" i="18"/>
  <c r="AJ80" i="18"/>
  <c r="Z80" i="18"/>
  <c r="AT44" i="18"/>
  <c r="AJ44" i="18"/>
  <c r="Z26" i="18"/>
  <c r="Z44" i="18"/>
  <c r="AJ8" i="18"/>
  <c r="P80" i="18"/>
  <c r="P62" i="18"/>
  <c r="BD80" i="18"/>
  <c r="Z62" i="18"/>
  <c r="P44" i="18"/>
  <c r="P26" i="18"/>
  <c r="BD8" i="18"/>
  <c r="AJ26" i="18"/>
  <c r="AJ62" i="18"/>
  <c r="AT62" i="18"/>
  <c r="BD26" i="18"/>
  <c r="P8" i="18"/>
  <c r="BD44" i="18"/>
  <c r="AT8" i="18"/>
  <c r="AT80" i="18"/>
  <c r="AH8" i="18"/>
  <c r="N80" i="18"/>
  <c r="X8" i="18"/>
  <c r="BB80" i="18"/>
  <c r="AR44" i="18"/>
  <c r="N44" i="18"/>
  <c r="N62" i="18"/>
  <c r="BB44" i="18"/>
  <c r="AH62" i="18"/>
  <c r="N8" i="18"/>
  <c r="BB8" i="18"/>
  <c r="BB62" i="18"/>
  <c r="BB26" i="18"/>
  <c r="AR62" i="18"/>
  <c r="AH26" i="18"/>
  <c r="AR8" i="18"/>
  <c r="AH80" i="18"/>
  <c r="AR80" i="18"/>
  <c r="X44" i="18"/>
  <c r="AH44" i="18"/>
  <c r="X26" i="18"/>
  <c r="N26" i="18"/>
  <c r="AR26" i="18"/>
  <c r="X80" i="18"/>
  <c r="X62" i="18"/>
  <c r="AD22" i="18"/>
  <c r="J94" i="18"/>
  <c r="J40" i="18"/>
  <c r="T58" i="18"/>
  <c r="AN94" i="18"/>
  <c r="AX94" i="18"/>
  <c r="T76" i="18"/>
  <c r="J58" i="18"/>
  <c r="J76" i="18"/>
  <c r="AX58" i="18"/>
  <c r="AX40" i="18"/>
  <c r="J22" i="18"/>
  <c r="AN40" i="18"/>
  <c r="AD76" i="18"/>
  <c r="AX22" i="18"/>
  <c r="AN22" i="18"/>
  <c r="AX76" i="18"/>
  <c r="AN58" i="18"/>
  <c r="AD94" i="18"/>
  <c r="AD40" i="18"/>
  <c r="T94" i="18"/>
  <c r="T40" i="18"/>
  <c r="AD58" i="18"/>
  <c r="T22" i="18"/>
  <c r="BD86" i="18"/>
  <c r="AJ68" i="18"/>
  <c r="P50" i="18"/>
  <c r="BD50" i="18"/>
  <c r="AT86" i="18"/>
  <c r="P14" i="18"/>
  <c r="BD14" i="18"/>
  <c r="AT50" i="18"/>
  <c r="Z14" i="18"/>
  <c r="AT14" i="18"/>
  <c r="AT68" i="18"/>
  <c r="BD68" i="18"/>
  <c r="P32" i="18"/>
  <c r="AT32" i="18"/>
  <c r="AJ32" i="18"/>
  <c r="P68" i="18"/>
  <c r="Z68" i="18"/>
  <c r="AJ50" i="18"/>
  <c r="Z32" i="18"/>
  <c r="BD32" i="18"/>
  <c r="AJ14" i="18"/>
  <c r="P86" i="18"/>
  <c r="Z86" i="18"/>
  <c r="AJ86" i="18"/>
  <c r="AV42" i="18"/>
  <c r="R60" i="18"/>
  <c r="R78" i="18"/>
  <c r="AV6" i="18"/>
  <c r="AB60" i="18"/>
  <c r="R6" i="18"/>
  <c r="AL60" i="18"/>
  <c r="AB42" i="18"/>
  <c r="BF6" i="18"/>
  <c r="AL24" i="18"/>
  <c r="R24" i="18"/>
  <c r="R42" i="18"/>
  <c r="AB78" i="18"/>
  <c r="AV60" i="18"/>
  <c r="AL78" i="18"/>
  <c r="BF24" i="18"/>
  <c r="AV24" i="18"/>
  <c r="AL6" i="18"/>
  <c r="BF60" i="18"/>
  <c r="AV78" i="18"/>
  <c r="BF42" i="18"/>
  <c r="AB6" i="18"/>
  <c r="AL42" i="18"/>
  <c r="BF78" i="18"/>
  <c r="AB24" i="18"/>
  <c r="BB40" i="18"/>
  <c r="AH40" i="18"/>
  <c r="AR94" i="18"/>
  <c r="AR22" i="18"/>
  <c r="BB22" i="18"/>
  <c r="X22" i="18"/>
  <c r="BB58" i="18"/>
  <c r="AH94" i="18"/>
  <c r="X40" i="18"/>
  <c r="AH76" i="18"/>
  <c r="AR76" i="18"/>
  <c r="AR58" i="18"/>
  <c r="N94" i="18"/>
  <c r="AR40" i="18"/>
  <c r="BB94" i="18"/>
  <c r="AH22" i="18"/>
  <c r="N58" i="18"/>
  <c r="N76" i="18"/>
  <c r="N40" i="18"/>
  <c r="X76" i="18"/>
  <c r="BB76" i="18"/>
  <c r="X58" i="18"/>
  <c r="X94" i="18"/>
  <c r="N22" i="18"/>
  <c r="AH58" i="18"/>
  <c r="V82" i="18"/>
  <c r="V46" i="18"/>
  <c r="V28" i="18"/>
  <c r="AZ64" i="18"/>
  <c r="AP64" i="18"/>
  <c r="V10" i="18"/>
  <c r="L82" i="18"/>
  <c r="AZ28" i="18"/>
  <c r="AF82" i="18"/>
  <c r="L64" i="18"/>
  <c r="AP82" i="18"/>
  <c r="AZ82" i="18"/>
  <c r="L28" i="18"/>
  <c r="AP46" i="18"/>
  <c r="AP28" i="18"/>
  <c r="V64" i="18"/>
  <c r="AF64" i="18"/>
  <c r="AF10" i="18"/>
  <c r="L46" i="18"/>
  <c r="AF28" i="18"/>
  <c r="AF46" i="18"/>
  <c r="L10" i="18"/>
  <c r="AP10" i="18"/>
  <c r="AZ46" i="18"/>
  <c r="AZ10" i="18"/>
  <c r="BF44" i="18"/>
  <c r="AB26" i="18"/>
  <c r="AV8" i="18"/>
  <c r="AL80" i="18"/>
  <c r="AL62" i="18"/>
  <c r="R80" i="18"/>
  <c r="BF80" i="18"/>
  <c r="AV62" i="18"/>
  <c r="R44" i="18"/>
  <c r="AV44" i="18"/>
  <c r="AV80" i="18"/>
  <c r="R8" i="18"/>
  <c r="AB44" i="18"/>
  <c r="AL44" i="18"/>
  <c r="R26" i="18"/>
  <c r="BF8" i="18"/>
  <c r="R62" i="18"/>
  <c r="AB8" i="18"/>
  <c r="AB62" i="18"/>
  <c r="AV26" i="18"/>
  <c r="BF26" i="18"/>
  <c r="BF62" i="18"/>
  <c r="AL26" i="18"/>
  <c r="AL8" i="18"/>
  <c r="AB80" i="18"/>
  <c r="BD60" i="18"/>
  <c r="AJ42" i="18"/>
  <c r="Z6" i="18"/>
  <c r="AJ6" i="18"/>
  <c r="BD24" i="18"/>
  <c r="BD78" i="18"/>
  <c r="P60" i="18"/>
  <c r="AT78" i="18"/>
  <c r="AT60" i="18"/>
  <c r="P24" i="18"/>
  <c r="AT42" i="18"/>
  <c r="BD6" i="18"/>
  <c r="BD42" i="18"/>
  <c r="AT6" i="18"/>
  <c r="AJ78" i="18"/>
  <c r="Z24" i="18"/>
  <c r="AJ24" i="18"/>
  <c r="AT24" i="18"/>
  <c r="P6" i="18"/>
  <c r="Z78" i="18"/>
  <c r="Z42" i="18"/>
  <c r="P42" i="18"/>
  <c r="P78" i="18"/>
  <c r="AJ60" i="18"/>
  <c r="Z60" i="18"/>
  <c r="AF8" i="18"/>
  <c r="L26" i="18"/>
  <c r="L8" i="18"/>
  <c r="AZ80" i="18"/>
  <c r="V62" i="18"/>
  <c r="AZ62" i="18"/>
  <c r="AZ26" i="18"/>
  <c r="V26" i="18"/>
  <c r="AZ44" i="18"/>
  <c r="AP80" i="18"/>
  <c r="AF62" i="18"/>
  <c r="AP26" i="18"/>
  <c r="AZ8" i="18"/>
  <c r="AP8" i="18"/>
  <c r="AF26" i="18"/>
  <c r="V44" i="18"/>
  <c r="AP62" i="18"/>
  <c r="AP44" i="18"/>
  <c r="V80" i="18"/>
  <c r="AF80" i="18"/>
  <c r="V8" i="18"/>
  <c r="L80" i="18"/>
  <c r="AF44" i="18"/>
  <c r="L62" i="18"/>
  <c r="L44" i="18"/>
  <c r="AJ90" i="18"/>
  <c r="P90" i="18"/>
  <c r="BD72" i="18"/>
  <c r="AT36" i="18"/>
  <c r="P18" i="18"/>
  <c r="AJ72" i="18"/>
  <c r="Z90" i="18"/>
  <c r="Z72" i="18"/>
  <c r="AT90" i="18"/>
  <c r="BD90" i="18"/>
  <c r="P54" i="18"/>
  <c r="Z18" i="18"/>
  <c r="Z54" i="18"/>
  <c r="AT18" i="18"/>
  <c r="AT72" i="18"/>
  <c r="P72" i="18"/>
  <c r="AJ36" i="18"/>
  <c r="BD54" i="18"/>
  <c r="AJ18" i="18"/>
  <c r="Z36" i="18"/>
  <c r="P36" i="18"/>
  <c r="AT54" i="18"/>
  <c r="BD18" i="18"/>
  <c r="BD36" i="18"/>
  <c r="BD70" i="18"/>
  <c r="Z52" i="18"/>
  <c r="P34" i="18"/>
  <c r="P16" i="18"/>
  <c r="BD34" i="18"/>
  <c r="AJ52" i="18"/>
  <c r="BD16" i="18"/>
  <c r="AJ88" i="18"/>
  <c r="Z34" i="18"/>
  <c r="P88" i="18"/>
  <c r="AJ16" i="18"/>
  <c r="Z88" i="18"/>
  <c r="AT88" i="18"/>
  <c r="BD88" i="18"/>
  <c r="AT70" i="18"/>
  <c r="BD52" i="18"/>
  <c r="AJ70" i="18"/>
  <c r="AT34" i="18"/>
  <c r="P52" i="18"/>
  <c r="P70" i="18"/>
  <c r="AT52" i="18"/>
  <c r="Z16" i="18"/>
  <c r="AT16" i="18"/>
  <c r="AJ34" i="18"/>
  <c r="AX12" i="18"/>
  <c r="AN48" i="18"/>
  <c r="AN66" i="18"/>
  <c r="AN12" i="18"/>
  <c r="T84" i="18"/>
  <c r="AN30" i="18"/>
  <c r="T66" i="18"/>
  <c r="J66" i="18"/>
  <c r="AD84" i="18"/>
  <c r="AX30" i="18"/>
  <c r="T48" i="18"/>
  <c r="AD48" i="18"/>
  <c r="T30" i="18"/>
  <c r="T12" i="18"/>
  <c r="AX84" i="18"/>
  <c r="AX66" i="18"/>
  <c r="J48" i="18"/>
  <c r="AD30" i="18"/>
  <c r="AX48" i="18"/>
  <c r="AD12" i="18"/>
  <c r="AN84" i="18"/>
  <c r="J84" i="18"/>
  <c r="J12" i="18"/>
  <c r="J30" i="18"/>
  <c r="AZ38" i="18"/>
  <c r="AP38" i="18"/>
  <c r="V20" i="18"/>
  <c r="AP92" i="18"/>
  <c r="AZ56" i="18"/>
  <c r="L74" i="18"/>
  <c r="AP56" i="18"/>
  <c r="AF20" i="18"/>
  <c r="L38" i="18"/>
  <c r="AP20" i="18"/>
  <c r="AP74" i="18"/>
  <c r="V56" i="18"/>
  <c r="AF74" i="18"/>
  <c r="AF56" i="18"/>
  <c r="V38" i="18"/>
  <c r="V92" i="18"/>
  <c r="AF92" i="18"/>
  <c r="L56" i="18"/>
  <c r="AZ74" i="18"/>
  <c r="AZ20" i="18"/>
  <c r="V74" i="18"/>
  <c r="L20" i="18"/>
  <c r="AZ92" i="18"/>
  <c r="L92" i="18"/>
  <c r="Q13" i="1"/>
  <c r="X78" i="18"/>
  <c r="AR60" i="18"/>
  <c r="BB78" i="18"/>
  <c r="AR6" i="18"/>
  <c r="N42" i="18"/>
  <c r="BB60" i="18"/>
  <c r="AH78" i="18"/>
  <c r="AR24" i="18"/>
  <c r="AH42" i="18"/>
  <c r="BB6" i="18"/>
  <c r="X42" i="18"/>
  <c r="AH6" i="18"/>
  <c r="BB24" i="18"/>
  <c r="N24" i="18"/>
  <c r="AR78" i="18"/>
  <c r="X24" i="18"/>
  <c r="X6" i="18"/>
  <c r="AR42" i="18"/>
  <c r="N78" i="18"/>
  <c r="N60" i="18"/>
  <c r="AH60" i="18"/>
  <c r="BB42" i="18"/>
  <c r="X60" i="18"/>
  <c r="AH24" i="18"/>
  <c r="N6" i="18"/>
  <c r="BF32" i="18"/>
  <c r="R32" i="18"/>
  <c r="AL14" i="18"/>
  <c r="R86" i="18"/>
  <c r="AB86" i="18"/>
  <c r="BF86" i="18"/>
  <c r="AB68" i="18"/>
  <c r="R14" i="18"/>
  <c r="AB14" i="18"/>
  <c r="BF50" i="18"/>
  <c r="AL32" i="18"/>
  <c r="AV14" i="18"/>
  <c r="BF14" i="18"/>
  <c r="BF68" i="18"/>
  <c r="AV86" i="18"/>
  <c r="AV32" i="18"/>
  <c r="AB32" i="18"/>
  <c r="R68" i="18"/>
  <c r="AL86" i="18"/>
  <c r="AV50" i="18"/>
  <c r="R50" i="18"/>
  <c r="AL68" i="18"/>
  <c r="AB50" i="18"/>
  <c r="AV68" i="18"/>
  <c r="AP14" i="18"/>
  <c r="L14" i="18"/>
  <c r="AP68" i="18"/>
  <c r="AF86" i="18"/>
  <c r="AF32" i="18"/>
  <c r="AZ86" i="18"/>
  <c r="AZ14" i="18"/>
  <c r="L32" i="18"/>
  <c r="V68" i="18"/>
  <c r="AF50" i="18"/>
  <c r="AP50" i="18"/>
  <c r="AF14" i="18"/>
  <c r="AZ50" i="18"/>
  <c r="AP32" i="18"/>
  <c r="V86" i="18"/>
  <c r="AP86" i="18"/>
  <c r="AZ68" i="18"/>
  <c r="V14" i="18"/>
  <c r="L50" i="18"/>
  <c r="AZ32" i="18"/>
  <c r="L68" i="18"/>
  <c r="L86" i="18"/>
  <c r="V32" i="18"/>
  <c r="AF68" i="18"/>
  <c r="AR46" i="18"/>
  <c r="AH10" i="18"/>
  <c r="BB10" i="18"/>
  <c r="AR10" i="18"/>
  <c r="X46" i="18"/>
  <c r="AH82" i="18"/>
  <c r="AH64" i="18"/>
  <c r="N28" i="18"/>
  <c r="N10" i="18"/>
  <c r="AH28" i="18"/>
  <c r="AR64" i="18"/>
  <c r="N46" i="18"/>
  <c r="X82" i="18"/>
  <c r="X10" i="18"/>
  <c r="N82" i="18"/>
  <c r="BB28" i="18"/>
  <c r="AH46" i="18"/>
  <c r="BB82" i="18"/>
  <c r="AR82" i="18"/>
  <c r="BB46" i="18"/>
  <c r="X64" i="18"/>
  <c r="BB64" i="18"/>
  <c r="AR28" i="18"/>
  <c r="N64" i="18"/>
  <c r="X28" i="18"/>
  <c r="AF58" i="18"/>
  <c r="V58" i="18"/>
  <c r="V22" i="18"/>
  <c r="AP94" i="18"/>
  <c r="AF22" i="18"/>
  <c r="AP58" i="18"/>
  <c r="L76" i="18"/>
  <c r="AP76" i="18"/>
  <c r="AZ94" i="18"/>
  <c r="V76" i="18"/>
  <c r="AF40" i="18"/>
  <c r="L40" i="18"/>
  <c r="L94" i="18"/>
  <c r="AZ58" i="18"/>
  <c r="AZ76" i="18"/>
  <c r="V40" i="18"/>
  <c r="AZ22" i="18"/>
  <c r="L22" i="18"/>
  <c r="AP40" i="18"/>
  <c r="AZ40" i="18"/>
  <c r="L58" i="18"/>
  <c r="AF94" i="18"/>
  <c r="V94" i="18"/>
  <c r="AP22" i="18"/>
  <c r="AH70" i="18"/>
  <c r="X52" i="18"/>
  <c r="X34" i="18"/>
  <c r="AH34" i="18"/>
  <c r="X16" i="18"/>
  <c r="AH16" i="18"/>
  <c r="X88" i="18"/>
  <c r="N52" i="18"/>
  <c r="BB70" i="18"/>
  <c r="AH88" i="18"/>
  <c r="N34" i="18"/>
  <c r="N16" i="18"/>
  <c r="BB34" i="18"/>
  <c r="BB16" i="18"/>
  <c r="AR70" i="18"/>
  <c r="AR52" i="18"/>
  <c r="AR34" i="18"/>
  <c r="BB88" i="18"/>
  <c r="AR16" i="18"/>
  <c r="BB52" i="18"/>
  <c r="N88" i="18"/>
  <c r="AR88" i="18"/>
  <c r="X70" i="18"/>
  <c r="AH52" i="18"/>
  <c r="AR20" i="18"/>
  <c r="BB56" i="18"/>
  <c r="AH74" i="18"/>
  <c r="X74" i="18"/>
  <c r="N92" i="18"/>
  <c r="AH38" i="18"/>
  <c r="X20" i="18"/>
  <c r="N56" i="18"/>
  <c r="X92" i="18"/>
  <c r="N74" i="18"/>
  <c r="N20" i="18"/>
  <c r="BB74" i="18"/>
  <c r="X56" i="18"/>
  <c r="N38" i="18"/>
  <c r="X38" i="18"/>
  <c r="AR92" i="18"/>
  <c r="AH92" i="18"/>
  <c r="AR38" i="18"/>
  <c r="BB20" i="18"/>
  <c r="BB38" i="18"/>
  <c r="AR56" i="18"/>
  <c r="AH20" i="18"/>
  <c r="AR74" i="18"/>
  <c r="BB92" i="18"/>
  <c r="AJ64" i="18"/>
  <c r="P64" i="18"/>
  <c r="AT28" i="18"/>
  <c r="AJ46" i="18"/>
  <c r="AJ82" i="18"/>
  <c r="BD82" i="18"/>
  <c r="P28" i="18"/>
  <c r="AJ10" i="18"/>
  <c r="P82" i="18"/>
  <c r="BD46" i="18"/>
  <c r="Z46" i="18"/>
  <c r="P10" i="18"/>
  <c r="Z10" i="18"/>
  <c r="AJ28" i="18"/>
  <c r="Z64" i="18"/>
  <c r="BD28" i="18"/>
  <c r="AT82" i="18"/>
  <c r="BD64" i="18"/>
  <c r="P46" i="18"/>
  <c r="AT10" i="18"/>
  <c r="BD10" i="18"/>
  <c r="AT64" i="18"/>
  <c r="Z28" i="18"/>
  <c r="Z82" i="18"/>
  <c r="AT46" i="18"/>
  <c r="AJ48" i="18"/>
  <c r="Z48" i="18"/>
  <c r="AT12" i="18"/>
  <c r="Z30" i="18"/>
  <c r="Z12" i="18"/>
  <c r="AJ66" i="18"/>
  <c r="P84" i="18"/>
  <c r="P66" i="18"/>
  <c r="AJ30" i="18"/>
  <c r="P48" i="18"/>
  <c r="P30" i="18"/>
  <c r="Z84" i="18"/>
  <c r="P12" i="18"/>
  <c r="AJ12" i="18"/>
  <c r="BD30" i="18"/>
  <c r="AT30" i="18"/>
  <c r="BD84" i="18"/>
  <c r="AT84" i="18"/>
  <c r="AT66" i="18"/>
  <c r="BD12" i="18"/>
  <c r="BD48" i="18"/>
  <c r="AJ84" i="18"/>
  <c r="Z66" i="18"/>
  <c r="BD66" i="18"/>
  <c r="AP88" i="18"/>
  <c r="AZ52" i="18"/>
  <c r="V52" i="18"/>
  <c r="AF52" i="18"/>
  <c r="AP52" i="18"/>
  <c r="AF16" i="18"/>
  <c r="V16" i="18"/>
  <c r="AP16" i="18"/>
  <c r="V34" i="18"/>
  <c r="L70" i="18"/>
  <c r="AF70" i="18"/>
  <c r="L88" i="18"/>
  <c r="L34" i="18"/>
  <c r="AF34" i="18"/>
  <c r="L52" i="18"/>
  <c r="AP70" i="18"/>
  <c r="AZ34" i="18"/>
  <c r="V88" i="18"/>
  <c r="L16" i="18"/>
  <c r="AZ16" i="18"/>
  <c r="AZ88" i="18"/>
  <c r="AZ70" i="18"/>
  <c r="V70" i="18"/>
  <c r="AF88" i="18"/>
  <c r="AN26" i="18"/>
  <c r="AD62" i="18"/>
  <c r="J44" i="18"/>
  <c r="AX80" i="18"/>
  <c r="J80" i="18"/>
  <c r="AD26" i="18"/>
  <c r="AN8" i="18"/>
  <c r="AX26" i="18"/>
  <c r="T44" i="18"/>
  <c r="T80" i="18"/>
  <c r="AX8" i="18"/>
  <c r="T8" i="18"/>
  <c r="AN62" i="18"/>
  <c r="T62" i="18"/>
  <c r="AX44" i="18"/>
  <c r="J8" i="18"/>
  <c r="J62" i="18"/>
  <c r="AX62" i="18"/>
  <c r="AN80" i="18"/>
  <c r="AD44" i="18"/>
  <c r="AD8" i="18"/>
  <c r="J26" i="18"/>
  <c r="AN44" i="18"/>
  <c r="T26" i="18"/>
  <c r="AD80" i="18"/>
  <c r="AX90" i="18"/>
  <c r="T72" i="18"/>
  <c r="AD72" i="18"/>
  <c r="AD36" i="18"/>
  <c r="AX54" i="18"/>
  <c r="AX36" i="18"/>
  <c r="T54" i="18"/>
  <c r="AX18" i="18"/>
  <c r="T90" i="18"/>
  <c r="AN72" i="18"/>
  <c r="AX72" i="18"/>
  <c r="AN18" i="18"/>
  <c r="AN36" i="18"/>
  <c r="AD54" i="18"/>
  <c r="J36" i="18"/>
  <c r="J54" i="18"/>
  <c r="J72" i="18"/>
  <c r="AN90" i="18"/>
  <c r="T36" i="18"/>
  <c r="J90" i="18"/>
  <c r="J18" i="18"/>
  <c r="AD90" i="18"/>
  <c r="AD18" i="18"/>
  <c r="T18" i="18"/>
  <c r="AF42" i="18"/>
  <c r="AP42" i="18"/>
  <c r="L60" i="18"/>
  <c r="AZ42" i="18"/>
  <c r="AF78" i="18"/>
  <c r="L24" i="18"/>
  <c r="AF60" i="18"/>
  <c r="V24" i="18"/>
  <c r="AP6" i="18"/>
  <c r="AZ78" i="18"/>
  <c r="L78" i="18"/>
  <c r="AP60" i="18"/>
  <c r="AF6" i="18"/>
  <c r="AF24" i="18"/>
  <c r="AZ24" i="18"/>
  <c r="AP24" i="18"/>
  <c r="V6" i="18"/>
  <c r="V60" i="18"/>
  <c r="AP78" i="18"/>
  <c r="AZ6" i="18"/>
  <c r="V42" i="18"/>
  <c r="AZ60" i="18"/>
  <c r="L42" i="18"/>
  <c r="V78" i="18"/>
  <c r="P37" i="1"/>
  <c r="AE37" i="1" s="1"/>
  <c r="AD37" i="1" s="1"/>
  <c r="T82" i="18"/>
  <c r="AD10" i="18"/>
  <c r="J28" i="18"/>
  <c r="AX46" i="18"/>
  <c r="AX64" i="18"/>
  <c r="AX10" i="18"/>
  <c r="T64" i="18"/>
  <c r="AD82" i="18"/>
  <c r="AN64" i="18"/>
  <c r="T28" i="18"/>
  <c r="AX28" i="18"/>
  <c r="AN28" i="18"/>
  <c r="AN82" i="18"/>
  <c r="AD46" i="18"/>
  <c r="AX82" i="18"/>
  <c r="AN10" i="18"/>
  <c r="J46" i="18"/>
  <c r="T46" i="18"/>
  <c r="J10" i="18"/>
  <c r="T10" i="18"/>
  <c r="AD28" i="18"/>
  <c r="J64" i="18"/>
  <c r="AD64" i="18"/>
  <c r="AN46" i="18"/>
  <c r="J82" i="18"/>
  <c r="N48" i="18"/>
  <c r="AR48" i="18"/>
  <c r="AR30" i="18"/>
  <c r="N30" i="18"/>
  <c r="AH84" i="18"/>
  <c r="BB48" i="18"/>
  <c r="AR84" i="18"/>
  <c r="BB30" i="18"/>
  <c r="X48" i="18"/>
  <c r="AH12" i="18"/>
  <c r="AH48" i="18"/>
  <c r="X30" i="18"/>
  <c r="BB66" i="18"/>
  <c r="BB84" i="18"/>
  <c r="N84" i="18"/>
  <c r="AH30" i="18"/>
  <c r="AR66" i="18"/>
  <c r="X84" i="18"/>
  <c r="N66" i="18"/>
  <c r="X66" i="18"/>
  <c r="BB12" i="18"/>
  <c r="X12" i="18"/>
  <c r="N12" i="18"/>
  <c r="AR12" i="18"/>
  <c r="AF48" i="18"/>
  <c r="AF12" i="18"/>
  <c r="L48" i="18"/>
  <c r="AF66" i="18"/>
  <c r="AZ84" i="18"/>
  <c r="V66" i="18"/>
  <c r="AZ48" i="18"/>
  <c r="AZ30" i="18"/>
  <c r="AP30" i="18"/>
  <c r="AF30" i="18"/>
  <c r="AP48" i="18"/>
  <c r="AP84" i="18"/>
  <c r="L84" i="18"/>
  <c r="V48" i="18"/>
  <c r="L12" i="18"/>
  <c r="L30" i="18"/>
  <c r="AP12" i="18"/>
  <c r="V12" i="18"/>
  <c r="V30" i="18"/>
  <c r="L66" i="18"/>
  <c r="AP66" i="18"/>
  <c r="AZ12" i="18"/>
  <c r="V84" i="18"/>
  <c r="AZ66" i="18"/>
  <c r="BF66" i="18"/>
  <c r="BF84" i="18"/>
  <c r="AL12" i="18"/>
  <c r="R84" i="18"/>
  <c r="BF30" i="18"/>
  <c r="BF12" i="18"/>
  <c r="AV30" i="18"/>
  <c r="AV84" i="18"/>
  <c r="AL84" i="18"/>
  <c r="AV66" i="18"/>
  <c r="BF48" i="18"/>
  <c r="AL48" i="18"/>
  <c r="AV12" i="18"/>
  <c r="AB48" i="18"/>
  <c r="R48" i="18"/>
  <c r="AL30" i="18"/>
  <c r="R66" i="18"/>
  <c r="R12" i="18"/>
  <c r="AB84" i="18"/>
  <c r="R30" i="18"/>
  <c r="AB66" i="18"/>
  <c r="AL66" i="18"/>
  <c r="AB12" i="18"/>
  <c r="AB30" i="18"/>
  <c r="AL10" i="18"/>
  <c r="BF64" i="18"/>
  <c r="AL64" i="18"/>
  <c r="BF82" i="18"/>
  <c r="AB64" i="18"/>
  <c r="AB28" i="18"/>
  <c r="AV82" i="18"/>
  <c r="BF46" i="18"/>
  <c r="BF28" i="18"/>
  <c r="R82" i="18"/>
  <c r="BF10" i="18"/>
  <c r="AV10" i="18"/>
  <c r="R46" i="18"/>
  <c r="AV64" i="18"/>
  <c r="AB46" i="18"/>
  <c r="R10" i="18"/>
  <c r="AL82" i="18"/>
  <c r="R64" i="18"/>
  <c r="AB82" i="18"/>
  <c r="AV28" i="18"/>
  <c r="AL46" i="18"/>
  <c r="AB10" i="18"/>
  <c r="R28" i="18"/>
  <c r="AV46" i="18"/>
  <c r="AL28" i="18"/>
  <c r="AX38" i="18"/>
  <c r="AN74" i="18"/>
  <c r="AX20" i="18"/>
  <c r="AN92" i="18"/>
  <c r="AD56" i="18"/>
  <c r="AD92" i="18"/>
  <c r="AN38" i="18"/>
  <c r="T38" i="18"/>
  <c r="T74" i="18"/>
  <c r="AD20" i="18"/>
  <c r="AN20" i="18"/>
  <c r="J92" i="18"/>
  <c r="T20" i="18"/>
  <c r="AD74" i="18"/>
  <c r="J56" i="18"/>
  <c r="J74" i="18"/>
  <c r="AX74" i="18"/>
  <c r="AD38" i="18"/>
  <c r="J20" i="18"/>
  <c r="J38" i="18"/>
  <c r="T92" i="18"/>
  <c r="AX92" i="18"/>
  <c r="T56" i="18"/>
  <c r="AX56" i="18"/>
  <c r="P70" i="1"/>
  <c r="AE70" i="1" s="1"/>
  <c r="AD70" i="1" s="1"/>
  <c r="J32" i="18"/>
  <c r="T32" i="18"/>
  <c r="J14" i="18"/>
  <c r="T86" i="18"/>
  <c r="AX14" i="18"/>
  <c r="J86" i="18"/>
  <c r="AX68" i="18"/>
  <c r="AX50" i="18"/>
  <c r="AD86" i="18"/>
  <c r="J50" i="18"/>
  <c r="AX32" i="18"/>
  <c r="AN68" i="18"/>
  <c r="T50" i="18"/>
  <c r="AD68" i="18"/>
  <c r="AN86" i="18"/>
  <c r="AD50" i="18"/>
  <c r="AD14" i="18"/>
  <c r="J68" i="18"/>
  <c r="AN50" i="18"/>
  <c r="AX86" i="18"/>
  <c r="AN32" i="18"/>
  <c r="AN14" i="18"/>
  <c r="T14" i="18"/>
  <c r="T68" i="18"/>
  <c r="AX78" i="18"/>
  <c r="T60" i="18"/>
  <c r="AN78" i="18"/>
  <c r="AX42" i="18"/>
  <c r="AX24" i="18"/>
  <c r="AD60" i="18"/>
  <c r="AX6" i="18"/>
  <c r="AN6" i="18"/>
  <c r="T78" i="18"/>
  <c r="AN60" i="18"/>
  <c r="AN42" i="18"/>
  <c r="AD24" i="18"/>
  <c r="T24" i="18"/>
  <c r="AD42" i="18"/>
  <c r="AD6" i="18"/>
  <c r="AN24" i="18"/>
  <c r="J24" i="18"/>
  <c r="T6" i="18"/>
  <c r="AX60" i="18"/>
  <c r="AD78" i="18"/>
  <c r="J78" i="18"/>
  <c r="T42" i="18"/>
  <c r="J42" i="18"/>
  <c r="J60" i="18"/>
  <c r="BF56" i="18"/>
  <c r="AL38" i="18"/>
  <c r="BF38" i="18"/>
  <c r="BF20" i="18"/>
  <c r="BF74" i="18"/>
  <c r="AV20" i="18"/>
  <c r="AV74" i="18"/>
  <c r="AB38" i="18"/>
  <c r="AV38" i="18"/>
  <c r="AB20" i="18"/>
  <c r="R92" i="18"/>
  <c r="AL92" i="18"/>
  <c r="R74" i="18"/>
  <c r="R56" i="18"/>
  <c r="AL20" i="18"/>
  <c r="AB56" i="18"/>
  <c r="AB92" i="18"/>
  <c r="BF92" i="18"/>
  <c r="AB74" i="18"/>
  <c r="AV92" i="18"/>
  <c r="AL74" i="18"/>
  <c r="R20" i="18"/>
  <c r="R38" i="18"/>
  <c r="AL56" i="18"/>
  <c r="AF90" i="18"/>
  <c r="V90" i="18"/>
  <c r="V18" i="18"/>
  <c r="AF54" i="18"/>
  <c r="L18" i="18"/>
  <c r="L72" i="18"/>
  <c r="AF18" i="18"/>
  <c r="AP54" i="18"/>
  <c r="AZ72" i="18"/>
  <c r="AZ90" i="18"/>
  <c r="V72" i="18"/>
  <c r="V36" i="18"/>
  <c r="AF36" i="18"/>
  <c r="AZ54" i="18"/>
  <c r="AP90" i="18"/>
  <c r="L90" i="18"/>
  <c r="AP72" i="18"/>
  <c r="AZ36" i="18"/>
  <c r="AP36" i="18"/>
  <c r="V54" i="18"/>
  <c r="L36" i="18"/>
  <c r="AZ18" i="18"/>
  <c r="AP18" i="18"/>
  <c r="L54" i="18"/>
  <c r="AX34" i="18"/>
  <c r="AD70" i="18"/>
  <c r="T70" i="18"/>
  <c r="AD88" i="18"/>
  <c r="T52" i="18"/>
  <c r="J70" i="18"/>
  <c r="AX88" i="18"/>
  <c r="AX70" i="18"/>
  <c r="AN34" i="18"/>
  <c r="AN16" i="18"/>
  <c r="AD34" i="18"/>
  <c r="AX52" i="18"/>
  <c r="AX16" i="18"/>
  <c r="AD16" i="18"/>
  <c r="T88" i="18"/>
  <c r="J16" i="18"/>
  <c r="J34" i="18"/>
  <c r="AN88" i="18"/>
  <c r="T34" i="18"/>
  <c r="J52" i="18"/>
  <c r="T16" i="18"/>
  <c r="AD52" i="18"/>
  <c r="AN52" i="18"/>
  <c r="AN70" i="18"/>
  <c r="AV88" i="18"/>
  <c r="AB52" i="18"/>
  <c r="BF16" i="18"/>
  <c r="AV34" i="18"/>
  <c r="R88" i="18"/>
  <c r="AV16" i="18"/>
  <c r="R52" i="18"/>
  <c r="AL88" i="18"/>
  <c r="AL34" i="18"/>
  <c r="AV70" i="18"/>
  <c r="AL16" i="18"/>
  <c r="R16" i="18"/>
  <c r="AL52" i="18"/>
  <c r="AB34" i="18"/>
  <c r="BF70" i="18"/>
  <c r="R70" i="18"/>
  <c r="AB88" i="18"/>
  <c r="AV52" i="18"/>
  <c r="BF52" i="18"/>
  <c r="R34" i="18"/>
  <c r="BF34" i="18"/>
  <c r="AB16" i="18"/>
  <c r="BF88" i="18"/>
  <c r="AB70" i="18"/>
  <c r="BB14" i="18"/>
  <c r="AH32" i="18"/>
  <c r="BB68" i="18"/>
  <c r="AR68" i="18"/>
  <c r="BB32" i="18"/>
  <c r="AR86" i="18"/>
  <c r="AR32" i="18"/>
  <c r="X86" i="18"/>
  <c r="AH68" i="18"/>
  <c r="AH86" i="18"/>
  <c r="X32" i="18"/>
  <c r="AH50" i="18"/>
  <c r="X14" i="18"/>
  <c r="N86" i="18"/>
  <c r="BB86" i="18"/>
  <c r="X68" i="18"/>
  <c r="N32" i="18"/>
  <c r="N14" i="18"/>
  <c r="BB50" i="18"/>
  <c r="AR14" i="18"/>
  <c r="AR50" i="18"/>
  <c r="N68" i="18"/>
  <c r="N50" i="18"/>
  <c r="AH14" i="18"/>
  <c r="Q106" i="1"/>
  <c r="AH18" i="18"/>
  <c r="X90" i="18"/>
  <c r="X18" i="18"/>
  <c r="BB18" i="18"/>
  <c r="BB36" i="18"/>
  <c r="AR72" i="18"/>
  <c r="BB72" i="18"/>
  <c r="AR36" i="18"/>
  <c r="AR90" i="18"/>
  <c r="AH36" i="18"/>
  <c r="AH90" i="18"/>
  <c r="N90" i="18"/>
  <c r="AH54" i="18"/>
  <c r="X54" i="18"/>
  <c r="BB90" i="18"/>
  <c r="X72" i="18"/>
  <c r="N18" i="18"/>
  <c r="N36" i="18"/>
  <c r="BB54" i="18"/>
  <c r="AR54" i="18"/>
  <c r="X36" i="18"/>
  <c r="AR18" i="18"/>
  <c r="N72" i="18"/>
  <c r="N54" i="18"/>
  <c r="AV72" i="18"/>
  <c r="AL18" i="18"/>
  <c r="R54" i="18"/>
  <c r="BF36" i="18"/>
  <c r="AL72" i="18"/>
  <c r="AB18" i="18"/>
  <c r="BF90" i="18"/>
  <c r="AV36" i="18"/>
  <c r="AB72" i="18"/>
  <c r="AV90" i="18"/>
  <c r="AL36" i="18"/>
  <c r="R72" i="18"/>
  <c r="BF72" i="18"/>
  <c r="AB54" i="18"/>
  <c r="BF54" i="18"/>
  <c r="AL90" i="18"/>
  <c r="AB36" i="18"/>
  <c r="R18" i="18"/>
  <c r="AV54" i="18"/>
  <c r="AB90" i="18"/>
  <c r="R36" i="18"/>
  <c r="BF18" i="18"/>
  <c r="R90" i="18"/>
  <c r="AV18" i="18"/>
  <c r="P106" i="1"/>
  <c r="AE106" i="1" s="1"/>
  <c r="AD106" i="1" s="1"/>
  <c r="Q70" i="1"/>
  <c r="Q37" i="1"/>
  <c r="P47" i="1"/>
  <c r="AE47" i="1" s="1"/>
  <c r="AD47" i="1" s="1"/>
  <c r="Q47" i="1"/>
  <c r="P13" i="1"/>
  <c r="AE13" i="1" s="1"/>
  <c r="AD13" i="1" s="1"/>
  <c r="P25" i="1"/>
  <c r="AE25" i="1" s="1"/>
  <c r="AD25" i="1" s="1"/>
  <c r="Q25" i="1"/>
  <c r="P85" i="1"/>
  <c r="AE85" i="1" s="1"/>
  <c r="AD85" i="1" s="1"/>
  <c r="Q85" i="1"/>
  <c r="P109" i="1"/>
  <c r="AE109" i="1" s="1"/>
  <c r="AD109" i="1" s="1"/>
  <c r="Q109" i="1"/>
  <c r="J6" i="18"/>
  <c r="Q7" i="1"/>
  <c r="P7" i="1"/>
  <c r="P58" i="1"/>
  <c r="AE58" i="1" s="1"/>
  <c r="AD58" i="1" s="1"/>
  <c r="Q58" i="1"/>
  <c r="P103" i="1"/>
  <c r="AE103" i="1" s="1"/>
  <c r="AD103" i="1" s="1"/>
  <c r="Q103" i="1"/>
  <c r="P79" i="1"/>
  <c r="AE79" i="1" s="1"/>
  <c r="AD79" i="1" s="1"/>
  <c r="Q79" i="1"/>
  <c r="Q61" i="1"/>
  <c r="P61" i="1"/>
  <c r="AE61" i="1" s="1"/>
  <c r="AD61" i="1" s="1"/>
  <c r="Q136" i="1"/>
  <c r="P136" i="1"/>
  <c r="P82" i="1"/>
  <c r="AE82" i="1" s="1"/>
  <c r="AD82" i="1" s="1"/>
  <c r="Q82" i="1"/>
  <c r="Q16" i="1"/>
  <c r="P16" i="1"/>
  <c r="AE16" i="1" s="1"/>
  <c r="AD16" i="1" s="1"/>
  <c r="P130" i="1"/>
  <c r="AE130" i="1" s="1"/>
  <c r="AD130" i="1" s="1"/>
  <c r="Q130" i="1"/>
  <c r="P112" i="1"/>
  <c r="AE112" i="1" s="1"/>
  <c r="AD112" i="1" s="1"/>
  <c r="Q112" i="1"/>
  <c r="P28" i="1"/>
  <c r="AE28" i="1" s="1"/>
  <c r="AD28" i="1" s="1"/>
  <c r="Q28" i="1"/>
  <c r="Q40" i="1"/>
  <c r="P40" i="1"/>
  <c r="AE40" i="1" s="1"/>
  <c r="AD40" i="1" s="1"/>
  <c r="P34" i="1"/>
  <c r="AE34" i="1" s="1"/>
  <c r="AD34" i="1" s="1"/>
  <c r="Q34" i="1"/>
  <c r="Q121" i="1"/>
  <c r="P121" i="1"/>
  <c r="AE121" i="1" s="1"/>
  <c r="AD121" i="1" s="1"/>
  <c r="Q64" i="1"/>
  <c r="P64" i="1"/>
  <c r="AE64" i="1" s="1"/>
  <c r="AD64" i="1" s="1"/>
  <c r="P55" i="1"/>
  <c r="AE55" i="1" s="1"/>
  <c r="AD55" i="1" s="1"/>
  <c r="Q55" i="1"/>
  <c r="P118" i="1"/>
  <c r="AE118" i="1" s="1"/>
  <c r="AD118" i="1" s="1"/>
  <c r="Q118" i="1"/>
  <c r="L6" i="18"/>
  <c r="Q10" i="1"/>
  <c r="P10" i="1"/>
  <c r="AE10" i="1" s="1"/>
  <c r="AD10" i="1" s="1"/>
  <c r="P94" i="1"/>
  <c r="Q94" i="1"/>
  <c r="P31" i="1"/>
  <c r="AE31" i="1" s="1"/>
  <c r="AD31" i="1" s="1"/>
  <c r="Q31" i="1"/>
  <c r="Q91" i="1"/>
  <c r="P91" i="1"/>
  <c r="P115" i="1"/>
  <c r="AE115" i="1" s="1"/>
  <c r="AD115" i="1" s="1"/>
  <c r="Q115" i="1"/>
  <c r="P127" i="1"/>
  <c r="AE127" i="1" s="1"/>
  <c r="AD127" i="1" s="1"/>
  <c r="Q127" i="1"/>
  <c r="P73" i="1"/>
  <c r="AE73" i="1" s="1"/>
  <c r="AD73" i="1" s="1"/>
  <c r="Q73" i="1"/>
  <c r="P100" i="1"/>
  <c r="AE100" i="1" s="1"/>
  <c r="AD100" i="1" s="1"/>
  <c r="Q100" i="1"/>
  <c r="P133" i="1"/>
  <c r="AE133" i="1" s="1"/>
  <c r="AD133" i="1" s="1"/>
  <c r="Q133" i="1"/>
  <c r="Q76" i="1"/>
  <c r="P76" i="1"/>
  <c r="AE76" i="1" s="1"/>
  <c r="AD76" i="1" s="1"/>
  <c r="P44" i="1"/>
  <c r="AE44" i="1" s="1"/>
  <c r="AD44" i="1" s="1"/>
  <c r="Q44" i="1"/>
  <c r="P22" i="1"/>
  <c r="AE22" i="1" s="1"/>
  <c r="AD22" i="1" s="1"/>
  <c r="Q22" i="1"/>
  <c r="P52" i="1"/>
  <c r="AE52" i="1" s="1"/>
  <c r="AD52" i="1" s="1"/>
  <c r="Q52" i="1"/>
  <c r="Q124" i="1"/>
  <c r="P124" i="1"/>
  <c r="AE124" i="1" s="1"/>
  <c r="AD124" i="1" s="1"/>
  <c r="P88" i="1"/>
  <c r="AE88" i="1" s="1"/>
  <c r="AD88" i="1" s="1"/>
  <c r="Q88" i="1"/>
  <c r="P67" i="1"/>
  <c r="AE67" i="1" s="1"/>
  <c r="AD67" i="1" s="1"/>
  <c r="Q67" i="1"/>
  <c r="P97" i="1"/>
  <c r="Q97" i="1"/>
  <c r="P19" i="1"/>
  <c r="AE19" i="1" s="1"/>
  <c r="AD19" i="1" s="1"/>
  <c r="Q19" i="1"/>
  <c r="V183" i="19" l="1"/>
  <c r="V51" i="19"/>
  <c r="J183" i="19"/>
  <c r="P7" i="19"/>
  <c r="P139" i="19"/>
  <c r="V7" i="19"/>
  <c r="M183" i="19"/>
  <c r="S7" i="19"/>
  <c r="V95" i="19"/>
  <c r="P183" i="19"/>
  <c r="S95" i="19"/>
  <c r="M139" i="19"/>
  <c r="V139" i="19"/>
  <c r="J51" i="19"/>
  <c r="P95" i="19"/>
  <c r="J95" i="19"/>
  <c r="M7" i="19"/>
  <c r="S183" i="19"/>
  <c r="S139" i="19"/>
  <c r="S51" i="19"/>
  <c r="P51" i="19"/>
  <c r="M95" i="19"/>
  <c r="J139" i="19"/>
  <c r="M51" i="19"/>
  <c r="V57" i="19"/>
  <c r="S13" i="19"/>
  <c r="M145" i="19"/>
  <c r="M13" i="19"/>
  <c r="V145" i="19"/>
  <c r="V189" i="19"/>
  <c r="P101" i="19"/>
  <c r="S145" i="19"/>
  <c r="S101" i="19"/>
  <c r="J145" i="19"/>
  <c r="V13" i="19"/>
  <c r="P13" i="19"/>
  <c r="M101" i="19"/>
  <c r="V101" i="19"/>
  <c r="M57" i="19"/>
  <c r="J13" i="19"/>
  <c r="P145" i="19"/>
  <c r="S189" i="19"/>
  <c r="J57" i="19"/>
  <c r="P189" i="19"/>
  <c r="J189" i="19"/>
  <c r="S57" i="19"/>
  <c r="P57" i="19"/>
  <c r="J101" i="19"/>
  <c r="M189" i="19"/>
  <c r="S119" i="19"/>
  <c r="P119" i="19"/>
  <c r="J163" i="19"/>
  <c r="V207" i="19"/>
  <c r="J119" i="19"/>
  <c r="M31" i="19"/>
  <c r="V163" i="19"/>
  <c r="M163" i="19"/>
  <c r="J31" i="19"/>
  <c r="P163" i="19"/>
  <c r="S207" i="19"/>
  <c r="S163" i="19"/>
  <c r="M119" i="19"/>
  <c r="J75" i="19"/>
  <c r="S31" i="19"/>
  <c r="V31" i="19"/>
  <c r="S75" i="19"/>
  <c r="M75" i="19"/>
  <c r="V119" i="19"/>
  <c r="P207" i="19"/>
  <c r="J207" i="19"/>
  <c r="V75" i="19"/>
  <c r="M207" i="19"/>
  <c r="P75" i="19"/>
  <c r="P31" i="19"/>
  <c r="S38" i="19"/>
  <c r="P214" i="19"/>
  <c r="J82" i="19"/>
  <c r="J214" i="19"/>
  <c r="V126" i="19"/>
  <c r="V82" i="19"/>
  <c r="M82" i="19"/>
  <c r="M170" i="19"/>
  <c r="J170" i="19"/>
  <c r="V170" i="19"/>
  <c r="S170" i="19"/>
  <c r="M38" i="19"/>
  <c r="S214" i="19"/>
  <c r="P126" i="19"/>
  <c r="P170" i="19"/>
  <c r="V214" i="19"/>
  <c r="P38" i="19"/>
  <c r="J126" i="19"/>
  <c r="V38" i="19"/>
  <c r="P82" i="19"/>
  <c r="M214" i="19"/>
  <c r="S82" i="19"/>
  <c r="M126" i="19"/>
  <c r="J38" i="19"/>
  <c r="S126" i="19"/>
  <c r="V157" i="19"/>
  <c r="P113" i="19"/>
  <c r="M69" i="19"/>
  <c r="J69" i="19"/>
  <c r="S25" i="19"/>
  <c r="S201" i="19"/>
  <c r="V25" i="19"/>
  <c r="P157" i="19"/>
  <c r="V69" i="19"/>
  <c r="P201" i="19"/>
  <c r="M25" i="19"/>
  <c r="P69" i="19"/>
  <c r="S69" i="19"/>
  <c r="S157" i="19"/>
  <c r="J157" i="19"/>
  <c r="J25" i="19"/>
  <c r="S113" i="19"/>
  <c r="M157" i="19"/>
  <c r="M201" i="19"/>
  <c r="V113" i="19"/>
  <c r="J201" i="19"/>
  <c r="J113" i="19"/>
  <c r="V201" i="19"/>
  <c r="M113" i="19"/>
  <c r="P25" i="19"/>
  <c r="S197" i="19"/>
  <c r="V21" i="19"/>
  <c r="M197" i="19"/>
  <c r="V197" i="19"/>
  <c r="V109" i="19"/>
  <c r="P21" i="19"/>
  <c r="J197" i="19"/>
  <c r="P109" i="19"/>
  <c r="S153" i="19"/>
  <c r="M65" i="19"/>
  <c r="J153" i="19"/>
  <c r="J21" i="19"/>
  <c r="S65" i="19"/>
  <c r="P65" i="19"/>
  <c r="J65" i="19"/>
  <c r="V153" i="19"/>
  <c r="P153" i="19"/>
  <c r="M153" i="19"/>
  <c r="M21" i="19"/>
  <c r="S21" i="19"/>
  <c r="S109" i="19"/>
  <c r="V65" i="19"/>
  <c r="P197" i="19"/>
  <c r="M109" i="19"/>
  <c r="J109" i="19"/>
  <c r="S180" i="19"/>
  <c r="S48" i="19"/>
  <c r="J48" i="19"/>
  <c r="V136" i="19"/>
  <c r="M92" i="19"/>
  <c r="M180" i="19"/>
  <c r="V180" i="19"/>
  <c r="P224" i="19"/>
  <c r="P180" i="19"/>
  <c r="J224" i="19"/>
  <c r="S136" i="19"/>
  <c r="P136" i="19"/>
  <c r="M48" i="19"/>
  <c r="J136" i="19"/>
  <c r="V92" i="19"/>
  <c r="S92" i="19"/>
  <c r="P48" i="19"/>
  <c r="S224" i="19"/>
  <c r="M224" i="19"/>
  <c r="V48" i="19"/>
  <c r="M136" i="19"/>
  <c r="J180" i="19"/>
  <c r="V224" i="19"/>
  <c r="P92" i="19"/>
  <c r="J92" i="19"/>
  <c r="V130" i="19"/>
  <c r="P218" i="19"/>
  <c r="M174" i="19"/>
  <c r="V174" i="19"/>
  <c r="V218" i="19"/>
  <c r="M130" i="19"/>
  <c r="S218" i="19"/>
  <c r="P130" i="19"/>
  <c r="P174" i="19"/>
  <c r="S174" i="19"/>
  <c r="P42" i="19"/>
  <c r="J218" i="19"/>
  <c r="S42" i="19"/>
  <c r="M86" i="19"/>
  <c r="J174" i="19"/>
  <c r="V42" i="19"/>
  <c r="M42" i="19"/>
  <c r="J86" i="19"/>
  <c r="S130" i="19"/>
  <c r="J130" i="19"/>
  <c r="S86" i="19"/>
  <c r="P86" i="19"/>
  <c r="J42" i="19"/>
  <c r="V86" i="19"/>
  <c r="M218" i="19"/>
  <c r="V132" i="19"/>
  <c r="S88" i="19"/>
  <c r="M176" i="19"/>
  <c r="S176" i="19"/>
  <c r="P44" i="19"/>
  <c r="S132" i="19"/>
  <c r="M220" i="19"/>
  <c r="J132" i="19"/>
  <c r="V44" i="19"/>
  <c r="M44" i="19"/>
  <c r="J44" i="19"/>
  <c r="P132" i="19"/>
  <c r="V176" i="19"/>
  <c r="M88" i="19"/>
  <c r="M132" i="19"/>
  <c r="J176" i="19"/>
  <c r="P176" i="19"/>
  <c r="S44" i="19"/>
  <c r="P88" i="19"/>
  <c r="V88" i="19"/>
  <c r="V220" i="19"/>
  <c r="S220" i="19"/>
  <c r="J220" i="19"/>
  <c r="J88" i="19"/>
  <c r="P220" i="19"/>
  <c r="V76" i="19"/>
  <c r="P208" i="19"/>
  <c r="M32" i="19"/>
  <c r="J164" i="19"/>
  <c r="V120" i="19"/>
  <c r="S120" i="19"/>
  <c r="M208" i="19"/>
  <c r="V164" i="19"/>
  <c r="S32" i="19"/>
  <c r="M164" i="19"/>
  <c r="S208" i="19"/>
  <c r="P164" i="19"/>
  <c r="J76" i="19"/>
  <c r="S164" i="19"/>
  <c r="P120" i="19"/>
  <c r="M120" i="19"/>
  <c r="V208" i="19"/>
  <c r="P32" i="19"/>
  <c r="J120" i="19"/>
  <c r="P76" i="19"/>
  <c r="V32" i="19"/>
  <c r="M76" i="19"/>
  <c r="J32" i="19"/>
  <c r="S76" i="19"/>
  <c r="J208" i="19"/>
  <c r="AF106" i="1"/>
  <c r="V215" i="19"/>
  <c r="P171" i="19"/>
  <c r="P39" i="19"/>
  <c r="M127" i="19"/>
  <c r="V39" i="19"/>
  <c r="P215" i="19"/>
  <c r="M171" i="19"/>
  <c r="V171" i="19"/>
  <c r="V83" i="19"/>
  <c r="P83" i="19"/>
  <c r="V127" i="19"/>
  <c r="S39" i="19"/>
  <c r="M83" i="19"/>
  <c r="S127" i="19"/>
  <c r="P127" i="19"/>
  <c r="J127" i="19"/>
  <c r="S83" i="19"/>
  <c r="S215" i="19"/>
  <c r="M215" i="19"/>
  <c r="J83" i="19"/>
  <c r="J215" i="19"/>
  <c r="S171" i="19"/>
  <c r="M39" i="19"/>
  <c r="J39" i="19"/>
  <c r="J171" i="19"/>
  <c r="V199" i="19"/>
  <c r="S199" i="19"/>
  <c r="M67" i="19"/>
  <c r="J111" i="19"/>
  <c r="S67" i="19"/>
  <c r="V23" i="19"/>
  <c r="P111" i="19"/>
  <c r="P23" i="19"/>
  <c r="V111" i="19"/>
  <c r="V155" i="19"/>
  <c r="M111" i="19"/>
  <c r="S111" i="19"/>
  <c r="S23" i="19"/>
  <c r="J155" i="19"/>
  <c r="P155" i="19"/>
  <c r="M23" i="19"/>
  <c r="J67" i="19"/>
  <c r="S155" i="19"/>
  <c r="P199" i="19"/>
  <c r="M155" i="19"/>
  <c r="P67" i="19"/>
  <c r="V67" i="19"/>
  <c r="M199" i="19"/>
  <c r="J23" i="19"/>
  <c r="J199" i="19"/>
  <c r="AF37" i="1"/>
  <c r="P192" i="19"/>
  <c r="P60" i="19"/>
  <c r="J104" i="19"/>
  <c r="V16" i="19"/>
  <c r="M192" i="19"/>
  <c r="M104" i="19"/>
  <c r="V104" i="19"/>
  <c r="S104" i="19"/>
  <c r="P148" i="19"/>
  <c r="J16" i="19"/>
  <c r="V148" i="19"/>
  <c r="S60" i="19"/>
  <c r="M16" i="19"/>
  <c r="S192" i="19"/>
  <c r="S16" i="19"/>
  <c r="J192" i="19"/>
  <c r="S148" i="19"/>
  <c r="P16" i="19"/>
  <c r="M148" i="19"/>
  <c r="V60" i="19"/>
  <c r="P104" i="19"/>
  <c r="J148" i="19"/>
  <c r="V192" i="19"/>
  <c r="M60" i="19"/>
  <c r="J60" i="19"/>
  <c r="AF67" i="1"/>
  <c r="V158" i="19"/>
  <c r="P114" i="19"/>
  <c r="P70" i="19"/>
  <c r="P158" i="19"/>
  <c r="M158" i="19"/>
  <c r="J114" i="19"/>
  <c r="M70" i="19"/>
  <c r="V202" i="19"/>
  <c r="V26" i="19"/>
  <c r="M114" i="19"/>
  <c r="J70" i="19"/>
  <c r="P202" i="19"/>
  <c r="V70" i="19"/>
  <c r="V114" i="19"/>
  <c r="M202" i="19"/>
  <c r="J202" i="19"/>
  <c r="J158" i="19"/>
  <c r="S114" i="19"/>
  <c r="M26" i="19"/>
  <c r="J26" i="19"/>
  <c r="S26" i="19"/>
  <c r="S202" i="19"/>
  <c r="P26" i="19"/>
  <c r="S70" i="19"/>
  <c r="S158" i="19"/>
  <c r="V169" i="19"/>
  <c r="P213" i="19"/>
  <c r="P125" i="19"/>
  <c r="S213" i="19"/>
  <c r="S125" i="19"/>
  <c r="J125" i="19"/>
  <c r="V125" i="19"/>
  <c r="S37" i="19"/>
  <c r="J213" i="19"/>
  <c r="J169" i="19"/>
  <c r="S81" i="19"/>
  <c r="J37" i="19"/>
  <c r="V37" i="19"/>
  <c r="P37" i="19"/>
  <c r="P81" i="19"/>
  <c r="P169" i="19"/>
  <c r="M169" i="19"/>
  <c r="S169" i="19"/>
  <c r="M81" i="19"/>
  <c r="M37" i="19"/>
  <c r="V81" i="19"/>
  <c r="M125" i="19"/>
  <c r="V213" i="19"/>
  <c r="M213" i="19"/>
  <c r="J81" i="19"/>
  <c r="V68" i="19"/>
  <c r="S68" i="19"/>
  <c r="M112" i="19"/>
  <c r="J156" i="19"/>
  <c r="P156" i="19"/>
  <c r="S112" i="19"/>
  <c r="V112" i="19"/>
  <c r="P200" i="19"/>
  <c r="P68" i="19"/>
  <c r="V156" i="19"/>
  <c r="S24" i="19"/>
  <c r="P112" i="19"/>
  <c r="J200" i="19"/>
  <c r="S200" i="19"/>
  <c r="V24" i="19"/>
  <c r="P24" i="19"/>
  <c r="M24" i="19"/>
  <c r="M156" i="19"/>
  <c r="S156" i="19"/>
  <c r="M68" i="19"/>
  <c r="J68" i="19"/>
  <c r="J24" i="19"/>
  <c r="V200" i="19"/>
  <c r="M200" i="19"/>
  <c r="J112" i="19"/>
  <c r="AF25" i="1"/>
  <c r="V144" i="19"/>
  <c r="P144" i="19"/>
  <c r="M188" i="19"/>
  <c r="J100" i="19"/>
  <c r="M12" i="19"/>
  <c r="V12" i="19"/>
  <c r="P56" i="19"/>
  <c r="M56" i="19"/>
  <c r="V188" i="19"/>
  <c r="S12" i="19"/>
  <c r="P12" i="19"/>
  <c r="S100" i="19"/>
  <c r="J188" i="19"/>
  <c r="J144" i="19"/>
  <c r="S188" i="19"/>
  <c r="V56" i="19"/>
  <c r="P100" i="19"/>
  <c r="M100" i="19"/>
  <c r="M144" i="19"/>
  <c r="V100" i="19"/>
  <c r="S56" i="19"/>
  <c r="J56" i="19"/>
  <c r="S144" i="19"/>
  <c r="P188" i="19"/>
  <c r="J12" i="19"/>
  <c r="AF70" i="1"/>
  <c r="V115" i="19"/>
  <c r="S71" i="19"/>
  <c r="P27" i="19"/>
  <c r="J203" i="19"/>
  <c r="J27" i="19"/>
  <c r="P115" i="19"/>
  <c r="V203" i="19"/>
  <c r="S159" i="19"/>
  <c r="M27" i="19"/>
  <c r="V27" i="19"/>
  <c r="S115" i="19"/>
  <c r="M203" i="19"/>
  <c r="P159" i="19"/>
  <c r="S203" i="19"/>
  <c r="P71" i="19"/>
  <c r="M159" i="19"/>
  <c r="S27" i="19"/>
  <c r="M71" i="19"/>
  <c r="V159" i="19"/>
  <c r="M115" i="19"/>
  <c r="J71" i="19"/>
  <c r="P203" i="19"/>
  <c r="V71" i="19"/>
  <c r="J159" i="19"/>
  <c r="J115" i="19"/>
  <c r="S143" i="19"/>
  <c r="M55" i="19"/>
  <c r="J99" i="19"/>
  <c r="S11" i="19"/>
  <c r="P143" i="19"/>
  <c r="M143" i="19"/>
  <c r="V99" i="19"/>
  <c r="V143" i="19"/>
  <c r="P11" i="19"/>
  <c r="J11" i="19"/>
  <c r="M99" i="19"/>
  <c r="V187" i="19"/>
  <c r="S99" i="19"/>
  <c r="S55" i="19"/>
  <c r="V55" i="19"/>
  <c r="V11" i="19"/>
  <c r="P55" i="19"/>
  <c r="M11" i="19"/>
  <c r="P187" i="19"/>
  <c r="J187" i="19"/>
  <c r="J55" i="19"/>
  <c r="P99" i="19"/>
  <c r="S187" i="19"/>
  <c r="J143" i="19"/>
  <c r="M187" i="19"/>
  <c r="S87" i="19"/>
  <c r="S175" i="19"/>
  <c r="J175" i="19"/>
  <c r="V43" i="19"/>
  <c r="M175" i="19"/>
  <c r="J43" i="19"/>
  <c r="S131" i="19"/>
  <c r="J219" i="19"/>
  <c r="J87" i="19"/>
  <c r="V131" i="19"/>
  <c r="P87" i="19"/>
  <c r="J131" i="19"/>
  <c r="P175" i="19"/>
  <c r="V219" i="19"/>
  <c r="M131" i="19"/>
  <c r="P219" i="19"/>
  <c r="V175" i="19"/>
  <c r="S43" i="19"/>
  <c r="P43" i="19"/>
  <c r="M219" i="19"/>
  <c r="S219" i="19"/>
  <c r="P131" i="19"/>
  <c r="M87" i="19"/>
  <c r="V87" i="19"/>
  <c r="M43" i="19"/>
  <c r="V103" i="19"/>
  <c r="S59" i="19"/>
  <c r="M103" i="19"/>
  <c r="V147" i="19"/>
  <c r="P103" i="19"/>
  <c r="P15" i="19"/>
  <c r="S191" i="19"/>
  <c r="M191" i="19"/>
  <c r="J147" i="19"/>
  <c r="S103" i="19"/>
  <c r="M15" i="19"/>
  <c r="J15" i="19"/>
  <c r="V59" i="19"/>
  <c r="M59" i="19"/>
  <c r="J59" i="19"/>
  <c r="S147" i="19"/>
  <c r="S15" i="19"/>
  <c r="J103" i="19"/>
  <c r="V15" i="19"/>
  <c r="M147" i="19"/>
  <c r="V191" i="19"/>
  <c r="P147" i="19"/>
  <c r="P59" i="19"/>
  <c r="J191" i="19"/>
  <c r="P191" i="19"/>
  <c r="V91" i="19"/>
  <c r="S47" i="19"/>
  <c r="P91" i="19"/>
  <c r="J47" i="19"/>
  <c r="P179" i="19"/>
  <c r="M135" i="19"/>
  <c r="V223" i="19"/>
  <c r="V47" i="19"/>
  <c r="M91" i="19"/>
  <c r="V179" i="19"/>
  <c r="M223" i="19"/>
  <c r="P135" i="19"/>
  <c r="J223" i="19"/>
  <c r="J91" i="19"/>
  <c r="S223" i="19"/>
  <c r="S135" i="19"/>
  <c r="J179" i="19"/>
  <c r="M179" i="19"/>
  <c r="V135" i="19"/>
  <c r="P223" i="19"/>
  <c r="P47" i="19"/>
  <c r="M47" i="19"/>
  <c r="J135" i="19"/>
  <c r="S179" i="19"/>
  <c r="S91" i="19"/>
  <c r="AF13" i="1"/>
  <c r="V52" i="19"/>
  <c r="M184" i="19"/>
  <c r="P96" i="19"/>
  <c r="S96" i="19"/>
  <c r="M140" i="19"/>
  <c r="S140" i="19"/>
  <c r="J52" i="19"/>
  <c r="V184" i="19"/>
  <c r="M52" i="19"/>
  <c r="J184" i="19"/>
  <c r="P52" i="19"/>
  <c r="V96" i="19"/>
  <c r="J140" i="19"/>
  <c r="V140" i="19"/>
  <c r="S8" i="19"/>
  <c r="S52" i="19"/>
  <c r="P140" i="19"/>
  <c r="M96" i="19"/>
  <c r="J96" i="19"/>
  <c r="P184" i="19"/>
  <c r="J8" i="19"/>
  <c r="V8" i="19"/>
  <c r="P8" i="19"/>
  <c r="S184" i="19"/>
  <c r="M8" i="19"/>
  <c r="S186" i="19"/>
  <c r="P10" i="19"/>
  <c r="J54" i="19"/>
  <c r="S54" i="19"/>
  <c r="M142" i="19"/>
  <c r="J98" i="19"/>
  <c r="P142" i="19"/>
  <c r="M98" i="19"/>
  <c r="V142" i="19"/>
  <c r="V186" i="19"/>
  <c r="P186" i="19"/>
  <c r="V10" i="19"/>
  <c r="P54" i="19"/>
  <c r="V54" i="19"/>
  <c r="P98" i="19"/>
  <c r="J186" i="19"/>
  <c r="M10" i="19"/>
  <c r="V98" i="19"/>
  <c r="S10" i="19"/>
  <c r="J142" i="19"/>
  <c r="M54" i="19"/>
  <c r="S98" i="19"/>
  <c r="M186" i="19"/>
  <c r="J10" i="19"/>
  <c r="S142" i="19"/>
  <c r="S90" i="19"/>
  <c r="P90" i="19"/>
  <c r="M222" i="19"/>
  <c r="S134" i="19"/>
  <c r="P222" i="19"/>
  <c r="M46" i="19"/>
  <c r="S178" i="19"/>
  <c r="S222" i="19"/>
  <c r="M178" i="19"/>
  <c r="J134" i="19"/>
  <c r="J46" i="19"/>
  <c r="M90" i="19"/>
  <c r="J222" i="19"/>
  <c r="P178" i="19"/>
  <c r="V178" i="19"/>
  <c r="V134" i="19"/>
  <c r="M134" i="19"/>
  <c r="J90" i="19"/>
  <c r="V222" i="19"/>
  <c r="P134" i="19"/>
  <c r="P46" i="19"/>
  <c r="V90" i="19"/>
  <c r="V46" i="19"/>
  <c r="S46" i="19"/>
  <c r="J178" i="19"/>
  <c r="S121" i="19"/>
  <c r="P77" i="19"/>
  <c r="J77" i="19"/>
  <c r="V33" i="19"/>
  <c r="S77" i="19"/>
  <c r="J209" i="19"/>
  <c r="M77" i="19"/>
  <c r="S165" i="19"/>
  <c r="M209" i="19"/>
  <c r="J165" i="19"/>
  <c r="P165" i="19"/>
  <c r="V165" i="19"/>
  <c r="S33" i="19"/>
  <c r="P33" i="19"/>
  <c r="J33" i="19"/>
  <c r="S209" i="19"/>
  <c r="V121" i="19"/>
  <c r="M33" i="19"/>
  <c r="V77" i="19"/>
  <c r="P121" i="19"/>
  <c r="M121" i="19"/>
  <c r="V209" i="19"/>
  <c r="P209" i="19"/>
  <c r="J121" i="19"/>
  <c r="M165" i="19"/>
  <c r="W18" i="19"/>
  <c r="Q18" i="19"/>
  <c r="K150" i="19"/>
  <c r="W106" i="19"/>
  <c r="N62" i="19"/>
  <c r="K62" i="19"/>
  <c r="T106" i="19"/>
  <c r="T62" i="19"/>
  <c r="K106" i="19"/>
  <c r="Q150" i="19"/>
  <c r="N194" i="19"/>
  <c r="Q62" i="19"/>
  <c r="W62" i="19"/>
  <c r="Q194" i="19"/>
  <c r="N150" i="19"/>
  <c r="N106" i="19"/>
  <c r="W150" i="19"/>
  <c r="W194" i="19"/>
  <c r="N18" i="19"/>
  <c r="Q106" i="19"/>
  <c r="T194" i="19"/>
  <c r="T18" i="19"/>
  <c r="K18" i="19"/>
  <c r="T150" i="19"/>
  <c r="K194" i="19"/>
  <c r="S116" i="19"/>
  <c r="M116" i="19"/>
  <c r="J116" i="19"/>
  <c r="P204" i="19"/>
  <c r="S72" i="19"/>
  <c r="S28" i="19"/>
  <c r="J72" i="19"/>
  <c r="V160" i="19"/>
  <c r="S160" i="19"/>
  <c r="M72" i="19"/>
  <c r="J28" i="19"/>
  <c r="S204" i="19"/>
  <c r="M204" i="19"/>
  <c r="V204" i="19"/>
  <c r="P160" i="19"/>
  <c r="M28" i="19"/>
  <c r="V28" i="19"/>
  <c r="P72" i="19"/>
  <c r="J160" i="19"/>
  <c r="V72" i="19"/>
  <c r="M160" i="19"/>
  <c r="P116" i="19"/>
  <c r="V116" i="19"/>
  <c r="J204" i="19"/>
  <c r="P28" i="19"/>
  <c r="S102" i="19"/>
  <c r="S146" i="19"/>
  <c r="J58" i="19"/>
  <c r="V102" i="19"/>
  <c r="S14" i="19"/>
  <c r="P146" i="19"/>
  <c r="J14" i="19"/>
  <c r="V146" i="19"/>
  <c r="P102" i="19"/>
  <c r="J190" i="19"/>
  <c r="S190" i="19"/>
  <c r="P14" i="19"/>
  <c r="M190" i="19"/>
  <c r="V190" i="19"/>
  <c r="P58" i="19"/>
  <c r="M146" i="19"/>
  <c r="P190" i="19"/>
  <c r="V14" i="19"/>
  <c r="M102" i="19"/>
  <c r="M14" i="19"/>
  <c r="V58" i="19"/>
  <c r="J102" i="19"/>
  <c r="S58" i="19"/>
  <c r="J146" i="19"/>
  <c r="M58" i="19"/>
  <c r="S105" i="19"/>
  <c r="M149" i="19"/>
  <c r="J105" i="19"/>
  <c r="P17" i="19"/>
  <c r="V17" i="19"/>
  <c r="J193" i="19"/>
  <c r="M193" i="19"/>
  <c r="S149" i="19"/>
  <c r="S61" i="19"/>
  <c r="S17" i="19"/>
  <c r="P61" i="19"/>
  <c r="M105" i="19"/>
  <c r="J17" i="19"/>
  <c r="M17" i="19"/>
  <c r="V149" i="19"/>
  <c r="V105" i="19"/>
  <c r="P193" i="19"/>
  <c r="J61" i="19"/>
  <c r="V61" i="19"/>
  <c r="P105" i="19"/>
  <c r="M61" i="19"/>
  <c r="P149" i="19"/>
  <c r="V193" i="19"/>
  <c r="S193" i="19"/>
  <c r="J149" i="19"/>
  <c r="V141" i="19"/>
  <c r="S141" i="19"/>
  <c r="M185" i="19"/>
  <c r="J53" i="19"/>
  <c r="S185" i="19"/>
  <c r="P9" i="19"/>
  <c r="V97" i="19"/>
  <c r="P185" i="19"/>
  <c r="V9" i="19"/>
  <c r="M9" i="19"/>
  <c r="M141" i="19"/>
  <c r="J185" i="19"/>
  <c r="P141" i="19"/>
  <c r="J9" i="19"/>
  <c r="M53" i="19"/>
  <c r="V53" i="19"/>
  <c r="M97" i="19"/>
  <c r="P97" i="19"/>
  <c r="J97" i="19"/>
  <c r="S53" i="19"/>
  <c r="J141" i="19"/>
  <c r="P53" i="19"/>
  <c r="V185" i="19"/>
  <c r="S9" i="19"/>
  <c r="S97" i="19"/>
  <c r="V177" i="19"/>
  <c r="M133" i="19"/>
  <c r="J45" i="19"/>
  <c r="S89" i="19"/>
  <c r="J177" i="19"/>
  <c r="M89" i="19"/>
  <c r="P177" i="19"/>
  <c r="S221" i="19"/>
  <c r="M45" i="19"/>
  <c r="P45" i="19"/>
  <c r="V133" i="19"/>
  <c r="P221" i="19"/>
  <c r="M177" i="19"/>
  <c r="V221" i="19"/>
  <c r="S133" i="19"/>
  <c r="M221" i="19"/>
  <c r="S45" i="19"/>
  <c r="J89" i="19"/>
  <c r="V45" i="19"/>
  <c r="S177" i="19"/>
  <c r="J221" i="19"/>
  <c r="P89" i="19"/>
  <c r="V89" i="19"/>
  <c r="P133" i="19"/>
  <c r="J133" i="19"/>
  <c r="S161" i="19"/>
  <c r="P29" i="19"/>
  <c r="J73" i="19"/>
  <c r="V205" i="19"/>
  <c r="V117" i="19"/>
  <c r="M73" i="19"/>
  <c r="J205" i="19"/>
  <c r="S73" i="19"/>
  <c r="P73" i="19"/>
  <c r="J117" i="19"/>
  <c r="J29" i="19"/>
  <c r="M205" i="19"/>
  <c r="V73" i="19"/>
  <c r="P161" i="19"/>
  <c r="M29" i="19"/>
  <c r="J161" i="19"/>
  <c r="S29" i="19"/>
  <c r="V29" i="19"/>
  <c r="V161" i="19"/>
  <c r="S117" i="19"/>
  <c r="M161" i="19"/>
  <c r="S205" i="19"/>
  <c r="P205" i="19"/>
  <c r="M117" i="19"/>
  <c r="P117" i="19"/>
  <c r="S110" i="19"/>
  <c r="J154" i="19"/>
  <c r="M154" i="19"/>
  <c r="S154" i="19"/>
  <c r="S22" i="19"/>
  <c r="P154" i="19"/>
  <c r="J66" i="19"/>
  <c r="V154" i="19"/>
  <c r="V110" i="19"/>
  <c r="V66" i="19"/>
  <c r="M66" i="19"/>
  <c r="J198" i="19"/>
  <c r="M22" i="19"/>
  <c r="S198" i="19"/>
  <c r="P110" i="19"/>
  <c r="M198" i="19"/>
  <c r="M110" i="19"/>
  <c r="V198" i="19"/>
  <c r="P22" i="19"/>
  <c r="P198" i="19"/>
  <c r="V22" i="19"/>
  <c r="P66" i="19"/>
  <c r="J110" i="19"/>
  <c r="S66" i="19"/>
  <c r="J22" i="19"/>
  <c r="S118" i="19"/>
  <c r="M206" i="19"/>
  <c r="J30" i="19"/>
  <c r="V118" i="19"/>
  <c r="S30" i="19"/>
  <c r="P162" i="19"/>
  <c r="J74" i="19"/>
  <c r="M118" i="19"/>
  <c r="V162" i="19"/>
  <c r="P118" i="19"/>
  <c r="M162" i="19"/>
  <c r="S206" i="19"/>
  <c r="P30" i="19"/>
  <c r="M74" i="19"/>
  <c r="M30" i="19"/>
  <c r="V206" i="19"/>
  <c r="P74" i="19"/>
  <c r="J206" i="19"/>
  <c r="S74" i="19"/>
  <c r="J162" i="19"/>
  <c r="J118" i="19"/>
  <c r="V30" i="19"/>
  <c r="V74" i="19"/>
  <c r="S162" i="19"/>
  <c r="P206" i="19"/>
  <c r="AF47" i="1"/>
  <c r="W107" i="19"/>
  <c r="T19" i="19"/>
  <c r="N151" i="19"/>
  <c r="K63" i="19"/>
  <c r="N195" i="19"/>
  <c r="W151" i="19"/>
  <c r="Q107" i="19"/>
  <c r="N19" i="19"/>
  <c r="K19" i="19"/>
  <c r="T195" i="19"/>
  <c r="Q19" i="19"/>
  <c r="Q151" i="19"/>
  <c r="T107" i="19"/>
  <c r="T151" i="19"/>
  <c r="W195" i="19"/>
  <c r="Q195" i="19"/>
  <c r="K195" i="19"/>
  <c r="W19" i="19"/>
  <c r="Q63" i="19"/>
  <c r="K107" i="19"/>
  <c r="W63" i="19"/>
  <c r="T63" i="19"/>
  <c r="N107" i="19"/>
  <c r="N63" i="19"/>
  <c r="K151" i="19"/>
  <c r="S173" i="19"/>
  <c r="P41" i="19"/>
  <c r="J129" i="19"/>
  <c r="S217" i="19"/>
  <c r="S129" i="19"/>
  <c r="M217" i="19"/>
  <c r="J85" i="19"/>
  <c r="V217" i="19"/>
  <c r="S85" i="19"/>
  <c r="M173" i="19"/>
  <c r="V173" i="19"/>
  <c r="S41" i="19"/>
  <c r="M129" i="19"/>
  <c r="J173" i="19"/>
  <c r="V129" i="19"/>
  <c r="P217" i="19"/>
  <c r="M85" i="19"/>
  <c r="V85" i="19"/>
  <c r="P173" i="19"/>
  <c r="M41" i="19"/>
  <c r="V41" i="19"/>
  <c r="P129" i="19"/>
  <c r="J217" i="19"/>
  <c r="J41" i="19"/>
  <c r="P85" i="19"/>
  <c r="M40" i="19"/>
  <c r="V40" i="19"/>
  <c r="J216" i="19"/>
  <c r="S216" i="19"/>
  <c r="J172" i="19"/>
  <c r="S172" i="19"/>
  <c r="J128" i="19"/>
  <c r="S128" i="19"/>
  <c r="J84" i="19"/>
  <c r="S84" i="19"/>
  <c r="S40" i="19"/>
  <c r="J40" i="19"/>
  <c r="P216" i="19"/>
  <c r="P172" i="19"/>
  <c r="V172" i="19"/>
  <c r="P128" i="19"/>
  <c r="P84" i="19"/>
  <c r="V84" i="19"/>
  <c r="P40" i="19"/>
  <c r="M128" i="19"/>
  <c r="M84" i="19"/>
  <c r="M216" i="19"/>
  <c r="V216" i="19"/>
  <c r="M172" i="19"/>
  <c r="V128" i="19"/>
  <c r="AE7" i="1"/>
  <c r="AD7" i="1" s="1"/>
  <c r="AE8" i="1"/>
  <c r="AD8" i="1" s="1"/>
  <c r="AF124" i="1"/>
  <c r="AF22" i="1"/>
  <c r="AF73" i="1"/>
  <c r="AF34" i="1"/>
  <c r="AF112" i="1"/>
  <c r="AF61" i="1"/>
  <c r="AF130" i="1"/>
  <c r="AF76" i="1"/>
  <c r="AF55" i="1"/>
  <c r="AF16" i="1"/>
  <c r="AF88" i="1"/>
  <c r="AF100" i="1"/>
  <c r="AF31" i="1"/>
  <c r="AF40" i="1"/>
  <c r="AF103" i="1"/>
  <c r="AF44" i="1"/>
  <c r="AF64" i="1"/>
  <c r="AF127" i="1"/>
  <c r="AF115" i="1"/>
  <c r="AE97" i="1"/>
  <c r="AD97" i="1" s="1"/>
  <c r="AE91" i="1"/>
  <c r="J7" i="19"/>
  <c r="AF10" i="1"/>
  <c r="AF121" i="1"/>
  <c r="AF52" i="1"/>
  <c r="AF28" i="1"/>
  <c r="AF109" i="1"/>
  <c r="AF82" i="1"/>
  <c r="AF19" i="1"/>
  <c r="AF133" i="1"/>
  <c r="AF118" i="1"/>
  <c r="AF79" i="1"/>
  <c r="AF58" i="1"/>
  <c r="AF85" i="1"/>
  <c r="W138" i="19" l="1"/>
  <c r="T182" i="19"/>
  <c r="N50" i="19"/>
  <c r="W50" i="19"/>
  <c r="T138" i="19"/>
  <c r="K138" i="19"/>
  <c r="T50" i="19"/>
  <c r="Q138" i="19"/>
  <c r="K94" i="19"/>
  <c r="T6" i="19"/>
  <c r="W94" i="19"/>
  <c r="Q94" i="19"/>
  <c r="N6" i="19"/>
  <c r="K50" i="19"/>
  <c r="T94" i="19"/>
  <c r="N138" i="19"/>
  <c r="N182" i="19"/>
  <c r="Q50" i="19"/>
  <c r="W182" i="19"/>
  <c r="K182" i="19"/>
  <c r="N94" i="19"/>
  <c r="W6" i="19"/>
  <c r="Q6" i="19"/>
  <c r="Q182" i="19"/>
  <c r="S6" i="19"/>
  <c r="M182" i="19"/>
  <c r="P182" i="19"/>
  <c r="V94" i="19"/>
  <c r="P6" i="19"/>
  <c r="M138" i="19"/>
  <c r="S94" i="19"/>
  <c r="J50" i="19"/>
  <c r="M6" i="19"/>
  <c r="P138" i="19"/>
  <c r="V138" i="19"/>
  <c r="V50" i="19"/>
  <c r="P94" i="19"/>
  <c r="V182" i="19"/>
  <c r="P50" i="19"/>
  <c r="M50" i="19"/>
  <c r="V6" i="19"/>
  <c r="M94" i="19"/>
  <c r="J182" i="19"/>
  <c r="S182" i="19"/>
  <c r="J138" i="19"/>
  <c r="S50" i="19"/>
  <c r="S138" i="19"/>
  <c r="J94" i="19"/>
  <c r="S80" i="19"/>
  <c r="M168" i="19"/>
  <c r="P212" i="19"/>
  <c r="V124" i="19"/>
  <c r="J212" i="19"/>
  <c r="J80" i="19"/>
  <c r="S124" i="19"/>
  <c r="M36" i="19"/>
  <c r="J168" i="19"/>
  <c r="S168" i="19"/>
  <c r="M212" i="19"/>
  <c r="J36" i="19"/>
  <c r="V168" i="19"/>
  <c r="S212" i="19"/>
  <c r="S36" i="19"/>
  <c r="J124" i="19"/>
  <c r="P80" i="19"/>
  <c r="V212" i="19"/>
  <c r="P124" i="19"/>
  <c r="M80" i="19"/>
  <c r="V80" i="19"/>
  <c r="V36" i="19"/>
  <c r="P168" i="19"/>
  <c r="P36" i="19"/>
  <c r="M124" i="19"/>
  <c r="J6" i="19"/>
  <c r="AF7" i="1"/>
  <c r="K6" i="19"/>
  <c r="AF8" i="1"/>
  <c r="AD91" i="1"/>
  <c r="AE94" i="1"/>
  <c r="AD94" i="1" s="1"/>
  <c r="AF97" i="1"/>
  <c r="V123" i="19" l="1"/>
  <c r="S35" i="19"/>
  <c r="M211" i="19"/>
  <c r="M35" i="19"/>
  <c r="V211" i="19"/>
  <c r="S123" i="19"/>
  <c r="M167" i="19"/>
  <c r="V35" i="19"/>
  <c r="P167" i="19"/>
  <c r="S167" i="19"/>
  <c r="V167" i="19"/>
  <c r="S211" i="19"/>
  <c r="P123" i="19"/>
  <c r="J79" i="19"/>
  <c r="M79" i="19"/>
  <c r="V79" i="19"/>
  <c r="P79" i="19"/>
  <c r="J35" i="19"/>
  <c r="S79" i="19"/>
  <c r="M123" i="19"/>
  <c r="P35" i="19"/>
  <c r="J123" i="19"/>
  <c r="P211" i="19"/>
  <c r="J167" i="19"/>
  <c r="J211" i="19"/>
  <c r="S122" i="19"/>
  <c r="M210" i="19"/>
  <c r="J210" i="19"/>
  <c r="S166" i="19"/>
  <c r="M34" i="19"/>
  <c r="J34" i="19"/>
  <c r="S210" i="19"/>
  <c r="P34" i="19"/>
  <c r="S78" i="19"/>
  <c r="P210" i="19"/>
  <c r="V34" i="19"/>
  <c r="M166" i="19"/>
  <c r="J166" i="19"/>
  <c r="V78" i="19"/>
  <c r="P122" i="19"/>
  <c r="P166" i="19"/>
  <c r="M122" i="19"/>
  <c r="J78" i="19"/>
  <c r="V122" i="19"/>
  <c r="V210" i="19"/>
  <c r="V166" i="19"/>
  <c r="M78" i="19"/>
  <c r="J122" i="19"/>
  <c r="S34" i="19"/>
  <c r="P78" i="19"/>
  <c r="AF94" i="1"/>
  <c r="AF91" i="1"/>
  <c r="A55" i="1"/>
  <c r="A58" i="1" l="1"/>
  <c r="AD66" i="18"/>
  <c r="A61" i="1" l="1"/>
  <c r="AF84" i="18"/>
  <c r="AH66" i="18" l="1"/>
  <c r="A64" i="1"/>
  <c r="AT48" i="18" l="1"/>
  <c r="A67" i="1"/>
  <c r="AV48" i="18" l="1"/>
  <c r="A70" i="1"/>
  <c r="AD32" i="18" l="1"/>
  <c r="A73" i="1"/>
  <c r="A76" i="1" l="1"/>
  <c r="V50" i="18"/>
  <c r="A79" i="1" l="1"/>
  <c r="X50" i="18"/>
  <c r="A82" i="1" l="1"/>
  <c r="Z50" i="18"/>
  <c r="AL50" i="18" l="1"/>
  <c r="A85" i="1"/>
  <c r="A88" i="1" l="1"/>
  <c r="J88" i="18"/>
  <c r="AP34" i="18" l="1"/>
  <c r="A91" i="1"/>
  <c r="A94" i="1" l="1"/>
  <c r="N70" i="18"/>
  <c r="A97" i="1" l="1"/>
  <c r="Z70" i="18"/>
  <c r="A100" i="1" l="1"/>
  <c r="AL70" i="18"/>
  <c r="AN54" i="18" l="1"/>
  <c r="A103" i="1"/>
  <c r="A106" i="1" l="1"/>
  <c r="AF72" i="18"/>
  <c r="A109" i="1" l="1"/>
  <c r="AH72" i="18"/>
  <c r="AJ54" i="18" l="1"/>
  <c r="A112" i="1"/>
  <c r="A115" i="1" l="1"/>
  <c r="AL54" i="18"/>
  <c r="AN56" i="18" l="1"/>
  <c r="A118" i="1"/>
  <c r="A121" i="1" l="1"/>
  <c r="AF38" i="18"/>
  <c r="A124" i="1" l="1"/>
  <c r="AH56" i="18"/>
  <c r="AT56" i="18" l="1"/>
  <c r="A127" i="1"/>
  <c r="A130" i="1" l="1"/>
  <c r="AV56" i="18"/>
  <c r="AN76" i="18" l="1"/>
  <c r="A133" i="1"/>
  <c r="A136" i="1" l="1"/>
  <c r="AF76" i="18"/>
</calcChain>
</file>

<file path=xl/sharedStrings.xml><?xml version="1.0" encoding="utf-8"?>
<sst xmlns="http://schemas.openxmlformats.org/spreadsheetml/2006/main" count="2353" uniqueCount="791">
  <si>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</si>
  <si>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</si>
  <si>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</si>
  <si>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</si>
  <si>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</si>
  <si>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</si>
  <si>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</si>
  <si>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</si>
  <si>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</si>
  <si>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</si>
  <si>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</si>
  <si>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</si>
  <si>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</si>
  <si>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</si>
  <si>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</si>
  <si>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</si>
  <si>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</si>
  <si>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</si>
  <si>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</si>
  <si>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</si>
  <si>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</si>
  <si>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</si>
  <si>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</si>
  <si>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</si>
  <si>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</si>
  <si>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</si>
  <si>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</si>
  <si>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</si>
  <si>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</si>
  <si>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</si>
  <si>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</si>
  <si>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</si>
  <si>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</si>
  <si>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</si>
  <si>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</si>
  <si>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</si>
  <si>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</si>
  <si>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</si>
  <si>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</si>
  <si>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</si>
  <si>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</si>
  <si>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</si>
  <si>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</si>
  <si>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</si>
  <si>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</si>
  <si>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</si>
  <si>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</si>
  <si>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</si>
  <si>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</si>
  <si>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</si>
  <si>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</si>
  <si>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</si>
  <si>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</si>
  <si>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</si>
  <si>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</si>
  <si>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</si>
  <si>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</si>
  <si>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</si>
  <si>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</si>
  <si>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</si>
  <si>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</si>
  <si>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</si>
  <si>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</si>
  <si>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</si>
  <si>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</si>
  <si>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</si>
  <si>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</si>
  <si>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</si>
  <si>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</si>
  <si>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</si>
  <si>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</si>
  <si>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</si>
  <si>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</si>
  <si>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</si>
  <si>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</si>
  <si>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</si>
  <si>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</si>
  <si>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</si>
  <si>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</si>
  <si>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</si>
  <si>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</si>
  <si>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</si>
  <si>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</si>
  <si>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</si>
  <si>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</si>
  <si>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</si>
  <si>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</si>
  <si>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</si>
  <si>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</si>
  <si>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</si>
  <si>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</si>
  <si>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</si>
  <si>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</si>
  <si>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</si>
  <si>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</si>
  <si>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</si>
  <si>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</si>
  <si>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</si>
  <si>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</si>
  <si>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</si>
  <si>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</si>
  <si>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</si>
  <si>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</si>
  <si>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</si>
  <si>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</si>
  <si>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</si>
  <si>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</si>
  <si>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</si>
  <si>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</si>
  <si>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</si>
  <si>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</si>
  <si>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</si>
  <si>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</si>
  <si>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</si>
  <si>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</si>
  <si>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</si>
  <si>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</si>
  <si>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</si>
  <si>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</si>
  <si>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</si>
  <si>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</si>
  <si>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</si>
  <si>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</si>
  <si>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</si>
  <si>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</si>
  <si>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</si>
  <si>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</si>
  <si>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</si>
  <si>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</si>
  <si>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</si>
  <si>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</si>
  <si>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</si>
  <si>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</si>
  <si>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</si>
  <si>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</si>
  <si>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</si>
  <si>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</si>
  <si>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</si>
  <si>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</si>
  <si>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</si>
  <si>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</si>
  <si>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</si>
  <si>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</si>
  <si>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</si>
  <si>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</si>
  <si>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</si>
  <si>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</si>
  <si>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</si>
  <si>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</si>
  <si>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</si>
  <si>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</si>
  <si>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</si>
  <si>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</si>
  <si>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</si>
  <si>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</si>
  <si>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</si>
  <si>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</si>
  <si>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</si>
  <si>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</si>
  <si>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</si>
  <si>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</si>
  <si>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</si>
  <si>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</si>
  <si>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</si>
  <si>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</si>
  <si>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</si>
  <si>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</si>
  <si>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</si>
  <si>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</si>
  <si>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</si>
  <si>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</si>
  <si>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</si>
  <si>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</si>
  <si>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</si>
  <si>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</si>
  <si>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</si>
  <si>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</si>
  <si>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</si>
  <si>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</si>
  <si>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</si>
  <si>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</si>
  <si>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</si>
  <si>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</si>
  <si>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</si>
  <si>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</si>
  <si>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</si>
  <si>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</si>
  <si>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</si>
  <si>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</si>
  <si>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</si>
  <si>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</si>
  <si>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Fecha Inicio</t>
  </si>
  <si>
    <t>Fecha fin</t>
  </si>
  <si>
    <t>Trimestral</t>
  </si>
  <si>
    <t>Entrega de información incompleta por parte de los procesos.</t>
  </si>
  <si>
    <t>Anual</t>
  </si>
  <si>
    <t>Periodicidad de Seguimiento</t>
  </si>
  <si>
    <t>Semestral</t>
  </si>
  <si>
    <t>Desconocimiento en el adecuado manejo de la información confidencial.</t>
  </si>
  <si>
    <t>Retrasos en la formulación de instrumentos de planeamiento.</t>
  </si>
  <si>
    <t xml:space="preserve">Multas, sanciones o demandas
</t>
  </si>
  <si>
    <t xml:space="preserve">
Demoras en la entrega de las obras de urbanismo
</t>
  </si>
  <si>
    <t>Mensual</t>
  </si>
  <si>
    <t>Diario</t>
  </si>
  <si>
    <t>Enero</t>
  </si>
  <si>
    <t>Diciembre</t>
  </si>
  <si>
    <t>Gestión Jurídica</t>
  </si>
  <si>
    <t>Soborno.
Intereses particulares.</t>
  </si>
  <si>
    <t>Acuerdos entre apoderados para viciar la defensa judicial durante las etapas del proceso.</t>
  </si>
  <si>
    <t>Gestión Contractual</t>
  </si>
  <si>
    <t>Posibilidad de recibir o solicitar cualquier dádiva o beneficio a nombre propio o de terceros con el fin de adjudicar un proceso de contratación para favorecer a personas o grupos determinados.</t>
  </si>
  <si>
    <t>Gestión de TIC</t>
  </si>
  <si>
    <t>Realizar seguimiento a la contratación de los servicios de mantenimiento preventivo y correctivo del hardware de la Empresa a través del Plan de Adquisiciones.</t>
  </si>
  <si>
    <t>Indisponibilidad de los servicios o infraestructura de TI.</t>
  </si>
  <si>
    <t>Gestión Financiera</t>
  </si>
  <si>
    <t>Evaluación y Seguimiento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</si>
  <si>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</si>
  <si>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Ejecución y Administración de procesos</t>
  </si>
  <si>
    <t>Daños Activos Físicos</t>
  </si>
  <si>
    <t>Fallas Tecnológicas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</si>
  <si>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</si>
  <si>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Fuente: Adaptado de Curso Riesgo Operativo Universidad del Rosario por Dirección de Gestión y Desempeño Institucional de Función Pública, 2020.</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</si>
  <si>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</si>
  <si>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Debilidad en los controles establecidos.</t>
  </si>
  <si>
    <t>Informar a las instancias internas y externas de control que corresponda.</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</si>
  <si>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</si>
  <si>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</si>
  <si>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Divulgación del procedimiento para solicitudes de Comunicaciones.</t>
  </si>
  <si>
    <t>Mantenimiento correctivo.</t>
  </si>
  <si>
    <t>Realizar seguimiento al contrato que soporta los servicios de TI, capacitar al personal del proceso de Gestión de TIC de acuerdo con la necesidad.</t>
  </si>
  <si>
    <t>Aplicar los ANS con el proveedor y restablecer el servicio.</t>
  </si>
  <si>
    <t>Generar el reporte a los entes internos y externos que corresponda.</t>
  </si>
  <si>
    <t>Gestión de Talento Humano</t>
  </si>
  <si>
    <t>Informar al jefe inmediato y generar una estrategia de convocatoria.</t>
  </si>
  <si>
    <t>Bajos niveles de agregación de valor para mejorar las operaciones en los procesos de gobierno, riesgos y control.</t>
  </si>
  <si>
    <t>Concentración de poder.</t>
  </si>
  <si>
    <t>Excesiva discrecionalidad.</t>
  </si>
  <si>
    <t>Dificultades en la contratación de estudios, demora en la emisión de respuestas o conceptos por parte de las entidades distritales.</t>
  </si>
  <si>
    <t>Vencimiento de términos judiciales.</t>
  </si>
  <si>
    <t>Descuido del apoderado en sus procesos judiciales.</t>
  </si>
  <si>
    <t>Posibilidad de afectación reputacional por el vencimiento de términos judiciales debido a descuido del apoderado en sus procesos judiciales.</t>
  </si>
  <si>
    <t xml:space="preserve">Manipulación indebida de documentos precontractuales. </t>
  </si>
  <si>
    <t>Alteración de la información financiera.</t>
  </si>
  <si>
    <t>Falta de conocimiento frente a la norma, la política y al manejo de las PQRS.</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</si>
  <si>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</si>
  <si>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</si>
  <si>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</si>
  <si>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</si>
  <si>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</si>
  <si>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</si>
  <si>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</si>
  <si>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</si>
  <si>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</si>
  <si>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</si>
  <si>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</si>
  <si>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</si>
  <si>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</si>
  <si>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</si>
  <si>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Elaborar y socializar un protocolo de seguridad de tesorería.</t>
  </si>
  <si>
    <t>Debilidad en la aplicación de controles a las operaciones financieras.</t>
  </si>
  <si>
    <t>Posibilidad de que, por acción u omisión, se use el poder para manipular de manera indebida los procesos judiciales para favorecer un interés particular.</t>
  </si>
  <si>
    <t>El Dependiente Judicial realiza control y vigilancia a los procesos judiciales a través de la Matriz de Seguimiento, en la cual se dejan las alertas que correspondan como insumo para los apoderados.</t>
  </si>
  <si>
    <t>Revisión del estado general de los procesos dentro del Comité de Autoevaluación.</t>
  </si>
  <si>
    <t>Posibilidad de que por acción, omisión o abuso de poder, se profieran decisiones a favor o en contra de los sujetos procesales en beneficio propio o de terceros.</t>
  </si>
  <si>
    <t>Mensualmente se realizan reuniones donde se actualiza el archivo de seguimiento disponible en Drive con las actuaciones realizadas en el mes y se verifican los términos.</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</si>
  <si>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</si>
  <si>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Materialización de la figura jurídica de la prescripción establecida en la ley.</t>
  </si>
  <si>
    <t>Presiones indebidas por un tercero o un superior jerárquico.
Recibir o solicitar dádivas o beneficios a nombre propio o de un tercero.</t>
  </si>
  <si>
    <t>Interés particular del servidor público.</t>
  </si>
  <si>
    <t>Posibilidad de que, por acción u omisión, haya uso indebido de información privilegiada para favorecimiento de un interés particular.</t>
  </si>
  <si>
    <t>A demanda</t>
  </si>
  <si>
    <t>El Gestor Senior 1 de atención al ciudadano cada vez que ingresa un colaborador genera la inducción en las temáticas de Atención al Ciudadano, resultado de esta reunión quedan las grabaciones y las listas de asistencia.</t>
  </si>
  <si>
    <t>Dar traslado con el auto de prescripción a la Personería o a la Procuraduría para que se tomen las decisiones pertinentes.</t>
  </si>
  <si>
    <t>Gestión del Conocimiento y la Innovación</t>
  </si>
  <si>
    <t>Acción de Contingencia ante posible materialización</t>
  </si>
  <si>
    <t>Direccionamiento y Planeación Institucional</t>
  </si>
  <si>
    <t xml:space="preserve">Establecer y liderar la implementación de metodologías, lineamientos estratégicos y de operación de la Empresa, para la programación y seguimiento al cumplimiento de objetivos, políticas y metas institucionales. </t>
  </si>
  <si>
    <t xml:space="preserve">Inicia con la definición y/o actualización del marco estratégico, incluye la definición de lineamientos y metodologías para la planeación, gestión y mejora, y termina con el seguimiento y la presentación de los resultados de la gestión institucional. </t>
  </si>
  <si>
    <t>Posibilidad de que por acción u omisión haya priorización de planes, programas o proyectos o de toma de decisiones para favorecer intereses particulares.</t>
  </si>
  <si>
    <t>El Comité Institucional de Gestión y Desempeño al inicio de cada vigencia verifica y aprueba los planes, programas o proyectos de inversión que se formulan de manera participativa entre la alta dirección y los responsables de los procesos. De otra parte, el Comité de Proyectos realiza la verificación objetiva de la viabilidad de los criterios técnicos, jurídicos, socioambientales y financieros, así como la alineación con los objetivos estratégicos de la empresa presentada por la Subgerencia de Planeamiento y Estructuración. En caso de encontrar alguna desviación se generan observaciones para presentar en siguiente iteración.</t>
  </si>
  <si>
    <t>Capacitar al equipo responsable en el uso y aplicación efectiva de las guías y procedimientos asociadas a la formulación de proyectos.</t>
  </si>
  <si>
    <t>Junio</t>
  </si>
  <si>
    <t>Demoras en la entrega de resultados consolidados.</t>
  </si>
  <si>
    <t>Los profesionales de la Oficina Asesora de Planeación de acuerdo con la periodicidad definida para el seguimiento de los elementos de los procesos (proyectos misionales, proyectos de inversión, plan de acción, plan de adecuación y elementos del SIG entre otros), validan la entrega de los reportes por parte los líderes de proceso, líderes operativos y/o responsables definidos, con el fin de consolidar y presentar los informes correspondientes para la toma de decisiones de la alta dirección, en caso de presentarse incumplimiento se reitera el requerimiento a través de correo electrónico y de ser necesario se realiza acompañamiento en el reporte para contar con la información oportuna. Una vez ajustada la información, se presenta ante la instancia correspondiente para seguimiento de la alta dirección de acuerdo con la programación definida.</t>
  </si>
  <si>
    <t>Semestralmente la Oficina Asesora de Planeación en el marco de las mesas de trabajo con los líderes operativos presenta el cronograma de seguimientos a realizar durante el periodo, esto con el fin de que los equipos de trabajo planifiquen la entrega de información de manera oportuna y veraz.</t>
  </si>
  <si>
    <t>Trimestralmente la Oficina Asesora de Planeación genera un ranking de oportunidad de reporte por parte de los líderes de proceso y líderes operativos y/o responsables definidos.</t>
  </si>
  <si>
    <t>Reportar a la Instancia de Seguimiento correspondiente para evitar que la situación se vuelva a repetir.</t>
  </si>
  <si>
    <t>Incumplimiento en los lineamientos establecidos por parte de los líderes de proceso, líderes operativos y/o responsables definidos.</t>
  </si>
  <si>
    <t>Toma de decisiones estratégicas inadecuadas.</t>
  </si>
  <si>
    <t>Uso de información con datos erróneos.</t>
  </si>
  <si>
    <t>Realizar mesa de trabajo de lecciones aprendidas frente a los errores más recurrentes en la presentación de informes por parte de los líderes de proceso, líderes operativos y/o responsables definidos.</t>
  </si>
  <si>
    <t xml:space="preserve">Relacionamiento y Comunicaciones </t>
  </si>
  <si>
    <t>Diseñar y desarrollar las políticas, planes y estrategias de relacionamiento estratégico, comunicación interna y externa de la Empresa necesarias para la promoción, posicionamiento y fortalecimiento de la imagen institucional.</t>
  </si>
  <si>
    <t>Inicia con la definición del Plan Estratégico de Comunicaciones, comprende las acciones de comunicación interna y externa, la gestión del modelo de relacionamiento con los grupos de interés y finaliza con la evaluación del Plan.</t>
  </si>
  <si>
    <t>Divulgación de información institucional confusa e inoportuna.</t>
  </si>
  <si>
    <t>El jefe y los profesionales de la Oficina Asesora de Relacionamiento y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</si>
  <si>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Asesorar y acompañar la implementación de la Política de Gestión del Conocimiento y la Innovación para materializar ideas, generar y preservar el conocimiento y generar una cultura de innovación que conlleven al mejoramiento del desempeño de la Empresa.</t>
  </si>
  <si>
    <t>Inicia con la definición del Plan y la Estrategia de Gestión del Conocimiento y la Innovación, comprende la implementación de mecanismos para generación o construcción del conocimiento y la innovación, su sistematización o documentación y finaliza con la implementación de acciones de mejora.</t>
  </si>
  <si>
    <t>Desactualización del conocimiento explicito.</t>
  </si>
  <si>
    <t>Pérdida del conocimiento crítico y/o estratégico de la empresa.</t>
  </si>
  <si>
    <t>Definir y documentar el control.</t>
  </si>
  <si>
    <t>Identificar el conocimiento critico y/o estratégico de la empresa.</t>
  </si>
  <si>
    <t>Septiembre</t>
  </si>
  <si>
    <t>Informar a las instancias que corresponda para actualizar el conocimiento explícito.</t>
  </si>
  <si>
    <t>Única</t>
  </si>
  <si>
    <t>Octubre</t>
  </si>
  <si>
    <t>Noviembre</t>
  </si>
  <si>
    <t>Gestión Urbana</t>
  </si>
  <si>
    <t xml:space="preserve">Liderar la formulación de los instrumentos de planeación con los estudios y diseños necesarios para determinar la viabilidad técnica, social y financiera, que deriven en la gestión y habilitación del suelo requerido para el desarrollo de los programas y proyectos de renovación y desarrollo urbano, a través de la Aplicación de instrumentos de gestión establecidos en la Ley. </t>
  </si>
  <si>
    <t xml:space="preserve">Inicia con la identificación y evaluación de las áreas de oportunidad, la elaboración de estudios técnicos, la radicación de la formulación del instrumento ante las autoridades competentes para su aprobación, además, incluye la administración de Sistemas de Información Geográfica. </t>
  </si>
  <si>
    <t>Cada vez que se requiere llevar a cabo una contratación, el abogado de la Dirección Técnica de Planeamiento y Gestión Urbana, verifica que en la solicitud de los contratos de prestación de servicios que hacen parte integral del contrato, se incluya en las obligaciones generales guardar la estricta reserva de toda la información y documentos que tenga acceso, con el fin de dar un manejo adecuado de la información por parte de los contratistas, y en caso de no encontrarla, se solicita mediante comunicación interna su incorporación a la Dirección de Contratación.</t>
  </si>
  <si>
    <t>Capacitar al personal en las directrices y el adecuado tratamiento de datos e información confidencial semestralmente.</t>
  </si>
  <si>
    <t>El Líder Operativo verifica que cada vez que se de inicio a la formulación de un instrumento, el líder del proyecto haya solicitado a la entidad competente en su primera fase, la emisión de los estudios y/o conceptos requeridos mediante una solicitud oficial; en caso de encontrar que la solicitud no se realizó en los tiempos establecidos se solicita en el marco de los seguimientos la evidencia y se registra en el cronograma de trabajo.</t>
  </si>
  <si>
    <t>El líder operativo en el marco del seguimiento al proyecto verifica que se hayan entregado los estudios o conceptos en el plazo establecido en el cronograma, de lo contrario generara una alerta al Dirección Técnica de Planeamiento y Gestión Urbana.</t>
  </si>
  <si>
    <t>Realizar el ajuste a la planeación establecida actualizando metas y cronogramas para la vigencia.</t>
  </si>
  <si>
    <t>Estructuración de Proyectos</t>
  </si>
  <si>
    <t xml:space="preserve">Dirigir la estructuración integral de los proyectos para evaluar la viabilidad económica y financiera de los proyectos urbanos e inmobiliarios de la Empresa. </t>
  </si>
  <si>
    <t>Inicia con la definición de la política de priorización de las áreas de oportunidad para el desarrollo de los proyectos a cargo de la Empresa, incluye el análisis jurídico, social, técnico ambiental y económico y termina con el documento de zonas de oportunidad, prefactibilidad o factibilidad del proyecto.</t>
  </si>
  <si>
    <t>Estructuración de procesos de selección que no son acordes a la realidad.</t>
  </si>
  <si>
    <t>Falta de información, o información que no cuenta con criterios de calidad para la validación del proceso.</t>
  </si>
  <si>
    <t>El profesional responsable del proyecto verifica cada vez que surja la necesidad, que la documentación entregada se ajuste a los criterios de calidad y oportunidad establecidos en el cronograma del proyecto. En caso de presentarse inconsistencias se solicita a las áreas responsables, a través de correo electrónico, o se realizan mesas de trabajo para garantizar la entrega de la información y efectuar los ajustes correspondientes.</t>
  </si>
  <si>
    <t>Actualizar el procedimiento "Modelaciones Financieras de los Proyectos", con el propósito de documentar los controles establecidos.</t>
  </si>
  <si>
    <t>´- Se informa internamente a la Gerencia General.
- Se informa Externamente a la Alcaldía Mayor.
- Se procede a dar un alcance (corrección o eliminación) a la información publicada.</t>
  </si>
  <si>
    <t>´- Cuantificar los costos incurridos en el desarrollo del instrumento de estructuración de proyectos y presentarlos a la Gerencia de la Empresa y a la Subgerencia de Planeamiento y Estructuración.
- Realizar el ajuste a la estructuración de los procesos de selección.</t>
  </si>
  <si>
    <t>Gestión Predial</t>
  </si>
  <si>
    <t xml:space="preserve">Ejecutar los procesos de adquisición del suelo que se requieran en nuevas áreas de oportunidad para el desarrollo de los planes, programas y proyectos de renovación y desarrollo urbano de la ciudad, así como administrar y movilizar, los predios fideicomitidos y de la empresa. </t>
  </si>
  <si>
    <t xml:space="preserve">Inicia con el análisis e identificación de nuevas áreas de oportunidad, la definición y ejecución del Plan de Gestión del Suelo, incluye la administración de predios, el trámite de las liquidaciones de los pagos por concepto de compensación y termina con la transferencia efectiva del derecho real de dominio a favor de la Empresa, del tercero concurrente o la Fiduciaria correspondiente. </t>
  </si>
  <si>
    <t>´- Debilidad en los controles establecidos.
- Desconocer el Código de Integridad de la Empresa.
- Favorecer a terceros en la liquidación de la obligación VIS/VIP.
- Cobro por parte de funcionarios públicos o contratistas a los ciudadanos para la asesoría del trámite "Cumplimiento de la obligación VIS-VIP a través de compensación económica".</t>
  </si>
  <si>
    <t>Falta de información o claridad de los obligados en el inicio y fin del trámite que surte la Empresa.</t>
  </si>
  <si>
    <t>Adelantar estrategias de divulgación del trámite y sus requisitos.</t>
  </si>
  <si>
    <t>Gestión de la Participación Ciudadana y Asuntos Sociales</t>
  </si>
  <si>
    <t xml:space="preserve">Definir e implementar las políticas de Gestión Social y de Participación Ciudadana para la garantía de los derechos de la comunidad en los proyectos que adelanta la Empresa. </t>
  </si>
  <si>
    <t xml:space="preserve">Inicia con la definición de la Estrategia de Participación Ciudadana, comprende la elaboración de estudios socioeconómicos requeridos en el marco de la identificación de zonas de oportunidad, la implementación de los censos de población, diagnósticos socioeconómicos, evaluación de impactos, la formulación del Planes de Gestión Social, incluyendo la identificación de espacios, el diseño y ejecución de estrategias y mecanismos de participación, comunicación y divulgación, en cumplimiento de lo establecido en la normatividad relacionada con la política de protección a moradores y finaliza con el restablecimiento de las condiciones iniciales de la población ubicada en los territorios intervenidos. </t>
  </si>
  <si>
    <t>Bimensual</t>
  </si>
  <si>
    <t>Ejecución de Proyectos</t>
  </si>
  <si>
    <t xml:space="preserve">Consolidar una gestión eficiente de proyectos que se encuentren en fase de ejecución (estudios y diseños y ejecución de obra). </t>
  </si>
  <si>
    <t xml:space="preserve">Inicia con la planeación de las actividades para la ejecución de los proyectos, incluye la gestión y el seguimiento integral a la ejecución (técnica, financiera y contractual) y finaliza con la entrega de insumos para la fase de cierre de proyecto. </t>
  </si>
  <si>
    <t>Formulación de lineamientos para los manuales de los Comités de Compras y Contrataciones de los proyectos.</t>
  </si>
  <si>
    <t>Incumplimiento de los requisitos exigibles por las Entidades competentes para el recibo de cesiones urbanísticas.</t>
  </si>
  <si>
    <t>Falta de oportunidad en la entrega de cesiones urbanísticas en proyectos de urbanización en los que la empresa actúa como responsable directo de la ejecución de obras.</t>
  </si>
  <si>
    <t>Posibilidad de afectación económica y reputacional por incumplimiento de requisitos exigibles por las Entidades competentes para el recibo de cesiones urbanísticas, debido a la falta de oportunidad en la entrega en proyectos de urbanización en los que la empresa actúa como responsable directo de la ejecución de obras.</t>
  </si>
  <si>
    <t>Los profesionales de apoyo a la Supervisión de la Subgerencia de Ejecución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</si>
  <si>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Incumplimiento en oportunidad y calidad en la entrega de los proyectos.</t>
  </si>
  <si>
    <t>Documentar e implementar la metodología de acción ante riesgos con probabilidad de materialización.</t>
  </si>
  <si>
    <t>Gestión Comercial</t>
  </si>
  <si>
    <t xml:space="preserve">Diseñar y ejecutar actividades que conduzcan a la identificación de oportunidades comerciales, la promoción de los servicios, proyectos y predios, así como a la vinculación de actores tanto públicos como privados, con el fin de generar y concretar negocios que beneficien la Empresa. </t>
  </si>
  <si>
    <t xml:space="preserve">Inicia con la definición de las actividades que conformarán la Estrategia Comercial y la definición de las líneas de Servicio que serán priorizadas, continúa con la etapa de ejecución de las actividades definidas y concluye con el reporte y/o registro de los negocios gestionados (ofertas, ventas, arriendos, y otros negocios). </t>
  </si>
  <si>
    <t>Proceso de comercialización con condiciones o requisitos que favorecen a un tercero.</t>
  </si>
  <si>
    <t>Debilidad en la gestión de los riesgos en cuanto a: 
1. Identificación
2. Seguimiento y control oportuno y 
3. Efectividad de las acciones correctivas ante la materialización</t>
  </si>
  <si>
    <t>Negocios generados por ofertas de servicios que no se pueden ejecutar.</t>
  </si>
  <si>
    <t>Al revisar la solicitud del servicio o posibilidad de negocio, no se consideran los impactos o riesgos (de tipo jurídico, financiero, técnico o reputacional) que pueden llegar a imposibilitar la ejecución de lo propuesto en la oferta que se consolida para el cliente.</t>
  </si>
  <si>
    <t>Posibilidad de afectación económica y reputacional, debido a que se concreten negocios generados por ofertas de servicios que no se puedan ejecutar, pues al revisar las solicitudes o posibilidades de negocio, no se consideran impactos o riesgos (de tipo jurídico, financiero, técnico o reputacional) que pueden llegar a imposibilitar la ejecución de lo propuesto en la oferta que se consolida para el cliente.</t>
  </si>
  <si>
    <t xml:space="preserve">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 </t>
  </si>
  <si>
    <t>El Jefe de la Oficina Jurídica cada vez que conoce de un proceso judicial o extrajudicial en el que la Empresa actúa como parte activa o pasiva, designa un abogado que lleva la defensa. El abogado-apoderado revisa el proceso y valora las posibilidades de éxito procesal realizando la evaluación jurídica preliminar, esta evaluación se pone en conocimiento de los demás abogados del equipo de Defensa Judicial en las reuniones de equipo. En caso de requerirse, se realiza un análisis que sirve para fortalecer la evaluación realizada. Las decisiones tomadas quedan registradas en las actas de reunión de seguimiento a los procesos judiciales donde se plasma la estrategia del abogado y las demás recomendaciones del equipo.</t>
  </si>
  <si>
    <t>trimestral</t>
  </si>
  <si>
    <t>Reportar la conducta del abogado-apoderado ante el Consejo Superior de la Judicatura- Comisión Seccional de Disciplina Judicial.</t>
  </si>
  <si>
    <t xml:space="preserve">Apoyar, tramitar, brindar asesoría y realizar seguimiento a los procesos contractuales requeridos por la Empresa, atendiendo al régimen legal aplicable y las modalidades de selección establecidas por la ley y enmarcada en el Manual Interno de Contratación y Gestión de Negocios de la Empresa, para ejecutar los planes de Inversión, Anual de Adquisiciones y Operación Comercial y dar cumplimiento a las metas y objetivos de la Empresa. </t>
  </si>
  <si>
    <t>Inicia con la definición de políticas, objetivos, lineamientos, parámetros y estrategias en materia de contratación de la Empresa, la consolidación del Plan de Contratación, desarrolla las etapas de estructuración, de selección y contratación, lineamientos de supervisión e interventoría y finaliza con la liquidación de los contratos y cierre de los expedientes contractuales, cuando aplique.</t>
  </si>
  <si>
    <t>Estructurar documentos técnicos preliminar es deficientes.</t>
  </si>
  <si>
    <t>Inadecuada planeación y desconocimiento de los lineamientos internos para llevar a cabo los trámites contractuales.</t>
  </si>
  <si>
    <t>Posibilidad de afectación reputacional por estructurar documentos técnicos preliminares deficientes debido a una inadecuada planeación y desconocimiento de los lineamientos internos para llevar a cabo los trámites contractuales.</t>
  </si>
  <si>
    <t>Estandarizar la lista de verificación de la etapa de estructuración.</t>
  </si>
  <si>
    <t>Enviar correo electrónico a las dependencias correspondientes (por evento cuando se presente).</t>
  </si>
  <si>
    <t>Dirigir, planear, organizar, supervisar, coordinar y controlar los procesos financieros, presupuestales, Contables, Tesorería, Cartera, Administración Financiera y de operación transaccional de las fiducias y encargos fiduciarios de la Empresa, así como, formular políticas orientadas a la mejor asignación y utilización de los recursos financieros de la Empresa para brindar información confiable y oportuna que contribuya a la toma de decisiones y sostenibilidad de la Empresa.</t>
  </si>
  <si>
    <t>Inicia con el diseño de los lineamientos orientados a la mejor asignación y utilización de los recursos financieros de forma que garantice el apalancamiento de las operaciones urbanas y prestación de servicios que se estructuren y finaliza con la ejecución, seguimiento y control de los recursos financieros.</t>
  </si>
  <si>
    <t>El Tesorero General cada vez que se realiza el cargue del archivo plano de pagos a terceros en el portal bancario por el profesional de la Tesorería, verifica que esté acorde a la orden de pago y sus documentos soporte, si no hay novedades se realiza la aprobación del pago, en caso de presentarse novedades con los soportes de pago se remite un correo electrónico al profesional de la Tesorería para su validación.</t>
  </si>
  <si>
    <t>Posibilidad de afectación reputacional debido a un dictamen adverso o con abstención de opinión por parte de la Revisoría Fiscal por el incumplimiento de las características cualitativas de la información financiera y aplicación de los principios de contabilidad pública que afecta la razonabilidad de las cifras en los estados financieros.</t>
  </si>
  <si>
    <t>Posibilidad de afectación económica debido al pago en exceso de las obligaciones adquiridas con terceros por el inadecuado proceso de cancelación de cuentas por pagar a proveedores.</t>
  </si>
  <si>
    <t>Julio</t>
  </si>
  <si>
    <t>Gestionar la selección, vinculación, desarrollo integral, administración y desvinculación del talento humano Renobo con el propósito de tener servidores íntegros y comprometidos con la misión, visión y objetivos institucionales.</t>
  </si>
  <si>
    <t>Inicia con el estudio y análisis de planta de personal para determinar las necesidades de la selección y vinculación del talento humano, continúa con la formulación del Plan Estratégico del Talento Humano, su ejecución y evaluación y finaliza con el retiro de los servidores públicos de la empresa.</t>
  </si>
  <si>
    <t>Baja participación en las actividades del PETH.</t>
  </si>
  <si>
    <t>Debilidad en la promoción y socialización de las actividades programadas.</t>
  </si>
  <si>
    <t>Posibilidad de afectación reputacional debido a la baja participación en las actividades del PETH por la debilidad en la promoción y socialización de éstas.</t>
  </si>
  <si>
    <t>Posterior a la programación de una actividad se envía correo electrónico y se realiza agendamiento general mensualmente, a los colaboradores de la empresa promoviendo las actividades programadas para el periodo.</t>
  </si>
  <si>
    <t xml:space="preserve">Trimestral </t>
  </si>
  <si>
    <t xml:space="preserve">Informar a la Dirección Administrativa y de TIC y proceder a formalizar el acto administrativo. </t>
  </si>
  <si>
    <t>Gestión Ambiental</t>
  </si>
  <si>
    <t>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t>
  </si>
  <si>
    <t>Inicia con la identificación del objetivo general, concertación y ejecución para la vigencia actual del Plan Institucional de Gestión Ambiental PIGA y el Plan de Acción Cuatrienal Ambiental – PACA. Así como los objetivos de la sostenibilidad social y ambiental definida en proyectos de la empresa y finaliza con el mejoramiento continuo del desempeño ambiental de la Empresa.</t>
  </si>
  <si>
    <t>Incumplimiento de requisitos legales ambientales.</t>
  </si>
  <si>
    <t>Inobservancia de lineamientos, procedimientos y regulaciones ambientales internas por parte de los colaboradores y contratistas.</t>
  </si>
  <si>
    <t>Posibilidad de afectación económica y reputacional por incumplimiento de requisitos legales ambientales, debido a inobservancia de lineamientos, procedimientos y regulaciones ambientales internas por parte de los colaboradores y contratistas.</t>
  </si>
  <si>
    <t>Divulgación, capacitación y campañas del PIGA y sus programas para efectuar seguimiento a los programas.</t>
  </si>
  <si>
    <t>Realizar mesas de trabajo con las demás áreas, para incorporar los lineamientos del PACA dentro de los proyectos de inversión.</t>
  </si>
  <si>
    <t>Informar a la Secretaría Distrital de Ambiente.
Generar el ajuste al plan de acción.</t>
  </si>
  <si>
    <t>Gestión de Servicios Logísticos</t>
  </si>
  <si>
    <t>Administrar y gestionar el suministro de recursos físicos y servicios de apoyo administrativo para el cumplimiento de los objetivos misionales y el normal funcionamiento de los procesos de la Empresa.</t>
  </si>
  <si>
    <t>Inicia con la elaboración de la proyección del Presupuesto, Planes de Contratación y Adquisiciones, así como el manejo y control del inventario y termina con el seguimiento y ejecución de estos.</t>
  </si>
  <si>
    <t>Pérdida de los activos fijos de la Empresa</t>
  </si>
  <si>
    <t>No contar con los contratos que suministren bienes y servicios para la gestión y funcionamiento de la Empresa.</t>
  </si>
  <si>
    <t>Amiguismo Fenecimiento o recepción de dádivas, Incumplimiento del código de ética.</t>
  </si>
  <si>
    <t>Falta de controles, seguimientos de los mismos y no contar con la ubicación y el responsable de los activos fijos.</t>
  </si>
  <si>
    <t>Posibilidad de impacto económico y reputacional por la pérdida de los activos fijos de la Empresa por falta de controles, seguimientos de los mismos y no contar con la ubicación y el responsable de los activos fijos.</t>
  </si>
  <si>
    <t>Posibilidad de que, por acción u omisión, se use el poder para la destinación de Recursos Públicos de forma indebida en favor de un privado o tercero.</t>
  </si>
  <si>
    <t xml:space="preserve">Junio </t>
  </si>
  <si>
    <t>Hacer la reposición del bien a través de la compañía de seguros e informar a las instancias de Control Interno correspondientes.</t>
  </si>
  <si>
    <t>Informar al jefe del área, para tomar las medidas pertinentes con el fin de cubrir los bienes y servicios que no se encuentran en el Plan Anual de Adquisiciones.
Hacer efectivas las garantías contractuales especificadas en cada uno de los contratos.</t>
  </si>
  <si>
    <t>La Subgerencia de Gestión Corporativa envía comunicados a través del correo institucional socializando los principios y valores éticos (integridad), mínimo dos veces al año.</t>
  </si>
  <si>
    <t>Gestión Documental</t>
  </si>
  <si>
    <t xml:space="preserve">Inicia con la articulación de los instrumentos estratégicos y comprende la planeación, producción, recepción, trámite, organización y custodia, culminando con la disposición final de la documentación e información de la Empresa. </t>
  </si>
  <si>
    <t>Sustracción, alteración o inclusión de documentos en los expedientes documentales que se encuentran en custodia del proceso para beneficiar a terceros.</t>
  </si>
  <si>
    <t>Seguimiento inadecuado en los préstamos documentales y consultas en sala.</t>
  </si>
  <si>
    <t>Posibilidad de que, por acción u omisión, se use el poder para sustraer, incluir y/o adulterar documentos en los expedientes (misionales y de gestión) en beneficio de terceros.</t>
  </si>
  <si>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 FT-111 Registro Préstamo de Documentos.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</si>
  <si>
    <t xml:space="preserve">El Técnico de Gestión Documenta realiza capacitaciones a los colaboradores del proceso de Gestión Documental con respecto al cumplimiento del procedimiento de préstamo y consulta documental. </t>
  </si>
  <si>
    <t>Degradación y deterioro parcial o total de la información o su soporte.</t>
  </si>
  <si>
    <t>Incumplimiento de los lineamientos y acciones de conservación preventiva del acervo documental de la Empresa.</t>
  </si>
  <si>
    <t>Posibilidad de afectación reputacional por degradación y deterioro parcial o total de la información o su soporte, debido al incumplimiento de los lineamientos y acciones de conservación preventiva del acervo documental de la Empresa.</t>
  </si>
  <si>
    <t>La profesional de Conservación y Restauración de Bienes Muebles mensualmente monitorea y verifica el cumplimiento del Plan de Conservación Documental diligenciando los formatos establecidos tal fin, en caso de presentarse desviaciones en la ejecución del plan se toman las acciones de mitigación necesarias para cada componente de conservación.</t>
  </si>
  <si>
    <t>Socializar el Sistema Integrado de Conservación Documental.</t>
  </si>
  <si>
    <t>Realizar la intervención de la documentación afectada por el deterioro.</t>
  </si>
  <si>
    <t>El archivista del proceso de Gestión documental trimestralmente verifica que la producción documental de las dependencias se encuentre archivada en los expedientes electrónicos del SGDEA, resultado de esta verificación se elabora una comunicación oficial dirigida al jefe de la dependencia para que se tomen las acciones que correspondan.</t>
  </si>
  <si>
    <t>Socialización, implementación y seguimiento de los instrumentos archivísticos
* PINAR
* PGD
* TRD
* CCD
* Modelo de Requisitos
* Banco Terminológico</t>
  </si>
  <si>
    <t>Aplicación de los procedimientos de recuperación, conservación y seguridad de la información.</t>
  </si>
  <si>
    <t xml:space="preserve">Gestionar de manera integral las tecnologías de la información y las comunicaciones, para prestar servicios acordes a las necesidades de la empresa y formular lineamientos relacionados con estándares y buenas prácticas para el manejo de la información. </t>
  </si>
  <si>
    <t xml:space="preserve">Inicia con la identificación de necesidades TIC en la formulación del Plan Estratégico de Tecnologías de la Información - PETI y finaliza con la implementación de soluciones integrales para el mejoramiento continuo de la Empresa. Comprende la administración y soporte de hardware – software, liderar la función Central de Gobierno de Datos, la Política de Gobierno Digital y Seguridad de la Información. </t>
  </si>
  <si>
    <t>Atención y Relacionamiento con la Ciudadanía</t>
  </si>
  <si>
    <t xml:space="preserve">Liderar la implementación de las políticas y lineamientos relacionados con la atención a los ciudadanos para dar acceso oportuno, efectivo y de calidad a la oferta de bienes y servicios de la empresa. </t>
  </si>
  <si>
    <t xml:space="preserve">Inicia con la definición de las actividades a través de las cuales se ejecute la normatividad y lineamientos aplicables para la atención a los ciudadanos, incluye la formulación de las estrategias o lineamientos dispuestos en la Política Publica de Atención al ciudadano y las normas concordantes, la definición de los escenarios de relacionamiento y la interacción con los grupos de interés que la requieran dentro del proceso y finaliza con la presentación de informes seguimiento. </t>
  </si>
  <si>
    <t xml:space="preserve">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conformidad con la normatividad vigente y contribuir con el cumplimiento de los objetivos y metas institucionales, a través de la evaluación y mejora de la eficacia de los procesos de gestión de riesgos, control y gobierno. </t>
  </si>
  <si>
    <t xml:space="preserve">Contribuir al fortalecimiento y protección de los principios de la función pública a través de la generación de actividades de prevención en materia disciplinaria, así como adelantar las actuaciones administrativas a los servidores y ex servidores públicos de la Empresa, cuando incurran en conductas que puedan constituir faltas disciplinarias de conformidad con lo establecido en la normatividad vigente. </t>
  </si>
  <si>
    <t xml:space="preserve">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acción u omisión, por el incumplimiento de deberes, extralimitación en el ejercicio de derechos y funciones, incurrir en prohibiciones y por la violación del régimen de inhabilidades, incompatibilidades, impedimentos y conflicto de intereses, así como por las infracciones a la Constitución, las leyes y manuales de funciones. </t>
  </si>
  <si>
    <t xml:space="preserve">Control Disciplinario Interno </t>
  </si>
  <si>
    <t>Debilidades en el debido control de los términos de prescripción que permita que se tomen las decisiones de fondo en los plazos establecidos.</t>
  </si>
  <si>
    <t>Informar en Comité Institucional de Gestión y Desempeño para trasladar al área que competa para que se busque alternativa para una nueva estructuración de la propuesta.</t>
  </si>
  <si>
    <t>Posibilidad de recibir dádivas o beneficios a nombre propio o de terceros para el incumplimiento en procesos financieros y la alteración de la información del registro de ingresos, liquidaciones y de cartera en el proceso de recaudo o de descuentos y deducciones en trámites de pago.</t>
  </si>
  <si>
    <t>Revisar y actualizar las políticas contables y catalogo de cuentas atendiendo las modificaciones del marco normativo aplicable a la empresa.</t>
  </si>
  <si>
    <t xml:space="preserve">Liderar la formulación, normalización e implementación de los instrumentos archivísticos, manuales, procedimientos y lineamientos que garanticen la autenticidad, integralidad, accesibilidad, conservación y preservación de la memoria documental de la Empresa. </t>
  </si>
  <si>
    <t>La Jefatura de la Oficina de Control Interno revisa, de acuerdo con el Plan Anual de Auditorías, los Planes de Trabajo de auditoría específicos, para asegurar que se incluyan los aspectos relevantes de la auditoría, a ser tenidos en cuenta para su ejecución, y posterior envió del Plan de Trabajo al líder del proceso a auditar, conforme al procedimiento PD-57 "Auditorías Internas SIG y de Evaluación Independiente". En caso de encontrar inconsistencias en el plan de trabajo se solicitará al auditor encargado corregir las desviaciones. La evidencia del control será el Plan de trabajo final ajustado y enviado al auditado.</t>
  </si>
  <si>
    <t>Falta de revisión detallada de los documentos que contienen las condiciones y requisitos exigidos para participar en los procesos de comercialización.</t>
  </si>
  <si>
    <t>Inclusión en los estudios previos o en la presentación de Adendas que modifican las condiciones generales del proceso de contratación, posiblemente por presiones internas o externa o por nepotismo.</t>
  </si>
  <si>
    <t>Realizar plan de mejoramiento en dado caso que se materialice el riesgo.</t>
  </si>
  <si>
    <t xml:space="preserve">Posibilidad de afectación económica o reputacional por hallazgos generados a raíz de informes de organismos externos, debido a la presentación fuera de términos y/o incompletas de las actividades asignadas por ley a la Oficina de Control Interno. </t>
  </si>
  <si>
    <t>Entrega inmediata y/o ejecución inmediata de la actividad pendiente. Cuando se trate de actividades incluidas en el PAA, cuya entrega no sea de ley, se analiza su posible modificación para ser presentado y aprobado en el CICCI.</t>
  </si>
  <si>
    <t>El profesional de apoyo a la supervisión verifica bimensualmente en visita técnica a la obra, según muestreo aleatorio, las cantidades de obra y las especificaciones técnicas ejecutadas en los proyectos. Se solicitan las revisiones y/o aclaraciones de inconsistencias a que haya lugar en las actas y/o informes correspondientes.</t>
  </si>
  <si>
    <r>
      <rPr>
        <b/>
        <sz val="10"/>
        <rFont val="Arial Narrow"/>
        <family val="2"/>
      </rPr>
      <t>RIESGO ASOCIADO A TRÁMITES:</t>
    </r>
    <r>
      <rPr>
        <sz val="10"/>
        <rFont val="Arial Narrow"/>
        <family val="2"/>
      </rPr>
      <t xml:space="preserve">
Posibilidad de aceptar o solicitar dádivas de los obligados para la realización del trámite "Cumplimiento de la obligación VIS-VIP mediante pago compensatorio".</t>
    </r>
  </si>
  <si>
    <t>El profesional financiero del proceso de Gestión Predial verifica que la liquidación de la obligación VIS- VIP corresponda con los valores certificados por la curaduría cada vez que se reciba un trámite, lo cual queda registrado en el anexo de la resolución de la liquidación (FT-244 Liquidación Obligación VIS – VIP y FT-245 Descripción de la aplicación de la fórmula). En caso de encontrar algún error en la aplicación de la formula se devuelve al profesional técnico de Gestión Predial para realizar los ajustes correspondientes. Una vez se han realizado la validaciones se traslada para aprobación de Director (a) Técnica de Gestión Predial y firma de la Subgerencia de Planeamiento y Estructuración.</t>
  </si>
  <si>
    <t>Revisar que la información publicada del trámite "Cumplimiento de la obligación VIS-VIP mediante pago compensatorio” se encuentre actualizada en los portales, Guía de Trámites y Servicios y en el Sistema Único de Información y Trámites - SUIT. Adicionalmente, brindar asesorías a los obligados que lo soliciten informando que el trámite no tiene ningún costo.</t>
  </si>
  <si>
    <t>Los profesionales de la Dirección Técnica de Gestión Predial, cada vez que se requiera, adelantarán la revisión técnico-jurídico previo al inicio de la adquisición predial, conforme al procedimiento PD-23 Adquisición de suelo por enajenación voluntaria, expropiación administrativa o judicial de la Empresa, que se encuentra acorde con la normatividad vigente. Realizando en todo caso, los ajustes que se requieran conforme el procedimiento.</t>
  </si>
  <si>
    <t>´- Desconocimiento en el tratamiento de la información sensible de la Renobo.
- Conflicto de intereses.</t>
  </si>
  <si>
    <t>Realizar una revisión aleatoria de los actos administrativos expedidos, con el fin de verificar que no existan inconsistencias y de ser el caso, tramitar los modificatorios o alcances que se necesarios.</t>
  </si>
  <si>
    <t>Llevar a cabo las siguientes actividades:
- Modificaciones contractuales técnica, jurídica y financieramente soportadas.
- Acciones de apremio o procesos de incumplimiento.
- Activación de mecanismos de cobertura de los riesgos asegurados mediante pólizas.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</si>
  <si>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(a través del sistema de información y se informa a través de correo electrónico).</t>
  </si>
  <si>
    <t>Debilidad en el debido control de los procesos y procedimientos.</t>
  </si>
  <si>
    <r>
      <t>Posibilidad de que por acción u omisión se favorezca a un tercero, con las condiciones o requisitos exigidos para su participación en los procesos de comercialización</t>
    </r>
    <r>
      <rPr>
        <sz val="10"/>
        <color rgb="FFFF0000"/>
        <rFont val="Arial Narrow"/>
        <family val="2"/>
      </rPr>
      <t>.</t>
    </r>
  </si>
  <si>
    <t xml:space="preserve">Los profesionales de la Dirección Técnica Comercial, verifican que siempre que se elaboren documentos para la comercialización de inmuebles a cargo del área; éstos incluyan los parámetros establecidos en el Manual de Contratación vigente y/o las políticas definidas por la Empresa para el negocio en particular, luego el o (la) Director(a) Técnico Comercial los revisa y aprueba como evidencia del control, en caso de requerir ajustes los realiza de manera conjunta con los profesionales de la Dirección y posterior al ajuste los remite a la Dirección Contractual para validación, visto bueno y publicación en SECOP o página Web para que puedan acceder a ellos los interesados. De llegarse a presentar observaciones o necesitar ajustes resultantes de los comentarios que emitan los interesados o gestión contractual, deberá repetirse nuevamente el proceso de revisión y aprobación. </t>
  </si>
  <si>
    <t>Socializar a los profesionales de la Dirección Técnica Comercial los parámetros establecidos en el Manual de Contratación vigente y/o las políticas definidas por la Empresa para los negocios.</t>
  </si>
  <si>
    <t>El (La) Director(a) y los profesionales de la Dirección Comercial encargados de apoyar la gestión de ofertas, cada vez que se recibe una solicitud de servicios o se identifica una posibilidad de negocio, realizan una revisión preliminar para determinar si enmarca en las líneas de negocios de la Empresa, si ésta cuenta con la facultad y capacidad de atenderla y si existe algún otro aspecto (como jurídico, financiero o técnico) que imposibilita su ejecución. Como resultado de la revisión se determina si se continúa con la estructuración de la propuesta o en caso contrario, se emite la correspondiente comunicación oficial con radicado, informando al interesado la imposibilidad de atender el servicio correspondiente.</t>
  </si>
  <si>
    <t xml:space="preserve">Revisar que las propuesta elaboradas incluyan en su presentación la línea de negocio o el servicio que se prestará, y que su contenido corresponda al remitido y avalado por cada una de las áreas que participaron en su construcción. </t>
  </si>
  <si>
    <t>El dependiente judicial del proceso de Gestión Jurídica verifica día de por medio (lunes, miércoles y viernes) que el estado de los procesos judiciales en la página oficial de la rama judicial corresponda con lo reportado en la Matriz de Seguimiento a las actuaciones y en el SIPROJ, en caso de encontrar inconsistencias se remite
correo electrónico al apoderado para que realice las actuaciones que correspondan.</t>
  </si>
  <si>
    <t>Eventual sentencia en contra de la Empresa, en virtud de una demanda interpuesta por parte de los propietarios de los predios requeridos para los proyectos que adelante RenoBo.</t>
  </si>
  <si>
    <t>Incumplimiento de los requisitos establecidos legalmente en el proceso de adquisición predial.</t>
  </si>
  <si>
    <t>Informar a las instancias de internas la materialización del riesgo y se formula plan de mejoramiento.</t>
  </si>
  <si>
    <t>Aplicación del Procedimiento PD-40 Reconstrucción de Expedientes.
Informar a las instancias internas y externas de control que corresponda.</t>
  </si>
  <si>
    <t>Pérdida de información digital y/o electrónica.</t>
  </si>
  <si>
    <t>Incumplimiento de los lineamientos internos y uso de herramientas establecidos por el proceso de gestión documental.</t>
  </si>
  <si>
    <t>Posibilidad de afectación económica y reputacional por pérdida de información digital y/o electrónica debido al incumplimiento de los lineamientos internos y uso de herramientas establecidos por el proceso de gestión documental.</t>
  </si>
  <si>
    <t>El técnico líder asignado al CAD del proceso de Gestión Documental cada vez que recepciona documentación, verifica que los documentos que se entregan estén debidamente registrados en el formato FT-33 Formato Único de Inventario Documental y valida su correcto, como evidencia de la ejecución del control queda el formato firmado por la dependencia productora y por el líder técnico del CAD de Gestión Documental, en caso de presentarse errores en el diligenciamiento se remite un correo electrónico indicando las sugerencias de ajustes.</t>
  </si>
  <si>
    <t>Los colaboradores del Centro de Administración Documental validan con las tablas de retención documental vigentes, si la solicitud para crear los expedientes electrónicos cumple con todos los criterios, de ser así se crea el expediente, en caso de encontrar inconsistencias en la solicitud realizada, se remite un correo electrónico informando de la misma al área solicitante y solo se procede hasta cuando esté corregida.</t>
  </si>
  <si>
    <t>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</si>
  <si>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La Dirección Administrativa y de TICs envía comunicados a través del correo institucional recordando los lineamientos establecidos para un adecuado uso de los elementos asignados, mínimo dos veces al año.</t>
  </si>
  <si>
    <t>Posibilidad de afectación reputacional por no contar con los contratos que suministren bienes y servicios para el gestión y funcionamiento de la Empresa, por la falta de control y seguimiento oportuno al Plan de Adquisiciones.</t>
  </si>
  <si>
    <t>Falta de control y seguimiento oportuno al Plan de Adquisiciones.</t>
  </si>
  <si>
    <t>El profesional de recursos físicos mensualmente verifica que los procesos contractuales programados que se requieren conforme a las necesidades evidenciadas para el normal funcionamiento de la empresa se estructuren y contraten conforme a lo establecido en el Plan de Adquisiciones y Plan de Contratación del proceso, en caso de encontrar procesos que se requieren y no han iniciado el proceso contractual, se inicia inmediatamente, y en caso de encontrar procesos que ya no se requieren, se informa a la Dirección Financiera y Dirección de Contratación para modificar el Plan de Adquisiciones y Plan de Contratación, lo cual queda evidenciado en las nuevas versiones de los planes.</t>
  </si>
  <si>
    <t>Realizar seguimiento mensual al Plan de Adquisiciones y al Plan de Contratación del proceso, en el Comité de Autoevaluación, para tomar medidas preventivas.</t>
  </si>
  <si>
    <t>Posibilidad de que por acción u omisión, haya afectación reputacional por ocultamiento o manipulación de información por parte de quien desarrolla el trabajo de auditoría, para favorecimiento propio o de un tercero.</t>
  </si>
  <si>
    <t>Amiguismo.</t>
  </si>
  <si>
    <t>Garantizar la suscripción de los Acuerdos de confidencialidad - Carta de representación.</t>
  </si>
  <si>
    <t>Realizar una socialización del Estatuto de Auditoría y del Código de Ética del Auditor al equipo de auditores.</t>
  </si>
  <si>
    <t>Cada vez que aplique</t>
  </si>
  <si>
    <t>Analizar las causas que originaron el caso y rediseñar los controles operativos para prevenir la repetición de la situación detectada.
Informar a las instancias internas y externas de control que corresponda.</t>
  </si>
  <si>
    <t>Hallazgos generados a raíz de informes de organismos externos.</t>
  </si>
  <si>
    <t xml:space="preserve">Presentación fuera de términos y/o incompletas de las actividades asignadas por ley a la Oficina de Control Interno. </t>
  </si>
  <si>
    <t xml:space="preserve">La jefatura de la Oficina de Control Interno verifica periódicamente el cumplimiento de las actividades del Plan Anual de Auditoría y del Cuadro de Actividades y Requerimientos, a cargo de la oficina; como resultado se generan y se comunican las alertas correspondientes. En caso de encontrar un vencimiento próximo que se pueda reprogramar, se hace la solicitud correspondiente. Cuando se generan ajustes en las actividades programadas del PAA se presentan para aprobación y/o comunican en el marco del Comité Institucional de Control Interno, de ser necesario. Y luego el PAA final ajustado es socializado al grupo auditor de la OCI. </t>
  </si>
  <si>
    <t>La Jefatura de la Oficina de Control Interno en las reuniones de seguimiento y/o autoevaluación trimestral, requiere al Equipo de trabajo se informe el estado de cada una de las actividades asignadas, dejando registro dentro de la documentación correspondiente del análisis y los compromisos.</t>
  </si>
  <si>
    <t>Un miembro del equipo de la Oficina de Control Interno encargado de realizar el apoyo del seguimiento y control de las actividades y requerimientos a cargo, envía correo electrónico diario al Grupo de Trabajo de la OCI, indicando los vencimientos cuya respuesta se deben enviar en los plazos y fechas establecidas.</t>
  </si>
  <si>
    <t>Aprobaciones de productos o requerimientos asociados a los proyectos sin el cumplimiento de los requisitos técnicos, jurídicos o de procedimiento.</t>
  </si>
  <si>
    <t>Posibilidad de que por acción u omisión, se acepten o soliciten dádivas para aprobar productos o requerimientos asociados a los proyectos sin el cumplimiento de los requisitos técnicos, jurídicos o de procedimiento.</t>
  </si>
  <si>
    <t xml:space="preserve">Los profesionales de apoyo a la supervisión realizan seguimiento mensual a las Interventorías, mediante la revisión de los informes de Interventoría y acompañamiento en comités (actas) en las cuales se evidencia el estado del proyecto. Se realizan las solicitudes de revisión y/o aclaración de inconsistencias a que haya lugar en las actas y/o informes correspondientes. </t>
  </si>
  <si>
    <t>El profesional de apoyo a la supervisión verifica, cada vez que sesione el Comité de Compras y Contrataciones para la toma de decisiones relacionada con los proyectos, que las cotizaciones presentadas para decisiones del comité estén a valor de mercado. Se solicitan las revisiones y/o aclaraciones de inconsistencias a que haya lugar.</t>
  </si>
  <si>
    <t>El profesional de apoyo a la supervisión verifica mensualmente que las aprobaciones de compras coincidan con lo establecido en las actas de los comités y los cuadros comparativos correspondientes. Se solicitan las revisiones y/o aclaraciones de inconsistencias a que haya lugar.</t>
  </si>
  <si>
    <t>Posibilidad de afectación económica y reputacional por el incumplimiento en oportunidad y calidad en la entrega de los proyectos, debido a debilidad en la identificación, el seguimiento y control de riesgos de proyectos y la respuesta ante la materialización de los mismos.</t>
  </si>
  <si>
    <t xml:space="preserve">Los profesionales de la Dirección Técnica correspondiente verifican, cada vez que se efectúe la etapa precontractual para estudios y diseños o ejecución de obra, la correspondencia de la matriz de riesgos respectiva con los riesgos tipo y las características específicas contenidas en el Anexo Técnico y el modelo de ejecución del proyecto. Se realizan todos los ajustes y complementos necesarios a la matriz de riesgos, previo a la contratación. </t>
  </si>
  <si>
    <t>Los profesionales de la Dirección Técnica correspondiente verifican y validan mensualmente los informes y reportes de interventoría para monitorear la probabilidad de materialización de los riesgos del proyecto y determinar los riesgos materializados durante el período. Como resultado del control se implementa la metodología de acción ante riesgos con probabilidad de materialización, se realiza el reporte a la Oficina Asesora de Planeación sobre riesgos materializados y se adelantan las acciones preventivas y correctivas correspondientes.</t>
  </si>
  <si>
    <t>Los profesionales de la Dirección Técnica correspondiente identifican semanalmente los proyectos con desviaciones negativas en la ejecución menores a 0 % y hasta -5%, respecto de lo programado y se registra en el instrumento de seguimiento. En caso de encontrar desviaciones en la ejecución, los profesionales de la Dirección Técnica correspondiente definen la ruta para superar la desviación en el corto plazo y ejecutan seguimiento semanal.</t>
  </si>
  <si>
    <t xml:space="preserve">Los profesionales de la Dirección Técnica correspondiente identifican semanalmente los proyectos con desviaciones negativas en la ejecución menores a -5% y hasta -10% respecto de lo programado y se registra en el instrumento de seguimiento. En caso de encontrar desviaciones en la ejecución, los profesionales de la Dirección Técnica correspondiente formulan plan de contingencia y se hace seguimiento mensual desde Subgerencia. </t>
  </si>
  <si>
    <t xml:space="preserve">Los profesionales de la Dirección Técnica correspondiente identifican semanalmente los proyectos con desviaciones negativas en la ejecución menores a -10%) respecto de lo programado y se registra en el instrumento de seguimiento. En caso de encontrar desviaciones en la ejecución, los profesionales de la Dirección Técnica correspondiente requieren acompañamiento de la Oficina Jurídica y de la Dirección de Contratación, se da inicio los procesos de apremio y de incumplimiento a los que haya lugar. </t>
  </si>
  <si>
    <t>Posibilidad de afectación reputacional por inexistencia de valor agregado en el desarrollo del trabajo de auditoría por debilidades en la información utilizada para la elaboración del Plan Anual de Auditoría, la planificación del objetivo y/o alcance del trabajo de auditoría y/o las competencias del equipo auditor.</t>
  </si>
  <si>
    <t xml:space="preserve"> Inexistencia de valor agregado en el desarrollo del trabajo de auditoría.</t>
  </si>
  <si>
    <t>Información utilizada para la elaboración del Plan Anual de Auditoría, la planificación del objetivo y/o alcance del trabajo de auditoría y/o las competencias del equipo auditor.</t>
  </si>
  <si>
    <t xml:space="preserve">La Jefe de la Oficina de Control Interno revisa los informes preliminares antes de ser enviados a los líderes de los procesos y/o grupos de valor, con el propósito de asegurar su entrega con calidad y oportunidad. En caso de encontrar que el informe no genera valor, solicita mediante correo electrónico o a través de reunión, al profesional responsable los ajustes correspondientes. </t>
  </si>
  <si>
    <t xml:space="preserve">La Jefe de la Oficina de Control Interno y el profesional asignado, revisan cada vez que se requiera, los comentarios recibidos por parte de los líderes del proceso y/o grupos de valor al informe preliminar, para validar la pertinencia y/o ajuste al mismo. Una vez en firme, se realiza la reunión de cierre para la entrega del informe final. </t>
  </si>
  <si>
    <t xml:space="preserve">Se solicita al inicio de cada auditoria la firma de la Carta de Representación: Veracidad, Calidad y Oportunidad en la entrega de información presentada a la Oficina de Control Interno en el marco de la realización de auditorías de gestión. </t>
  </si>
  <si>
    <t>Realizar una capacitación sobre temas inherentes al Sistema de Control Interno por parte de la Oficina de Control Interno.</t>
  </si>
  <si>
    <t>Hacer un alcance al informe final de auditoría.</t>
  </si>
  <si>
    <t>Hacer retroalimentación al equipo auditor.</t>
  </si>
  <si>
    <t>Los profesionales de la Dirección de Contratación al inicio de cada vigencia y cada vez que se realicen modificaciones al Pla de Contratación verifican que lo establecido en el Plan corresponda con el Plan de Egresos, si se encuentran diferencias se devuelve al área generadora a través del Sistema Administrativo y Financiero y una vez ajustado se presenta al Comité de Contratación para su respectiva recomendación (acta comité de contratación) y aprobación por parte del ordenador del gasto.</t>
  </si>
  <si>
    <t>Los profesionales de la Dirección de Contratación cada vez que se lleve a cabo una contratación, verifican que el anexo técnico y la matriz de riesgos preliminar, el presupuesto y el estudio de precios de mercado sean consistentes con la necesidad definida y que cumpla con los lineamientos internos para llevar a cabo el trámite contractual; en caso de encontrar inconsistencias se realizan los ajustes de manera conjunta con el área generadora en donde además se hace la retroalimentación respectiva, lo cual queda evidenciado con la formalización de los estudios previos.</t>
  </si>
  <si>
    <t>continua</t>
  </si>
  <si>
    <t>La Jefe de la Oficina de Control Disciplinario Interno verifica el sentido del acto administrativo con fundamento en la documentación entregada y determina si la decisión es ajustada o no a derecho. En caso de encontrar inconsistencias implementa los correctivos correspondientes. La evidencia del control queda consignada en actas digitales que se archivan en el despacho.</t>
  </si>
  <si>
    <t>Cada vez que se evidencie que no hay unidad de criterio en un tema, la Jefe de la Oficina de Control Disciplinario Interno realiza reuniones donde se revisan los diferentes casos y se elabora un concepto resolviendo la controversia. La evidencia queda consignada en el archivo del despacho.</t>
  </si>
  <si>
    <t>Elaborar un informe para ser enviado al superior jerárquico o al ente de control competente, dependiendo de la naturaleza del cargo.
Informar a las instancias internas y externas de control que corresponda.</t>
  </si>
  <si>
    <t>Posibilidad de afectación reputacional por la materialización de la figura jurídica de la prescripción establecida en la ley, por debilidades en el debido control de los términos de prescripción que permita que se tomen las decisiones de fondo en los plazos establecidos.</t>
  </si>
  <si>
    <t xml:space="preserve">En cada etapa de la instrucción la Abogada sustanciadora verifica los términos establecidos en la ley y en el archivo de seguimiento disponible en Drive compartido por la Oficina y a partir de ello, proyecta las decisiones las cuales son entregadas al Jefe de la Oficina de Control Disciplinario Interno, quien verifica los términos y las decisiones a tomar de acuerdo a la norma. </t>
  </si>
  <si>
    <t>La jefe de la Oficina Asesora de Planeación y su equipo de trabajo, de acuerdo con la periodicidad definida para el seguimiento de los elementos de los procesos (proyectos misionales, proyectos de inversión, plan de acción, plan de adecuación y elementos del SIG entre otros), revisan la información enviada por los líderes de proceso, líderes operativos y/o responsables definidos, verificando que la información esté completa, sea clara, consistente y coherente frente a lo programado, con el fin de consolidar y presentar los informes correspondientes para la toma de decisiones de la alta dirección, en caso de presentarse inconsistencias se reitera el requerimiento y de ser necesario se realiza acompañamiento en el reporte para contar con la información veraz. Cuando se detecten desviaciones que no sean atendidas por el proceso la alta dirección determina las medidas a tomar.</t>
  </si>
  <si>
    <t>La jefe de la Oficina Asesora de Planeación y su equipo de trabajo, de acuerdo con la periodicidad definida para el seguimiento de los elementos de los procesos (proyectos misionales, proyectos de inversión, plan de acción, plan de adecuación y elementos del SIG entre otros), revisan la información enviada por los líderes de proceso, líderes operativos y/o responsables definidos, verificando que la información esté completa, sea clara, consistente y coherente frente a lo programado, con el fin de consolidar y presentar los informes correspondientes para la toma de decisiones de la alta dirección, en caso de presentarse inconsistencias se reitera el requerimiento y de ser necesario se realiza acompañamiento en el reporte para contar con la información veraz. Cuando se detectan desviaciones que no sean atendidas por el proceso la alta dirección determina las medidas a tomar.</t>
  </si>
  <si>
    <t>El profesional de Gestión Ambiental realiza la verificación mensual del cumplimiento a la ejecución de los Programas Ambientales del PIGA realizando un comparativo con la vigencia anterior, los resultados del seguimiento son presentados en el marco del Comité de Autoevaluación, en caso de presentarse desviaciones respecto a la ejecución de los programas se formulan acciones preventivas y correctivas correspondientes. Las decisiones tomadas quedan registradas en las actas del Comité y en los reportes trimestrales a la ejecución de los indicadores del proceso.</t>
  </si>
  <si>
    <t>Realizar el ajuste a la planeación establecida, actualizando metas y cronogramas para la vigencia y generar una estrategia de convocatoria.</t>
  </si>
  <si>
    <t>Incumplimiento los criterios de respuesta de las peticiones (oportunidad, claridad, calidez, coherencia y manejo del sistema).</t>
  </si>
  <si>
    <t>Posibilidad de afectación reputacional por respuestas a los ciudadanos que incumplen los criterios de respuesta de las peticiones (oportunidad, claridad, calidez, coherencia y manejo del sistema) debido a falta de conocimiento frente a la norma, la política y al manejo del sistema de PQRS.</t>
  </si>
  <si>
    <t>El líder del proceso de Atención al Ciudadano y Relacionamiento con la Ciudadanía, mensualmente valida el informe de seguimiento a la calidad de las respuestas remitido por la Alcaldía Mayor de Bogotá, y de acuerdo con lo reportado por esta entidad, a través de comunicación oficial da alcance a las áreas que presentaron incumplimiento para que éstas formulen el plan de mejoramiento correspondiente en el formato establecido por la Alcaldía. De otra parte, se realizan mesas de trabajo conjuntas con las áreas que presentaron incumplimiento para retroalimentar el criterio en el cual se presentó el incumplimiento.</t>
  </si>
  <si>
    <t>El líder del proceso de Atención al Ciudadano y Relacionamiento con la Ciudadanía, una vez al año analiza los resultados de la prueba de entendimiento aplicada a los colaboradores de la empresa para detectar deficiencias frente al conocimiento de los criterios de respuesta de las peticiones. Los resultados del análisis se socializan y se realiza una retroalimentación a toda la empresa a través de piezas de comunicación interna.</t>
  </si>
  <si>
    <t>Documentar el control.</t>
  </si>
  <si>
    <t>Único</t>
  </si>
  <si>
    <t>Agosto</t>
  </si>
  <si>
    <t>Ausencia de confidencialidad de la claves de acceso a funcionarios y contratistas.
Debilidad en la actualización del hardware y software de la empresa.</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</si>
  <si>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</si>
  <si>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Baja participación en las actividades de Gestión Social y de Participación Ciudadana</t>
  </si>
  <si>
    <t>El Jefe de la Oficina de Participación Ciudadana y Asuntos Sociales, junto con el equipo de trabajo, realizará la verificación mensual del cumplimiento a la ejecución de las diferentes estrategias de Gestión Social y de Participación Ciudadana, realizando un comparativo con el periodo anterior, en el marco del Comité de Autoevaluación y Seguimiento. En caso de presentarse desviaciones respecto a la ejecución, se formularán las acciones preventivas y correctivas correspondientes. Las decisiones tomadas quedarán registradas en las actas del Comité y en los reportes trimestrales de ejecución.</t>
  </si>
  <si>
    <t>Debilidad en la promoción y socialización de las convocatorias programadas y en la inclusión de los aportes recopilados en los diferente espacios.</t>
  </si>
  <si>
    <t>Posterior a la elaboración de la estrategia, se realizarán las respectivas convocatorias por los diferentes canales de la Entidad y mediante los medios establecidos por el Jefe de la OPCAS y el líder de cada proyecto, el cual verificará que se hayan realizado en el plazo establecido en el cronograma.</t>
  </si>
  <si>
    <t>En los casos en los que se pueda dar alcance mediante alguna acción correctiva al ciudadano, se realiza el seguimiento respectivo a dicha acción.</t>
  </si>
  <si>
    <t>Sanción del ente regulador.</t>
  </si>
  <si>
    <t xml:space="preserve">
 Aplicación del incremento salarial de los trabajadores oficiales sin contar con el acto administrativo correspondiente.</t>
  </si>
  <si>
    <t>Posibilidad de afectación económica y reputacional por sanción del ente regulador debido a que se aplique aumento salarial a los trabajadores oficiales sin contar con el acto administrativo correspondiente.</t>
  </si>
  <si>
    <t>La Alta Dirección emite anualmente un acto administrativo (Resolución) en donde se especifica la escala salarial de los Trabajadores Oficiales. El profesional de nómina remite dicho acto administrativo al DASCD para que se realice la actualización de la información en el SIDEAP. Cuando se detectan desviaciones que no sean atendidas por el proceso la alta dirección determina las medidas a tomar.</t>
  </si>
  <si>
    <t>Anualmente, se realiza el cálculo del incremento salarial mediante el Sistema Administrativo y Financiero de la Empresa y se corrobora con la información que reposa en el SIDEAP, previo al pago de la nómina del mes de enero de cada vigencia.</t>
  </si>
  <si>
    <t>Dictamen adverso o con abstención de opinión por parte de la Revisoría Fiscal.</t>
  </si>
  <si>
    <t>Incumplimiento de las características cualitativas de la información financiera y aplicación de los principios de contabilidad pública que afecta la razonabilidad de las cifras en los estados financieros.</t>
  </si>
  <si>
    <t>Inadecuada aplicación normativa para la liquidación de retenciones en la fuente a practicar a proveedores.</t>
  </si>
  <si>
    <t>Posibilidad de afectación económica y reputacional debido a la inadecuada aplicación normativa para la liquidación de retenciones en la fuente a practicar a proveedores por debilidad en el debido control de los procesos y procedimientos.</t>
  </si>
  <si>
    <t>Las presentaciones y pagos de retenciones ante la DIAN son firmadas y certificadas por la revisoría fiscal.</t>
  </si>
  <si>
    <t>Pago en exceso de las obligaciones adquiridas con terceros.</t>
  </si>
  <si>
    <t>Inadecuado proceso de cancelación de cuentas por pagar a proveedores.</t>
  </si>
  <si>
    <t>Se actualizarán los procedimientos asociados al proceso de pagos de tesorería para que se implemente un control dual entre contabilidad y el tesorero previo al cierre de las cuentas por pagar.</t>
  </si>
  <si>
    <t>Creación de formato de matriz de control de pagos validado por el profesional en Contabilidad y el profesional en Tesorería.</t>
  </si>
  <si>
    <t xml:space="preserve">El profesional ambiental realiza verificación semestral al cumplimiento de la ejecución física y presupuestal de las metas y/o acciones ambientales priorizadas en el PACA Institucional, con el fin de evidenciar avances y logros de las mismas en la vigencia. Los resultados del seguimiento se analizan y las desviaciones que se presenten con respecto a la ejecución se les genera reformulación o ajustes al plan de acción, dichos ajustes s quedan como evidencia en un documento que se registra en a la herramienta Storm User de la Secretaria de Ambiente. </t>
  </si>
  <si>
    <t xml:space="preserve">La profesional de apoyo al PETH mensualmente verifica que las actividades previstas para el siguiente periodo y las socializa mediante correo electrónico con líderes operativos para fortalecer la promoción y conocimiento de actividades a ejecutar, como evidencia queda el correo electrónico enviado. Así se garantiza que la información se divulgue a través de los líderes a los servidores y se tenga un compromiso adicional para confirmar la asistencia. Cuando se detectan desviaciones, se envía correo a los jefes de cada una de las áreas. </t>
  </si>
  <si>
    <t xml:space="preserve">Se maneja doble revisión como punto de control para los pagos. Inicialmente el profesional de Tesorería realiza el cargue del proceso de pago en el portal bancario con su token y contraseña asignada, posteriormente, el profesional contratista de la Dirección Financiera revisa la coincidencia del cargue del valor del pago con los soportes del sistema de información contable y da aval por correo electrónico antes de que se proceda a la última autorización de pago por parte del Director Financiero. </t>
  </si>
  <si>
    <t xml:space="preserve">Con el fin de consolidar los estados financieros de la vigencia de manera razonable, se preparan mensualmente estados financieros intermedios los cuales son validados y firmados por la revisoría fiscal, el Contador y el Gerente para la publicación en página web de la empresa. En el marco de esa revisión se tienen conciliaciones para todas las categorías contables y con las áreas internas y externas con un proceso debidamente documentado en las políticas contables de la empresa. </t>
  </si>
  <si>
    <t xml:space="preserve"> Vulnerabilidad de los sistemas de información.</t>
  </si>
  <si>
    <t>Posibilidad de afectación reputacional por la vulnerabilidad de los sistemas de información, debido a la debilidad en la actualización del hardware, software y claves de confidencialidad de acceso a funcionarios y contratistas.</t>
  </si>
  <si>
    <t>El profesional encargado del directorio activo generará un mensaje de advertencia que su contraseña va a caducar para que el usuario realice el cambio de la contraseña.</t>
  </si>
  <si>
    <t>El profesional del proceso de gestión de TIC mensualmente realizará actualizaciones de los servidores instalando update de seguridad en el software, sistemas operativos para minimizar las brechas de vulnerabilidades.</t>
  </si>
  <si>
    <t>Equipos obsoletos que no soportan eficientemente el software adquirido.</t>
  </si>
  <si>
    <t>Posibilidad de afectación reputacional por indisponibilidad de los servicios o infraestructura de TI debido a cortes de redes eléctricas, de datos, voz e Internet imprevistos por tiempos prolongados y equipos obsoletos que no soportan eficientemente el software adquirido.</t>
  </si>
  <si>
    <t xml:space="preserve">El profesional en cargado de TIC en el tema de redes de internet deberá asegurar la disponibilidad de los servicios con los proveedores de forma mensual con informes de indisponibilidad del servicio. </t>
  </si>
  <si>
    <t>Tener una infraestructura (Conjunto de medios técnicos, servicios e instalaciones necesarios para el desarrollo de una actividad o para que un lugar pueda ser utilizado.) de protección y contingencia desactualizada.
Pérdida de la información institucional.</t>
  </si>
  <si>
    <t>Debilidades en el proceso de realizar copias de seguridad.</t>
  </si>
  <si>
    <t>Posibilidad de afectación reputacional por pérdida de información institucional debido a una infraestructura de protección y contingencia desactualizada, junto con deficiencias en el proceso de realizar copias de seguridad.</t>
  </si>
  <si>
    <t>Realizar mantenimiento correctivo.</t>
  </si>
  <si>
    <t>Solicitar una copia de seguridad de la fecha anterior más reciente del día de materialización del evento.</t>
  </si>
  <si>
    <t>Mapa Riesgos Institucional Empresa de Renovación y Desarrollo Urbano de Bogotá - 2024</t>
  </si>
  <si>
    <t>Seguimiento Controles</t>
  </si>
  <si>
    <t>Seguimiento Acciones de Tratamiento</t>
  </si>
  <si>
    <t>¿Se materializo el riesgo?</t>
  </si>
  <si>
    <t>Seguimiento Acciones de Contingencia</t>
  </si>
  <si>
    <t xml:space="preserve">Observaciones </t>
  </si>
  <si>
    <t>Describa las actividades desarrolladas para dar cumplimiento a los controles establecidos</t>
  </si>
  <si>
    <t>Enuncie las evidencias que soportan el seguimiento del control y anéxelas en la carpeta compartida destinada para ello (si son de carácter reservado, no es necesario anexarlas)</t>
  </si>
  <si>
    <t>% de Cumplimiento</t>
  </si>
  <si>
    <t>Describa las actividades desarrolladas para dar cumplimiento a las acciones de tratamiento establecidas</t>
  </si>
  <si>
    <t>Relacione las evidencias que soportan el seguimiento de las acciones de tratamiento y anéxelas en la carpeta compartida destinada para ello (si son de carácter reservado, no es necesario anexarla)</t>
  </si>
  <si>
    <t>Si</t>
  </si>
  <si>
    <t>No</t>
  </si>
  <si>
    <t xml:space="preserve">En caso de materialización describa cómo se materializó </t>
  </si>
  <si>
    <t>Describa las actividades desarrolladas para dar cumplimiento a las acciones de contingencia en los casos que se materializo el riesgo</t>
  </si>
  <si>
    <t>Relacione las evidencias que soportan el seguimiento de las acciones de contingencia y anéxelas en la carpeta compartida destinada para ello (si son de carácter reservado, no es necesario anexarlas)</t>
  </si>
  <si>
    <t>Seguimiento Segundo Cuatrimestre 2024</t>
  </si>
  <si>
    <t xml:space="preserve">Seguimiento Plan Anual de Auditoria
Cuadro de Actividades y requerimientos </t>
  </si>
  <si>
    <t>Actas Comité de Autoevaluación</t>
  </si>
  <si>
    <t>Informes Preliminares Revisados por la Jefe de la Oficina de control Interno</t>
  </si>
  <si>
    <t>El abogado de la DTPGU verifico que en la solicitud de los contratos de prestación de servicios que hacen parte integral del contrato, se incluya en las obligaciones generales de guardar la estricta reserva de toda la información y documentos que tenga acceso, con el fin de dar un manejo adecuado de la información por parte de los contratistas.</t>
  </si>
  <si>
    <t>1. Presentación capacitación manejo y confidencialidad del tratamiento de datos e información confidencial y lista de asistencia.</t>
  </si>
  <si>
    <t>X</t>
  </si>
  <si>
    <t>N/A</t>
  </si>
  <si>
    <t>Dos Oficios de alcance interno de calidad de las respuestas, un plan de mejoramiento. \\192.168.10.203\ogs\0 OFICINA DE GESTION SOCIAL 2024\ATENCION AL CIUDADANO\Seguimiento a la calidad de las respuestas</t>
  </si>
  <si>
    <t>Formato de evaluación post jornada de inducción y reinducción Corporativa \\192.168.10.203\ogs\0 OFICINA DE GESTION SOCIAL 2024\ATENCION AL CIUDADANO\Capacitación\Inducción</t>
  </si>
  <si>
    <t>Comités de obra en sitio de los proyectos en ejecución de obra, revisión constante de lo reportado por las interventorías</t>
  </si>
  <si>
    <t>Actas de comité técnicos y operativos Disponible en la estructura de carpetas de la Subgerencia de Ejecución de Proyectos en Drive y disponible en cada uno de los contratos en Tampus</t>
  </si>
  <si>
    <t xml:space="preserve">Se realiza seguimiento a los proyectos que finalizan su etapa contractual y se verifican las condiciones técnicas necesarias para la entrega a satisfacción de las obras. Se diligencia igualmente y se actualiza formato FT-193 de conformidad con las condiciones aplicables para cada obra. </t>
  </si>
  <si>
    <t>Evidencia de entrega o trámite aprobatorio de entregables para recibo de obra. Aplica para el proyecto de San Francisco de Asís  disponible en la carpeta compartida de la Subgerencia de Ejecución de Proyectos</t>
  </si>
  <si>
    <t xml:space="preserve">Se programará socialización con los gerentes de proyectos durante el 3 cuatrimestre cuando los proyectos se encuentren más cercanos a su etapa de entrega y/o recibo de obra. </t>
  </si>
  <si>
    <t>Acta de socialización 3 cuatrimestre</t>
  </si>
  <si>
    <t>Comités de seguimiento periódico de los gerentes de proyectos y aprobación de informes mensuales y semanales por parte de las interventorías de los contratos en ejecución.</t>
  </si>
  <si>
    <t>Se adelanta proceso inicial de formulación de lineamientos con las diferentes áreas implicadas en la ejecución de proyectos</t>
  </si>
  <si>
    <t xml:space="preserve">Seguimiento y actualización a matriz de riesgos de los proyectos de obra y de estudios y diseños en ejecución. </t>
  </si>
  <si>
    <t>Matriz de seguimiento a proyectos en ejecución con riesgos inherentes actualizado periódicamente.</t>
  </si>
  <si>
    <t xml:space="preserve">Se realizan comités de seguimiento a proyectos de forma semanal para identificar la desviación de proyectos, riesgos y acciones a tomar para reducir la desviación registrada. </t>
  </si>
  <si>
    <t xml:space="preserve">Actas de comité y presentaciones semanales con porcentaje de desviaciones y avances respectivos. </t>
  </si>
  <si>
    <t xml:space="preserve">Los nuevos procesos judiciales notificados a la empresa, han sido asignados cada uno de los apoderados que  hacen parte del equipo de defensa judicial  de acuerdo a la experiencia y experticia de cada uno en procesos similares  </t>
  </si>
  <si>
    <t xml:space="preserve">Las evidencias se encuentra en la matriz de procesos judiciales </t>
  </si>
  <si>
    <t xml:space="preserve">La Dependiente Judicial revisa tres veces por semana la página de procesos judiciales con la finalidad de alertar a los apoderados de los vencimientos dentro de las actuaciones judiciales </t>
  </si>
  <si>
    <t xml:space="preserve">El dependiente judicial y  los apoderados han realizado un seguimiento constante a sus procesos judiciales y las actuaciones se han incorporado en la matriz de seguimiento de los procesos judiciales </t>
  </si>
  <si>
    <t xml:space="preserve">La Jefe de la Oficina Jurídica revisa a diario la matriz de seguimiento de los procesos judiciales, de igual manera en los comités de autoevaluación y seguimiento se le hace un  seguimiento a los procesos judiciales y se exponen los casos más relevantes para la empresa, así como lo logros obtenidos por el equipo de defensa judicial. </t>
  </si>
  <si>
    <t xml:space="preserve"> Actas de seguimiento y autoevaluación  de la Oficina Jurídica</t>
  </si>
  <si>
    <r>
      <t xml:space="preserve">Para el periodo evaluado, la Oficina Asesora de Planeación realizó las siguientes actividades:
</t>
    </r>
    <r>
      <rPr>
        <b/>
        <u/>
        <sz val="10"/>
        <color theme="1"/>
        <rFont val="Arial Narrow"/>
        <family val="2"/>
      </rPr>
      <t>Comité Institucional de Gestión y Desempeño:</t>
    </r>
    <r>
      <rPr>
        <sz val="10"/>
        <color theme="1"/>
        <rFont val="Arial Narrow"/>
        <family val="2"/>
      </rPr>
      <t xml:space="preserve">
En el marco del nuevo Plan Distrital de Desarrollo "Bogotá Camina Segura 2024 – 2027", se definieron y formularon los proyectos de inversión siguiendo la metodología MGA y los lineamientos impartidos por el DNP y la Secretaria Distrital de Planeación. Según Resolución 010 de armonización presupuestal, estos proyectos fueron cargados y registrados en las plataformas SEGPLAN y SUIFP, el cual inició su ejecución a partir del 01 de julio de 2024.
Por otro lado, se elaboró propuesta del Plan de Acción Institucional, con el objetivo de garantizar su alineación con el Plan Estratégico de Revitalización Urbana y con los lineamientos de la Gerencia de las acciones denominadas legado que son parte de la prioridad de la administración para contribuir al cumplimiento de los objetivos. Dicho Plan fue enviado por correo electrónico a los responsables de las actividades propuestas, para su revisión, ajuste y aprobación. Una vez realizados los ajustes propuestos por las áreas, el Plan de Acción Institucional 2024 consolidado, fue presentado al Comité Institucional de Gestión y Desempeño, el cual fue aprobado en sesión del 05 de agosto del 2024 y publicado en la sección de Transparencia de la página web de la Empresa.
</t>
    </r>
    <r>
      <rPr>
        <b/>
        <u/>
        <sz val="10"/>
        <color theme="1"/>
        <rFont val="Arial Narrow"/>
        <family val="2"/>
      </rPr>
      <t>Comité de Proyectos</t>
    </r>
    <r>
      <rPr>
        <sz val="10"/>
        <color theme="1"/>
        <rFont val="Arial Narrow"/>
        <family val="2"/>
      </rPr>
      <t>:
Para el periodo evaluado se han realizado 5 sesiones en las cuales se han realizado diferentes acciones tendientes a garantizar la objetividad del desarrollo de los proyectos en sus diferentes subfases de maduración. Entre otras acciones se han realizado revisiones de proyectos como el Concurso de Predios 2.0 y PPRU Calle 26.
Por lo anterior, se puede concluir que ha sido efectivo el control, pues una vez aplicado, no se ha materializado el riesgo.</t>
    </r>
  </si>
  <si>
    <t>- Plan Distrital de Desarrollo "Bogotá Camina Segura 2024 – 2027" - Acuerdo No. 368 de 2024, publicado en la pagina de la SDP (https://www.sdp.gov.co/gestion-a-la-inversion/programacion-y-seguimiento-a-la-inversion/planes-de-desarrollo-local/plan-de-desarrollo-bogota-2024-2027).
- Fichas EBI.
- Correo enviando propuesta del Plan de Acción Institucional 2024.
- Acta Comité Institucional de Gestión y Desempeño del 05 de agosto de 2024, disponible en Tampus.
- Versión 1 del Plan de Acción, publicado en: https://renobo.com.co/transparencia/planeacion-presupuesto-e-informes/plan-de-accion
- Actas del Comité de Proyectos, donde se evidencia las gestiones de esta instancias asociadas con la mitigación de este riesgo, disponibles en Tampus.</t>
  </si>
  <si>
    <t>En el marco del Comité de Proyectos se elaboró una herramienta  para la alineación de los esfuerzos de los equipos de proyecto para la presentación de avances de los proyectos para su aprobación o retroalimentación.
Adicionalmente, en el mes de agosto inició con la estrategia de revisión colectiva con los equipos de proyectos, la fase de estructuración, para lo cual se socializó las directrices y consideraciones a tener en cuenta para la estructuración de proyectos y entregables a generar.
Finalmente, se realizó actividad conjunta con la Dirección Técnica de Gestión Predial DTGP para la asesoría en la elaboración de la lista de chequeo de estructuración a nivel de prefactibilidad del Concurso de Predios 2.0.</t>
  </si>
  <si>
    <t>- Evidencia de la herramienta de alineación elaborada en el Comité de Proyectos para la presentación de Proyectos en las diferentes fases.
- Evidencia de las sesiones realizadas con las áreas incluyendo la actividad de asesoría con la DTGP.</t>
  </si>
  <si>
    <r>
      <t>Para el periodo evaluado, la Oficina Asesora de Planeación y su equipo de trabajo, realizó la siguiente gestión:</t>
    </r>
    <r>
      <rPr>
        <b/>
        <u/>
        <sz val="10"/>
        <color theme="1"/>
        <rFont val="Arial Narrow"/>
        <family val="2"/>
      </rPr>
      <t xml:space="preserve">
Proyectos de Inversión (FUSS):
</t>
    </r>
    <r>
      <rPr>
        <sz val="10"/>
        <color theme="1"/>
        <rFont val="Arial Narrow"/>
        <family val="2"/>
      </rPr>
      <t>Se realizó mensualmente el seguimiento a los Proyectos, una vez recibida la información reportada por los responsables, se verificó con el fin de garantizar su alineación con los objetivos, coherencia y que esté acorde con la programación establecida. Cuando hubo lugar a ello, se solicitaron los ajustes correspondientes a los responsables.</t>
    </r>
    <r>
      <rPr>
        <b/>
        <u/>
        <sz val="10"/>
        <color theme="1"/>
        <rFont val="Arial Narrow"/>
        <family val="2"/>
      </rPr>
      <t xml:space="preserve">
Plan de Acción Institucional:
</t>
    </r>
    <r>
      <rPr>
        <sz val="10"/>
        <color theme="1"/>
        <rFont val="Arial Narrow"/>
        <family val="2"/>
      </rPr>
      <t>Se realizó mensualmente el seguimiento al Plan, una vez recibida la información reportada por los líderes de los procesos, se verificó con el fin de garantizar su alineación con los objetivos, coherencia y que esté acorde con la programación establecida.</t>
    </r>
    <r>
      <rPr>
        <b/>
        <u/>
        <sz val="10"/>
        <color theme="1"/>
        <rFont val="Arial Narrow"/>
        <family val="2"/>
      </rPr>
      <t xml:space="preserve">
Plan de Adecuación y sostenibilidad de MIPG:</t>
    </r>
    <r>
      <rPr>
        <sz val="10"/>
        <color theme="1"/>
        <rFont val="Arial Narrow"/>
        <family val="2"/>
      </rPr>
      <t xml:space="preserve">
Para el segundo trimestre 2024, la Jefe de la Oficina Asesora de Planeación envió la solicitud de seguimiento al Plan, posteriormente los profesionales asignados revisaron y validaron el registro de avance respecto a la entrega de los soportes por parte los líderes operativos y/o responsables definidos, y consolidaron y presentaron el seguimiento a través de la herramienta PowerBi. Adicionalmente, los resultados se socializan al equipo de Líderes Operativos para que tomen las decisiones que correspondan frente a los resultados del reporte.
La consolidación de este seguimiento es insumo para reportes externos como el FUSS y el Informe de MIPG que se presentan a la SDHT en los tiempos establecidos.
</t>
    </r>
    <r>
      <rPr>
        <b/>
        <u/>
        <sz val="10"/>
        <color theme="1"/>
        <rFont val="Arial Narrow"/>
        <family val="2"/>
      </rPr>
      <t>Comité de Proyectos</t>
    </r>
    <r>
      <rPr>
        <sz val="10"/>
        <color theme="1"/>
        <rFont val="Arial Narrow"/>
        <family val="2"/>
      </rPr>
      <t xml:space="preserve">:
En el periodo de reporte se han consolidado las diferentes actualizaciones del estado de los proyectos en gestión por la empresa, enviada por los equipos de proyecto, los cuales son validados por la Oficina Asesora de Planeación y la Gerencia General para las gestiones de Seguimiento y Control de Proyectos.
Por lo anterior, se puede concluir que ha sido efectivo el control, pues una vez aplicado, no se ha materializado el riesgo.
</t>
    </r>
    <r>
      <rPr>
        <b/>
        <u/>
        <sz val="10"/>
        <color theme="1"/>
        <rFont val="Arial Narrow"/>
        <family val="2"/>
      </rPr>
      <t xml:space="preserve">Elementos del SIG </t>
    </r>
    <r>
      <rPr>
        <sz val="10"/>
        <color theme="1"/>
        <rFont val="Arial Narrow"/>
        <family val="2"/>
      </rPr>
      <t xml:space="preserve">:
Gestión de oportunidades: todos los procesos realizaron la entrega del seguimiento correspondiente al primer semestre, se realizó retroalimentación en el reporte para los procesos de Evaluación y Seguimiento y Gestión de la Participación Ciudadana y Asuntos Sociales, así mismo se generó el informe de seguimiento a la gestión de oportunidades en el cual se realizan observaciones especificas por cada proceso, el informe con los resultados del seguimiento fueron socializados por correo electrónico a Líderes de proceso y Líderes operativos. 
Seguimiento a indicadores de Proceso: todos los procesos realizaron la entrega del seguimiento correspondiente al segundo trimestre, se realizó retroalimentación en el reporte para los procesos de Seguimiento y Evaluación y Gestión Financiera, así mismo se generó el informe de seguimiento a la gestión de indicadores en el cual se realizan observaciones especificas por cada proceso, el informe con los resultados del seguimiento fueron socializados por correo electrónico a lideres de proceso y lideres operativos.
Seguimiento Salidas no conformes: todos los procesos misionales realizaron la entrega del seguimiento correspondiente al primer semestre, se realizó retroalimentación en el reporte para el proceso de Estructuración de Proyectos, así mismo, se generó el informe de seguimiento a la gestión de indicadores en el cual se realizan observaciones especificas por cada proceso, el informe con los resultados del seguimiento fueron socializados por correo electrónico a lideres de proceso y lideres operativos. </t>
    </r>
  </si>
  <si>
    <t xml:space="preserve">- Presentaciones de lideres operativos e informes de seguimiento de Segunda Línea de Defensa disponibles en: http://10.115.245.74/mipg </t>
  </si>
  <si>
    <t>No aplica.</t>
  </si>
  <si>
    <t>N.A.</t>
  </si>
  <si>
    <t>Para la identificación del conocimiento crítico y/o estratégico, se adelantó una sesión de acompañamiento técnico con la Secretaria General y se analizaron las experiencias obtenidas de los mapas de conocimiento anteriores, finalmente se definió que la línea de priorización y actualización del Mapa de Conocimiento 2024, se hará para los activos de conocimiento relacionados con los procesos misionales. Dado lo anterior, se actualizó el Plan de trabajo interno para continuar con dicha actualización.</t>
  </si>
  <si>
    <t>1. Bitácora de la sesión y citación mesa técnica Secretaría General.</t>
  </si>
  <si>
    <t>No aplica para el periodo evaluado.</t>
  </si>
  <si>
    <t>Se realizó las respectivas convocatorias por los diferentes canales de la Entidad y mediante los medios establecidos por el Jefe de la OPCAS y el líder de cada proyecto, la jefe de la OPCAS verificó el cumplimiento en los plazos establecidos en el cronograma.</t>
  </si>
  <si>
    <t xml:space="preserve">Agenda reunión con el equipo de profesionales del área </t>
  </si>
  <si>
    <t>Para la elaboración de las propuestas se solicitan a las áreas técnicas  los insumos  requeridos, esta actividad se realiza a través de correos electrónicos. Así mismo se realizan reuniones con los profesionales de las áreas técnicas para revisar las solicitudes y los componentes que corresponden desarrollar a cada una.</t>
  </si>
  <si>
    <t>En las carpetas relacionadas para el control se encuentran los correos y agendas de reuniones descritas:
* Carpeta zip :2. Propuestas derivadas convenio
* Carpeta zip :37. UAESP_ECOPUNTOS
* Carpeta zip : 30 - IDRD - CEFE 2024</t>
  </si>
  <si>
    <t xml:space="preserve">Previo a la expedición y legalización de las ofertas de compra, promesas de compra venta y escrituras públicas  se realizó la verificación por parte de los profesionales del cumplimiento de los requisitos legales y formales establecidos en el PD-23  adquisición </t>
  </si>
  <si>
    <t>1. Ofertas de compra
2. Escrituras Publica de compra venta
Donde se evidencia los vistos de aprobación de cada profesional</t>
  </si>
  <si>
    <t xml:space="preserve">Las recomendaciones de contratación se encuentran en las actas de comité de contratación alojadas en el expediente TAMPUS 400.3.Dirección de Contratación.
 </t>
  </si>
  <si>
    <t>Actas de comité de contratación dispuestas en Tampus
https://gestiondocumental.etb.net.co/Instancias/ERU_Prod/AZDigitalV6.0/ControlAdmin/index.php?DiId=51419</t>
  </si>
  <si>
    <t>A 31 de agosto todas las gestiones en materia contractual se radican con la lista de  chequeo correspondiente:
•	FT-229 Lista de Chequeo Prestación de Servicios Personales - Persona Natural V4
•	FT-23 Lista de chequeo requisitos básicos de contratación V10
Lo cual se puede evidenciar en los expedientes contractuales creados en la plataforma TAMPUS SECOP.</t>
  </si>
  <si>
    <t>Los procesos de selección que se publican en Secop cuentan el estudio previo correspondiente, el cual atiende a las necesidades de la Empresa y las condiciones legales necesarias</t>
  </si>
  <si>
    <t xml:space="preserve">Listado de procesos adelantados a la fecha </t>
  </si>
  <si>
    <t xml:space="preserve">Acta de reunión No. 5 de fecha 24 de mayo de 2024. Acta de reunión No. 6 de fecha 18 de junio de 2024. Acta de reunión No. 7 de fecha 25 de julio de 2024. Acta de reunión No. 8 de fecha 27 de agosto de 2024, (Nota: Las actas fueron incluidas en el link remitido por Control Interno). </t>
  </si>
  <si>
    <t xml:space="preserve">Reuniones en las que se verificaron los términos de prescripción de los procesos, a saber:                                                                                                                                                                                                                                                                                                                                                                            Reunión No 1 de fecha 24 de mayo de 2024, acta No. 5- 2024.                                                                                                                                                                                                                                                                                                                                                                                                                                                    Reunión No. 2 de fecha 18 de junio de 2024, acta No. 6- 2024.                                                                                                                                                                                                                                                                                                                                                                                                                                                           Reunión No. 3 de fecha 25 de julio de 2024, acta No. 7 - 2024.                                                                                                                                                                                                                                                                                                                                                                                                                                  Reunión No. 4 de fecha 27 de agosto de 2024. Acta No. 8-2024.                                                                                                                                                                                                                                                                                                                                                                                                                                                                Se actualizó el archivo de seguimiento disponible en el Drive con las actuaciones realizadas en los meses, en el momento contamos con 24 procesos disciplinarios vigentes a la fecha 31 de agosto de 2024.                                                                                                                                                       </t>
  </si>
  <si>
    <t>Seguimiento disponible en el Drive compartido con los profesionales del área y la jefe de la oficina y las Actas de reunión:                                                                                                                                                                                                                                                                                                                                                Acta No. 1 de fecha 24 de mayo de 2024.                                                                                                                                                                                                                                                                                                                                                                                                                                                                            Acta No. 2 de fecha 18 de junio de 2024.                                                                                                                                                                                                                                                                                                                                                                                                                                                                           Acta No. 3 de fecha 25 de julio de 2024.                                                                                                                                                                                                                                                                                                                                                                                                                                                                          Acta No. 4 de fecha 27 de agosto de 2024, Actualmente a 31 de agosto de 2024 contamos con 24 proceso disciplinarios activos a 31 de agosto de 2024, se incluye cuadro del total de los procesos y la etapa en que se encuentran.</t>
  </si>
  <si>
    <t xml:space="preserve">El 24 de mayo de 2024 se realizó reunión entre la Jefe de disciplinarios y la profesional del área donde se verificó el expediente disciplinario No. 003 de 2019, se revisaron los hechos y las pruebas remitidas en la indagación previa y se tomo la decisión entre las funcionarias de terminar y archivar el proceso No. 003- 2019, Acta No. 006- 2024 en realidad es la Número 5 de 2024.                                                                                                                                                                                                                                                                                                                                                                                                                                        El 11 de junio de 2024 se realizó la reunión entre la Jefe de disciplinarios y la profesional del área donde se verificó la etapa de indagación previa dentro de los expediente No. 004-2020 , 003- 2021 y 009- 2023 y se revisaron los hechos y las pruebas allegadas y se tomó la decisión entre las funcionarias de iniciar autos de apertura de investigación disciplinaria dentro de los expediente disciplinario No. 004-2020, 003-2021 y 009- 2023, acta No. 6- 2024.                                                                                                                                                                                                                                                                                                                                                                                                                                                                                                                                             El 25 de julio de 2024 se realizó la reunión entre la Jefe de disciplinarios y la profesional del área donde se verificó los hechos y las pruebas allegadas en la indagación previa dentro del expediente disciplinario No. 002- 2024, y se tomo la decisión entre las funcionarias de proyectar auto de terminación y archivo dentro del expediente disciplinario No. 002- 2024 Acta No. 7- 2024.                                                                                                                                                                                                                                                                                                                                                               El 14 de agosto de 2024 se realizó la reunión entre la Jefe de disciplinarios y el profesional Yordi Real Salinas, contratista del área donde se revisaron los hechos y las pruebas recaudas en la etapa de indagación previa dentro de los expedientes disciplinario No. 002- 004- 005- 2022 y se tomo la decisión de proyectar auto de terminación y archivo dentro de los expedientes No. 002-2022, 004- 2022, 005- 2022. Acta No. 8- 2024.                                                                                                                                                                                                                                                                                                                                                                                                                    </t>
  </si>
  <si>
    <t>Reunión No. 1 de fecha 24 de mayo de 2024.                                                                                                                                                                                                                                                                                                                                                                                                                                                    Acta de Reunión No. 2 de fecha 11 de junio de 2024.                                                                                                                                                                                                                                                                                                                                                                                                                                                            Reunión No. 3 de fecha 25 de julio de 2024.                                                                                                                                                                                                                                                                                                                                                                                                                                                           Reunión No. 4 de fecha 14 de agosto de 2024                                                                                                                                                                                                                                                                                                                                                                                                                                                                                                                                                                                                                                                                                                                                                                                                                                                                             Es importante informar qué se anexan las actas No. 5 identificada con la número 6 de fecha 24-05-2024, No. 3 de fecha 25 de julio de 2024, No. 4 de fecha 14 de agosto de 2024, teniendo en cuenta que son procesos terminados y no tienen reserva, respecto del acta No. 2 de fecha 11 de junio de 2024, no se anexa teniendo en cuenta que tiene reserva de la actuación disciplinaria, de acuerdo al articulo 115 de la ley 1952 de 2019.</t>
  </si>
  <si>
    <t xml:space="preserve">Reuniones en las que se  revisaron expedientes donde se verificaron los hechos de las quejas y se revisaron las pruebas remitidas por diferentes dependencias para poder llegar a una decisión dentro de la etapa:                                                                                                                                                                                                                                                                                                                Reunión No. 1 de fecha 24 de mayo de 2024.                                                                                                                                                                                                                                                                                                                                                                                                                                                      Reunión No. 2 de fecha 11 de junio de 2024                                                                                                                                                                                                                                                                                                                                                                                                                                                           Reunión No. 3 de fecha 25 de julio de 2024.                                                                                                                                                                                                                                                                                                                                                                                                                                                        Reunión No. 4 de fecha 14 de agosto de 2024.                                                                                                                                                                                                                                                                                                                                                                                                                                                                                                                                                                                                                                                                                                                                                                                                                                                                                                            Seguimiento disponible en Drive, evaluación de la queja y de las pruebas remitidas por las diferentes dependencias para poder llegar a la verdad de los hechos y así tomar las decisiones en derecho.                                                                </t>
  </si>
  <si>
    <t xml:space="preserve">Seguimiento disponible en Drive denominado seguimiento de los procesos disciplinarios, compartido con los profesionales del área y la jefe de la Oficina de Control Disciplinario Interno y Actas de reunión:                                                                                                                                                                                                                                                                                                                                                      No. 1 de fecha 24 de mayo de 2024.                                                                                                                                                                                                                                                                                                                                                                                                                                                                                 No. 2 de fecha 11 de junio de 2024.                                                                                                                                                                                                                                                                                                                                                                                                                                                                                                                                                                                                                                                                                                                                                                                                                                                                                                                                                                            No. 3 de fecha 25 de julio de 2024.                                                                                                                                                                                                                                                                                                                                                                                                                                                                                   No. 4 de fecha 14 de agosto de 2024.                                                                                                                                                                                                                                                                                                                                                                                                                                                                                                                                                                                                                                                                                                                                                                                                                                                                                                                                                                                                                                                                                                                                                                                                                                                                                                                                                                                                                                                        </t>
  </si>
  <si>
    <t>Revisión de la plataforma de monitoreo de infraestructura de TI. Entuity</t>
  </si>
  <si>
    <t>Informes Entuity meses mayo a agosto de 2024</t>
  </si>
  <si>
    <t>Gestión del contrato de mantenimiento de equipos</t>
  </si>
  <si>
    <t>Ordenes de servicio de mantenimiento correctivo</t>
  </si>
  <si>
    <t>Se registran 487 solicitudes de acceso lógico por parte de los supervisores de contratos en el sistema JSP7</t>
  </si>
  <si>
    <t>Matriz entrega de usuarios nuevos y registro de usuarios Fiducias.</t>
  </si>
  <si>
    <t xml:space="preserve">1. Seguimiento a los proyectos consignados en el Plan Estratégico de TI - PETI.
2. Responder a las necesidades de TI que surgieron en el cuatrimestre mediante la generación de los anexos técnicos respectivos. </t>
  </si>
  <si>
    <t>Se realizo el mantenimiento preventivo de la infraestructura tecnológica en los meses de mayo y junio de 2024. Se realiza las etapas contractuales para la adquisición de un nuevo canal de internet con un proveedor diferente al actual con el fin de asegurar continuidad del servicio de internet</t>
  </si>
  <si>
    <t>Se realiza el mantenimiento preventivo a los equipos de infraestructura de la entidad de acuerdo al cronograma programado.
Contrato de canal de internet de 400 Mb</t>
  </si>
  <si>
    <t xml:space="preserve"> Se materializo el riesgo de indisponibilidad del servicio del canal de internet debido a que el proveedor ETB sufrió de vandalismo de la fibra en la zona donde se encuentra la empresa</t>
  </si>
  <si>
    <t xml:space="preserve"> Adquisición de canal alterno de internet con diferente proveedor</t>
  </si>
  <si>
    <t>Contrato canal de internet dedicado 400 Mb</t>
  </si>
  <si>
    <t>Informes Entuity meses Mayo a Agosto de 2024</t>
  </si>
  <si>
    <t>1. Informes proveedor de servicios TI</t>
  </si>
  <si>
    <t>Correos electrónicos con compromisos de cada reunión y citaciones a las mismas</t>
  </si>
  <si>
    <t>Borrador PD-75 Modelaciones Financieras</t>
  </si>
  <si>
    <t xml:space="preserve">PAA V3 - Acta No. 2 Comité CICCI
Seguimiento Plan Anual de Auditoria Agosto 2024
Cuadro de Actividades y requerimientos </t>
  </si>
  <si>
    <r>
      <t xml:space="preserve">ara el cuatrimestre, se realizaron las siguientes validaciones:
- </t>
    </r>
    <r>
      <rPr>
        <b/>
        <sz val="10"/>
        <color theme="1"/>
        <rFont val="Arial Narrow"/>
        <family val="2"/>
      </rPr>
      <t>Componente interno</t>
    </r>
    <r>
      <rPr>
        <sz val="10"/>
        <color theme="1"/>
        <rFont val="Arial Narrow"/>
        <family val="2"/>
      </rPr>
      <t xml:space="preserve">: se produjeron 68 campañas que se han compartido por canales internos y han requerido verificación por las diferentes áreas que son generadoras de la información.
- </t>
    </r>
    <r>
      <rPr>
        <b/>
        <sz val="10"/>
        <color theme="1"/>
        <rFont val="Arial Narrow"/>
        <family val="2"/>
      </rPr>
      <t>En el componente audiovisual interno</t>
    </r>
    <r>
      <rPr>
        <sz val="10"/>
        <color theme="1"/>
        <rFont val="Arial Narrow"/>
        <family val="2"/>
      </rPr>
      <t xml:space="preserve"> se produjeron 15 videos internos que se han compartido y han requerido verificación por las diferentes áreas que son generadoras de la información.
- </t>
    </r>
    <r>
      <rPr>
        <b/>
        <sz val="10"/>
        <color theme="1"/>
        <rFont val="Arial Narrow"/>
        <family val="2"/>
      </rPr>
      <t>En el componente externo</t>
    </r>
    <r>
      <rPr>
        <sz val="10"/>
        <color theme="1"/>
        <rFont val="Arial Narrow"/>
        <family val="2"/>
      </rPr>
      <t xml:space="preserve"> se produjeron 38 comunicados que se han compartido y han requerido verificación por las diferentes áreas que son generadoras de la información.
-</t>
    </r>
    <r>
      <rPr>
        <b/>
        <sz val="10"/>
        <color theme="1"/>
        <rFont val="Arial Narrow"/>
        <family val="2"/>
      </rPr>
      <t xml:space="preserve"> Durante la vigencia se ha realizado el diseño de 89 piezas gráficas para comunicación externa
</t>
    </r>
    <r>
      <rPr>
        <sz val="10"/>
        <color theme="1"/>
        <rFont val="Arial Narrow"/>
        <family val="2"/>
      </rPr>
      <t xml:space="preserve">
- </t>
    </r>
    <r>
      <rPr>
        <b/>
        <sz val="10"/>
        <color theme="1"/>
        <rFont val="Arial Narrow"/>
        <family val="2"/>
      </rPr>
      <t>Producción audiovisual para comunicación externa</t>
    </r>
    <r>
      <rPr>
        <sz val="10"/>
        <color theme="1"/>
        <rFont val="Arial Narrow"/>
        <family val="2"/>
      </rPr>
      <t xml:space="preserve">: Durante la vigencia se han realizado 42 videos para comunicación externa
</t>
    </r>
  </si>
  <si>
    <t>El profesional financiero del proceso de Gestión Predial verificó las liquidaciones de la obligación VIS- VIP correspondiente a los valores certificados por la curaduría de las solicitudes realizadas de a de mayo a 31 de agosto de 2024.</t>
  </si>
  <si>
    <t>Anexos de la resolución de la liquidación (FT-244 Liquidación Obligación VIS – VIP y FT-245 Descripción de la aplicación de la fórmula</t>
  </si>
  <si>
    <t>Para los meses de mayo a agosto de 2024 , se realizaron siete (7) asesorías virtuales para entregar información acerca del trámite  "Cumplimiento de la obligación VIS-VIP a través de pago compensatorio",  se informa que  no tiene ningún costo y se deja registro en G-Meet.</t>
  </si>
  <si>
    <t>Calendario G-Meet - Información sobre las atenciones virtuales realizadas.</t>
  </si>
  <si>
    <t>Se realizó la revisión de los actos administrativos expedidos, con el fin de verificar que no existieran inconsistencias.</t>
  </si>
  <si>
    <t>1. Ofertas de compra
2. Escrituras Publica de compra venta</t>
  </si>
  <si>
    <t>Anexo 1. Evidencia de agendamiento desde el correo de Talento Humano.</t>
  </si>
  <si>
    <t>1. Se realizo ajustes al documento general del PACA debido a que se debían ajustar los valores que se reportaban para el primer semestre 2024 
2. Se realizo el reporte de seguimiento del primer semestre de la vigencia 2024, está información fue cargada a la herramienta STORM USER
3. Se realizo el reporte de evaluación del primer semestre de la vigencia 2024, está información fue cargada a la herramienta STORM USER</t>
  </si>
  <si>
    <t>1. Se organizo una reunión con el área de urbana, para revisar la información a reportar con respecto al cumplimiento de la meta o acción ambiental y así garantizar el cumplimiento de la misma
2. Se organizaron reuniones con el profesional de la SDA, para revisar la información a reportar</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</si>
  <si>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</si>
  <si>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 xml:space="preserve">Se realiza seguimiento sobre el vencimiento de tiempos de préstamos bien para su renovación o solicitud de devolución. </t>
  </si>
  <si>
    <t xml:space="preserve">Se realiza la implementación del Plan de Conservación Documental que incluye 6 estrategias. Se realizan brigadas de aseo mensual en Archivo Central, medición de condiciones ambientales, seguimiento al Plan de Emergencias y verificación de condiciones de almacenamiento (infraestructura y unidades de conservación). </t>
  </si>
  <si>
    <t>Capacitación personal de servicios generales para brigadas de aseo en espacios de almacenamiento documental</t>
  </si>
  <si>
    <t xml:space="preserve">Se realiza seguimiento al estado de las bandejas de los usuarios del SGDEA - Tampus, informando las novedades a los correspondientes jefes de dependencia </t>
  </si>
  <si>
    <t xml:space="preserve">* Comunicación estado bandejas SGDEA - Tampus </t>
  </si>
  <si>
    <t>Se realizan mesas de trabajo virtual las cuales tienen como fin dar lineamientos o retroalimentación para aquellos usuarios que tienen documentos represados en su bandeja los cuales deben ser trasladados para realiza el correspondiente archivamiento.</t>
  </si>
  <si>
    <t>* Actas y listados de asistencia manejo de bandejas SGDEA- Tampus</t>
  </si>
  <si>
    <t xml:space="preserve">Se realiza la recepción y clasificación de la documentación entregada por la Ventanilla Única de Correspondencia y demás dependencias, realizando la firma del formato FT -33  para su posterior inserción en los expedientes que se encuentran bajo custodia y administración del CAD. </t>
  </si>
  <si>
    <t xml:space="preserve">*Hoja de control evidenciando la inserción documental </t>
  </si>
  <si>
    <t>Los colaboradores del proceso recibieron y gestionaron las solicitudes de creación de expedientes electrónicos que cumplieran con las características establecidas en Manual de Gestión Documental MN-10</t>
  </si>
  <si>
    <t>*Correo electrónicos solicitud creación de expedientes.</t>
  </si>
  <si>
    <t xml:space="preserve">Se crearon los expedientes electrónicos en el SGDEA- TAMPUS, de acuerdo con las solicitudes recibidas mediante correo electrónico. </t>
  </si>
  <si>
    <t>*Pantallazos Expedientes Electrónicos  SGDEA</t>
  </si>
  <si>
    <t>El proceso responsable no reporto avance del control</t>
  </si>
  <si>
    <t>El proceso responsable no reporto avance de la acción</t>
  </si>
  <si>
    <t>El Tesorero General una vez verificado los vistos buenos presupuestal y financiero en los meses de Mayo a agosto de 2024    realiza la aprobación del pago. En este período evaluado no se presentaron novedades con los soportes de pago por lo cual se procede con la aprobación en el portal bancario generando la finalización del pago.</t>
  </si>
  <si>
    <t>1. Correo de visto bueno presupuestal meses mayo, junio, julio y agosto.
2. Correo de visto bueno del profesional de Dirección Financiera meses mayo, junio, julio y agosto.
3. Ejemplo de certificado de cumplimiento verificado conforme a los controles en el período de este seguimiento (Mayo a agosto de 2024)</t>
  </si>
  <si>
    <t xml:space="preserve">1. Url de las publicaciones de los estados financieros mensuales en la pagina web.
2.Conciliaciones cuentas por cobrar y cuentas por pagar en el período evaluado.
3. Amortizaciones período evaluado.
4.Conciliaciones bancarias.
5. Conciliaciones procesos Judiciales
</t>
  </si>
  <si>
    <t>1. Hojas de ruta firmadas por el auditor de la revisoría fiscal sobre la revisión generada a las retenciones efectuadas en el los meses junio, julio y agosto 2024.</t>
  </si>
  <si>
    <t xml:space="preserve">El profesional  encargado de realizar la presentación ante la DIAN y la SDH de las declaraciones tributarias realizó el ejercicio del calculo de la declaración conforme a la norma tributaria y presentando en los meses de Junio, Julio y Agosto. </t>
  </si>
  <si>
    <t>1. Declaraciones de retención en la fuente y retención de ICA avaladas por la Revisoría Fiscal y presentadas ante la DIAN y SDH en los meses Junio a Agosto de 2024.</t>
  </si>
  <si>
    <t>Los profesionales de tesorería y contabilidad previo al cierre de las cuentas por pagar en los meses mayo a agosto de 2024 realizan la conciliación de las cuentas por pagar para cada mes y reportan a la tesorera y a la Contadora para su aprobación.</t>
  </si>
  <si>
    <t>1. Correo de conciliaciones de cuentas por pagar en los meses Mayo, Junio, Julio y Agosto de 2024.
2. Conciliaciones en los meses mayo a agosto firmadas por Contadora y Tesorera</t>
  </si>
  <si>
    <t>Los profesionales de tesorería y contabilidad validan previamente que los valores de la orden de pago correspondan  con el reporte mensual de las cuentas por pagar de Mayo a Agosto de 2024. Las validaciones se relacionan en una matriz de control de pagos validado por el profesional en Contabilidad y el profesional en Tesorería.</t>
  </si>
  <si>
    <t>Cronogramas verificados</t>
  </si>
  <si>
    <t>•	FT-229 Lista de Chequeo Prestación de Servicios Personales - Persona Natural V4
•	FT-23 Lista de chequeo requisitos básicos de contratación V10
Lo cual se puede evidenciar en los expedientes contractuales creados en la plataforma TAMPUS SECOP.</t>
  </si>
  <si>
    <r>
      <rPr>
        <b/>
        <sz val="10"/>
        <color theme="1"/>
        <rFont val="Arial Narrow"/>
        <family val="2"/>
      </rPr>
      <t>1.</t>
    </r>
    <r>
      <rPr>
        <sz val="10"/>
        <color theme="1"/>
        <rFont val="Arial Narrow"/>
        <family val="2"/>
      </rPr>
      <t xml:space="preserve"> </t>
    </r>
    <r>
      <rPr>
        <b/>
        <sz val="10"/>
        <color theme="1"/>
        <rFont val="Arial Narrow"/>
        <family val="2"/>
      </rPr>
      <t>FT-111</t>
    </r>
    <r>
      <rPr>
        <sz val="10"/>
        <color theme="1"/>
        <rFont val="Arial Narrow"/>
        <family val="2"/>
      </rPr>
      <t xml:space="preserve"> Registro Préstamo de Documentos</t>
    </r>
  </si>
  <si>
    <r>
      <rPr>
        <b/>
        <sz val="10"/>
        <color theme="1"/>
        <rFont val="Arial Narrow"/>
        <family val="2"/>
      </rPr>
      <t xml:space="preserve">1. </t>
    </r>
    <r>
      <rPr>
        <sz val="10"/>
        <color theme="1"/>
        <rFont val="Arial Narrow"/>
        <family val="2"/>
      </rPr>
      <t>Correos seguimiento devoluciones y/o Renovaciones</t>
    </r>
  </si>
  <si>
    <r>
      <rPr>
        <b/>
        <sz val="10"/>
        <color theme="1"/>
        <rFont val="Arial Narrow"/>
        <family val="2"/>
      </rPr>
      <t>1.</t>
    </r>
    <r>
      <rPr>
        <sz val="10"/>
        <color theme="1"/>
        <rFont val="Arial Narrow"/>
        <family val="2"/>
      </rPr>
      <t xml:space="preserve"> Correo 15052024 Programación brigadas de aseo Archivo
</t>
    </r>
    <r>
      <rPr>
        <b/>
        <sz val="10"/>
        <color theme="1"/>
        <rFont val="Arial Narrow"/>
        <family val="2"/>
      </rPr>
      <t>2.</t>
    </r>
    <r>
      <rPr>
        <sz val="10"/>
        <color theme="1"/>
        <rFont val="Arial Narrow"/>
        <family val="2"/>
      </rPr>
      <t xml:space="preserve"> FT-234_Informes_SIC_Brigada_Aseo_Mayo2024
</t>
    </r>
    <r>
      <rPr>
        <b/>
        <sz val="10"/>
        <color theme="1"/>
        <rFont val="Arial Narrow"/>
        <family val="2"/>
      </rPr>
      <t>3</t>
    </r>
    <r>
      <rPr>
        <sz val="10"/>
        <color theme="1"/>
        <rFont val="Arial Narrow"/>
        <family val="2"/>
      </rPr>
      <t xml:space="preserve">. Listado de asistencia 18052024 capacitación limpieza
</t>
    </r>
    <r>
      <rPr>
        <b/>
        <sz val="10"/>
        <color theme="1"/>
        <rFont val="Arial Narrow"/>
        <family val="2"/>
      </rPr>
      <t>4.</t>
    </r>
    <r>
      <rPr>
        <sz val="10"/>
        <color theme="1"/>
        <rFont val="Arial Narrow"/>
        <family val="2"/>
      </rPr>
      <t xml:space="preserve"> Encuesta inicial capacitación limpieza 18052024
</t>
    </r>
    <r>
      <rPr>
        <b/>
        <sz val="10"/>
        <color theme="1"/>
        <rFont val="Arial Narrow"/>
        <family val="2"/>
      </rPr>
      <t>5.</t>
    </r>
    <r>
      <rPr>
        <sz val="10"/>
        <color theme="1"/>
        <rFont val="Arial Narrow"/>
        <family val="2"/>
      </rPr>
      <t xml:space="preserve"> Encuesta final capacitación limpieza 18052024</t>
    </r>
  </si>
  <si>
    <r>
      <rPr>
        <b/>
        <sz val="10"/>
        <color theme="1"/>
        <rFont val="Arial Narrow"/>
        <family val="2"/>
      </rPr>
      <t xml:space="preserve">FT - 33 </t>
    </r>
    <r>
      <rPr>
        <sz val="10"/>
        <color theme="1"/>
        <rFont val="Arial Narrow"/>
        <family val="2"/>
      </rPr>
      <t xml:space="preserve">Formato Único de Inventario Documental - (Traslados). </t>
    </r>
  </si>
  <si>
    <t>Actividad programada para los meses de octubre y noviembre de 2024</t>
  </si>
  <si>
    <t>Acta de visita realizada
Acta de Evaluación SDA
Plan de acción institucional - Reporte PIGA</t>
  </si>
  <si>
    <t>Carpeta de las piezas gráficas y correo enviados</t>
  </si>
  <si>
    <t>Certificación de cargue a la herramienta STORM (formulación)
Certificación de cargue a la herramienta STORM (seguimiento)
Certificación de cargue a la herramienta STORM (evaluación)</t>
  </si>
  <si>
    <t>Registro de evento realizado - Reunión con urbana para revisar la información a reportar
Registro de evento realizado - Reunión con SDA y planeación para revisar la formulación PACA 2025-2028
Registro de evento realizado - Reunión con SDA para revisar el reporte de la información</t>
  </si>
  <si>
    <t>Se tiene programado realizar en el último cuatrimestre del año, por cuanto el insumo son los informes generados por la Segunda Línea de Defensa.</t>
  </si>
  <si>
    <t xml:space="preserve">Excel con la relación de actividades de la OARC
</t>
  </si>
  <si>
    <t>En julio de 2024 se recordó la divulgación realizada en el primer cuatrimestre con la campaña interna, del procedimiento para las solicitudes de comunicaciones, a través del formato FT10.</t>
  </si>
  <si>
    <t>Es importante reforzar la acción de tratamiento y volverla a ejecutar e el ultimo cuatrimestre ya que en junio y julio ingreso personal contratista nuevo a la Empresa</t>
  </si>
  <si>
    <t>1. Solicitud de contratación de Prestación de Servicios Personales, con obligación de : Guardar estricta reserva sobre toda la información y documentos que tenga acceso, maneje en desarrollo de su actividad o que llegue a conocer en desarrollo del contrato y que
tenga carácter de pública. En consecuencia, se obliga a no divulgar por ningún medio dicha información o documentos a terceros, sin la previa autorización escrita de la EMPRESA
2. Contratos de Prestación de Servicios con cláusula de manejar de información</t>
  </si>
  <si>
    <t xml:space="preserve">El abogado de la DTPGU realizó la capacitación de directrices y adecuado tratamiento de datos e información confidencial de manera virtual la cual se llevó a cabo el 30 de abril de 2024 con la participación del equipo DTPGU.
Durante el segundo semestre del 2024, se hará nuevamente otra capacitación de manejo adecuado de la información por parte del abogado de la DTPGU dirigida a los contratistas del área </t>
  </si>
  <si>
    <t>En el marco de las metas establecidas para la DTPGU para el periodo de 2024 fue priorizada la formulación de las siguientes actuaciones: AE (Zibo, Calle 72, Chapinero, reencuentro y Montevideo) y avanzar en la formulación de la AE de Rionegro prevista radicar en el primer semestre de la   vigencia 2025 
El Líder Operativo verificó que al inicio de  la formulación de la actuación estratégica, el líder del proyecto haya generado el cronograma con las etapas y estudios requeridos previstas para la formulación y articulación necesarias y que haya solicitado a las entidades competentes en su primera fase, la emisión de los estudios y/o conceptos requeridos.
Por otra parte y en línea directa con el cumplimiento de los metas de la DTPGU y los cronogramas, se hace seguimiento al cumplimiento de los hitos y metas establecidos para la DTPGU mediante reporte del tablero de proyectos, documento FUSS, Plan de acción, indicadores de gestión.</t>
  </si>
  <si>
    <t xml:space="preserve">1. Cronogramas de proyectos de formulación de instrumentos (actuaciones estratégicas)
2. Seguimientos de proyectos de formulación de instrumentos  (actuaciones estratégicas), en los cuales se haga seguimiento a la solicitud de conceptos y estudios
3. Documento de seguimiento FUSS
4. Documento de Seguimiento de Plan de acción 
5. Documento de seguimiento de Indicadores de gestión </t>
  </si>
  <si>
    <t>1. Cronogramas de proyectos de formulación de instrumentos (actuaciones estratégicas)
2. Seguimientos de proyectos de formulación de instrumentos  (actuaciones estratégicas), en los cuales se haga seguimiento a la solicitud de conceptos y estudios</t>
  </si>
  <si>
    <t>Los profesionales de la DTEP realizaron las revisiones de la información suministrado por las diferentes áreas y sostuvieron reuniones para los casos en los que la información no se encontró acorde con el proyecto a estructurar, también se mantiene reuniones de seguimiento constantes al interior de la dirección en donde se realiza el sondeo de temas pendientes basado en el tablero de proyectos implementado de manera interna.</t>
  </si>
  <si>
    <t>Se avanza en la actualización del procedimiento PD-75 Modelaciones Financieras, llevándola a la realidad actual de la dirección, dichos avances son compartidos a la oficina asesora de planeación para las respectivas revisiones.</t>
  </si>
  <si>
    <t xml:space="preserve">El Jefe de la Oficina de Participación Ciudadana y Asuntos Sociales, junto con el equipo de trabajo, realizó la verificación mensual del cumplimiento a la ejecución de las diferentes estrategias de Gestión Social y de Participación Ciudadana. No se presentaron desviaciones respecto a la ejecución. Las decisiones tomadas quedarán registradas en las actas del Comité </t>
  </si>
  <si>
    <t>2024_06_11_ Acta _  Reunión seguimiento transversal semanal AE_OPCAS_junio
2024_06_18_ Acta _Reunión seguimiento transversal semanal AE_OPCAS_junio
2024_06_27_ Acta _4 Reunión seguimiento transversal semanal AE_OPCAS_junio
21082024 Reunión avances equipo OPCAS AE</t>
  </si>
  <si>
    <t xml:space="preserve">Se implementa metodología de seguimiento a proyectos mediante semáforo de desviaciones y riesgos con probabilidad de materialización de los proyectos que se encuentran en ejecución por parte de la Subgerencia de Ejecución de Proyectos y se realiza seguimiento semanal a cada uno de ellos, tomando las acciones inherentes al respecto.  </t>
  </si>
  <si>
    <t>La socialización del Procedimiento PD-109 Arriendo de Inmuebles – Negociación Directa V1 se realizó con el equipo de la Dirección Técnica Comercial el 4 de julio de 2024. ( se adjunta agenda _ calendario de la reunión) 
Corresponde al numeral 4.3 parágrafo 2 del capítulo IV  de la Parte II del Manual de Contratación y Gestión de Negocios</t>
  </si>
  <si>
    <t xml:space="preserve">Durante el cuatrimestre mayo-agosto, se llevaron  a cabo los siguientes procesos :
 1.  Arrendamiento del Inmueble localizado entre las calles 24 y 24 A y las carreras 13A y 14 (que hace parte del PP Estación Metro Calle 26).   Este proceso se llevo a cabo conforme al procedimiento PD-109 Arriendo de Inmuebles – Negociación Directa V1.  Los documentos se encuentran en SECOP II bajo el Número de proceso PAD-EC-CD-06-2024 / CONTRATO 001-2024.  Se adjuntan en el mismo archivo de pdf :  Estudios Previos, anexo técnico con los Vo Bo , matriz de riesgos, soporte del valor del canon, verificación de condiciones. Así mismo se adjunta el contrato.
2. Trámite de prorroga del contrato 001 de 2023 correspondiente al arrendamiento de las manzanas 10 y 22 a la UT Lo Nuestro, se remitió la solicitud  con Radicado I2024000982, a la Dirección de Contratación el 30 de abril de 2024 con:  Lista de Chequeo debidamente firmada , Formato de solicitud firmado y documentos del Contratista. </t>
  </si>
  <si>
    <t>A 31 de agosto todas las gestiones en materia contractual se radican con la lista de  chequeo correspondiente:
•	FT-229 Lista de Chequeo Prestación de Servicios Personales - Persona Natural V4
•	FT-23 Lista de chequeo requisitos básicos de contratación V10
Lo cual se puede evidenciar en los expedientes contractuales creados en la plataforma TAMPUS. Y SECOP</t>
  </si>
  <si>
    <t xml:space="preserve">Desde el proceso Financiero en el período evaluado se realizó la identificación de los documentos  actualizar para lineamientos de Tesorería ajustados a la mueva estructura y a los controles sistematizados en el aplicativo JSP7. Se continua con la actualización y formalización de documentos para controles de seguridad en tesorería, se espera formalizar a más tardar a 30 de octubre de 2024. </t>
  </si>
  <si>
    <t>1. Borrador protocolo de seguridad tesorería.
2. Actualización documental en el mes de agostos de 2024.</t>
  </si>
  <si>
    <t xml:space="preserve">El profesional del área contable consolida los estados financieros de  los meses mayo a julio y continua en el proceso en agosto por cierres contables, esos reflejan la razonabilidad a través de estados financieros intermedios que fueron validados y firmados por la revisoría fiscal, el Contador y el Gerente y publicados en la página web de la empresa. En el marco de esa revisión se tienen conciliaciones para todas las categorías contables y con las áreas internas y externas con un proceso debidamente documentado en las políticas contables de la empresa. </t>
  </si>
  <si>
    <t xml:space="preserve">El área contable validó en el período evaluado el catalogo de cuentas requerido por la Contabilidad Pública inactivando las cuentas contables que no estaban aprobadas en este catalogo y de esta forma se asegura el cumplimiento normativo aplicable en materia de catalogo de cuentas y NIIF actualizadas para REONOBO. </t>
  </si>
  <si>
    <t>1. GLPI requerimiento concluido para actualización del aplicativo JSP7: inactivar las cuentas contables que se identificaron durante los meses mayo a agosto no estipuladas en el catalogo de cuentas.
2. Gestión adelantada para preparación de punto del comité financiero que revisará y decidirá sobre la  actualización de las políticas contables armonizadas con los nuevos lineamientos de la Contraloría General de la Nación en las resoluciones 332 de2022 y 286 de 2023.</t>
  </si>
  <si>
    <t>El contratista profesional tributarita encargado de revisar todas las causaciones contables verifica la adecuada liquidación de las retenciones a que haya lugar para que posteriormente la empresa consultora externa verifique la correcta retención y que en la tercera validación de control que realiza la revisoría fiscal se ratifiquen valores aplicados.</t>
  </si>
  <si>
    <t>El profesional  encargado de revisa  las causaciones contables en el período evaluado verificando la adecuada liquidación de las retenciones a que haya lugar, las cuales fueron validadas por el revisor fiscal emitiendo una hoja de ruta para los meses junio, julio y agosto de 2024.</t>
  </si>
  <si>
    <t>1.Balance meses Mayo a Agosto para la cuenta 2. Cuentas por pagar.
2. Información exógena meses Mayo a Agosto</t>
  </si>
  <si>
    <t>Se realiza socialización del cronograma de actividades del Plan estratégico de Talento Humano, correspondientes al mes de agosto por correo electrónico. a los lideres operativos.</t>
  </si>
  <si>
    <t xml:space="preserve">Anexo: Correo electrónico a lideres operativos. </t>
  </si>
  <si>
    <t>Las actividades del Plan estratégico de Talento Humano se programan por medio del la agenda del correo de Talento Humano a todos los colaboradores de la empresa o publico objetivo</t>
  </si>
  <si>
    <t>1. Durante el segundo semestre de la vigencia se atendió la auditoría realizada por la Secretaría de Ambiente
2. Se realizo la ejecución de las actividades programadas durante este periodo</t>
  </si>
  <si>
    <t xml:space="preserve">1. Durante el segundo semestre de la vigencia se realizaron divulgaciones, campañas que estuvieron encaminadas a la crisis ambiental (abastecimiento de agua), que tuviera como finalidad generar más conciencia sostenible y mejorar los hábitos a las colaboradores de RenoBo; campañas implementadas:
- Diez días de hábitos sostenibles
- Campaña de ahorro de energía
- Campaña de ahorro de agua
- Movilidad sostenible
- Protección animal
- Campaña de gestión de residuos
</t>
  </si>
  <si>
    <t>Reporte de actualización de los inventarios de los meses de mayo a agosto.
En el mes de mayo se envió un correo masivo sobre el manejo de los bienes y su traslado.</t>
  </si>
  <si>
    <t>Se envió correo con los inventarios solicitando la revision y firma de los mimos
Se envió correo masivo.</t>
  </si>
  <si>
    <t>El proceso cuenta con los correos en donde se solicita la revisión de los inventarios actualizados.
Se anexa correo masivo de socialización.</t>
  </si>
  <si>
    <t>Se realiza el seguimiento a la correcta aplicación del Manual de Gestión Documental MN-10, numeral 4,5 Préstamo y Consulta, realizando la respuestas sobre acceso a la documentación en los tiempos y medios establecidos.</t>
  </si>
  <si>
    <r>
      <rPr>
        <b/>
        <sz val="10"/>
        <color theme="1"/>
        <rFont val="Arial Narrow"/>
        <family val="2"/>
      </rPr>
      <t>FT-09</t>
    </r>
    <r>
      <rPr>
        <sz val="10"/>
        <color theme="1"/>
        <rFont val="Arial Narrow"/>
        <family val="2"/>
      </rPr>
      <t xml:space="preserve"> Monitoreo_condiciones_ambientales.
</t>
    </r>
    <r>
      <rPr>
        <b/>
        <sz val="10"/>
        <color theme="1"/>
        <rFont val="Arial Narrow"/>
        <family val="2"/>
      </rPr>
      <t xml:space="preserve">FT-182 </t>
    </r>
    <r>
      <rPr>
        <sz val="10"/>
        <color theme="1"/>
        <rFont val="Arial Narrow"/>
        <family val="2"/>
      </rPr>
      <t xml:space="preserve">Planilla_de_seguimiento_mantenimiento _inmuebles archivo.
</t>
    </r>
    <r>
      <rPr>
        <b/>
        <sz val="10"/>
        <color theme="1"/>
        <rFont val="Arial Narrow"/>
        <family val="2"/>
      </rPr>
      <t>FT-234</t>
    </r>
    <r>
      <rPr>
        <sz val="10"/>
        <color theme="1"/>
        <rFont val="Arial Narrow"/>
        <family val="2"/>
      </rPr>
      <t xml:space="preserve"> Informe_SIC_Brigada_de_Aseo.
</t>
    </r>
    <r>
      <rPr>
        <b/>
        <sz val="10"/>
        <color theme="1"/>
        <rFont val="Arial Narrow"/>
        <family val="2"/>
      </rPr>
      <t xml:space="preserve">FT-234 </t>
    </r>
    <r>
      <rPr>
        <sz val="10"/>
        <color theme="1"/>
        <rFont val="Arial Narrow"/>
        <family val="2"/>
      </rPr>
      <t xml:space="preserve">Informe_condiciones_ambientales
</t>
    </r>
    <r>
      <rPr>
        <b/>
        <sz val="10"/>
        <color theme="1"/>
        <rFont val="Arial Narrow"/>
        <family val="2"/>
      </rPr>
      <t>FT-234</t>
    </r>
    <r>
      <rPr>
        <sz val="10"/>
        <color theme="1"/>
        <rFont val="Arial Narrow"/>
        <family val="2"/>
      </rPr>
      <t xml:space="preserve"> Informe_seguimiento_Plan_de_emergencias</t>
    </r>
  </si>
  <si>
    <t xml:space="preserve">Se realiza la inserción de los documentos recibidos a los correspondientes expedientes   </t>
  </si>
  <si>
    <t>El profesional responsable del proceso de Gestión de TIC verifica una vez al mes que la copia automática del sistema JSP7 Gobierno, TAMPUS, GLPI, Intranet y de la información contenida en los servidores de la Empresa con una periodicidad de cada 12 horas, quede almacenada en los repositorios correspondientes, con el propósito de contar con información actualizada en caso de que se presente una falla. En caso de encontrar que no se realizó de manera automática, se solicita al proveedor justificación por escrito la razón por la cual no se realizó ese Backus y paralelamente se ejecute la instrucción de lanzar un Backus manual de forma inmediata sin interrumpir la programación de los Backus automatizados.</t>
  </si>
  <si>
    <t>Verificar diariamente en los repositorios que los Backus se realicen de la forma adecuada.</t>
  </si>
  <si>
    <t>1. Se realizan copias de respaldo a la infraestructura tecnológica y a los sistemas de información.
2 la empresa adquirió un dispositivo físico de Backus par el almacenamiento de la información de la entidad.</t>
  </si>
  <si>
    <t xml:space="preserve">1. Reporte del operador para seguimiento del Backus.
2- Proceso de contratación del almacenamiento de Backus.
</t>
  </si>
  <si>
    <t xml:space="preserve">1. Se realiza todas las etapas para el proceso de contratación para adquirir el dispositivo de almacenamiento para salvaguardar la información institucional de la empresa. 
2. Reuniones de seguimiento con el proveedor ETB para asegurar el cumplimiento contractual del sistema de información de Tampus y su verificación de información en la nube.
3. Se adquiere licenciamiento del sistema de información misional con el proveedor Oracle.
</t>
  </si>
  <si>
    <t>Relación de diligenciamiento de formatos de acceso lógico procesados</t>
  </si>
  <si>
    <t>Se entregan usuarios y se registran usuarios de Fiducias.</t>
  </si>
  <si>
    <t>1. Proyectos del Plan estratégico de TI 2do cuatrimestre.
2. Anexos técnicos construidos.</t>
  </si>
  <si>
    <t>Se realizaron los siguientes procesos contractuales:
- Se realiza las etapas de proceso contractual para el canal alterno de internet con el fin de implementar el plan de contingencia del canal primario
- Adquisición de equipo para Backus para la empresa Renobo que incluye su instalación, configuración y puesta en marcha.
- Adquirir Licencias de Adobe Acrobat Pro Dc For Teams, Adobe Stock y Autodesk AutoCAD.
- Publicación SECOP  Sistema Perimetral</t>
  </si>
  <si>
    <t>Proceso de compra completado, evidencias de los contratos.</t>
  </si>
  <si>
    <t>La herramienta en línea Entuity inspecciona en tiempo real la infraestructura de TI y reporta a los correos del grupo TIC cualquier inconveniente.</t>
  </si>
  <si>
    <t xml:space="preserve">1. Para mantener el control del servicio se realiza una verificación de los Acuerdos de Nivel del Servicio contratados.
2 Se tramitan los casos presentados por medio de correo electrónico a través de la mesa de ayuda de ETB 
</t>
  </si>
  <si>
    <t>Durante los meses de mayo, junio, julio y agosto, se recibió informe de calidad de la respuestas, esta pendiente el del mes de agosto. Se envió memorando a las dependencias en los meses de mayo y junio, en cuanto al incumplimiento del mes de junio fue enviada la respuesta correcta al peticionario, y actualmente se encuentra en curso el plan de mejoramiento. El mes de Julio la Alcaldía Mayor reporto un cumplimiento del 100%.</t>
  </si>
  <si>
    <t>Se realizó una jornada de inducción y reinducción corporativa, en la cual se realizó la presentación del proceso de atención y relacionamiento con la ciudadanía.</t>
  </si>
  <si>
    <t xml:space="preserve">Con corte al mes de agosto, esta pendiente la ultima cualificación del ciclo, la prueba de entendimiento se hará una vez se realicen las nivelaciones pendientes. </t>
  </si>
  <si>
    <t>Actividad sin avance de acuerdo a lo programado en e cronograma para los meses de julio y agosto de 2024</t>
  </si>
  <si>
    <t>Plan Anual de Auditoria
Planes de trabajo Auditorias:
-Plan de Participación Ciudadana - Estrategia rendición de cuentas - Control documental según la ISO 9001 - Política operativa de integridad, conflicto de interés y gestión anti soborno - Política administración del riesgo - Auditorías procesos SIG según requisitos norma ISO 9001
- Seguimiento adjudicación San Victorino
- Seguimiento estado Obra Alcaldía Mártires
- Proceso adquisición de suelo por enajenación voluntaria, expropiación administrativa o judicial - Adquisición proyectos Tercera Concurrencia - Adquisición proyecto San Bernardo Tercer Milenio AMD 1 – Convenio 3151-2019 suscrito con el IDRD.
-Plan Institucional de Archivos de la Entidad PINAR - Plan Estratégico de Talento Humano - Plan de Trabajo Anual en Seguridad y Salud en el Trabajo - Sistema de Gestión de Seguridad y Salud en el Trabajo</t>
  </si>
  <si>
    <t>Planes de trabajo Auditorias:
-Plan de Participación Ciudadana - Estrategia rendición de cuentas - Control documental según la ISO 9001 - Política operativa de integridad, conflicto de interés y gestión anti soborno - Política administración del riesgo - Auditorías procesos SIG según requisitos norma ISO 9001
- Seguimiento estado Obra Alcaldía Mártires
- Proceso adquisición de suelo por enajenación voluntaria, expropiación administrativa o judicial - Adquisición proyectos Tercera Concurrencia - Adquisición proyecto San Bernardo Tercer Milenio AMD 1 – Convenio 3151-2019 suscrito con el IDRD.
-Plan Institucional de Archivos de la Entidad PINAR - Plan Estratégico de Talento Humano - Plan de Trabajo Anual en Seguridad y Salud en el Trabajo - Sistema de Gestión de Seguridad y Salud en el Trabajo
-PETI</t>
  </si>
  <si>
    <t>Acuerdos confidencialidad Auditorias:
-Plan de Participación Ciudadana - Estrategia rendición de cuentas - Control documental según la ISO 9001 - Política operativa de integridad, conflicto de interés y gestión anti soborno - Política administración del riesgo - Auditorías procesos SIG según requisitos norma ISO 9001
- Seguimiento adjudicación San Victorino
- Seguimiento estado Obra Alcaldía Mártires
- Proceso adquisición de suelo por enajenación voluntaria, expropiación administrativa o judicial - Adquisición proyectos Tercera Concurrencia - Adquisición proyecto San Bernardo Tercer Milenio AMD 1 – Convenio 3151-2019 suscrito con el IDRD.
-Plan Institucional de Archivos de la Entidad PINAR - Plan Estratégico de Talento Humano - Plan de Trabajo Anual en Seguridad y Salud en el Trabajo - Sistema de Gestión de Seguridad y Salud en el Trabajo</t>
  </si>
  <si>
    <t>Correo Electrónico Agosto 15 de 2024
Cartas Compromisos Éticos Auditoría Interna firmada por los auditores de la OCI</t>
  </si>
  <si>
    <t>Actas comités vigencia 2024: seis (6)</t>
  </si>
  <si>
    <t>Correos Electrónicos de vencimiento de términos - Excel seguimiento requerimientos y tareas</t>
  </si>
  <si>
    <t xml:space="preserve">Correo Institucional responsable envió cuadro de vencimientos
Cuadro general requerimientos y tareas.
</t>
  </si>
  <si>
    <t>Informes finales  Auditorias:
-Plan de Participación Ciudadana - Estrategia rendición de cuentas - Control documental según la ISO 9001 - Política operativa de integridad, conflicto de interés y gestión anti soborno - Política administración del riesgo - Auditorías procesos SIG según requisitos norma ISO 9001
- Seguimiento estado Obra Alcaldía Mártires
- Proceso adquisición de suelo por enajenación voluntaria, expropiación administrativa o judicial - Adquisición proyectos Tercera Concurrencia - Adquisición proyecto San Bernardo Tercer Milenio AMD 1 – Convenio 3151-2019 suscrito con el IDRD.
-Plan Institucional de Archivos de la Entidad PINAR - Plan Estratégico de Talento Humano - Plan de Trabajo Anual en Seguridad y Salud en el Trabajo - Sistema de Gestión de Seguridad y Salud en el Trabajo</t>
  </si>
  <si>
    <t>Carta de Representación: Veracidad, Calidad y Oportunidad en la entrega de información presentada a la Oficina de Control Interno de las siguientes auditorias:</t>
  </si>
  <si>
    <t>Carta  Auditorias:
-Plan de Participación Ciudadana - Estrategia rendición de cuentas - Control documental según la ISO 9001 - Política operativa de integridad, conflicto de interés y gestión anti soborno - Política administración del riesgo - Auditorías procesos SIG según requisitos norma ISO 9001
- Seguimiento estado Obra Alcaldía Mártires
- Proceso adquisición de suelo por enajenación voluntaria, expropiación administrativa o judicial - Adquisición proyectos Tercera Concurrencia - Adquisición proyecto San Bernardo Tercer Milenio AMD 1 – Convenio 3151-2019 suscrito con el IDRD.
-Plan Institucional de Archivos de la Entidad PINAR - Plan Estratégico de Talento Humano - Plan de Trabajo Anual en Seguridad y Salud en el Trabajo - Sistema de Gestión de Seguridad y Salud en el Trabajo
-PETI</t>
  </si>
  <si>
    <t>Informes Finales Auditorias socializados en reuniones de sierre de:
-Plan de Participación Ciudadana - Estrategia rendición de cuentas - Control documental según la ISO 9001 - Política operativa de integridad, conflicto de interés y gestión anti soborno - Política administración del riesgo - Auditorías procesos SIG según requisitos norma ISO 9001
- Seguimiento estado Obra Alcaldía Mártires</t>
  </si>
  <si>
    <t>Informes finales  Auditorias:
-Plan de Participación Ciudadana - Estrategia rendición de cuentas - Control documental según la ISO 9001 - Política operativa de integridad, conflicto de interés y gestión anti soborno - Política administración del riesgo - Auditorías procesos SIG según requisitos norma ISO 9001
- Seguimiento adjudicación San Victorino
- Seguimiento estado Obra Alcaldía Mártires</t>
  </si>
  <si>
    <t>Actividad pendiente por realizar, se encuentra dentro de los términos</t>
  </si>
  <si>
    <t xml:space="preserve">El 24 de mayo de 2024 se realizó reunión entre la Jefe de disciplinarios y la profesional del área, donde se verificaron los términos de prescripción del informe presentado por el Director Administrativo y Tic´s radicado No. I2024001053 de fecha 14 de mayo de 2024 Expediente No. 005-2024 y la queja presentada mediante radicado No. 2654442024 de fecha 18 de mayo de 2024  Expediente No. 006-2024, acta No. 5- 2024, Las profesionales evaluaron los hechos y los términos de prescripción.                                                                                                                                                                                                                                                                                                                                                   El 18 de junio de 2024 se realizó la reunión entre la Jefe de disciplinarios y la profesional del área, en la cual se verificaron los términos de prescripción de la queja presentada el 9 de octubre de 2023, Acta No. 6- 2024. Se revisaron los términos de prescripción con relación a la queja presentada que se identificó con el No. 007-2024.                                                                                                                                                                                                                                                                                                                                                                                                                  El 25 de julio de 2024 se realizó la reunión entre la Jefe de disciplinarios y la profesional del área, donde se verificaron los términos de prescripción dentro de la queja remitida por Bogotá te escucha radicada bajo el No. 3506062024 de fecha 23 de julio de 2024, expediente que se identifica con el No. 008- 2024.                                                                                                                                                                                                                                                                                                                                                                                                                                                         El 27 de agosto de 2024 se realizó la reunión entre la Jefe de disciplinarios y la profesional del área donde se verificaron los términos de prescripción de la queja presentado por Bogotá te escucha radicado No. 3811452024 de fecha 16 de agosto de 2024 del expediente disciplinario 009-2024, Acta No. 8 de 2024. </t>
  </si>
  <si>
    <t>TOTAL PROMEDIO</t>
  </si>
  <si>
    <t>1. La líder de la actuación administrativa junto con el equipo realizó estrategias para la divulgación del trámite en la página de la Empresa, para lo cual solicitó a la Oficina Asesora de Comunicaciones la publicación en la página web de la Empresa de información relacionada con el trámite de provisión de suelo para VIS/VIP mediante pago compensatorio, a través de un banner que remite al usuario a la Guía de Trámites y Servicios de Bogotá D.C.
Asimismo, se solicitó la impresión de una pieza gráfica con información del trámite, la cual se remitirá a las curadurías urbanas en el próximo trimestre con el fin de apoyar la publicidad del banner publicado en la página web de la Empresa.</t>
  </si>
  <si>
    <t>Imagen de la Publicación en la Página WEB de la Empresa</t>
  </si>
  <si>
    <t>El profesional de tesorería recepciona el radicado de la cuenta por cobrar y verifica en el certificado de cumplimiento el valor y el período a cobrar.</t>
  </si>
  <si>
    <t xml:space="preserve">
1. Ejemplo de certificado de cumplimiento verificado conforme a los controles en el período de este seguimiento para agosto de 2024.</t>
  </si>
  <si>
    <t xml:space="preserve">
1. Correo de visto bueno del profesional de Dirección Financiera meses mayo, junio, julio y agosto.
</t>
  </si>
  <si>
    <t xml:space="preserve">El profesional de recursos físicos  realiza seguimiento al Plan de Adquisiciones y al Plan de Contratación del proceso, en el Comité de Autoevaluación, para tomar medidas preventivas. </t>
  </si>
  <si>
    <t xml:space="preserve"> Correo socializado a todos los colaboradores de la Empresa el día 02/05/2024.</t>
  </si>
  <si>
    <t>Se adjuntan actas de comités internos de seguimiento del proceso y del Comité de Autoevaluación de los meses mayo a agosto e 2024.</t>
  </si>
  <si>
    <t>El profesional de recursos físicos verifica que los procesos contractuales programados que se requieren conforme a las necesidades evidenciadas para el normal funcionamiento de la empresa e estructuren y contraten conforme a lo establecido en el Plan de Adquisiciones y Plan de Contratación.
Desde la Dirección Administrativa y de TIC se remiten los anexos técnicos a la  Dirección de contratación, relacionados con los bienes y servicios, los cuales se encuentran programados en el plan de contratación y en el plan de adquisiciones.</t>
  </si>
  <si>
    <t>La subgerencia de Gestión Corporativa - Dirección Administrativa y de TIC, a través del proceso de Talento Humano socializó vía correo electrónico la invitación para capacitación sobre los temas de "cultura de integridad" los cuales refuerzan los conceptos sobre integridad y valores de los colaboradores de la Empresa.</t>
  </si>
  <si>
    <t>El proceso responsable no reporto avance de la acción de tratamiento</t>
  </si>
  <si>
    <t>El profesional de tesorería realiza el cargue del archivo plano en el Banco , posterior envía el correo al profesional de la Dirección Financiera para su verificación.</t>
  </si>
  <si>
    <t>Actividad programada para los meses de junio a Diciembre por lo que se debería haber reportado avance.</t>
  </si>
  <si>
    <t>- Correos solicitando seguimiento FUSS .
- Correos solicitando ajustes FUSS .
- Correos solicitando seguimiento Plan de Acción.
- Reporte Plan Adecuación y Sostenibilidad de MIPG II Trim 2024, disponible para todos los colaboradores en intranet.
- Sesión 6-2024 Líderes Operativos disponible en la intranet y Listado de asistencia.
- Link del Power Bi que consolida los reportes hechos en el periodo de reporte. Estos reportes se realizaron hasta el 31 de julio del 2024 teniendo en cuenta que se avanza con la Dirección Administrativa y de Tics en el ajuste de un proceso de negocio que permita, la consolidación de la información periódica por medio del Oracle Primaver Unifier: https://app.powerbi.com/view?r=eyJrIjoiNDE2ZTIzMGItYWEzMS00Yjk0LTk4ZDktZWVjMmUyMmMzMjUwIiwidCI6ImYyOTYxNmEyLWU5YzItNGI0Ny04ZjQ5LTMzOTkxMGRiNzRkMyJ9 
- Presentaciones de lideres operativos e informes de seguimiento de segunda línea de defensa disponibles en la intranet: http://10.115.245.74/mipg 
- Correos con la solicitud de los monitoreo y la divulgación, así como los correos de solicitud de ajuste y reporte de los elementos del SIG.</t>
  </si>
  <si>
    <t>Posibilidad de afectación Reputacional por demora en la entrega de resultados consolidados de las metas establecidas debido al incumplimiento en los lineamientos establecidos por parte de los líderes de proceso, líderes operativos y/o responsables definidos.</t>
  </si>
  <si>
    <r>
      <t xml:space="preserve">Para el periodo evaluado, la Oficina Asesora de Planeación y su equipo de trabajo, realizó la siguiente gestión:
</t>
    </r>
    <r>
      <rPr>
        <b/>
        <u/>
        <sz val="10"/>
        <color theme="1"/>
        <rFont val="Arial Narrow"/>
        <family val="2"/>
      </rPr>
      <t>Proyectos de Inversión (FUSS)</t>
    </r>
    <r>
      <rPr>
        <sz val="10"/>
        <color theme="1"/>
        <rFont val="Arial Narrow"/>
        <family val="2"/>
      </rPr>
      <t xml:space="preserve">:
Se realizó mensualmente el seguimiento a los Proyectos, una vez recibida la información reportada por los responsables, se validó los reportes realizados con el fin de consolidar y presentar los informes correspondientes para la toma de decisiones de la alta dirección. Cuando hubo lugar a ello, se solicitaron a los responsables los ajustes correspondientes y se realizó acompañamiento para contar con la información oportuna y cumpliendo con la programación definida.
</t>
    </r>
    <r>
      <rPr>
        <b/>
        <u/>
        <sz val="10"/>
        <color theme="1"/>
        <rFont val="Arial Narrow"/>
        <family val="2"/>
      </rPr>
      <t>Plan de Acción Institucional</t>
    </r>
    <r>
      <rPr>
        <sz val="10"/>
        <color theme="1"/>
        <rFont val="Arial Narrow"/>
        <family val="2"/>
      </rPr>
      <t xml:space="preserve">:
Se realizó mensualmente el seguimiento al Plan, una vez recibida la información reportada por los líderes de los procesos, se validó los reportes realizados con el fin de consolidar y presentar los informes correspondientes para la toma de decisiones de la alta dirección, contando con la información oportuna y dando cumplimiento a la programación establecida.
</t>
    </r>
    <r>
      <rPr>
        <b/>
        <u/>
        <sz val="10"/>
        <color theme="1"/>
        <rFont val="Arial Narrow"/>
        <family val="2"/>
      </rPr>
      <t>Plan de Adecuación y sostenibilidad de MIPG:</t>
    </r>
    <r>
      <rPr>
        <sz val="10"/>
        <color theme="1"/>
        <rFont val="Arial Narrow"/>
        <family val="2"/>
      </rPr>
      <t xml:space="preserve">
Para el segundo trimestre 2024, la Jefe de la Oficina Asesora de Planeación envió la solicitud de seguimiento al Plan, posteriormente los profesionales asignados revisaron y validaron el registro de avance respecto a la entrega de los soportes por parte los líderes operativos y/o responsables definidos, y consolidaron y presentaron el seguimiento a través de la herramienta PowerBi. Adicionalmente, los resultados se socializan al equipo de Líderes Operativos para que tomen las decisiones que correspondan frente a los resultados del reporte.
La consolidación de este seguimiento es insumo para reportes externos como el FUSS y el Informe de MIPG que se presentan a la SDHT en los tiempos establecidos.
</t>
    </r>
    <r>
      <rPr>
        <b/>
        <u/>
        <sz val="10"/>
        <color theme="1"/>
        <rFont val="Arial Narrow"/>
        <family val="2"/>
      </rPr>
      <t xml:space="preserve">
Comité de Proyectos:</t>
    </r>
    <r>
      <rPr>
        <sz val="10"/>
        <color theme="1"/>
        <rFont val="Arial Narrow"/>
        <family val="2"/>
      </rPr>
      <t xml:space="preserve">
En el periodo de reporte se han consolidado las diferentes actualizaciones del estado de los proyectos en gestión por la empresa, enviada por los equipos de proyecto, los cuales son validados por la Oficina Asesora de Planeación y la Gerencia General para las gestiones de Seguimiento y Control de Proyectos.
Por lo anterior, se puede concluir que ha sido efectivo el control, pues una vez aplicado, no se ha materializado el riesgo.
</t>
    </r>
    <r>
      <rPr>
        <b/>
        <u/>
        <sz val="10"/>
        <color theme="1"/>
        <rFont val="Arial Narrow"/>
        <family val="2"/>
      </rPr>
      <t>Elementos del SIG</t>
    </r>
    <r>
      <rPr>
        <sz val="10"/>
        <color theme="1"/>
        <rFont val="Arial Narrow"/>
        <family val="2"/>
      </rPr>
      <t xml:space="preserve">
Gestión de oportunidades: Se realizó seguimiento el día 16 de julio, todos los procesos realizaron la entrega del seguimiento correspondiente al primer semestre, se realizó retroalimentación en el reporte para los procesos de Seguimiento y Evaluación y Gestión de la Participación Ciudadana y Asuntos Sociales, así mismo se generó el informe de seguimiento a la gestión de oportunidades en el cual se realizan observaciones especificas por cada proceso, el informe con los resultados del seguimiento fueron socializados por correo electrónico a Líderes de proceso y Líderes operativos. 
Seguimiento a indicadores de Proceso: todos los procesos realizaron la entrega del seguimiento correspondiente al segundo trimestre excepto el proceso de Gestión Financiera quien reporto el seguimiento al indicador denominado “Índice de liquidez”, el día 15 de agosto, se realizó solicitud del indicador pendiente de reporte al proceso de Gestión Financiera, así mismo se generó el informe de seguimiento a la gestión de indicadores el día 30 de julio, en el cual se realizan observaciones especificas por cada proceso y se deja la observación respecto al estado del reporte de este indicador, el informe con los resultados del seguimiento fueron socializados por correo electrónico a Líderes de proceso y Lideres operativos. 
Seguimiento Salidas no conformes: 
todos los procesos misionales realizaron la entrega del seguimiento correspondiente al primer semestre, se realizó retroalimentación en el reporte para el proceso de Estructuración de Proyectos, así mismo se generó el informe de seguimiento a la gestión de indicadores en el cual se realizan observaciones especificas por cada proceso, el informe con los resultados del seguimiento fue socializados por correo electrónico a Lideres de proceso y Lideres operativos. 
Acción de tratamiento: en el marco de la sesión 5 de la mesa de líderes operativos realizada el día 25 de junio, se realizó la socialización de los monitoreo mensuales, trimestrales y semestrales que realiza la OAP, esto con el fin de que se tenga una adecuada planeación y organización en el reporte.
</t>
    </r>
  </si>
  <si>
    <t>En el marco de las mesas de líderes operativos del mes de junio y julio se presentó:
• El estado de avance de las actualizaciones de los elementos del SIG, en donde se evidenciaron los procesos que estaban pendientes de actualización de riesgos, indicadores, oportunidades y documentos.
• El resultado de los monitoreo de los elementos del SIG, en donde se evidenciaron los procesos pendientes de reporte para cada elemento.</t>
  </si>
  <si>
    <t>Posibilidad de afectación Reputacional por toma de decisiones estratégicas inadecuadas debido al uso de información con datos erróneos.</t>
  </si>
  <si>
    <t>Posibilidad de afectación Reputacional por divulgación de información institucional, confusa e inoportuna debido a entrega de información incompleta por parte de los procesos.</t>
  </si>
  <si>
    <t xml:space="preserve">La evidencia de publicación del video se puede verificar en la página web interna Rednobo, en el siguiente enlace: http://10.115.245.74/videos/sabes-como-solicitar-acompanamiento-la-oarc </t>
  </si>
  <si>
    <t>Posibilidad de afectación Reputacional por la pérdida del conocimiento crítico y/o estratégico de la empresa debido a la desactualización del conocimiento explicito.</t>
  </si>
  <si>
    <t>Posibilidad de afectación Reputacional por retrasos en la formulación de instrumentos de planeamiento debido a dificultades en la contratación de estudios técnicos, demora en la emisión de respuestas o conceptos por parte de las entidades distritales.</t>
  </si>
  <si>
    <t>Posibilidad de afectación económica y Reputacional por estructurar procesos de selección que no son acordes a la realidad del proyecto, por falta de información, o información que no cuenta con criterios de calidad para la validación del proceso.</t>
  </si>
  <si>
    <t>Posibilidad de afectación Reputacional ante una eventual sentencia en contra de la Empresa, en virtud de una demanda interpuesta por parte de los propietarios de los predios requeridos para los proyectos que adelante RenoBo, por el incumplimiento de los requisitos establecidos legalmente en el proceso de adquisición predial.</t>
  </si>
  <si>
    <t>Posibilidad de afectación Reputacional debido a la baja participación en las actividades de Gestión Social y de Participación Ciudadana por la debilidad en la promoción y socialización.</t>
  </si>
  <si>
    <t xml:space="preserve">
Carpeta Zip : Riesgo 1_ Proc Comercialización
1. Archivo pdf :Estudios Prev y Anexo técnico (Firmados) este archivo incluye los siguientes documentos :
* Estudios y documentación previa para la contratación directa (firmado por el Subgerente Corporativo y la Directora Técnica Comercial, la Subgerente de planeamiento y Estructuración y los VoBo de los profesionales de contratación y la Dirección técnica Comercial) (paginas 1-16 del pdf)
* Anexo Técnico : firmado por la Subgerente de Planeamiento y estructuración, la Directora Técnica Comercial y el Vo Bo del profesional de la Dir Técnica Comercial (páginas 17 a 40)
2. Carpeta Zip  traza arrendamiento (20 archivos)
3: Carpeta Zip Soportes Prorroga Cont. 001-2023</t>
  </si>
  <si>
    <t>Carpeta Zip Riesgo 2 _ Ofertas
* Carpeta zip :2. Propuestas derivadas convenio,   solicitud de la UPN, agendas reuniones RenoBo- UPN ,agendas reuniones internas RenoBo y correos a las áreas técnicas para insumos y revisión de la solicitud.( 9 archivos)
* Carpeta zip :37. UAESP_ECOPUNTOS con las agendas de reuniones, correos y gestiones de revisión de la oferta (9 archivos)
* Carpeta zip : 30 - IDRD - CEFE 2024 , con las agendas de reuniones y trabajo de la propuesta (7 archivos)
* Carpeta zip :25 -SDIS 2024 : con 11 archivos con las gestiones adelantadas para la firma del convenio</t>
  </si>
  <si>
    <t>De acuerdo con las instrucciones de la Subgerencia ya de Gestión Corporativa - Dir Admva y de Tics, se realizaron las respectivas reuniones de seguimiento  a los planes de adquisiciones y de contratación en los respectivos meses de: 
* Junio 2024
- Seguimiento administrativo, técnico y financiero mensualmente,   frente a las obligaciones contractuales, verificando el cumplimiento y  el recibo a satisfacción de los bienes y servicios contratados.
- Se declaró desierto el proceso de Renting de carros y, desde la Sub Gerencia Corporativa, se toma la decisión que se procederá a realizar la adquisición de vehículos nuevos.
- Se firmó y dio inicio al contrato de higienización baterías sanitarias 194-2024 Segó Ingeniería S.A.S.
- Se realizó modificación al contrato 331-2023 canon de arrendamiento sede Principal  Famoc Depanel
* Julio 2024
- Se proyectó anexo Técnico y se adjudicó la Orden de Compra  -contrato de adquisición de vehículos 374-2024 UT-Motorysa.
* Agosto 2024
- Se elaboró el anexo y ficha técnica para adelantar el proceso de suministro de elementos - útiles de oficina y consumibles de impresión.
- Se llevó a cabo reunión con el intermediario de seguros Correcol, donde se revisaron temas varios de los procesos enunciados en el correo del 15 de agosto de 2024.</t>
  </si>
  <si>
    <t>Junio 2024:
- Acta de reunión Junio-24 seguimiento Contratos de Servicios Logísticos.
- Pantallazo del Secop donde se evidencia que se declara desierto el proceso de renting 
- Acta de inicio contrato 194-2024 SEGO Ingeniería S.A.S.
- Prórroga contrato 331-2023
Julio 2024
- Acta de Reunión julio-24  Seguimiento Contratos Servicios Logísticos
- Anexo Técnico para el contrato de adquisición de vehículos 374-2024 UT-Motorysa.
- Orden de compra 131207 de la TVEC Adquisición de vehículos.
Agosto 2024
- Acta de Reunión agosto-24  Seguimiento Contratos Servicios Logísticos.
- Anexo y fichan técnica para adelantar el proceso de suministro de elementos - útiles de oficina y consumibles de impresión.
- Correo remitido a Correcol - temas varios proceso de seguros.</t>
  </si>
  <si>
    <t>Tablero de control procesos contractuales de la Dirección Admón. y Tics adelantados desde el área técnica.</t>
  </si>
  <si>
    <t>Socialización Estatuto de   Auditoría y del Código de Ética del Auditor al equipo de auditor, los Auditorias de la OCI firmaron el Compromiso código Ético del Auditor</t>
  </si>
  <si>
    <t>Contribuir al fortalecimiento y protección de los principios de la función pública a través de la generación de actividades de prevención en materia disciplinaria, así como adelantar las actuaciones administrativas a los servidores y ex servidores públicos de la Empresa, cuando incurran en conductas que puedan constituir faltas disciplinarias de conformidad con lo establecido en la normatividad vigente.</t>
  </si>
  <si>
    <t>NOTA OCI: El Mapa de Riesgos por procesos fue actualizado y rige a partir del corte julio - septiembre por lo que se calificaran los dos trimestres a evaluaran como 100%, el cumplimiento de cada uno es equivalente al 50%  si se cumplen en su totalidad los controles y las acciones de tratamiento</t>
  </si>
  <si>
    <t xml:space="preserve">En el periodo de mayo a agosto las ofertas trabajadas se encuentran enmarcadas dentro de la líneas de negocio definidas:
*Universidad Pedagógica Nacional : En el marco de Convenio Interadministrativo 228 de 2024 firmado el 25 e junio, la  UPN solicito  cotización de servicios: Plan Maestro por Etapas – Calle 72 para futuros trámites y licencias, Consultoría integral de estudios y diseños para la construcción de las carga suburbanísticas, gestión y trámites necesarios para la cesión del terreno a la entidad encargada del tramo de la Avenida Las Villas en el predio Valmaría,  tres Consultorías integral de estudios y diseños (Facultad de Educ Física, Aulas en el edificio parqueaderos Calle 72, Edificio de Bienestar calle 72), modificación del PP Valmaría. Todos los servicios se enmarcan en las líneas de negocios que ofrece la Empresa, se han realizado reuniones con los equipos técnicos al interior de la Empresa para revisar la solicitud y se han remitido correos a las áreas técnicas para  para revisión de lo solicitado por la UPN y solicitud de insumos de la propuesta .
* UAESP:  Se trabajó propuesta para ECOPUNTOS se han realizado reuniones para revisión de la propuesta:  al interior de la Dir Comercial,  reunión de trabajo con los equipos técnicos de la UAESP y RenoBo, solicitud a la Subgerencia  de Proyectos  Insumos y revisión, para avanzar en la elaboración de la Propuesta
* IDRD : Se trabaja en una oferta para dinamizar los CEFES (centros de Felicidad) para lo cual la Dirección Técnica Comercial ha realizado reuniones con el IDRD para la propuesta. La propuesta 
* SDIS :  Se trabajo en la suscripción de un Convenio Interadministrativo del cual se derivaran ofertas de servicio,  para la firma del Convenio se generaron los documentos requeridos y debidamente firmados.
 </t>
  </si>
  <si>
    <t xml:space="preserve">Riesgo reportado como materializado en este seguimiento, por lo que revisaran las acciones  de contingencia implementadas en el próximo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</si>
</sst>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62"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sz val="10"/>
      <color rgb="FFFF0000"/>
      <name val="Arial Narrow"/>
      <family val="2"/>
    </font>
    <font>
      <b/>
      <sz val="10"/>
      <color rgb="FFFF0000"/>
      <name val="Arial Narrow"/>
      <family val="2"/>
    </font>
    <font>
      <b/>
      <u/>
      <sz val="10"/>
      <color theme="1"/>
      <name val="Arial Narrow"/>
      <family val="2"/>
    </font>
    <font>
      <b/>
      <sz val="16"/>
      <color theme="1"/>
      <name val="Arial Narrow"/>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9900"/>
        <bgColor indexed="64"/>
      </patternFill>
    </fill>
    <fill>
      <patternFill patternType="solid">
        <fgColor theme="9" tint="-0.249977111117893"/>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bottom/>
      <diagonal/>
    </border>
    <border>
      <left/>
      <right style="medium">
        <color theme="0"/>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543">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1" fillId="3" borderId="0" xfId="0" applyFont="1" applyFill="1" applyAlignment="1">
      <alignment vertical="center"/>
    </xf>
    <xf numFmtId="0" fontId="1" fillId="3" borderId="0" xfId="0" applyFont="1" applyFill="1" applyAlignment="1">
      <alignment horizontal="center" vertical="center"/>
    </xf>
    <xf numFmtId="0" fontId="27" fillId="0" borderId="0" xfId="0" applyFont="1" applyAlignment="1">
      <alignment vertical="center"/>
    </xf>
    <xf numFmtId="0" fontId="28" fillId="0" borderId="0" xfId="0" applyFont="1"/>
    <xf numFmtId="0" fontId="26" fillId="0" borderId="0" xfId="0" applyFont="1"/>
    <xf numFmtId="0" fontId="0" fillId="0" borderId="0" xfId="0" pivotButton="1"/>
    <xf numFmtId="0" fontId="12" fillId="0" borderId="0" xfId="0" applyFont="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0" fillId="3" borderId="0" xfId="0" applyFill="1"/>
    <xf numFmtId="0" fontId="48" fillId="3" borderId="43" xfId="2" applyFont="1" applyFill="1" applyBorder="1"/>
    <xf numFmtId="0" fontId="48" fillId="3" borderId="44" xfId="2" applyFont="1" applyFill="1" applyBorder="1"/>
    <xf numFmtId="0" fontId="48" fillId="3" borderId="45" xfId="2" applyFont="1" applyFill="1" applyBorder="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26" xfId="0" applyFont="1" applyFill="1" applyBorder="1" applyAlignment="1">
      <alignment horizontal="center" vertical="center" wrapText="1" readingOrder="1"/>
    </xf>
    <xf numFmtId="0" fontId="37" fillId="3" borderId="26" xfId="0" applyFont="1" applyFill="1" applyBorder="1" applyAlignment="1">
      <alignment horizontal="justify" vertical="center" wrapText="1" readingOrder="1"/>
    </xf>
    <xf numFmtId="9" fontId="36" fillId="3" borderId="35" xfId="0" applyNumberFormat="1" applyFont="1" applyFill="1" applyBorder="1" applyAlignment="1">
      <alignment horizontal="center" vertical="center" wrapText="1" readingOrder="1"/>
    </xf>
    <xf numFmtId="0" fontId="36" fillId="3" borderId="25" xfId="0" applyFont="1" applyFill="1" applyBorder="1" applyAlignment="1">
      <alignment horizontal="center" vertical="center" wrapText="1" readingOrder="1"/>
    </xf>
    <xf numFmtId="0" fontId="37" fillId="3" borderId="25" xfId="0" applyFont="1" applyFill="1" applyBorder="1" applyAlignment="1">
      <alignment horizontal="justify" vertical="center" wrapText="1" readingOrder="1"/>
    </xf>
    <xf numFmtId="9" fontId="36" fillId="3" borderId="30" xfId="0" applyNumberFormat="1" applyFont="1" applyFill="1" applyBorder="1" applyAlignment="1">
      <alignment horizontal="center" vertical="center" wrapText="1" readingOrder="1"/>
    </xf>
    <xf numFmtId="0" fontId="37" fillId="3" borderId="30" xfId="0" applyFont="1" applyFill="1" applyBorder="1" applyAlignment="1">
      <alignment horizontal="center" vertical="center" wrapText="1" readingOrder="1"/>
    </xf>
    <xf numFmtId="0" fontId="36" fillId="3" borderId="32" xfId="0" applyFont="1" applyFill="1" applyBorder="1" applyAlignment="1">
      <alignment horizontal="center" vertical="center" wrapText="1" readingOrder="1"/>
    </xf>
    <xf numFmtId="0" fontId="37" fillId="3" borderId="32" xfId="0" applyFont="1" applyFill="1" applyBorder="1" applyAlignment="1">
      <alignment horizontal="justify" vertical="center" wrapText="1" readingOrder="1"/>
    </xf>
    <xf numFmtId="0" fontId="37" fillId="3" borderId="33" xfId="0" applyFont="1" applyFill="1" applyBorder="1" applyAlignment="1">
      <alignment horizontal="center" vertical="center" wrapText="1" readingOrder="1"/>
    </xf>
    <xf numFmtId="0" fontId="45" fillId="3" borderId="0" xfId="0" applyFont="1" applyFill="1"/>
    <xf numFmtId="0" fontId="36" fillId="15" borderId="37" xfId="0" applyFont="1" applyFill="1" applyBorder="1" applyAlignment="1">
      <alignment horizontal="center" vertical="center" wrapText="1" readingOrder="1"/>
    </xf>
    <xf numFmtId="0" fontId="36" fillId="15" borderId="38"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8" fillId="3" borderId="0" xfId="2" applyFont="1" applyFill="1"/>
    <xf numFmtId="0" fontId="48" fillId="3" borderId="15" xfId="2" applyFont="1" applyFill="1" applyBorder="1"/>
    <xf numFmtId="0" fontId="48" fillId="3" borderId="16" xfId="2" applyFont="1" applyFill="1" applyBorder="1"/>
    <xf numFmtId="0" fontId="48" fillId="3" borderId="18" xfId="2" applyFont="1" applyFill="1" applyBorder="1"/>
    <xf numFmtId="0" fontId="48" fillId="3" borderId="17" xfId="2" applyFont="1" applyFill="1" applyBorder="1"/>
    <xf numFmtId="0" fontId="52" fillId="3" borderId="0" xfId="2" applyFont="1" applyFill="1" applyAlignment="1">
      <alignment horizontal="left" vertical="center" wrapText="1"/>
    </xf>
    <xf numFmtId="0" fontId="48" fillId="3" borderId="0" xfId="2" applyFont="1" applyFill="1" applyAlignment="1">
      <alignment horizontal="left" vertical="center" wrapText="1"/>
    </xf>
    <xf numFmtId="0" fontId="48"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 fillId="0" borderId="6" xfId="0" applyFont="1" applyBorder="1" applyAlignment="1">
      <alignment horizontal="center" vertical="center"/>
    </xf>
    <xf numFmtId="0" fontId="6" fillId="0" borderId="2" xfId="0" applyFont="1" applyBorder="1" applyAlignment="1" applyProtection="1">
      <alignment horizontal="justify" vertical="center" wrapText="1"/>
      <protection locked="0"/>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6" fillId="0" borderId="73" xfId="0" applyFont="1" applyBorder="1" applyAlignment="1">
      <alignment horizontal="justify" vertical="center" wrapText="1"/>
    </xf>
    <xf numFmtId="0" fontId="48" fillId="0" borderId="2" xfId="0" applyFont="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48" fillId="0" borderId="2" xfId="0" applyNumberFormat="1" applyFont="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14" fontId="6" fillId="0" borderId="2" xfId="0" applyNumberFormat="1"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horizontal="justify" vertical="center"/>
      <protection locked="0"/>
    </xf>
    <xf numFmtId="164" fontId="6" fillId="0" borderId="2" xfId="1" applyNumberFormat="1" applyFont="1" applyFill="1" applyBorder="1" applyAlignment="1">
      <alignment horizontal="center" vertical="center"/>
    </xf>
    <xf numFmtId="0" fontId="6" fillId="0" borderId="73" xfId="0" applyFont="1" applyBorder="1" applyAlignment="1">
      <alignment horizontal="center" vertical="center"/>
    </xf>
    <xf numFmtId="164" fontId="6" fillId="3" borderId="2" xfId="1" applyNumberFormat="1" applyFont="1" applyFill="1" applyBorder="1" applyAlignment="1">
      <alignment horizontal="center" vertical="center"/>
    </xf>
    <xf numFmtId="0" fontId="48" fillId="0" borderId="2" xfId="0" applyFont="1" applyBorder="1" applyAlignment="1" applyProtection="1">
      <alignment horizontal="center" vertical="center" wrapText="1"/>
      <protection locked="0"/>
    </xf>
    <xf numFmtId="0" fontId="6" fillId="0" borderId="6" xfId="0" applyFont="1" applyBorder="1" applyAlignment="1" applyProtection="1">
      <alignment horizontal="justify" vertical="center" wrapText="1"/>
      <protection locked="0"/>
    </xf>
    <xf numFmtId="164" fontId="48" fillId="0" borderId="2" xfId="1" applyNumberFormat="1" applyFont="1" applyBorder="1" applyAlignment="1">
      <alignment horizontal="center" vertical="center"/>
    </xf>
    <xf numFmtId="164" fontId="48" fillId="0" borderId="2" xfId="1" applyNumberFormat="1" applyFont="1" applyFill="1" applyBorder="1" applyAlignment="1">
      <alignment horizontal="center" vertical="center"/>
    </xf>
    <xf numFmtId="0" fontId="6" fillId="0" borderId="2" xfId="0" quotePrefix="1" applyFont="1" applyBorder="1" applyAlignment="1" applyProtection="1">
      <alignment horizontal="justify" vertical="center" wrapText="1"/>
      <protection locked="0"/>
    </xf>
    <xf numFmtId="0" fontId="6" fillId="0" borderId="0" xfId="0" applyFont="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0" fontId="6" fillId="3" borderId="2" xfId="0" applyFont="1" applyFill="1" applyBorder="1" applyAlignment="1">
      <alignment horizontal="center" vertical="center"/>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74" xfId="0" applyFont="1" applyFill="1" applyBorder="1" applyAlignment="1" applyProtection="1">
      <alignment horizontal="justify" vertical="center" wrapText="1"/>
      <protection locked="0"/>
    </xf>
    <xf numFmtId="0" fontId="3" fillId="3" borderId="74" xfId="0" applyFont="1" applyFill="1" applyBorder="1" applyAlignment="1" applyProtection="1">
      <alignment horizontal="center" vertical="center"/>
      <protection locked="0"/>
    </xf>
    <xf numFmtId="0" fontId="48" fillId="3" borderId="74" xfId="0" applyFont="1" applyFill="1" applyBorder="1" applyAlignment="1" applyProtection="1">
      <alignment horizontal="justify" vertical="center" wrapText="1"/>
      <protection locked="0"/>
    </xf>
    <xf numFmtId="0" fontId="48"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0" fontId="58" fillId="0" borderId="2" xfId="0" applyFont="1" applyBorder="1" applyAlignment="1" applyProtection="1">
      <alignment horizontal="center" vertical="center"/>
      <protection hidden="1"/>
    </xf>
    <xf numFmtId="0" fontId="58" fillId="0" borderId="2" xfId="0" applyFont="1" applyBorder="1" applyAlignment="1" applyProtection="1">
      <alignment horizontal="center" vertical="center" textRotation="90"/>
      <protection locked="0"/>
    </xf>
    <xf numFmtId="9" fontId="58" fillId="0" borderId="2" xfId="0" applyNumberFormat="1" applyFont="1" applyBorder="1" applyAlignment="1" applyProtection="1">
      <alignment horizontal="center" vertical="center"/>
      <protection hidden="1"/>
    </xf>
    <xf numFmtId="164" fontId="58" fillId="0" borderId="2" xfId="1" applyNumberFormat="1" applyFont="1" applyBorder="1" applyAlignment="1">
      <alignment horizontal="center" vertical="center"/>
    </xf>
    <xf numFmtId="0" fontId="59" fillId="0" borderId="2" xfId="0" applyFont="1" applyBorder="1" applyAlignment="1" applyProtection="1">
      <alignment horizontal="center" vertical="center" textRotation="90" wrapText="1"/>
      <protection hidden="1"/>
    </xf>
    <xf numFmtId="9" fontId="58" fillId="0" borderId="4" xfId="0" applyNumberFormat="1"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hidden="1"/>
    </xf>
    <xf numFmtId="0" fontId="58" fillId="0" borderId="4" xfId="0" applyFont="1" applyBorder="1" applyAlignment="1" applyProtection="1">
      <alignment horizontal="center" vertical="center" textRotation="90"/>
      <protection locked="0"/>
    </xf>
    <xf numFmtId="0" fontId="58" fillId="0" borderId="2" xfId="0" applyFont="1" applyBorder="1" applyAlignment="1" applyProtection="1">
      <alignment horizontal="justify" vertical="center" wrapText="1"/>
      <protection locked="0"/>
    </xf>
    <xf numFmtId="0" fontId="58" fillId="0" borderId="2" xfId="0" applyFont="1" applyBorder="1" applyAlignment="1" applyProtection="1">
      <alignment horizontal="center" vertical="center"/>
      <protection locked="0"/>
    </xf>
    <xf numFmtId="14" fontId="58" fillId="0" borderId="2" xfId="0" applyNumberFormat="1" applyFont="1" applyBorder="1" applyAlignment="1" applyProtection="1">
      <alignment horizontal="center" vertical="center" wrapText="1"/>
      <protection locked="0"/>
    </xf>
    <xf numFmtId="0" fontId="48" fillId="0" borderId="2" xfId="0" applyFont="1" applyBorder="1" applyAlignment="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0" fontId="4" fillId="0" borderId="0" xfId="0" applyFont="1" applyAlignment="1">
      <alignment horizontal="center" vertical="center"/>
    </xf>
    <xf numFmtId="0" fontId="6" fillId="0" borderId="0" xfId="0" applyFont="1" applyAlignment="1">
      <alignment horizontal="center" vertical="center"/>
    </xf>
    <xf numFmtId="0" fontId="58" fillId="0" borderId="0" xfId="0" applyFont="1" applyAlignment="1">
      <alignment vertical="center"/>
    </xf>
    <xf numFmtId="0" fontId="48" fillId="0" borderId="0" xfId="0" applyFont="1" applyAlignment="1">
      <alignment vertical="center"/>
    </xf>
    <xf numFmtId="0" fontId="6" fillId="3" borderId="0" xfId="0" applyFont="1" applyFill="1" applyAlignment="1">
      <alignment horizontal="center" vertical="center"/>
    </xf>
    <xf numFmtId="0" fontId="19" fillId="12" borderId="12" xfId="0" applyFont="1" applyFill="1" applyBorder="1" applyAlignment="1" applyProtection="1">
      <alignment horizontal="center" vertical="center" wrapText="1" readingOrder="1"/>
      <protection hidden="1"/>
    </xf>
    <xf numFmtId="0" fontId="19" fillId="12" borderId="19" xfId="0" applyFont="1" applyFill="1" applyBorder="1" applyAlignment="1" applyProtection="1">
      <alignment horizontal="center" vertical="center" wrapText="1" readingOrder="1"/>
      <protection hidden="1"/>
    </xf>
    <xf numFmtId="0" fontId="19" fillId="12" borderId="13"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vertical="center" wrapText="1" readingOrder="1"/>
      <protection hidden="1"/>
    </xf>
    <xf numFmtId="0" fontId="19" fillId="12" borderId="15" xfId="0" applyFont="1" applyFill="1" applyBorder="1" applyAlignment="1" applyProtection="1">
      <alignment horizontal="center" vertical="center" wrapText="1" readingOrder="1"/>
      <protection hidden="1"/>
    </xf>
    <xf numFmtId="0" fontId="19" fillId="13" borderId="12" xfId="0" applyFont="1" applyFill="1" applyBorder="1" applyAlignment="1" applyProtection="1">
      <alignment horizontal="center" vertical="center" wrapText="1" readingOrder="1"/>
      <protection hidden="1"/>
    </xf>
    <xf numFmtId="0" fontId="19" fillId="13" borderId="19"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vertical="center" wrapText="1" readingOrder="1"/>
      <protection hidden="1"/>
    </xf>
    <xf numFmtId="0" fontId="19" fillId="13" borderId="14" xfId="0" applyFont="1" applyFill="1" applyBorder="1" applyAlignment="1" applyProtection="1">
      <alignment horizontal="center" vertical="center" wrapText="1" readingOrder="1"/>
      <protection hidden="1"/>
    </xf>
    <xf numFmtId="0" fontId="19" fillId="13" borderId="15" xfId="0" applyFont="1" applyFill="1" applyBorder="1" applyAlignment="1" applyProtection="1">
      <alignment horizontal="center" vertical="center" wrapText="1" readingOrder="1"/>
      <protection hidden="1"/>
    </xf>
    <xf numFmtId="0" fontId="19" fillId="13" borderId="16" xfId="0" applyFont="1" applyFill="1" applyBorder="1" applyAlignment="1" applyProtection="1">
      <alignment horizontal="center" vertical="center" wrapText="1" readingOrder="1"/>
      <protection hidden="1"/>
    </xf>
    <xf numFmtId="0" fontId="19" fillId="13" borderId="18" xfId="0" applyFont="1" applyFill="1" applyBorder="1" applyAlignment="1" applyProtection="1">
      <alignment horizontal="center" vertical="center" wrapText="1" readingOrder="1"/>
      <protection hidden="1"/>
    </xf>
    <xf numFmtId="0" fontId="19" fillId="13" borderId="17" xfId="0" applyFont="1" applyFill="1" applyBorder="1" applyAlignment="1" applyProtection="1">
      <alignment horizontal="center" vertical="center" wrapText="1" readingOrder="1"/>
      <protection hidden="1"/>
    </xf>
    <xf numFmtId="0" fontId="19" fillId="5" borderId="12" xfId="0" applyFont="1" applyFill="1" applyBorder="1" applyAlignment="1" applyProtection="1">
      <alignment horizontal="center" vertical="center" wrapText="1" readingOrder="1"/>
      <protection hidden="1"/>
    </xf>
    <xf numFmtId="0" fontId="19" fillId="5" borderId="19" xfId="0" applyFont="1" applyFill="1" applyBorder="1" applyAlignment="1" applyProtection="1">
      <alignment horizontal="center" vertical="center" wrapText="1" readingOrder="1"/>
      <protection hidden="1"/>
    </xf>
    <xf numFmtId="0" fontId="19" fillId="5" borderId="13" xfId="0" applyFont="1" applyFill="1" applyBorder="1" applyAlignment="1" applyProtection="1">
      <alignment horizontal="center" vertical="center" wrapText="1" readingOrder="1"/>
      <protection hidden="1"/>
    </xf>
    <xf numFmtId="0" fontId="19" fillId="5" borderId="14" xfId="0" applyFont="1" applyFill="1" applyBorder="1" applyAlignment="1" applyProtection="1">
      <alignment horizontal="center" vertical="center" wrapText="1" readingOrder="1"/>
      <protection hidden="1"/>
    </xf>
    <xf numFmtId="0" fontId="19" fillId="5" borderId="15" xfId="0" applyFont="1" applyFill="1" applyBorder="1" applyAlignment="1" applyProtection="1">
      <alignment horizontal="center" vertical="center" wrapText="1" readingOrder="1"/>
      <protection hidden="1"/>
    </xf>
    <xf numFmtId="0" fontId="19" fillId="5" borderId="16" xfId="0" applyFont="1" applyFill="1" applyBorder="1" applyAlignment="1" applyProtection="1">
      <alignment horizontal="center" vertical="center" wrapText="1" readingOrder="1"/>
      <protection hidden="1"/>
    </xf>
    <xf numFmtId="0" fontId="19" fillId="5" borderId="18" xfId="0" applyFont="1" applyFill="1" applyBorder="1" applyAlignment="1" applyProtection="1">
      <alignment horizontal="center" vertical="center" wrapText="1" readingOrder="1"/>
      <protection hidden="1"/>
    </xf>
    <xf numFmtId="0" fontId="19" fillId="5"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vertical="center" wrapText="1" readingOrder="1"/>
      <protection hidden="1"/>
    </xf>
    <xf numFmtId="0" fontId="19" fillId="12" borderId="18" xfId="0" applyFont="1" applyFill="1" applyBorder="1" applyAlignment="1" applyProtection="1">
      <alignment horizontal="center" vertical="center" wrapText="1" readingOrder="1"/>
      <protection hidden="1"/>
    </xf>
    <xf numFmtId="0" fontId="19" fillId="12" borderId="17" xfId="0" applyFont="1" applyFill="1" applyBorder="1" applyAlignment="1" applyProtection="1">
      <alignment horizontal="center" vertical="center" wrapText="1" readingOrder="1"/>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14" fontId="3" fillId="3" borderId="74" xfId="0" applyNumberFormat="1" applyFont="1" applyFill="1" applyBorder="1" applyAlignment="1" applyProtection="1">
      <alignment horizontal="center" vertical="center" wrapText="1"/>
      <protection locked="0"/>
    </xf>
    <xf numFmtId="0" fontId="6" fillId="0" borderId="0" xfId="0" applyFont="1" applyAlignment="1">
      <alignment horizontal="justify" vertical="center"/>
    </xf>
    <xf numFmtId="0" fontId="6" fillId="3" borderId="2" xfId="0" applyFont="1" applyFill="1" applyBorder="1" applyAlignment="1" applyProtection="1">
      <alignment horizontal="center" vertical="center" wrapText="1"/>
      <protection locked="0"/>
    </xf>
    <xf numFmtId="0" fontId="19" fillId="11" borderId="0" xfId="0" applyFont="1" applyFill="1" applyAlignment="1" applyProtection="1">
      <alignment horizontal="center" vertical="center" wrapText="1" readingOrder="1"/>
      <protection hidden="1"/>
    </xf>
    <xf numFmtId="0" fontId="19" fillId="12" borderId="0" xfId="0" applyFont="1" applyFill="1" applyAlignment="1" applyProtection="1">
      <alignment horizontal="center" vertical="center" wrapText="1" readingOrder="1"/>
      <protection hidden="1"/>
    </xf>
    <xf numFmtId="0" fontId="19" fillId="13" borderId="0" xfId="0" applyFont="1" applyFill="1" applyAlignment="1" applyProtection="1">
      <alignment horizontal="center" vertical="center" wrapText="1" readingOrder="1"/>
      <protection hidden="1"/>
    </xf>
    <xf numFmtId="0" fontId="19" fillId="5" borderId="0" xfId="0" applyFont="1" applyFill="1" applyAlignment="1" applyProtection="1">
      <alignment horizontal="center" vertical="center" wrapText="1" readingOrder="1"/>
      <protection hidden="1"/>
    </xf>
    <xf numFmtId="0" fontId="19" fillId="17" borderId="12" xfId="0" applyFont="1" applyFill="1" applyBorder="1" applyAlignment="1" applyProtection="1">
      <alignment horizontal="center" vertical="center" wrapText="1" readingOrder="1"/>
      <protection hidden="1"/>
    </xf>
    <xf numFmtId="0" fontId="19" fillId="17" borderId="19" xfId="0" applyFont="1" applyFill="1" applyBorder="1" applyAlignment="1" applyProtection="1">
      <alignment horizontal="center" vertical="center" wrapText="1" readingOrder="1"/>
      <protection hidden="1"/>
    </xf>
    <xf numFmtId="0" fontId="19" fillId="17" borderId="13" xfId="0" applyFont="1" applyFill="1" applyBorder="1" applyAlignment="1" applyProtection="1">
      <alignment horizontal="center" vertical="center" wrapText="1" readingOrder="1"/>
      <protection hidden="1"/>
    </xf>
    <xf numFmtId="0" fontId="19" fillId="17" borderId="14" xfId="0" applyFont="1" applyFill="1" applyBorder="1" applyAlignment="1" applyProtection="1">
      <alignment horizontal="center" vertical="center" wrapText="1" readingOrder="1"/>
      <protection hidden="1"/>
    </xf>
    <xf numFmtId="0" fontId="19" fillId="17" borderId="0" xfId="0" applyFont="1" applyFill="1" applyAlignment="1" applyProtection="1">
      <alignment horizontal="center" vertical="center" wrapText="1" readingOrder="1"/>
      <protection hidden="1"/>
    </xf>
    <xf numFmtId="0" fontId="19" fillId="17" borderId="15" xfId="0" applyFont="1" applyFill="1" applyBorder="1" applyAlignment="1" applyProtection="1">
      <alignment horizontal="center" vertical="center" wrapText="1" readingOrder="1"/>
      <protection hidden="1"/>
    </xf>
    <xf numFmtId="0" fontId="19" fillId="17" borderId="16" xfId="0" applyFont="1" applyFill="1" applyBorder="1" applyAlignment="1" applyProtection="1">
      <alignment horizontal="center" vertical="center" wrapText="1" readingOrder="1"/>
      <protection hidden="1"/>
    </xf>
    <xf numFmtId="0" fontId="19" fillId="17" borderId="18" xfId="0" applyFont="1" applyFill="1" applyBorder="1" applyAlignment="1" applyProtection="1">
      <alignment horizontal="center" vertical="center" wrapText="1" readingOrder="1"/>
      <protection hidden="1"/>
    </xf>
    <xf numFmtId="0" fontId="19" fillId="17" borderId="17" xfId="0" applyFont="1" applyFill="1" applyBorder="1" applyAlignment="1" applyProtection="1">
      <alignment horizontal="center" vertical="center" wrapText="1" readingOrder="1"/>
      <protection hidden="1"/>
    </xf>
    <xf numFmtId="0" fontId="4" fillId="2" borderId="2" xfId="0" applyFont="1" applyFill="1" applyBorder="1" applyAlignment="1">
      <alignment horizontal="center" vertical="center" wrapText="1"/>
    </xf>
    <xf numFmtId="14" fontId="6" fillId="0" borderId="2" xfId="0" applyNumberFormat="1" applyFont="1" applyBorder="1" applyAlignment="1" applyProtection="1">
      <alignment horizontal="justify" vertical="center" wrapText="1"/>
      <protection locked="0"/>
    </xf>
    <xf numFmtId="9" fontId="6" fillId="0" borderId="2" xfId="0" applyNumberFormat="1" applyFont="1" applyBorder="1" applyAlignment="1" applyProtection="1">
      <alignment horizontal="center" vertical="center" wrapText="1"/>
      <protection locked="0"/>
    </xf>
    <xf numFmtId="0" fontId="6" fillId="0" borderId="4" xfId="0" applyFont="1" applyBorder="1" applyAlignment="1" applyProtection="1">
      <alignment vertical="center" wrapText="1"/>
      <protection locked="0"/>
    </xf>
    <xf numFmtId="14" fontId="6" fillId="0" borderId="4" xfId="0" quotePrefix="1" applyNumberFormat="1" applyFont="1" applyBorder="1" applyAlignment="1" applyProtection="1">
      <alignment vertical="center" wrapText="1"/>
      <protection locked="0"/>
    </xf>
    <xf numFmtId="0" fontId="6" fillId="0" borderId="73" xfId="0" applyFont="1" applyBorder="1" applyAlignment="1">
      <alignment horizontal="left" vertical="center" wrapText="1"/>
    </xf>
    <xf numFmtId="0" fontId="6" fillId="0" borderId="73" xfId="0" applyFont="1" applyBorder="1" applyAlignment="1">
      <alignment horizontal="center" vertical="center" wrapText="1"/>
    </xf>
    <xf numFmtId="9" fontId="6" fillId="0" borderId="73" xfId="0" applyNumberFormat="1" applyFont="1" applyBorder="1" applyAlignment="1">
      <alignment horizontal="center" vertical="center" wrapText="1"/>
    </xf>
    <xf numFmtId="165" fontId="6" fillId="0" borderId="73" xfId="0" applyNumberFormat="1" applyFont="1" applyBorder="1" applyAlignment="1">
      <alignment horizontal="center" vertical="center" wrapText="1"/>
    </xf>
    <xf numFmtId="0" fontId="6" fillId="0" borderId="2" xfId="0" quotePrefix="1" applyFont="1" applyBorder="1" applyAlignment="1" applyProtection="1">
      <alignment horizontal="left" vertical="center" wrapText="1"/>
      <protection locked="0"/>
    </xf>
    <xf numFmtId="9" fontId="6" fillId="0" borderId="2" xfId="1" applyFont="1" applyBorder="1" applyAlignment="1" applyProtection="1">
      <alignment horizontal="center" vertical="center"/>
      <protection locked="0"/>
    </xf>
    <xf numFmtId="0" fontId="6" fillId="0" borderId="2" xfId="0" quotePrefix="1" applyFont="1" applyBorder="1" applyAlignment="1" applyProtection="1">
      <alignment horizontal="center" vertical="center" wrapText="1"/>
      <protection locked="0"/>
    </xf>
    <xf numFmtId="9" fontId="6" fillId="0" borderId="2" xfId="0" applyNumberFormat="1" applyFont="1" applyBorder="1" applyAlignment="1" applyProtection="1">
      <alignment horizontal="center" vertical="center"/>
      <protection locked="0"/>
    </xf>
    <xf numFmtId="0" fontId="6" fillId="0" borderId="0" xfId="0" applyFont="1" applyAlignment="1">
      <alignment vertical="center" wrapText="1"/>
    </xf>
    <xf numFmtId="14" fontId="6" fillId="0" borderId="2" xfId="0" quotePrefix="1" applyNumberFormat="1" applyFont="1" applyBorder="1" applyAlignment="1" applyProtection="1">
      <alignment horizontal="justify" vertical="center" wrapText="1"/>
      <protection locked="0"/>
    </xf>
    <xf numFmtId="9" fontId="6" fillId="0" borderId="4" xfId="0" applyNumberFormat="1" applyFont="1" applyBorder="1" applyAlignment="1" applyProtection="1">
      <alignment horizontal="center" vertical="center" wrapText="1"/>
      <protection locked="0"/>
    </xf>
    <xf numFmtId="14" fontId="6" fillId="3" borderId="2" xfId="0" applyNumberFormat="1" applyFont="1" applyFill="1" applyBorder="1" applyAlignment="1" applyProtection="1">
      <alignment horizontal="justify" vertical="center" wrapText="1"/>
      <protection locked="0"/>
    </xf>
    <xf numFmtId="9" fontId="6" fillId="3" borderId="2" xfId="0" applyNumberFormat="1" applyFont="1" applyFill="1" applyBorder="1" applyAlignment="1" applyProtection="1">
      <alignment horizontal="center" vertical="center" wrapText="1"/>
      <protection locked="0"/>
    </xf>
    <xf numFmtId="14" fontId="6" fillId="0" borderId="2" xfId="0" applyNumberFormat="1" applyFont="1" applyBorder="1" applyAlignment="1" applyProtection="1">
      <alignment horizontal="left" vertical="center" wrapText="1"/>
      <protection locked="0"/>
    </xf>
    <xf numFmtId="0" fontId="6" fillId="0" borderId="74" xfId="0" applyFont="1" applyBorder="1" applyAlignment="1" applyProtection="1">
      <alignment horizontal="justify" vertical="center" wrapText="1"/>
      <protection locked="0"/>
    </xf>
    <xf numFmtId="14" fontId="61" fillId="0" borderId="2" xfId="0" applyNumberFormat="1" applyFont="1" applyBorder="1" applyAlignment="1" applyProtection="1">
      <alignment horizontal="justify" vertical="center" wrapText="1"/>
      <protection locked="0"/>
    </xf>
    <xf numFmtId="0" fontId="61" fillId="0" borderId="0" xfId="0" applyFont="1" applyAlignment="1">
      <alignment vertical="center"/>
    </xf>
    <xf numFmtId="0" fontId="54" fillId="3" borderId="56" xfId="2" applyFont="1" applyFill="1" applyBorder="1" applyAlignment="1">
      <alignment horizontal="justify" vertical="center" wrapText="1"/>
    </xf>
    <xf numFmtId="0" fontId="54" fillId="3" borderId="57" xfId="2" applyFont="1" applyFill="1" applyBorder="1" applyAlignment="1">
      <alignment horizontal="justify" vertical="center" wrapText="1"/>
    </xf>
    <xf numFmtId="0" fontId="53" fillId="3" borderId="63" xfId="0" applyFont="1" applyFill="1" applyBorder="1" applyAlignment="1">
      <alignment horizontal="left" vertical="center" wrapText="1"/>
    </xf>
    <xf numFmtId="0" fontId="53" fillId="3" borderId="64" xfId="0" applyFont="1" applyFill="1" applyBorder="1" applyAlignment="1">
      <alignment horizontal="left" vertical="center" wrapText="1"/>
    </xf>
    <xf numFmtId="0" fontId="53" fillId="3" borderId="50" xfId="3" applyFont="1" applyFill="1" applyBorder="1" applyAlignment="1">
      <alignment horizontal="left" vertical="top" wrapText="1" readingOrder="1"/>
    </xf>
    <xf numFmtId="0" fontId="53" fillId="3" borderId="51" xfId="3" applyFont="1" applyFill="1" applyBorder="1" applyAlignment="1">
      <alignment horizontal="left" vertical="top" wrapText="1" readingOrder="1"/>
    </xf>
    <xf numFmtId="0" fontId="54" fillId="3" borderId="52" xfId="2" applyFont="1" applyFill="1" applyBorder="1" applyAlignment="1">
      <alignment horizontal="justify" vertical="center" wrapText="1"/>
    </xf>
    <xf numFmtId="0" fontId="54" fillId="3" borderId="53" xfId="2" applyFont="1" applyFill="1" applyBorder="1" applyAlignment="1">
      <alignment horizontal="justify" vertical="center" wrapText="1"/>
    </xf>
    <xf numFmtId="0" fontId="53" fillId="3" borderId="54" xfId="0" applyFont="1" applyFill="1" applyBorder="1" applyAlignment="1">
      <alignment horizontal="left" vertical="center" wrapText="1"/>
    </xf>
    <xf numFmtId="0" fontId="53" fillId="3" borderId="55" xfId="0" applyFont="1" applyFill="1" applyBorder="1" applyAlignment="1">
      <alignment horizontal="left" vertical="center" wrapText="1"/>
    </xf>
    <xf numFmtId="0" fontId="48" fillId="3" borderId="14" xfId="2" applyFont="1" applyFill="1" applyBorder="1" applyAlignment="1">
      <alignment horizontal="left" vertical="top" wrapText="1"/>
    </xf>
    <xf numFmtId="0" fontId="48" fillId="3" borderId="0" xfId="2" applyFont="1" applyFill="1" applyAlignment="1">
      <alignment horizontal="left" vertical="top" wrapText="1"/>
    </xf>
    <xf numFmtId="0" fontId="48" fillId="3" borderId="15" xfId="2" applyFont="1" applyFill="1" applyBorder="1" applyAlignment="1">
      <alignment horizontal="left" vertical="top" wrapText="1"/>
    </xf>
    <xf numFmtId="0" fontId="53" fillId="3" borderId="65" xfId="0" applyFont="1" applyFill="1" applyBorder="1" applyAlignment="1">
      <alignment horizontal="left" vertical="center" wrapText="1"/>
    </xf>
    <xf numFmtId="0" fontId="53" fillId="3" borderId="66" xfId="0" applyFont="1" applyFill="1" applyBorder="1" applyAlignment="1">
      <alignment horizontal="left" vertical="center" wrapText="1"/>
    </xf>
    <xf numFmtId="0" fontId="54" fillId="3" borderId="58" xfId="0" applyFont="1" applyFill="1" applyBorder="1" applyAlignment="1">
      <alignment horizontal="justify" vertical="center" wrapText="1"/>
    </xf>
    <xf numFmtId="0" fontId="54" fillId="3" borderId="59" xfId="0" applyFont="1" applyFill="1" applyBorder="1" applyAlignment="1">
      <alignment horizontal="justify" vertical="center" wrapText="1"/>
    </xf>
    <xf numFmtId="0" fontId="49" fillId="14" borderId="40" xfId="2" applyFont="1" applyFill="1" applyBorder="1" applyAlignment="1">
      <alignment horizontal="center" vertical="center" wrapText="1"/>
    </xf>
    <xf numFmtId="0" fontId="49" fillId="14" borderId="41" xfId="2" applyFont="1" applyFill="1" applyBorder="1" applyAlignment="1">
      <alignment horizontal="center" vertical="center" wrapText="1"/>
    </xf>
    <xf numFmtId="0" fontId="49" fillId="14" borderId="42" xfId="2" applyFont="1" applyFill="1" applyBorder="1" applyAlignment="1">
      <alignment horizontal="center" vertical="center" wrapText="1"/>
    </xf>
    <xf numFmtId="0" fontId="48" fillId="0" borderId="14" xfId="2" quotePrefix="1" applyFont="1" applyBorder="1" applyAlignment="1">
      <alignment horizontal="left" vertical="center" wrapText="1"/>
    </xf>
    <xf numFmtId="0" fontId="48" fillId="0" borderId="0" xfId="2" quotePrefix="1" applyFont="1" applyAlignment="1">
      <alignment horizontal="left" vertical="center" wrapText="1"/>
    </xf>
    <xf numFmtId="0" fontId="48" fillId="0" borderId="15" xfId="2" quotePrefix="1" applyFont="1" applyBorder="1" applyAlignment="1">
      <alignment horizontal="left" vertical="center" wrapText="1"/>
    </xf>
    <xf numFmtId="0" fontId="48" fillId="0" borderId="60" xfId="2" quotePrefix="1" applyFont="1" applyBorder="1" applyAlignment="1">
      <alignment horizontal="left" vertical="center" wrapText="1"/>
    </xf>
    <xf numFmtId="0" fontId="48" fillId="0" borderId="61" xfId="2" quotePrefix="1" applyFont="1" applyBorder="1" applyAlignment="1">
      <alignment horizontal="left" vertical="center" wrapText="1"/>
    </xf>
    <xf numFmtId="0" fontId="48" fillId="0" borderId="62" xfId="2" quotePrefix="1" applyFont="1" applyBorder="1" applyAlignment="1">
      <alignment horizontal="left" vertical="center" wrapText="1"/>
    </xf>
    <xf numFmtId="0" fontId="50" fillId="3" borderId="43" xfId="2" quotePrefix="1" applyFont="1" applyFill="1" applyBorder="1" applyAlignment="1">
      <alignment horizontal="left" vertical="top" wrapText="1"/>
    </xf>
    <xf numFmtId="0" fontId="51" fillId="3" borderId="44" xfId="2" quotePrefix="1" applyFont="1" applyFill="1" applyBorder="1" applyAlignment="1">
      <alignment horizontal="left" vertical="top" wrapText="1"/>
    </xf>
    <xf numFmtId="0" fontId="51" fillId="3" borderId="45" xfId="2" quotePrefix="1" applyFont="1" applyFill="1" applyBorder="1" applyAlignment="1">
      <alignment horizontal="left" vertical="top" wrapText="1"/>
    </xf>
    <xf numFmtId="0" fontId="48" fillId="0" borderId="14" xfId="2" quotePrefix="1" applyFont="1" applyBorder="1" applyAlignment="1">
      <alignment horizontal="left" vertical="top" wrapText="1"/>
    </xf>
    <xf numFmtId="0" fontId="48" fillId="0" borderId="0" xfId="2" quotePrefix="1" applyFont="1" applyAlignment="1">
      <alignment horizontal="left" vertical="top" wrapText="1"/>
    </xf>
    <xf numFmtId="0" fontId="48" fillId="0" borderId="15" xfId="2" quotePrefix="1" applyFont="1" applyBorder="1" applyAlignment="1">
      <alignment horizontal="left" vertical="top" wrapText="1"/>
    </xf>
    <xf numFmtId="0" fontId="53" fillId="14" borderId="46" xfId="3" applyFont="1" applyFill="1" applyBorder="1" applyAlignment="1">
      <alignment horizontal="center" vertical="center" wrapText="1"/>
    </xf>
    <xf numFmtId="0" fontId="53" fillId="14" borderId="47" xfId="3" applyFont="1" applyFill="1" applyBorder="1" applyAlignment="1">
      <alignment horizontal="center" vertical="center" wrapText="1"/>
    </xf>
    <xf numFmtId="0" fontId="53" fillId="14" borderId="48" xfId="2" applyFont="1" applyFill="1" applyBorder="1" applyAlignment="1">
      <alignment horizontal="center" vertical="center"/>
    </xf>
    <xf numFmtId="0" fontId="53" fillId="14" borderId="49" xfId="2" applyFont="1" applyFill="1" applyBorder="1" applyAlignment="1">
      <alignment horizontal="center" vertical="center"/>
    </xf>
    <xf numFmtId="0" fontId="2" fillId="3" borderId="60" xfId="2" quotePrefix="1" applyFont="1" applyFill="1" applyBorder="1" applyAlignment="1">
      <alignment horizontal="justify" vertical="center" wrapText="1"/>
    </xf>
    <xf numFmtId="0" fontId="2" fillId="3" borderId="61" xfId="2" quotePrefix="1" applyFont="1" applyFill="1" applyBorder="1" applyAlignment="1">
      <alignment horizontal="justify" vertical="center" wrapText="1"/>
    </xf>
    <xf numFmtId="0" fontId="2" fillId="3" borderId="62" xfId="2" quotePrefix="1" applyFont="1" applyFill="1" applyBorder="1" applyAlignment="1">
      <alignment horizontal="justify" vertical="center" wrapText="1"/>
    </xf>
    <xf numFmtId="0" fontId="41" fillId="11" borderId="12" xfId="0" applyFont="1" applyFill="1" applyBorder="1" applyAlignment="1">
      <alignment horizontal="center" vertical="center" wrapText="1" readingOrder="1"/>
    </xf>
    <xf numFmtId="0" fontId="41" fillId="11" borderId="19" xfId="0" applyFont="1" applyFill="1" applyBorder="1" applyAlignment="1">
      <alignment horizontal="center" vertical="center" wrapText="1" readingOrder="1"/>
    </xf>
    <xf numFmtId="0" fontId="41" fillId="11" borderId="13" xfId="0" applyFont="1" applyFill="1" applyBorder="1" applyAlignment="1">
      <alignment horizontal="center" vertical="center" wrapText="1" readingOrder="1"/>
    </xf>
    <xf numFmtId="0" fontId="41" fillId="11" borderId="14" xfId="0" applyFont="1" applyFill="1" applyBorder="1" applyAlignment="1">
      <alignment horizontal="center" vertical="center" wrapText="1" readingOrder="1"/>
    </xf>
    <xf numFmtId="0" fontId="41" fillId="11" borderId="0" xfId="0" applyFont="1" applyFill="1" applyAlignment="1">
      <alignment horizontal="center" vertical="center" wrapText="1" readingOrder="1"/>
    </xf>
    <xf numFmtId="0" fontId="41" fillId="11" borderId="15" xfId="0" applyFont="1" applyFill="1" applyBorder="1" applyAlignment="1">
      <alignment horizontal="center" vertical="center" wrapText="1" readingOrder="1"/>
    </xf>
    <xf numFmtId="0" fontId="41" fillId="11" borderId="16" xfId="0" applyFont="1" applyFill="1" applyBorder="1" applyAlignment="1">
      <alignment horizontal="center" vertical="center" wrapText="1" readingOrder="1"/>
    </xf>
    <xf numFmtId="0" fontId="41" fillId="11" borderId="18" xfId="0" applyFont="1" applyFill="1" applyBorder="1" applyAlignment="1">
      <alignment horizontal="center" vertical="center" wrapText="1" readingOrder="1"/>
    </xf>
    <xf numFmtId="0" fontId="41" fillId="11" borderId="17"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4" xfId="0" applyFont="1" applyBorder="1" applyAlignment="1">
      <alignment horizontal="center" vertical="center" wrapText="1"/>
    </xf>
    <xf numFmtId="0" fontId="42" fillId="0" borderId="0" xfId="0" applyFont="1" applyAlignment="1">
      <alignment horizontal="center" vertical="center"/>
    </xf>
    <xf numFmtId="0" fontId="42" fillId="0" borderId="14" xfId="0" applyFont="1" applyBorder="1" applyAlignment="1">
      <alignment horizontal="center" vertical="center"/>
    </xf>
    <xf numFmtId="0" fontId="41" fillId="12" borderId="12" xfId="0" applyFont="1" applyFill="1" applyBorder="1" applyAlignment="1">
      <alignment horizontal="center" vertical="center" wrapText="1" readingOrder="1"/>
    </xf>
    <xf numFmtId="0" fontId="41" fillId="12" borderId="19" xfId="0" applyFont="1" applyFill="1" applyBorder="1" applyAlignment="1">
      <alignment horizontal="center" vertical="center" wrapText="1" readingOrder="1"/>
    </xf>
    <xf numFmtId="0" fontId="41" fillId="12" borderId="13" xfId="0" applyFont="1" applyFill="1" applyBorder="1" applyAlignment="1">
      <alignment horizontal="center" vertical="center" wrapText="1" readingOrder="1"/>
    </xf>
    <xf numFmtId="0" fontId="41" fillId="12" borderId="14" xfId="0" applyFont="1" applyFill="1" applyBorder="1" applyAlignment="1">
      <alignment horizontal="center" vertical="center" wrapText="1" readingOrder="1"/>
    </xf>
    <xf numFmtId="0" fontId="41" fillId="12" borderId="0" xfId="0" applyFont="1" applyFill="1" applyAlignment="1">
      <alignment horizontal="center" vertical="center" wrapText="1" readingOrder="1"/>
    </xf>
    <xf numFmtId="0" fontId="41" fillId="12" borderId="15" xfId="0" applyFont="1" applyFill="1" applyBorder="1" applyAlignment="1">
      <alignment horizontal="center" vertical="center" wrapText="1" readingOrder="1"/>
    </xf>
    <xf numFmtId="0" fontId="41" fillId="12" borderId="16" xfId="0" applyFont="1" applyFill="1" applyBorder="1" applyAlignment="1">
      <alignment horizontal="center" vertical="center" wrapText="1" readingOrder="1"/>
    </xf>
    <xf numFmtId="0" fontId="41" fillId="12" borderId="18" xfId="0" applyFont="1" applyFill="1" applyBorder="1" applyAlignment="1">
      <alignment horizontal="center" vertical="center" wrapText="1" readingOrder="1"/>
    </xf>
    <xf numFmtId="0" fontId="41" fillId="12" borderId="17"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12" xfId="0" applyFont="1" applyFill="1" applyBorder="1" applyAlignment="1">
      <alignment horizontal="center" vertical="center" textRotation="90" wrapText="1" readingOrder="1"/>
    </xf>
    <xf numFmtId="0" fontId="18" fillId="10" borderId="19" xfId="0" applyFont="1" applyFill="1" applyBorder="1" applyAlignment="1">
      <alignment horizontal="center" vertical="center" textRotation="90" wrapText="1" readingOrder="1"/>
    </xf>
    <xf numFmtId="0" fontId="18" fillId="10" borderId="13" xfId="0" applyFont="1" applyFill="1" applyBorder="1" applyAlignment="1">
      <alignment horizontal="center" vertical="center" textRotation="90" wrapText="1" readingOrder="1"/>
    </xf>
    <xf numFmtId="0" fontId="18" fillId="10" borderId="14" xfId="0" applyFont="1" applyFill="1" applyBorder="1" applyAlignment="1">
      <alignment horizontal="center" vertical="center" textRotation="90"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18" fillId="10" borderId="16" xfId="0" applyFont="1" applyFill="1" applyBorder="1" applyAlignment="1">
      <alignment horizontal="center" vertical="center" textRotation="90" wrapText="1" readingOrder="1"/>
    </xf>
    <xf numFmtId="0" fontId="18" fillId="10" borderId="18" xfId="0" applyFont="1" applyFill="1" applyBorder="1" applyAlignment="1">
      <alignment horizontal="center" vertical="center" textRotation="90" wrapText="1" readingOrder="1"/>
    </xf>
    <xf numFmtId="0" fontId="18" fillId="10" borderId="17" xfId="0" applyFont="1" applyFill="1" applyBorder="1" applyAlignment="1">
      <alignment horizontal="center" vertical="center" textRotation="90" wrapText="1" readingOrder="1"/>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2" fillId="0" borderId="17" xfId="0" applyFont="1" applyBorder="1" applyAlignment="1">
      <alignment horizontal="center" vertical="center"/>
    </xf>
    <xf numFmtId="0" fontId="41" fillId="5" borderId="20" xfId="0"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13" borderId="12" xfId="0" applyFont="1" applyFill="1" applyBorder="1" applyAlignment="1">
      <alignment horizontal="center" vertical="center" wrapText="1" readingOrder="1"/>
    </xf>
    <xf numFmtId="0" fontId="41" fillId="13" borderId="19" xfId="0" applyFont="1" applyFill="1" applyBorder="1" applyAlignment="1">
      <alignment horizontal="center" vertical="center" wrapText="1" readingOrder="1"/>
    </xf>
    <xf numFmtId="0" fontId="41" fillId="13" borderId="13" xfId="0" applyFont="1" applyFill="1" applyBorder="1" applyAlignment="1">
      <alignment horizontal="center" vertical="center" wrapText="1" readingOrder="1"/>
    </xf>
    <xf numFmtId="0" fontId="41" fillId="13" borderId="14" xfId="0" applyFont="1" applyFill="1" applyBorder="1" applyAlignment="1">
      <alignment horizontal="center" vertical="center" wrapText="1" readingOrder="1"/>
    </xf>
    <xf numFmtId="0" fontId="41" fillId="13" borderId="0" xfId="0" applyFont="1" applyFill="1" applyAlignment="1">
      <alignment horizontal="center" vertical="center" wrapText="1" readingOrder="1"/>
    </xf>
    <xf numFmtId="0" fontId="41" fillId="13" borderId="15" xfId="0" applyFont="1" applyFill="1" applyBorder="1" applyAlignment="1">
      <alignment horizontal="center" vertical="center" wrapText="1" readingOrder="1"/>
    </xf>
    <xf numFmtId="0" fontId="41" fillId="13" borderId="16" xfId="0" applyFont="1" applyFill="1" applyBorder="1" applyAlignment="1">
      <alignment horizontal="center" vertical="center" wrapText="1" readingOrder="1"/>
    </xf>
    <xf numFmtId="0" fontId="41" fillId="13" borderId="18" xfId="0" applyFont="1" applyFill="1" applyBorder="1" applyAlignment="1">
      <alignment horizontal="center" vertical="center" wrapText="1" readingOrder="1"/>
    </xf>
    <xf numFmtId="0" fontId="41" fillId="13" borderId="17" xfId="0" applyFont="1" applyFill="1" applyBorder="1" applyAlignment="1">
      <alignment horizontal="center" vertical="center" wrapText="1" readingOrder="1"/>
    </xf>
    <xf numFmtId="0" fontId="42" fillId="0" borderId="67" xfId="0" applyFont="1" applyBorder="1" applyAlignment="1">
      <alignment horizontal="center" vertical="center" wrapText="1"/>
    </xf>
    <xf numFmtId="0" fontId="42" fillId="0" borderId="67" xfId="0" applyFont="1" applyBorder="1" applyAlignment="1">
      <alignment horizontal="center" vertical="center"/>
    </xf>
    <xf numFmtId="0" fontId="42" fillId="0" borderId="69" xfId="0" applyFont="1" applyBorder="1" applyAlignment="1">
      <alignment horizontal="center" vertical="center"/>
    </xf>
    <xf numFmtId="0" fontId="42" fillId="0" borderId="70" xfId="0" applyFont="1" applyBorder="1" applyAlignment="1">
      <alignment horizontal="center" vertical="center"/>
    </xf>
    <xf numFmtId="0" fontId="42" fillId="0" borderId="71" xfId="0" applyFont="1" applyBorder="1" applyAlignment="1">
      <alignment horizontal="center" vertical="center"/>
    </xf>
    <xf numFmtId="0" fontId="42" fillId="0" borderId="0" xfId="0" applyFont="1" applyAlignment="1">
      <alignment horizontal="center" vertical="center" wrapText="1"/>
    </xf>
    <xf numFmtId="0" fontId="42" fillId="0" borderId="68" xfId="0" applyFont="1" applyBorder="1" applyAlignment="1">
      <alignment horizontal="center" vertical="center"/>
    </xf>
    <xf numFmtId="0" fontId="42" fillId="0" borderId="72" xfId="0" applyFont="1" applyBorder="1" applyAlignment="1">
      <alignment horizontal="center" vertical="center"/>
    </xf>
    <xf numFmtId="0" fontId="4" fillId="2" borderId="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9" fontId="6" fillId="3" borderId="5" xfId="0" applyNumberFormat="1" applyFont="1" applyFill="1" applyBorder="1" applyAlignment="1" applyProtection="1">
      <alignment horizontal="center" vertical="center" wrapText="1"/>
      <protection locked="0"/>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0" borderId="8" xfId="0" applyFont="1" applyBorder="1" applyAlignment="1">
      <alignment horizontal="center" vertical="center"/>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6" fillId="3" borderId="4" xfId="0" applyFont="1" applyFill="1" applyBorder="1" applyAlignment="1">
      <alignment horizontal="justify" vertical="center"/>
    </xf>
    <xf numFmtId="0" fontId="6" fillId="3" borderId="8" xfId="0" applyFont="1" applyFill="1" applyBorder="1" applyAlignment="1">
      <alignment horizontal="justify" vertical="center"/>
    </xf>
    <xf numFmtId="0" fontId="6" fillId="3" borderId="5" xfId="0" applyFont="1" applyFill="1" applyBorder="1" applyAlignment="1">
      <alignment horizontal="justify" vertical="center"/>
    </xf>
    <xf numFmtId="0" fontId="6" fillId="3" borderId="4"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5" xfId="0" applyFont="1" applyFill="1" applyBorder="1" applyAlignment="1">
      <alignment horizontal="justify" vertical="center" wrapText="1"/>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57" fillId="0" borderId="4" xfId="0" applyFont="1" applyBorder="1" applyAlignment="1" applyProtection="1">
      <alignment horizontal="center" vertical="center" wrapText="1"/>
      <protection hidden="1"/>
    </xf>
    <xf numFmtId="0" fontId="57" fillId="0" borderId="8" xfId="0" applyFont="1" applyBorder="1" applyAlignment="1" applyProtection="1">
      <alignment horizontal="center" vertical="center" wrapText="1"/>
      <protection hidden="1"/>
    </xf>
    <xf numFmtId="0" fontId="57" fillId="0" borderId="5" xfId="0"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4"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4" xfId="0" quotePrefix="1" applyFont="1" applyBorder="1" applyAlignment="1" applyProtection="1">
      <alignment horizontal="center" vertical="center" wrapText="1"/>
      <protection locked="0"/>
    </xf>
    <xf numFmtId="0" fontId="6" fillId="0" borderId="8" xfId="0" applyFont="1" applyBorder="1" applyAlignment="1">
      <alignment horizontal="justify" vertical="center"/>
    </xf>
    <xf numFmtId="0" fontId="48" fillId="0" borderId="4" xfId="0" quotePrefix="1" applyFont="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48" fillId="0" borderId="8" xfId="0" quotePrefix="1" applyFont="1" applyBorder="1" applyAlignment="1" applyProtection="1">
      <alignment horizontal="center" vertical="center" wrapText="1"/>
      <protection locked="0"/>
    </xf>
    <xf numFmtId="0" fontId="48" fillId="0" borderId="5" xfId="0" quotePrefix="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48" fillId="0" borderId="5" xfId="0" applyFont="1" applyBorder="1" applyAlignment="1" applyProtection="1">
      <alignment horizontal="center" vertical="center" wrapText="1"/>
      <protection locked="0"/>
    </xf>
    <xf numFmtId="0" fontId="6" fillId="3" borderId="4" xfId="0" quotePrefix="1" applyFont="1" applyFill="1" applyBorder="1" applyAlignment="1" applyProtection="1">
      <alignment horizontal="center" vertical="center" wrapText="1"/>
      <protection locked="0"/>
    </xf>
    <xf numFmtId="0" fontId="6" fillId="3" borderId="8" xfId="0" quotePrefix="1" applyFont="1" applyFill="1" applyBorder="1" applyAlignment="1" applyProtection="1">
      <alignment horizontal="center" vertical="center" wrapText="1"/>
      <protection locked="0"/>
    </xf>
    <xf numFmtId="0" fontId="6" fillId="0" borderId="5" xfId="0" applyFont="1" applyBorder="1" applyAlignment="1">
      <alignment horizontal="justify" vertical="center" wrapText="1"/>
    </xf>
    <xf numFmtId="9" fontId="6" fillId="0" borderId="5" xfId="0" applyNumberFormat="1"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4" xfId="0" applyFont="1" applyBorder="1" applyAlignment="1">
      <alignment horizontal="center" vertical="center"/>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24" fillId="2" borderId="22" xfId="0" applyFont="1" applyFill="1" applyBorder="1" applyAlignment="1">
      <alignment horizontal="center" vertical="center" wrapText="1"/>
    </xf>
    <xf numFmtId="0" fontId="24" fillId="2" borderId="23"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2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52" fillId="0" borderId="4"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2" fillId="0" borderId="5" xfId="0"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0" fontId="6" fillId="0" borderId="8" xfId="0" quotePrefix="1" applyFont="1" applyBorder="1" applyAlignment="1" applyProtection="1">
      <alignment horizontal="center" vertical="center" wrapText="1"/>
      <protection locked="0"/>
    </xf>
    <xf numFmtId="0" fontId="6" fillId="0" borderId="5" xfId="0" quotePrefix="1" applyFont="1" applyBorder="1" applyAlignment="1" applyProtection="1">
      <alignment horizontal="center" vertical="center" wrapText="1"/>
      <protection locked="0"/>
    </xf>
    <xf numFmtId="0" fontId="4" fillId="5" borderId="6"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20" fillId="5" borderId="14" xfId="0" applyFont="1" applyFill="1" applyBorder="1" applyAlignment="1" applyProtection="1">
      <alignment horizontal="center" vertical="center" wrapText="1" readingOrder="1"/>
      <protection hidden="1"/>
    </xf>
    <xf numFmtId="0" fontId="20" fillId="5" borderId="0" xfId="0" applyFont="1" applyFill="1" applyAlignment="1" applyProtection="1">
      <alignment horizontal="center" vertical="center" wrapText="1" readingOrder="1"/>
      <protection hidden="1"/>
    </xf>
    <xf numFmtId="0" fontId="20" fillId="5" borderId="15" xfId="0" applyFont="1" applyFill="1" applyBorder="1" applyAlignment="1" applyProtection="1">
      <alignment horizontal="center" vertical="center" wrapText="1" readingOrder="1"/>
      <protection hidden="1"/>
    </xf>
    <xf numFmtId="0" fontId="20" fillId="12" borderId="0" xfId="0" applyFont="1" applyFill="1" applyAlignment="1" applyProtection="1">
      <alignment horizontal="center" vertical="center" wrapText="1" readingOrder="1"/>
      <protection hidden="1"/>
    </xf>
    <xf numFmtId="0" fontId="20" fillId="12"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vertical="center" wrapText="1" readingOrder="1"/>
      <protection hidden="1"/>
    </xf>
    <xf numFmtId="0" fontId="20" fillId="13" borderId="0" xfId="0" applyFont="1" applyFill="1" applyAlignment="1" applyProtection="1">
      <alignment horizontal="center" vertical="center" wrapText="1" readingOrder="1"/>
      <protection hidden="1"/>
    </xf>
    <xf numFmtId="0" fontId="20" fillId="13" borderId="15" xfId="0" applyFont="1" applyFill="1" applyBorder="1" applyAlignment="1" applyProtection="1">
      <alignment horizontal="center" vertical="center" wrapText="1" readingOrder="1"/>
      <protection hidden="1"/>
    </xf>
    <xf numFmtId="0" fontId="20" fillId="13" borderId="14" xfId="0" applyFont="1" applyFill="1" applyBorder="1" applyAlignment="1" applyProtection="1">
      <alignment horizontal="center" vertical="center" wrapText="1" readingOrder="1"/>
      <protection hidden="1"/>
    </xf>
    <xf numFmtId="0" fontId="20" fillId="16" borderId="0" xfId="0" applyFont="1" applyFill="1" applyAlignment="1" applyProtection="1">
      <alignment horizontal="center" vertical="center" wrapText="1" readingOrder="1"/>
      <protection hidden="1"/>
    </xf>
    <xf numFmtId="0" fontId="20" fillId="16" borderId="15" xfId="0" applyFont="1" applyFill="1" applyBorder="1" applyAlignment="1" applyProtection="1">
      <alignment horizontal="center" vertical="center" wrapText="1" readingOrder="1"/>
      <protection hidden="1"/>
    </xf>
    <xf numFmtId="0" fontId="20" fillId="17" borderId="14" xfId="0" applyFont="1" applyFill="1" applyBorder="1" applyAlignment="1" applyProtection="1">
      <alignment horizontal="center" vertical="center" wrapText="1" readingOrder="1"/>
      <protection hidden="1"/>
    </xf>
    <xf numFmtId="0" fontId="20" fillId="17" borderId="0" xfId="0" applyFont="1" applyFill="1" applyAlignment="1" applyProtection="1">
      <alignment horizontal="center" vertical="center" wrapText="1" readingOrder="1"/>
      <protection hidden="1"/>
    </xf>
    <xf numFmtId="0" fontId="20" fillId="16" borderId="14" xfId="0" applyFont="1" applyFill="1" applyBorder="1" applyAlignment="1" applyProtection="1">
      <alignment horizontal="center" vertical="center" wrapText="1" readingOrder="1"/>
      <protection hidden="1"/>
    </xf>
    <xf numFmtId="0" fontId="20" fillId="17" borderId="15" xfId="0" applyFont="1" applyFill="1" applyBorder="1" applyAlignment="1" applyProtection="1">
      <alignment horizontal="center" vertical="center" wrapText="1" readingOrder="1"/>
      <protection hidden="1"/>
    </xf>
    <xf numFmtId="0" fontId="20" fillId="17" borderId="12" xfId="0" applyFont="1" applyFill="1" applyBorder="1" applyAlignment="1" applyProtection="1">
      <alignment horizontal="center" vertical="center" wrapText="1" readingOrder="1"/>
      <protection hidden="1"/>
    </xf>
    <xf numFmtId="0" fontId="20" fillId="17" borderId="19" xfId="0" applyFont="1" applyFill="1" applyBorder="1" applyAlignment="1" applyProtection="1">
      <alignment horizontal="center" vertical="center" wrapText="1" readingOrder="1"/>
      <protection hidden="1"/>
    </xf>
    <xf numFmtId="0" fontId="20" fillId="17" borderId="13"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vertical="center" wrapText="1" readingOrder="1"/>
      <protection hidden="1"/>
    </xf>
    <xf numFmtId="0" fontId="20" fillId="13" borderId="19" xfId="0" applyFont="1" applyFill="1" applyBorder="1" applyAlignment="1" applyProtection="1">
      <alignment horizontal="center" vertical="center" wrapText="1" readingOrder="1"/>
      <protection hidden="1"/>
    </xf>
    <xf numFmtId="0" fontId="20" fillId="13" borderId="13"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9"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vertical="center" wrapText="1" readingOrder="1"/>
      <protection hidden="1"/>
    </xf>
    <xf numFmtId="0" fontId="20" fillId="12" borderId="17" xfId="0" applyFont="1" applyFill="1" applyBorder="1" applyAlignment="1" applyProtection="1">
      <alignment horizontal="center" vertical="center" wrapText="1" readingOrder="1"/>
      <protection hidden="1"/>
    </xf>
    <xf numFmtId="0" fontId="20" fillId="5" borderId="16" xfId="0" applyFont="1" applyFill="1" applyBorder="1" applyAlignment="1" applyProtection="1">
      <alignment horizontal="center" vertical="center" wrapText="1" readingOrder="1"/>
      <protection hidden="1"/>
    </xf>
    <xf numFmtId="0" fontId="20" fillId="5" borderId="18" xfId="0" applyFont="1" applyFill="1" applyBorder="1" applyAlignment="1" applyProtection="1">
      <alignment horizontal="center" vertical="center" wrapText="1" readingOrder="1"/>
      <protection hidden="1"/>
    </xf>
    <xf numFmtId="0" fontId="20" fillId="5" borderId="17" xfId="0" applyFont="1" applyFill="1" applyBorder="1" applyAlignment="1" applyProtection="1">
      <alignment horizontal="center" vertical="center" wrapText="1" readingOrder="1"/>
      <protection hidden="1"/>
    </xf>
    <xf numFmtId="0" fontId="20" fillId="13" borderId="16" xfId="0" applyFont="1" applyFill="1" applyBorder="1" applyAlignment="1" applyProtection="1">
      <alignment horizontal="center" vertical="center" wrapText="1" readingOrder="1"/>
      <protection hidden="1"/>
    </xf>
    <xf numFmtId="0" fontId="20" fillId="13" borderId="18" xfId="0" applyFont="1" applyFill="1" applyBorder="1" applyAlignment="1" applyProtection="1">
      <alignment horizontal="center" vertical="center" wrapText="1" readingOrder="1"/>
      <protection hidden="1"/>
    </xf>
    <xf numFmtId="0" fontId="20" fillId="13" borderId="17" xfId="0" applyFont="1" applyFill="1" applyBorder="1" applyAlignment="1" applyProtection="1">
      <alignment horizontal="center" vertical="center" wrapText="1" readingOrder="1"/>
      <protection hidden="1"/>
    </xf>
    <xf numFmtId="0" fontId="20" fillId="16" borderId="16" xfId="0" applyFont="1" applyFill="1" applyBorder="1" applyAlignment="1" applyProtection="1">
      <alignment horizontal="center" vertical="center" wrapText="1" readingOrder="1"/>
      <protection hidden="1"/>
    </xf>
    <xf numFmtId="0" fontId="20" fillId="16" borderId="18"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vertical="center" wrapText="1" readingOrder="1"/>
      <protection hidden="1"/>
    </xf>
    <xf numFmtId="0" fontId="20" fillId="12" borderId="13"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5" borderId="19" xfId="0" applyFont="1" applyFill="1" applyBorder="1" applyAlignment="1" applyProtection="1">
      <alignment horizontal="center" vertical="center" wrapText="1" readingOrder="1"/>
      <protection hidden="1"/>
    </xf>
    <xf numFmtId="0" fontId="20" fillId="5" borderId="13" xfId="0" applyFont="1" applyFill="1" applyBorder="1" applyAlignment="1" applyProtection="1">
      <alignment horizontal="center" vertical="center" wrapText="1" readingOrder="1"/>
      <protection hidden="1"/>
    </xf>
    <xf numFmtId="0" fontId="21" fillId="12" borderId="12" xfId="0" applyFont="1" applyFill="1" applyBorder="1" applyAlignment="1">
      <alignment horizontal="center" vertical="center" wrapText="1" readingOrder="1"/>
    </xf>
    <xf numFmtId="0" fontId="21" fillId="12" borderId="19" xfId="0" applyFont="1" applyFill="1" applyBorder="1" applyAlignment="1">
      <alignment horizontal="center" vertical="center" wrapText="1" readingOrder="1"/>
    </xf>
    <xf numFmtId="0" fontId="21" fillId="12" borderId="13" xfId="0" applyFont="1" applyFill="1" applyBorder="1" applyAlignment="1">
      <alignment horizontal="center" vertical="center" wrapText="1" readingOrder="1"/>
    </xf>
    <xf numFmtId="0" fontId="21" fillId="12" borderId="14"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15" xfId="0" applyFont="1" applyFill="1" applyBorder="1" applyAlignment="1">
      <alignment horizontal="center" vertical="center" wrapText="1" readingOrder="1"/>
    </xf>
    <xf numFmtId="0" fontId="21" fillId="12" borderId="16" xfId="0" applyFont="1" applyFill="1" applyBorder="1" applyAlignment="1">
      <alignment horizontal="center" vertical="center" wrapText="1" readingOrder="1"/>
    </xf>
    <xf numFmtId="0" fontId="21" fillId="12" borderId="18" xfId="0" applyFont="1" applyFill="1" applyBorder="1" applyAlignment="1">
      <alignment horizontal="center" vertical="center" wrapText="1" readingOrder="1"/>
    </xf>
    <xf numFmtId="0" fontId="21" fillId="12" borderId="17" xfId="0" applyFont="1" applyFill="1" applyBorder="1" applyAlignment="1">
      <alignment horizontal="center" vertical="center" wrapText="1" readingOrder="1"/>
    </xf>
    <xf numFmtId="0" fontId="21" fillId="11" borderId="12" xfId="0" applyFont="1" applyFill="1" applyBorder="1" applyAlignment="1">
      <alignment horizontal="center" vertical="center" wrapText="1" readingOrder="1"/>
    </xf>
    <xf numFmtId="0" fontId="21" fillId="11" borderId="19" xfId="0" applyFont="1" applyFill="1" applyBorder="1" applyAlignment="1">
      <alignment horizontal="center" vertical="center" wrapText="1" readingOrder="1"/>
    </xf>
    <xf numFmtId="0" fontId="21" fillId="11" borderId="13" xfId="0" applyFont="1" applyFill="1" applyBorder="1" applyAlignment="1">
      <alignment horizontal="center" vertical="center" wrapText="1" readingOrder="1"/>
    </xf>
    <xf numFmtId="0" fontId="21" fillId="11" borderId="14"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15" xfId="0" applyFont="1" applyFill="1" applyBorder="1" applyAlignment="1">
      <alignment horizontal="center" vertical="center" wrapText="1" readingOrder="1"/>
    </xf>
    <xf numFmtId="0" fontId="21" fillId="11" borderId="16" xfId="0" applyFont="1" applyFill="1" applyBorder="1" applyAlignment="1">
      <alignment horizontal="center" vertical="center" wrapText="1" readingOrder="1"/>
    </xf>
    <xf numFmtId="0" fontId="21" fillId="11" borderId="18" xfId="0" applyFont="1" applyFill="1" applyBorder="1" applyAlignment="1">
      <alignment horizontal="center" vertical="center" wrapText="1" readingOrder="1"/>
    </xf>
    <xf numFmtId="0" fontId="21" fillId="11" borderId="17" xfId="0" applyFont="1" applyFill="1" applyBorder="1" applyAlignment="1">
      <alignment horizontal="center" vertical="center" wrapText="1" readingOrder="1"/>
    </xf>
    <xf numFmtId="0" fontId="21" fillId="13" borderId="12" xfId="0" applyFont="1" applyFill="1" applyBorder="1" applyAlignment="1">
      <alignment horizontal="center" vertical="center" wrapText="1" readingOrder="1"/>
    </xf>
    <xf numFmtId="0" fontId="21" fillId="13" borderId="19" xfId="0" applyFont="1" applyFill="1" applyBorder="1" applyAlignment="1">
      <alignment horizontal="center" vertical="center" wrapText="1" readingOrder="1"/>
    </xf>
    <xf numFmtId="0" fontId="21" fillId="13" borderId="13" xfId="0" applyFont="1" applyFill="1" applyBorder="1" applyAlignment="1">
      <alignment horizontal="center" vertical="center" wrapText="1" readingOrder="1"/>
    </xf>
    <xf numFmtId="0" fontId="21" fillId="13" borderId="14"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15" xfId="0" applyFont="1" applyFill="1" applyBorder="1" applyAlignment="1">
      <alignment horizontal="center" vertical="center" wrapText="1" readingOrder="1"/>
    </xf>
    <xf numFmtId="0" fontId="21" fillId="13" borderId="16" xfId="0" applyFont="1" applyFill="1" applyBorder="1" applyAlignment="1">
      <alignment horizontal="center" vertical="center" wrapText="1" readingOrder="1"/>
    </xf>
    <xf numFmtId="0" fontId="21" fillId="13" borderId="18" xfId="0" applyFont="1" applyFill="1" applyBorder="1" applyAlignment="1">
      <alignment horizontal="center" vertical="center" wrapText="1" readingOrder="1"/>
    </xf>
    <xf numFmtId="0" fontId="21" fillId="13" borderId="17" xfId="0" applyFont="1" applyFill="1" applyBorder="1" applyAlignment="1">
      <alignment horizontal="center" vertical="center" wrapText="1" readingOrder="1"/>
    </xf>
    <xf numFmtId="0" fontId="21" fillId="5" borderId="12" xfId="0" applyFont="1" applyFill="1" applyBorder="1" applyAlignment="1">
      <alignment horizontal="center" vertical="center" wrapText="1" readingOrder="1"/>
    </xf>
    <xf numFmtId="0" fontId="21" fillId="5" borderId="19" xfId="0" applyFont="1" applyFill="1" applyBorder="1" applyAlignment="1">
      <alignment horizontal="center" vertical="center" wrapText="1" readingOrder="1"/>
    </xf>
    <xf numFmtId="0" fontId="21" fillId="5" borderId="13" xfId="0" applyFont="1" applyFill="1" applyBorder="1" applyAlignment="1">
      <alignment horizontal="center" vertical="center" wrapText="1" readingOrder="1"/>
    </xf>
    <xf numFmtId="0" fontId="21" fillId="5" borderId="14"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15" xfId="0" applyFont="1" applyFill="1" applyBorder="1" applyAlignment="1">
      <alignment horizontal="center" vertical="center" wrapText="1" readingOrder="1"/>
    </xf>
    <xf numFmtId="0" fontId="21" fillId="5" borderId="16" xfId="0" applyFont="1" applyFill="1" applyBorder="1" applyAlignment="1">
      <alignment horizontal="center" vertical="center" wrapText="1" readingOrder="1"/>
    </xf>
    <xf numFmtId="0" fontId="21" fillId="5" borderId="18" xfId="0" applyFont="1" applyFill="1" applyBorder="1" applyAlignment="1">
      <alignment horizontal="center" vertical="center" wrapText="1" readingOrder="1"/>
    </xf>
    <xf numFmtId="0" fontId="21" fillId="5" borderId="1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wrapText="1"/>
    </xf>
    <xf numFmtId="0" fontId="20" fillId="11" borderId="12"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7" fillId="0" borderId="0" xfId="0" applyFont="1" applyAlignment="1">
      <alignment horizontal="center" vertical="center" wrapText="1"/>
    </xf>
    <xf numFmtId="0" fontId="20" fillId="16" borderId="19" xfId="0" applyFont="1" applyFill="1" applyBorder="1" applyAlignment="1" applyProtection="1">
      <alignment horizontal="center" vertical="center" wrapText="1" readingOrder="1"/>
      <protection hidden="1"/>
    </xf>
    <xf numFmtId="0" fontId="20" fillId="16" borderId="13" xfId="0" applyFont="1" applyFill="1" applyBorder="1" applyAlignment="1" applyProtection="1">
      <alignment horizontal="center" vertical="center" wrapText="1" readingOrder="1"/>
      <protection hidden="1"/>
    </xf>
    <xf numFmtId="0" fontId="20" fillId="16" borderId="12" xfId="0" applyFont="1" applyFill="1" applyBorder="1" applyAlignment="1" applyProtection="1">
      <alignment horizontal="center" vertical="center" wrapText="1" readingOrder="1"/>
      <protection hidden="1"/>
    </xf>
    <xf numFmtId="0" fontId="20" fillId="16" borderId="17" xfId="0" applyFont="1" applyFill="1" applyBorder="1" applyAlignment="1" applyProtection="1">
      <alignment horizontal="center" vertical="center" wrapText="1" readingOrder="1"/>
      <protection hidden="1"/>
    </xf>
    <xf numFmtId="0" fontId="24" fillId="0" borderId="0" xfId="0" applyFont="1" applyAlignment="1">
      <alignment horizontal="center" vertical="center" wrapText="1"/>
    </xf>
    <xf numFmtId="0" fontId="20" fillId="5" borderId="12" xfId="0" applyFont="1" applyFill="1" applyBorder="1" applyAlignment="1" applyProtection="1">
      <alignment horizontal="center" vertic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27" xfId="0" applyFont="1" applyFill="1" applyBorder="1" applyAlignment="1">
      <alignment horizontal="center" vertical="center" wrapText="1" readingOrder="1"/>
    </xf>
    <xf numFmtId="0" fontId="39" fillId="15" borderId="28" xfId="0" applyFont="1" applyFill="1" applyBorder="1" applyAlignment="1">
      <alignment horizontal="center" vertical="center" wrapText="1" readingOrder="1"/>
    </xf>
    <xf numFmtId="0" fontId="39" fillId="15" borderId="39" xfId="0" applyFont="1" applyFill="1" applyBorder="1" applyAlignment="1">
      <alignment horizontal="center" vertical="center" wrapText="1" readingOrder="1"/>
    </xf>
    <xf numFmtId="0" fontId="34" fillId="3" borderId="0" xfId="0" applyFont="1" applyFill="1" applyAlignment="1">
      <alignment horizontal="justify" vertical="center" wrapText="1"/>
    </xf>
    <xf numFmtId="0" fontId="36" fillId="15" borderId="36" xfId="0" applyFont="1" applyFill="1" applyBorder="1" applyAlignment="1">
      <alignment horizontal="center" vertical="center" wrapText="1" readingOrder="1"/>
    </xf>
    <xf numFmtId="0" fontId="36" fillId="15"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29" xfId="0" applyFont="1" applyFill="1" applyBorder="1" applyAlignment="1">
      <alignment horizontal="center" vertical="center" wrapText="1" readingOrder="1"/>
    </xf>
    <xf numFmtId="0" fontId="36" fillId="3" borderId="26" xfId="0" applyFont="1" applyFill="1" applyBorder="1" applyAlignment="1">
      <alignment horizontal="center" vertical="center" wrapText="1" readingOrder="1"/>
    </xf>
    <xf numFmtId="0" fontId="36" fillId="3" borderId="25" xfId="0" applyFont="1" applyFill="1" applyBorder="1" applyAlignment="1">
      <alignment horizontal="center" vertical="center" wrapText="1" readingOrder="1"/>
    </xf>
    <xf numFmtId="0" fontId="36" fillId="3" borderId="31" xfId="0" applyFont="1" applyFill="1" applyBorder="1" applyAlignment="1">
      <alignment horizontal="center" vertical="center" wrapText="1" readingOrder="1"/>
    </xf>
    <xf numFmtId="0" fontId="36" fillId="3" borderId="32" xfId="0" applyFont="1" applyFill="1" applyBorder="1" applyAlignment="1">
      <alignment horizontal="center" vertical="center" wrapText="1" readingOrder="1"/>
    </xf>
    <xf numFmtId="10" fontId="61" fillId="0" borderId="2" xfId="0" applyNumberFormat="1" applyFont="1" applyBorder="1" applyAlignment="1" applyProtection="1">
      <alignment horizontal="center"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621">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1" defaultTableStyle="TableStyleMedium2" defaultPivotStyle="PivotStyleLight16">
    <tableStyle name="Invisible" pivot="0" table="0" count="0" xr9:uid="{00000000-0011-0000-FFFF-FFFF00000000}"/>
  </tableStyles>
  <colors>
    <mruColors>
      <color rgb="FFFF9900"/>
      <color rgb="FFFFFF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ujo6\Downloads\Mapa_riesgos_Ejec_Proy_2024_Propuesta_SG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620" dataDxfId="619">
  <autoFilter ref="B209:C219" xr:uid="{00000000-0009-0000-0100-000001000000}"/>
  <tableColumns count="2">
    <tableColumn id="1" xr3:uid="{00000000-0010-0000-0000-000001000000}" name="Criterios" dataDxfId="618"/>
    <tableColumn id="2" xr3:uid="{00000000-0010-0000-0000-000002000000}" name="Subcriterios" dataDxfId="617"/>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B37" zoomScale="110" zoomScaleNormal="110" workbookViewId="0">
      <selection activeCell="B43" sqref="B43:H43"/>
    </sheetView>
  </sheetViews>
  <sheetFormatPr baseColWidth="10" defaultColWidth="11.42578125" defaultRowHeight="15" x14ac:dyDescent="0.25"/>
  <cols>
    <col min="1" max="1" width="2.85546875" style="38" customWidth="1"/>
    <col min="2" max="3" width="24.5703125" style="38" customWidth="1"/>
    <col min="4" max="4" width="16" style="38" customWidth="1"/>
    <col min="5" max="5" width="24.5703125" style="38" customWidth="1"/>
    <col min="6" max="6" width="27.5703125" style="38" customWidth="1"/>
    <col min="7" max="8" width="24.5703125" style="38" customWidth="1"/>
    <col min="9" max="16384" width="11.42578125" style="38"/>
  </cols>
  <sheetData>
    <row r="1" spans="2:8" ht="15.75" thickBot="1" x14ac:dyDescent="0.3"/>
    <row r="2" spans="2:8" ht="18" x14ac:dyDescent="0.25">
      <c r="B2" s="240" t="s">
        <v>140</v>
      </c>
      <c r="C2" s="241"/>
      <c r="D2" s="241"/>
      <c r="E2" s="241"/>
      <c r="F2" s="241"/>
      <c r="G2" s="241"/>
      <c r="H2" s="242"/>
    </row>
    <row r="3" spans="2:8" x14ac:dyDescent="0.25">
      <c r="B3" s="39"/>
      <c r="C3" s="40"/>
      <c r="D3" s="40"/>
      <c r="E3" s="40"/>
      <c r="F3" s="40"/>
      <c r="G3" s="40"/>
      <c r="H3" s="41"/>
    </row>
    <row r="4" spans="2:8" ht="63" customHeight="1" x14ac:dyDescent="0.25">
      <c r="B4" s="243" t="s">
        <v>183</v>
      </c>
      <c r="C4" s="244"/>
      <c r="D4" s="244"/>
      <c r="E4" s="244"/>
      <c r="F4" s="244"/>
      <c r="G4" s="244"/>
      <c r="H4" s="245"/>
    </row>
    <row r="5" spans="2:8" ht="63" customHeight="1" x14ac:dyDescent="0.25">
      <c r="B5" s="246"/>
      <c r="C5" s="247"/>
      <c r="D5" s="247"/>
      <c r="E5" s="247"/>
      <c r="F5" s="247"/>
      <c r="G5" s="247"/>
      <c r="H5" s="248"/>
    </row>
    <row r="6" spans="2:8" ht="16.5" x14ac:dyDescent="0.25">
      <c r="B6" s="249" t="s">
        <v>138</v>
      </c>
      <c r="C6" s="250"/>
      <c r="D6" s="250"/>
      <c r="E6" s="250"/>
      <c r="F6" s="250"/>
      <c r="G6" s="250"/>
      <c r="H6" s="251"/>
    </row>
    <row r="7" spans="2:8" ht="95.25" customHeight="1" x14ac:dyDescent="0.25">
      <c r="B7" s="259" t="s">
        <v>143</v>
      </c>
      <c r="C7" s="260"/>
      <c r="D7" s="260"/>
      <c r="E7" s="260"/>
      <c r="F7" s="260"/>
      <c r="G7" s="260"/>
      <c r="H7" s="261"/>
    </row>
    <row r="8" spans="2:8" ht="16.5" x14ac:dyDescent="0.25">
      <c r="B8" s="75"/>
      <c r="C8" s="76"/>
      <c r="D8" s="76"/>
      <c r="E8" s="76"/>
      <c r="F8" s="76"/>
      <c r="G8" s="76"/>
      <c r="H8" s="77"/>
    </row>
    <row r="9" spans="2:8" ht="16.5" customHeight="1" x14ac:dyDescent="0.25">
      <c r="B9" s="252" t="s">
        <v>176</v>
      </c>
      <c r="C9" s="253"/>
      <c r="D9" s="253"/>
      <c r="E9" s="253"/>
      <c r="F9" s="253"/>
      <c r="G9" s="253"/>
      <c r="H9" s="254"/>
    </row>
    <row r="10" spans="2:8" ht="44.25" customHeight="1" x14ac:dyDescent="0.25">
      <c r="B10" s="252"/>
      <c r="C10" s="253"/>
      <c r="D10" s="253"/>
      <c r="E10" s="253"/>
      <c r="F10" s="253"/>
      <c r="G10" s="253"/>
      <c r="H10" s="254"/>
    </row>
    <row r="11" spans="2:8" ht="15.75" thickBot="1" x14ac:dyDescent="0.3">
      <c r="B11" s="64"/>
      <c r="C11" s="67"/>
      <c r="D11" s="72"/>
      <c r="E11" s="73"/>
      <c r="F11" s="73"/>
      <c r="G11" s="74"/>
      <c r="H11" s="68"/>
    </row>
    <row r="12" spans="2:8" ht="15.75" thickTop="1" x14ac:dyDescent="0.25">
      <c r="B12" s="64"/>
      <c r="C12" s="255" t="s">
        <v>139</v>
      </c>
      <c r="D12" s="256"/>
      <c r="E12" s="257" t="s">
        <v>177</v>
      </c>
      <c r="F12" s="258"/>
      <c r="G12" s="67"/>
      <c r="H12" s="68"/>
    </row>
    <row r="13" spans="2:8" ht="35.25" customHeight="1" x14ac:dyDescent="0.25">
      <c r="B13" s="64"/>
      <c r="C13" s="227" t="s">
        <v>170</v>
      </c>
      <c r="D13" s="228"/>
      <c r="E13" s="229" t="s">
        <v>175</v>
      </c>
      <c r="F13" s="230"/>
      <c r="G13" s="67"/>
      <c r="H13" s="68"/>
    </row>
    <row r="14" spans="2:8" ht="17.25" customHeight="1" x14ac:dyDescent="0.25">
      <c r="B14" s="64"/>
      <c r="C14" s="227" t="s">
        <v>171</v>
      </c>
      <c r="D14" s="228"/>
      <c r="E14" s="229" t="s">
        <v>173</v>
      </c>
      <c r="F14" s="230"/>
      <c r="G14" s="67"/>
      <c r="H14" s="68"/>
    </row>
    <row r="15" spans="2:8" ht="19.5" customHeight="1" x14ac:dyDescent="0.25">
      <c r="B15" s="64"/>
      <c r="C15" s="227" t="s">
        <v>172</v>
      </c>
      <c r="D15" s="228"/>
      <c r="E15" s="229" t="s">
        <v>174</v>
      </c>
      <c r="F15" s="230"/>
      <c r="G15" s="67"/>
      <c r="H15" s="68"/>
    </row>
    <row r="16" spans="2:8" ht="69.75" customHeight="1" x14ac:dyDescent="0.25">
      <c r="B16" s="64"/>
      <c r="C16" s="227" t="s">
        <v>141</v>
      </c>
      <c r="D16" s="228"/>
      <c r="E16" s="229" t="s">
        <v>142</v>
      </c>
      <c r="F16" s="230"/>
      <c r="G16" s="67"/>
      <c r="H16" s="68"/>
    </row>
    <row r="17" spans="2:8" ht="34.5" customHeight="1" x14ac:dyDescent="0.25">
      <c r="B17" s="64"/>
      <c r="C17" s="231" t="s">
        <v>2</v>
      </c>
      <c r="D17" s="232"/>
      <c r="E17" s="223" t="s">
        <v>184</v>
      </c>
      <c r="F17" s="224"/>
      <c r="G17" s="67"/>
      <c r="H17" s="68"/>
    </row>
    <row r="18" spans="2:8" ht="27.75" customHeight="1" x14ac:dyDescent="0.25">
      <c r="B18" s="64"/>
      <c r="C18" s="231" t="s">
        <v>3</v>
      </c>
      <c r="D18" s="232"/>
      <c r="E18" s="223" t="s">
        <v>185</v>
      </c>
      <c r="F18" s="224"/>
      <c r="G18" s="67"/>
      <c r="H18" s="68"/>
    </row>
    <row r="19" spans="2:8" ht="28.5" customHeight="1" x14ac:dyDescent="0.25">
      <c r="B19" s="64"/>
      <c r="C19" s="231" t="s">
        <v>38</v>
      </c>
      <c r="D19" s="232"/>
      <c r="E19" s="223" t="s">
        <v>186</v>
      </c>
      <c r="F19" s="224"/>
      <c r="G19" s="67"/>
      <c r="H19" s="68"/>
    </row>
    <row r="20" spans="2:8" ht="72.75" customHeight="1" x14ac:dyDescent="0.25">
      <c r="B20" s="64"/>
      <c r="C20" s="231" t="s">
        <v>1</v>
      </c>
      <c r="D20" s="232"/>
      <c r="E20" s="223" t="s">
        <v>187</v>
      </c>
      <c r="F20" s="224"/>
      <c r="G20" s="67"/>
      <c r="H20" s="68"/>
    </row>
    <row r="21" spans="2:8" ht="64.5" customHeight="1" x14ac:dyDescent="0.25">
      <c r="B21" s="64"/>
      <c r="C21" s="231" t="s">
        <v>44</v>
      </c>
      <c r="D21" s="232"/>
      <c r="E21" s="223" t="s">
        <v>145</v>
      </c>
      <c r="F21" s="224"/>
      <c r="G21" s="67"/>
      <c r="H21" s="68"/>
    </row>
    <row r="22" spans="2:8" ht="71.25" customHeight="1" x14ac:dyDescent="0.25">
      <c r="B22" s="64"/>
      <c r="C22" s="231" t="s">
        <v>144</v>
      </c>
      <c r="D22" s="232"/>
      <c r="E22" s="223" t="s">
        <v>146</v>
      </c>
      <c r="F22" s="224"/>
      <c r="G22" s="67"/>
      <c r="H22" s="68"/>
    </row>
    <row r="23" spans="2:8" ht="55.5" customHeight="1" x14ac:dyDescent="0.25">
      <c r="B23" s="64"/>
      <c r="C23" s="225" t="s">
        <v>147</v>
      </c>
      <c r="D23" s="226"/>
      <c r="E23" s="223" t="s">
        <v>148</v>
      </c>
      <c r="F23" s="224"/>
      <c r="G23" s="67"/>
      <c r="H23" s="68"/>
    </row>
    <row r="24" spans="2:8" ht="42" customHeight="1" x14ac:dyDescent="0.25">
      <c r="B24" s="64"/>
      <c r="C24" s="225" t="s">
        <v>42</v>
      </c>
      <c r="D24" s="226"/>
      <c r="E24" s="223" t="s">
        <v>149</v>
      </c>
      <c r="F24" s="224"/>
      <c r="G24" s="67"/>
      <c r="H24" s="68"/>
    </row>
    <row r="25" spans="2:8" ht="59.25" customHeight="1" x14ac:dyDescent="0.25">
      <c r="B25" s="64"/>
      <c r="C25" s="225" t="s">
        <v>137</v>
      </c>
      <c r="D25" s="226"/>
      <c r="E25" s="223" t="s">
        <v>150</v>
      </c>
      <c r="F25" s="224"/>
      <c r="G25" s="67"/>
      <c r="H25" s="68"/>
    </row>
    <row r="26" spans="2:8" ht="23.25" customHeight="1" x14ac:dyDescent="0.25">
      <c r="B26" s="64"/>
      <c r="C26" s="225" t="s">
        <v>12</v>
      </c>
      <c r="D26" s="226"/>
      <c r="E26" s="223" t="s">
        <v>151</v>
      </c>
      <c r="F26" s="224"/>
      <c r="G26" s="67"/>
      <c r="H26" s="68"/>
    </row>
    <row r="27" spans="2:8" ht="30.75" customHeight="1" x14ac:dyDescent="0.25">
      <c r="B27" s="64"/>
      <c r="C27" s="225" t="s">
        <v>155</v>
      </c>
      <c r="D27" s="226"/>
      <c r="E27" s="223" t="s">
        <v>152</v>
      </c>
      <c r="F27" s="224"/>
      <c r="G27" s="67"/>
      <c r="H27" s="68"/>
    </row>
    <row r="28" spans="2:8" ht="35.25" customHeight="1" x14ac:dyDescent="0.25">
      <c r="B28" s="64"/>
      <c r="C28" s="225" t="s">
        <v>156</v>
      </c>
      <c r="D28" s="226"/>
      <c r="E28" s="223" t="s">
        <v>153</v>
      </c>
      <c r="F28" s="224"/>
      <c r="G28" s="67"/>
      <c r="H28" s="68"/>
    </row>
    <row r="29" spans="2:8" ht="33" customHeight="1" x14ac:dyDescent="0.25">
      <c r="B29" s="64"/>
      <c r="C29" s="225" t="s">
        <v>156</v>
      </c>
      <c r="D29" s="226"/>
      <c r="E29" s="223" t="s">
        <v>153</v>
      </c>
      <c r="F29" s="224"/>
      <c r="G29" s="67"/>
      <c r="H29" s="68"/>
    </row>
    <row r="30" spans="2:8" ht="30" customHeight="1" x14ac:dyDescent="0.25">
      <c r="B30" s="64"/>
      <c r="C30" s="225" t="s">
        <v>157</v>
      </c>
      <c r="D30" s="226"/>
      <c r="E30" s="223" t="s">
        <v>154</v>
      </c>
      <c r="F30" s="224"/>
      <c r="G30" s="67"/>
      <c r="H30" s="68"/>
    </row>
    <row r="31" spans="2:8" ht="35.25" customHeight="1" x14ac:dyDescent="0.25">
      <c r="B31" s="64"/>
      <c r="C31" s="225" t="s">
        <v>158</v>
      </c>
      <c r="D31" s="226"/>
      <c r="E31" s="223" t="s">
        <v>159</v>
      </c>
      <c r="F31" s="224"/>
      <c r="G31" s="67"/>
      <c r="H31" s="68"/>
    </row>
    <row r="32" spans="2:8" ht="31.5" customHeight="1" x14ac:dyDescent="0.25">
      <c r="B32" s="64"/>
      <c r="C32" s="225" t="s">
        <v>160</v>
      </c>
      <c r="D32" s="226"/>
      <c r="E32" s="223" t="s">
        <v>161</v>
      </c>
      <c r="F32" s="224"/>
      <c r="G32" s="67"/>
      <c r="H32" s="68"/>
    </row>
    <row r="33" spans="2:8" ht="35.25" customHeight="1" x14ac:dyDescent="0.25">
      <c r="B33" s="64"/>
      <c r="C33" s="225" t="s">
        <v>162</v>
      </c>
      <c r="D33" s="226"/>
      <c r="E33" s="223" t="s">
        <v>163</v>
      </c>
      <c r="F33" s="224"/>
      <c r="G33" s="67"/>
      <c r="H33" s="68"/>
    </row>
    <row r="34" spans="2:8" ht="59.25" customHeight="1" x14ac:dyDescent="0.25">
      <c r="B34" s="64"/>
      <c r="C34" s="225" t="s">
        <v>164</v>
      </c>
      <c r="D34" s="226"/>
      <c r="E34" s="223" t="s">
        <v>165</v>
      </c>
      <c r="F34" s="224"/>
      <c r="G34" s="67"/>
      <c r="H34" s="68"/>
    </row>
    <row r="35" spans="2:8" ht="29.25" customHeight="1" x14ac:dyDescent="0.25">
      <c r="B35" s="64"/>
      <c r="C35" s="225" t="s">
        <v>29</v>
      </c>
      <c r="D35" s="226"/>
      <c r="E35" s="223" t="s">
        <v>166</v>
      </c>
      <c r="F35" s="224"/>
      <c r="G35" s="67"/>
      <c r="H35" s="68"/>
    </row>
    <row r="36" spans="2:8" ht="82.5" customHeight="1" x14ac:dyDescent="0.25">
      <c r="B36" s="64"/>
      <c r="C36" s="225" t="s">
        <v>168</v>
      </c>
      <c r="D36" s="226"/>
      <c r="E36" s="223" t="s">
        <v>167</v>
      </c>
      <c r="F36" s="224"/>
      <c r="G36" s="67"/>
      <c r="H36" s="68"/>
    </row>
    <row r="37" spans="2:8" ht="46.5" customHeight="1" x14ac:dyDescent="0.25">
      <c r="B37" s="64"/>
      <c r="C37" s="225" t="s">
        <v>35</v>
      </c>
      <c r="D37" s="226"/>
      <c r="E37" s="223" t="s">
        <v>169</v>
      </c>
      <c r="F37" s="224"/>
      <c r="G37" s="67"/>
      <c r="H37" s="68"/>
    </row>
    <row r="38" spans="2:8" ht="6.75" customHeight="1" thickBot="1" x14ac:dyDescent="0.3">
      <c r="B38" s="64"/>
      <c r="C38" s="236"/>
      <c r="D38" s="237"/>
      <c r="E38" s="238"/>
      <c r="F38" s="239"/>
      <c r="G38" s="67"/>
      <c r="H38" s="68"/>
    </row>
    <row r="39" spans="2:8" ht="15.75" thickTop="1" x14ac:dyDescent="0.25">
      <c r="B39" s="64"/>
      <c r="C39" s="65"/>
      <c r="D39" s="65"/>
      <c r="E39" s="66"/>
      <c r="F39" s="66"/>
      <c r="G39" s="67"/>
      <c r="H39" s="68"/>
    </row>
    <row r="40" spans="2:8" ht="21" customHeight="1" x14ac:dyDescent="0.25">
      <c r="B40" s="233" t="s">
        <v>178</v>
      </c>
      <c r="C40" s="234"/>
      <c r="D40" s="234"/>
      <c r="E40" s="234"/>
      <c r="F40" s="234"/>
      <c r="G40" s="234"/>
      <c r="H40" s="235"/>
    </row>
    <row r="41" spans="2:8" ht="20.25" customHeight="1" x14ac:dyDescent="0.25">
      <c r="B41" s="233" t="s">
        <v>179</v>
      </c>
      <c r="C41" s="234"/>
      <c r="D41" s="234"/>
      <c r="E41" s="234"/>
      <c r="F41" s="234"/>
      <c r="G41" s="234"/>
      <c r="H41" s="235"/>
    </row>
    <row r="42" spans="2:8" ht="20.25" customHeight="1" x14ac:dyDescent="0.25">
      <c r="B42" s="233" t="s">
        <v>180</v>
      </c>
      <c r="C42" s="234"/>
      <c r="D42" s="234"/>
      <c r="E42" s="234"/>
      <c r="F42" s="234"/>
      <c r="G42" s="234"/>
      <c r="H42" s="235"/>
    </row>
    <row r="43" spans="2:8" ht="20.25" customHeight="1" x14ac:dyDescent="0.25">
      <c r="B43" s="233" t="s">
        <v>181</v>
      </c>
      <c r="C43" s="234"/>
      <c r="D43" s="234"/>
      <c r="E43" s="234"/>
      <c r="F43" s="234"/>
      <c r="G43" s="234"/>
      <c r="H43" s="235"/>
    </row>
    <row r="44" spans="2:8" x14ac:dyDescent="0.25">
      <c r="B44" s="233" t="s">
        <v>182</v>
      </c>
      <c r="C44" s="234"/>
      <c r="D44" s="234"/>
      <c r="E44" s="234"/>
      <c r="F44" s="234"/>
      <c r="G44" s="234"/>
      <c r="H44" s="235"/>
    </row>
    <row r="45" spans="2:8" ht="15.75" thickBot="1" x14ac:dyDescent="0.3">
      <c r="B45" s="69"/>
      <c r="C45" s="70"/>
      <c r="D45" s="70"/>
      <c r="E45" s="70"/>
      <c r="F45" s="70"/>
      <c r="G45" s="70"/>
      <c r="H45" s="71"/>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18"/>
  <sheetViews>
    <sheetView topLeftCell="A202" zoomScale="70" zoomScaleNormal="70" workbookViewId="0">
      <selection activeCell="P237" sqref="P237"/>
    </sheetView>
  </sheetViews>
  <sheetFormatPr baseColWidth="10" defaultRowHeight="15" x14ac:dyDescent="0.25"/>
  <cols>
    <col min="2" max="9" width="5.570312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5703125" customWidth="1"/>
    <col min="26" max="31" width="5.5703125" customWidth="1"/>
  </cols>
  <sheetData>
    <row r="1" spans="1:76" x14ac:dyDescent="0.25">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row>
    <row r="2" spans="1:76" ht="18" customHeight="1" x14ac:dyDescent="0.25">
      <c r="A2" s="38"/>
      <c r="B2" s="285" t="s">
        <v>134</v>
      </c>
      <c r="C2" s="286"/>
      <c r="D2" s="286"/>
      <c r="E2" s="286"/>
      <c r="F2" s="286"/>
      <c r="G2" s="286"/>
      <c r="H2" s="286"/>
      <c r="I2" s="286"/>
      <c r="J2" s="287" t="s">
        <v>2</v>
      </c>
      <c r="K2" s="287"/>
      <c r="L2" s="287"/>
      <c r="M2" s="287"/>
      <c r="N2" s="287"/>
      <c r="O2" s="287"/>
      <c r="P2" s="287"/>
      <c r="Q2" s="287"/>
      <c r="R2" s="287"/>
      <c r="S2" s="287"/>
      <c r="T2" s="287"/>
      <c r="U2" s="287"/>
      <c r="V2" s="287"/>
      <c r="W2" s="287"/>
      <c r="X2" s="287"/>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row>
    <row r="3" spans="1:76" ht="18.75" customHeight="1" x14ac:dyDescent="0.25">
      <c r="A3" s="38"/>
      <c r="B3" s="286"/>
      <c r="C3" s="286"/>
      <c r="D3" s="286"/>
      <c r="E3" s="286"/>
      <c r="F3" s="286"/>
      <c r="G3" s="286"/>
      <c r="H3" s="286"/>
      <c r="I3" s="286"/>
      <c r="J3" s="287"/>
      <c r="K3" s="287"/>
      <c r="L3" s="287"/>
      <c r="M3" s="287"/>
      <c r="N3" s="287"/>
      <c r="O3" s="287"/>
      <c r="P3" s="287"/>
      <c r="Q3" s="287"/>
      <c r="R3" s="287"/>
      <c r="S3" s="287"/>
      <c r="T3" s="287"/>
      <c r="U3" s="287"/>
      <c r="V3" s="287"/>
      <c r="W3" s="287"/>
      <c r="X3" s="287"/>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row>
    <row r="4" spans="1:76" ht="15" customHeight="1" x14ac:dyDescent="0.25">
      <c r="A4" s="38"/>
      <c r="B4" s="286"/>
      <c r="C4" s="286"/>
      <c r="D4" s="286"/>
      <c r="E4" s="286"/>
      <c r="F4" s="286"/>
      <c r="G4" s="286"/>
      <c r="H4" s="286"/>
      <c r="I4" s="286"/>
      <c r="J4" s="287"/>
      <c r="K4" s="287"/>
      <c r="L4" s="287"/>
      <c r="M4" s="287"/>
      <c r="N4" s="287"/>
      <c r="O4" s="287"/>
      <c r="P4" s="287"/>
      <c r="Q4" s="287"/>
      <c r="R4" s="287"/>
      <c r="S4" s="287"/>
      <c r="T4" s="287"/>
      <c r="U4" s="287"/>
      <c r="V4" s="287"/>
      <c r="W4" s="287"/>
      <c r="X4" s="287"/>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row>
    <row r="5" spans="1:76" ht="15.75" thickBot="1" x14ac:dyDescent="0.3">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row>
    <row r="6" spans="1:76" ht="15" customHeight="1" x14ac:dyDescent="0.25">
      <c r="A6" s="38"/>
      <c r="B6" s="288" t="s">
        <v>4</v>
      </c>
      <c r="C6" s="289"/>
      <c r="D6" s="290"/>
      <c r="E6" s="271" t="s">
        <v>107</v>
      </c>
      <c r="F6" s="272"/>
      <c r="G6" s="272"/>
      <c r="H6" s="272"/>
      <c r="I6" s="272"/>
      <c r="J6" s="80" t="str">
        <f>IF(AND('Mapa final'!$AB$7="Muy Alta",'Mapa final'!$AD$7="Leve"),CONCATENATE("R1C",'Mapa final'!$R$7),"")</f>
        <v/>
      </c>
      <c r="K6" s="81" t="str">
        <f>IF(AND('Mapa final'!$AB$8="Muy Alta",'Mapa final'!$AD$8="Leve"),CONCATENATE("R1C",'Mapa final'!$R$8),"")</f>
        <v/>
      </c>
      <c r="L6" s="82" t="str">
        <f>IF(AND('Mapa final'!$AB$9="Muy Alta",'Mapa final'!$AD$9="Leve"),CONCATENATE("R1C",'Mapa final'!$R$9),"")</f>
        <v/>
      </c>
      <c r="M6" s="80" t="str">
        <f>IF(AND('Mapa final'!$AB$7="Muy Alta",'Mapa final'!$AD$7="Menor"),CONCATENATE("R1C",'Mapa final'!$R$7),"")</f>
        <v/>
      </c>
      <c r="N6" s="81" t="str">
        <f>IF(AND('Mapa final'!$AB$8="Muy Alta",'Mapa final'!$AD$8="Menor"),CONCATENATE("R1C",'Mapa final'!$R$8),"")</f>
        <v/>
      </c>
      <c r="O6" s="82" t="str">
        <f>IF(AND('Mapa final'!$AB$9="Muy Alta",'Mapa final'!$AD$9="Menor"),CONCATENATE("R1C",'Mapa final'!$R$9),"")</f>
        <v/>
      </c>
      <c r="P6" s="80" t="str">
        <f>IF(AND('Mapa final'!$AB$7="Muy Alta",'Mapa final'!$AD$7="Moderado"),CONCATENATE("R1C",'Mapa final'!$R$7),"")</f>
        <v/>
      </c>
      <c r="Q6" s="81" t="str">
        <f>IF(AND('Mapa final'!$AB$8="Muy Alta",'Mapa final'!$AD$8="Moderado"),CONCATENATE("R1C",'Mapa final'!$R$8),"")</f>
        <v/>
      </c>
      <c r="R6" s="82" t="str">
        <f>IF(AND('Mapa final'!$AB$9="Muy Alta",'Mapa final'!$AD$9="Moderado"),CONCATENATE("R1C",'Mapa final'!$R$9),"")</f>
        <v/>
      </c>
      <c r="S6" s="80" t="str">
        <f>IF(AND('Mapa final'!$AB$7="Muy Alta",'Mapa final'!$AD$7="Mayor"),CONCATENATE("R1C",'Mapa final'!$R$7),"")</f>
        <v/>
      </c>
      <c r="T6" s="81" t="str">
        <f>IF(AND('Mapa final'!$AB$8="Muy Alta",'Mapa final'!$AD$8="Mayor"),CONCATENATE("R1C",'Mapa final'!$R$8),"")</f>
        <v/>
      </c>
      <c r="U6" s="82" t="str">
        <f>IF(AND('Mapa final'!$AB$9="Muy Alta",'Mapa final'!$AD$9="Mayor"),CONCATENATE("R1C",'Mapa final'!$R$9),"")</f>
        <v/>
      </c>
      <c r="V6" s="155" t="str">
        <f>IF(AND('Mapa final'!$AB$7="Muy Alta",'Mapa final'!$AD$7="Catastrófico"),CONCATENATE("R1C",'Mapa final'!$R$7),"")</f>
        <v/>
      </c>
      <c r="W6" s="156" t="str">
        <f>IF(AND('Mapa final'!$AB$8="Muy Alta",'Mapa final'!$AD$8="Catastrófico"),CONCATENATE("R1C",'Mapa final'!$R$8),"")</f>
        <v/>
      </c>
      <c r="X6" s="157" t="str">
        <f>IF(AND('Mapa final'!$AB$9="Muy Alta",'Mapa final'!$AD$9="Catastrófico"),CONCATENATE("R1C",'Mapa final'!$R$9),"")</f>
        <v/>
      </c>
      <c r="Y6" s="38"/>
      <c r="Z6" s="276" t="s">
        <v>73</v>
      </c>
      <c r="AA6" s="277"/>
      <c r="AB6" s="277"/>
      <c r="AC6" s="277"/>
      <c r="AD6" s="277"/>
      <c r="AE6" s="27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76" ht="15" customHeight="1" x14ac:dyDescent="0.25">
      <c r="A7" s="38"/>
      <c r="B7" s="291"/>
      <c r="C7" s="292"/>
      <c r="D7" s="293"/>
      <c r="E7" s="275"/>
      <c r="F7" s="274"/>
      <c r="G7" s="274"/>
      <c r="H7" s="274"/>
      <c r="I7" s="274"/>
      <c r="J7" s="83" t="str">
        <f>IF(AND('Mapa final'!$AB$10="Muy Alta",'Mapa final'!$AD$10="Leve"),CONCATENATE("R2C",'Mapa final'!$R$10),"")</f>
        <v/>
      </c>
      <c r="K7" s="188" t="str">
        <f>IF(AND('Mapa final'!$AB$11="Muy Alta",'Mapa final'!$AD$11="Leve"),CONCATENATE("R2C",'Mapa final'!$R$11),"")</f>
        <v/>
      </c>
      <c r="L7" s="84" t="str">
        <f>IF(AND('Mapa final'!$AB$12="Muy Alta",'Mapa final'!$AD$12="Leve"),CONCATENATE("R2C",'Mapa final'!$R$12),"")</f>
        <v/>
      </c>
      <c r="M7" s="83" t="str">
        <f>IF(AND('Mapa final'!$AB$10="Muy Alta",'Mapa final'!$AD$10="Menor"),CONCATENATE("R2C",'Mapa final'!$R$10),"")</f>
        <v/>
      </c>
      <c r="N7" s="188" t="str">
        <f>IF(AND('Mapa final'!$AB$11="Muy Alta",'Mapa final'!$AD$11="Menor"),CONCATENATE("R2C",'Mapa final'!$R$11),"")</f>
        <v/>
      </c>
      <c r="O7" s="84" t="str">
        <f>IF(AND('Mapa final'!$AB$12="Muy Alta",'Mapa final'!$AD$12="Menor"),CONCATENATE("R2C",'Mapa final'!$R$12),"")</f>
        <v/>
      </c>
      <c r="P7" s="83" t="str">
        <f>IF(AND('Mapa final'!$AB$10="Muy Alta",'Mapa final'!$AD$10="Moderado"),CONCATENATE("R2C",'Mapa final'!$R$10),"")</f>
        <v/>
      </c>
      <c r="Q7" s="188" t="str">
        <f>IF(AND('Mapa final'!$AB$11="Muy Alta",'Mapa final'!$AD$11="Moderado"),CONCATENATE("R2C",'Mapa final'!$R$11),"")</f>
        <v/>
      </c>
      <c r="R7" s="84" t="str">
        <f>IF(AND('Mapa final'!$AB$12="Muy Alta",'Mapa final'!$AD$12="Moderado"),CONCATENATE("R2C",'Mapa final'!$R$12),"")</f>
        <v/>
      </c>
      <c r="S7" s="83" t="str">
        <f>IF(AND('Mapa final'!$AB$10="Muy Alta",'Mapa final'!$AD$10="Mayor"),CONCATENATE("R2C",'Mapa final'!$R$10),"")</f>
        <v/>
      </c>
      <c r="T7" s="188" t="str">
        <f>IF(AND('Mapa final'!$AB$11="Muy Alta",'Mapa final'!$AD$11="Mayor"),CONCATENATE("R2C",'Mapa final'!$R$11),"")</f>
        <v/>
      </c>
      <c r="U7" s="84" t="str">
        <f>IF(AND('Mapa final'!$AB$12="Muy Alta",'Mapa final'!$AD$12="Mayor"),CONCATENATE("R2C",'Mapa final'!$R$12),"")</f>
        <v/>
      </c>
      <c r="V7" s="158" t="str">
        <f>IF(AND('Mapa final'!$AB$10="Muy Alta",'Mapa final'!$AD$10="Catastrófico"),CONCATENATE("R2C",'Mapa final'!$R$10),"")</f>
        <v/>
      </c>
      <c r="W7" s="189" t="str">
        <f>IF(AND('Mapa final'!$AB$11="Muy Alta",'Mapa final'!$AD$11="Catastrófico"),CONCATENATE("R2C",'Mapa final'!$R$11),"")</f>
        <v/>
      </c>
      <c r="X7" s="159" t="str">
        <f>IF(AND('Mapa final'!$AB$12="Muy Alta",'Mapa final'!$AD$12="Catastrófico"),CONCATENATE("R2C",'Mapa final'!$R$12),"")</f>
        <v/>
      </c>
      <c r="Y7" s="38"/>
      <c r="Z7" s="279"/>
      <c r="AA7" s="280"/>
      <c r="AB7" s="280"/>
      <c r="AC7" s="280"/>
      <c r="AD7" s="280"/>
      <c r="AE7" s="281"/>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76" ht="15" customHeight="1" x14ac:dyDescent="0.25">
      <c r="A8" s="38"/>
      <c r="B8" s="291"/>
      <c r="C8" s="292"/>
      <c r="D8" s="293"/>
      <c r="E8" s="275"/>
      <c r="F8" s="274"/>
      <c r="G8" s="274"/>
      <c r="H8" s="274"/>
      <c r="I8" s="274"/>
      <c r="J8" s="83" t="str">
        <f>IF(AND('Mapa final'!$AB$13="Muy Alta",'Mapa final'!$AD$13="Leve"),CONCATENATE("R3C",'Mapa final'!$R$13),"")</f>
        <v/>
      </c>
      <c r="K8" s="188" t="str">
        <f>IF(AND('Mapa final'!$AB$14="Muy Alta",'Mapa final'!$AD$14="Leve"),CONCATENATE("R3C",'Mapa final'!$R$14),"")</f>
        <v/>
      </c>
      <c r="L8" s="84" t="str">
        <f>IF(AND('Mapa final'!$AB$15="Muy Alta",'Mapa final'!$AD$15="Leve"),CONCATENATE("R3C",'Mapa final'!$R$15),"")</f>
        <v/>
      </c>
      <c r="M8" s="83" t="str">
        <f>IF(AND('Mapa final'!$AB$13="Muy Alta",'Mapa final'!$AD$13="Menor"),CONCATENATE("R3C",'Mapa final'!$R$13),"")</f>
        <v/>
      </c>
      <c r="N8" s="188" t="str">
        <f>IF(AND('Mapa final'!$AB$14="Muy Alta",'Mapa final'!$AD$14="Menor"),CONCATENATE("R3C",'Mapa final'!$R$14),"")</f>
        <v/>
      </c>
      <c r="O8" s="84" t="str">
        <f>IF(AND('Mapa final'!$AB$15="Muy Alta",'Mapa final'!$AD$15="Menor"),CONCATENATE("R3C",'Mapa final'!$R$15),"")</f>
        <v/>
      </c>
      <c r="P8" s="83" t="str">
        <f>IF(AND('Mapa final'!$AB$13="Muy Alta",'Mapa final'!$AD$13="Moderado"),CONCATENATE("R3C",'Mapa final'!$R$13),"")</f>
        <v/>
      </c>
      <c r="Q8" s="188" t="str">
        <f>IF(AND('Mapa final'!$AB$14="Muy Alta",'Mapa final'!$AD$14="Moderado"),CONCATENATE("R3C",'Mapa final'!$R$14),"")</f>
        <v/>
      </c>
      <c r="R8" s="84" t="str">
        <f>IF(AND('Mapa final'!$AB$15="Muy Alta",'Mapa final'!$AD$15="Moderado"),CONCATENATE("R3C",'Mapa final'!$R$15),"")</f>
        <v/>
      </c>
      <c r="S8" s="83" t="str">
        <f>IF(AND('Mapa final'!$AB$13="Muy Alta",'Mapa final'!$AD$13="Mayor"),CONCATENATE("R3C",'Mapa final'!$R$13),"")</f>
        <v/>
      </c>
      <c r="T8" s="188" t="str">
        <f>IF(AND('Mapa final'!$AB$14="Muy Alta",'Mapa final'!$AD$14="Mayor"),CONCATENATE("R3C",'Mapa final'!$R$14),"")</f>
        <v/>
      </c>
      <c r="U8" s="84" t="str">
        <f>IF(AND('Mapa final'!$AB$15="Muy Alta",'Mapa final'!$AD$15="Mayor"),CONCATENATE("R3C",'Mapa final'!$R$15),"")</f>
        <v/>
      </c>
      <c r="V8" s="158" t="str">
        <f>IF(AND('Mapa final'!$AB$13="Muy Alta",'Mapa final'!$AD$13="Catastrófico"),CONCATENATE("R3C",'Mapa final'!$R$13),"")</f>
        <v/>
      </c>
      <c r="W8" s="189" t="str">
        <f>IF(AND('Mapa final'!$AB$14="Muy Alta",'Mapa final'!$AD$14="Catastrófico"),CONCATENATE("R3C",'Mapa final'!$R$14),"")</f>
        <v/>
      </c>
      <c r="X8" s="159" t="str">
        <f>IF(AND('Mapa final'!$AB$15="Muy Alta",'Mapa final'!$AD$15="Catastrófico"),CONCATENATE("R3C",'Mapa final'!$R$15),"")</f>
        <v/>
      </c>
      <c r="Y8" s="38"/>
      <c r="Z8" s="279"/>
      <c r="AA8" s="280"/>
      <c r="AB8" s="280"/>
      <c r="AC8" s="280"/>
      <c r="AD8" s="280"/>
      <c r="AE8" s="281"/>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76" ht="15" customHeight="1" x14ac:dyDescent="0.25">
      <c r="A9" s="38"/>
      <c r="B9" s="291"/>
      <c r="C9" s="292"/>
      <c r="D9" s="293"/>
      <c r="E9" s="275"/>
      <c r="F9" s="274"/>
      <c r="G9" s="274"/>
      <c r="H9" s="274"/>
      <c r="I9" s="274"/>
      <c r="J9" s="83" t="str">
        <f>IF(AND('Mapa final'!$AB$16="Muy Alta",'Mapa final'!$AD$16="Leve"),CONCATENATE("R4C",'Mapa final'!$R$16),"")</f>
        <v/>
      </c>
      <c r="K9" s="188" t="str">
        <f>IF(AND('Mapa final'!$AB$17="Muy Alta",'Mapa final'!$AD$17="Leve"),CONCATENATE("R4C",'Mapa final'!$R$17),"")</f>
        <v/>
      </c>
      <c r="L9" s="84" t="str">
        <f>IF(AND('Mapa final'!$AB$18="Muy Alta",'Mapa final'!$AD$18="Leve"),CONCATENATE("R4C",'Mapa final'!$R$18),"")</f>
        <v/>
      </c>
      <c r="M9" s="83" t="str">
        <f>IF(AND('Mapa final'!$AB$16="Muy Alta",'Mapa final'!$AD$16="Menor"),CONCATENATE("R4C",'Mapa final'!$R$16),"")</f>
        <v/>
      </c>
      <c r="N9" s="188" t="str">
        <f>IF(AND('Mapa final'!$AB$17="Muy Alta",'Mapa final'!$AD$17="Menor"),CONCATENATE("R4C",'Mapa final'!$R$17),"")</f>
        <v/>
      </c>
      <c r="O9" s="84" t="str">
        <f>IF(AND('Mapa final'!$AB$18="Muy Alta",'Mapa final'!$AD$18="Menor"),CONCATENATE("R4C",'Mapa final'!$R$18),"")</f>
        <v/>
      </c>
      <c r="P9" s="83" t="str">
        <f>IF(AND('Mapa final'!$AB$16="Muy Alta",'Mapa final'!$AD$16="Moderado"),CONCATENATE("R4C",'Mapa final'!$R$16),"")</f>
        <v/>
      </c>
      <c r="Q9" s="188" t="str">
        <f>IF(AND('Mapa final'!$AB$17="Muy Alta",'Mapa final'!$AD$17="Moderado"),CONCATENATE("R4C",'Mapa final'!$R$17),"")</f>
        <v/>
      </c>
      <c r="R9" s="84" t="str">
        <f>IF(AND('Mapa final'!$AB$18="Muy Alta",'Mapa final'!$AD$18="Moderado"),CONCATENATE("R4C",'Mapa final'!$R$18),"")</f>
        <v/>
      </c>
      <c r="S9" s="83" t="str">
        <f>IF(AND('Mapa final'!$AB$16="Muy Alta",'Mapa final'!$AD$16="Mayor"),CONCATENATE("R4C",'Mapa final'!$R$16),"")</f>
        <v/>
      </c>
      <c r="T9" s="188" t="str">
        <f>IF(AND('Mapa final'!$AB$17="Muy Alta",'Mapa final'!$AD$17="Mayor"),CONCATENATE("R4C",'Mapa final'!$R$17),"")</f>
        <v/>
      </c>
      <c r="U9" s="84" t="str">
        <f>IF(AND('Mapa final'!$AB$18="Muy Alta",'Mapa final'!$AD$18="Mayor"),CONCATENATE("R4C",'Mapa final'!$R$18),"")</f>
        <v/>
      </c>
      <c r="V9" s="158" t="str">
        <f>IF(AND('Mapa final'!$AB$16="Muy Alta",'Mapa final'!$AD$16="Catastrófico"),CONCATENATE("R4C",'Mapa final'!$R$16),"")</f>
        <v/>
      </c>
      <c r="W9" s="189" t="str">
        <f>IF(AND('Mapa final'!$AB$17="Muy Alta",'Mapa final'!$AD$17="Catastrófico"),CONCATENATE("R4C",'Mapa final'!$R$17),"")</f>
        <v/>
      </c>
      <c r="X9" s="159" t="str">
        <f>IF(AND('Mapa final'!$AB$18="Muy Alta",'Mapa final'!$AD$18="Catastrófico"),CONCATENATE("R4C",'Mapa final'!$R$18),"")</f>
        <v/>
      </c>
      <c r="Y9" s="38"/>
      <c r="Z9" s="279"/>
      <c r="AA9" s="280"/>
      <c r="AB9" s="280"/>
      <c r="AC9" s="280"/>
      <c r="AD9" s="280"/>
      <c r="AE9" s="281"/>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76" ht="15" customHeight="1" x14ac:dyDescent="0.25">
      <c r="A10" s="38"/>
      <c r="B10" s="291"/>
      <c r="C10" s="292"/>
      <c r="D10" s="293"/>
      <c r="E10" s="275"/>
      <c r="F10" s="274"/>
      <c r="G10" s="274"/>
      <c r="H10" s="274"/>
      <c r="I10" s="274"/>
      <c r="J10" s="83" t="str">
        <f>IF(AND('Mapa final'!$AB$19="Muy Alta",'Mapa final'!$AD$19="Leve"),CONCATENATE("R5C",'Mapa final'!$R$19),"")</f>
        <v/>
      </c>
      <c r="K10" s="188" t="str">
        <f>IF(AND('Mapa final'!$AB$20="Muy Alta",'Mapa final'!$AD$20="Leve"),CONCATENATE("R5C",'Mapa final'!$R$20),"")</f>
        <v/>
      </c>
      <c r="L10" s="84" t="str">
        <f>IF(AND('Mapa final'!$AB$21="Muy Alta",'Mapa final'!$AD$21="Leve"),CONCATENATE("R5C",'Mapa final'!$R$21),"")</f>
        <v/>
      </c>
      <c r="M10" s="83" t="str">
        <f>IF(AND('Mapa final'!$AB$19="Muy Alta",'Mapa final'!$AD$19="Menor"),CONCATENATE("R5C",'Mapa final'!$R$19),"")</f>
        <v/>
      </c>
      <c r="N10" s="188" t="str">
        <f>IF(AND('Mapa final'!$AB$20="Muy Alta",'Mapa final'!$AD$20="Menor"),CONCATENATE("R5C",'Mapa final'!$R$20),"")</f>
        <v/>
      </c>
      <c r="O10" s="84" t="str">
        <f>IF(AND('Mapa final'!$AB$21="Muy Alta",'Mapa final'!$AD$21="Menor"),CONCATENATE("R5C",'Mapa final'!$R$21),"")</f>
        <v/>
      </c>
      <c r="P10" s="83" t="str">
        <f>IF(AND('Mapa final'!$AB$19="Muy Alta",'Mapa final'!$AD$19="Moderado"),CONCATENATE("R5C",'Mapa final'!$R$19),"")</f>
        <v/>
      </c>
      <c r="Q10" s="188" t="str">
        <f>IF(AND('Mapa final'!$AB$20="Muy Alta",'Mapa final'!$AD$20="Moderado"),CONCATENATE("R5C",'Mapa final'!$R$20),"")</f>
        <v/>
      </c>
      <c r="R10" s="84" t="str">
        <f>IF(AND('Mapa final'!$AB$21="Muy Alta",'Mapa final'!$AD$21="Moderado"),CONCATENATE("R5C",'Mapa final'!$R$21),"")</f>
        <v/>
      </c>
      <c r="S10" s="83" t="str">
        <f>IF(AND('Mapa final'!$AB$19="Muy Alta",'Mapa final'!$AD$19="Mayor"),CONCATENATE("R5C",'Mapa final'!$R$19),"")</f>
        <v/>
      </c>
      <c r="T10" s="188" t="str">
        <f>IF(AND('Mapa final'!$AB$20="Muy Alta",'Mapa final'!$AD$20="Mayor"),CONCATENATE("R5C",'Mapa final'!$R$20),"")</f>
        <v/>
      </c>
      <c r="U10" s="84" t="str">
        <f>IF(AND('Mapa final'!$AB$21="Muy Alta",'Mapa final'!$AD$21="Mayor"),CONCATENATE("R5C",'Mapa final'!$R$21),"")</f>
        <v/>
      </c>
      <c r="V10" s="158" t="str">
        <f>IF(AND('Mapa final'!$AB$19="Muy Alta",'Mapa final'!$AD$19="Catastrófico"),CONCATENATE("R5C",'Mapa final'!$R$19),"")</f>
        <v/>
      </c>
      <c r="W10" s="189" t="str">
        <f>IF(AND('Mapa final'!$AB$20="Muy Alta",'Mapa final'!$AD$20="Catastrófico"),CONCATENATE("R5C",'Mapa final'!$R$20),"")</f>
        <v/>
      </c>
      <c r="X10" s="159" t="str">
        <f>IF(AND('Mapa final'!$AB$21="Muy Alta",'Mapa final'!$AD$21="Catastrófico"),CONCATENATE("R5C",'Mapa final'!$R$21),"")</f>
        <v/>
      </c>
      <c r="Y10" s="38"/>
      <c r="Z10" s="279"/>
      <c r="AA10" s="280"/>
      <c r="AB10" s="280"/>
      <c r="AC10" s="280"/>
      <c r="AD10" s="280"/>
      <c r="AE10" s="281"/>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76" ht="15" customHeight="1" x14ac:dyDescent="0.25">
      <c r="A11" s="38"/>
      <c r="B11" s="291"/>
      <c r="C11" s="292"/>
      <c r="D11" s="293"/>
      <c r="E11" s="275"/>
      <c r="F11" s="274"/>
      <c r="G11" s="274"/>
      <c r="H11" s="274"/>
      <c r="I11" s="274"/>
      <c r="J11" s="83" t="str">
        <f>IF(AND('Mapa final'!$AB$22="Muy Alta",'Mapa final'!$AD$22="Leve"),CONCATENATE("R6C",'Mapa final'!$R$22),"")</f>
        <v/>
      </c>
      <c r="K11" s="188" t="str">
        <f>IF(AND('Mapa final'!$AB$23="Muy Alta",'Mapa final'!$AD$23="Leve"),CONCATENATE("R6C",'Mapa final'!$R$23),"")</f>
        <v/>
      </c>
      <c r="L11" s="84" t="str">
        <f>IF(AND('Mapa final'!$AB$24="Muy Alta",'Mapa final'!$AD$24="Leve"),CONCATENATE("R6C",'Mapa final'!$R$24),"")</f>
        <v/>
      </c>
      <c r="M11" s="83" t="str">
        <f>IF(AND('Mapa final'!$AB$22="Muy Alta",'Mapa final'!$AD$22="Menor"),CONCATENATE("R6C",'Mapa final'!$R$22),"")</f>
        <v/>
      </c>
      <c r="N11" s="188" t="str">
        <f>IF(AND('Mapa final'!$AB$23="Muy Alta",'Mapa final'!$AD$23="Menor"),CONCATENATE("R6C",'Mapa final'!$R$23),"")</f>
        <v/>
      </c>
      <c r="O11" s="84" t="str">
        <f>IF(AND('Mapa final'!$AB$24="Muy Alta",'Mapa final'!$AD$24="Menor"),CONCATENATE("R6C",'Mapa final'!$R$24),"")</f>
        <v/>
      </c>
      <c r="P11" s="83" t="str">
        <f>IF(AND('Mapa final'!$AB$22="Muy Alta",'Mapa final'!$AD$22="Moderado"),CONCATENATE("R6C",'Mapa final'!$R$22),"")</f>
        <v/>
      </c>
      <c r="Q11" s="188" t="str">
        <f>IF(AND('Mapa final'!$AB$23="Muy Alta",'Mapa final'!$AD$23="Moderado"),CONCATENATE("R6C",'Mapa final'!$R$23),"")</f>
        <v/>
      </c>
      <c r="R11" s="84" t="str">
        <f>IF(AND('Mapa final'!$AB$24="Muy Alta",'Mapa final'!$AD$24="Moderado"),CONCATENATE("R6C",'Mapa final'!$R$24),"")</f>
        <v/>
      </c>
      <c r="S11" s="83" t="str">
        <f>IF(AND('Mapa final'!$AB$22="Muy Alta",'Mapa final'!$AD$22="Mayor"),CONCATENATE("R6C",'Mapa final'!$R$22),"")</f>
        <v/>
      </c>
      <c r="T11" s="188" t="str">
        <f>IF(AND('Mapa final'!$AB$23="Muy Alta",'Mapa final'!$AD$23="Mayor"),CONCATENATE("R6C",'Mapa final'!$R$23),"")</f>
        <v/>
      </c>
      <c r="U11" s="84" t="str">
        <f>IF(AND('Mapa final'!$AB$24="Muy Alta",'Mapa final'!$AD$24="Mayor"),CONCATENATE("R6C",'Mapa final'!$R$24),"")</f>
        <v/>
      </c>
      <c r="V11" s="158" t="str">
        <f>IF(AND('Mapa final'!$AB$22="Muy Alta",'Mapa final'!$AD$22="Catastrófico"),CONCATENATE("R6C",'Mapa final'!$R$22),"")</f>
        <v/>
      </c>
      <c r="W11" s="189" t="str">
        <f>IF(AND('Mapa final'!$AB$23="Muy Alta",'Mapa final'!$AD$23="Catastrófico"),CONCATENATE("R6C",'Mapa final'!$R$23),"")</f>
        <v/>
      </c>
      <c r="X11" s="159" t="str">
        <f>IF(AND('Mapa final'!$AB$24="Muy Alta",'Mapa final'!$AD$24="Catastrófico"),CONCATENATE("R6C",'Mapa final'!$R$24),"")</f>
        <v/>
      </c>
      <c r="Y11" s="38"/>
      <c r="Z11" s="279"/>
      <c r="AA11" s="280"/>
      <c r="AB11" s="280"/>
      <c r="AC11" s="280"/>
      <c r="AD11" s="280"/>
      <c r="AE11" s="281"/>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76" ht="15" customHeight="1" x14ac:dyDescent="0.25">
      <c r="A12" s="38"/>
      <c r="B12" s="291"/>
      <c r="C12" s="292"/>
      <c r="D12" s="293"/>
      <c r="E12" s="275"/>
      <c r="F12" s="274"/>
      <c r="G12" s="274"/>
      <c r="H12" s="274"/>
      <c r="I12" s="274"/>
      <c r="J12" s="83" t="str">
        <f>IF(AND('Mapa final'!$AB$25="Muy Alta",'Mapa final'!$AD$25="Leve"),CONCATENATE("R7C",'Mapa final'!$R$25),"")</f>
        <v/>
      </c>
      <c r="K12" s="188" t="str">
        <f>IF(AND('Mapa final'!$AB$26="Muy Alta",'Mapa final'!$AD$26="Leve"),CONCATENATE("R7C",'Mapa final'!$R$26),"")</f>
        <v/>
      </c>
      <c r="L12" s="84" t="str">
        <f>IF(AND('Mapa final'!$AB$27="Muy Alta",'Mapa final'!$AD$27="Leve"),CONCATENATE("R7C",'Mapa final'!$R$27),"")</f>
        <v/>
      </c>
      <c r="M12" s="83" t="str">
        <f>IF(AND('Mapa final'!$AB$25="Muy Alta",'Mapa final'!$AD$25="Menor"),CONCATENATE("R7C",'Mapa final'!$R$25),"")</f>
        <v/>
      </c>
      <c r="N12" s="188" t="str">
        <f>IF(AND('Mapa final'!$AB$26="Muy Alta",'Mapa final'!$AD$26="Menor"),CONCATENATE("R7C",'Mapa final'!$R$26),"")</f>
        <v/>
      </c>
      <c r="O12" s="84" t="str">
        <f>IF(AND('Mapa final'!$AB$27="Muy Alta",'Mapa final'!$AD$27="Menor"),CONCATENATE("R7C",'Mapa final'!$R$27),"")</f>
        <v/>
      </c>
      <c r="P12" s="83" t="str">
        <f>IF(AND('Mapa final'!$AB$25="Muy Alta",'Mapa final'!$AD$25="Moderado"),CONCATENATE("R7C",'Mapa final'!$R$25),"")</f>
        <v/>
      </c>
      <c r="Q12" s="188" t="str">
        <f>IF(AND('Mapa final'!$AB$26="Muy Alta",'Mapa final'!$AD$26="Moderado"),CONCATENATE("R7C",'Mapa final'!$R$26),"")</f>
        <v/>
      </c>
      <c r="R12" s="84" t="str">
        <f>IF(AND('Mapa final'!$AB$27="Muy Alta",'Mapa final'!$AD$27="Moderado"),CONCATENATE("R7C",'Mapa final'!$R$27),"")</f>
        <v/>
      </c>
      <c r="S12" s="83" t="str">
        <f>IF(AND('Mapa final'!$AB$25="Muy Alta",'Mapa final'!$AD$25="Mayor"),CONCATENATE("R7C",'Mapa final'!$R$25),"")</f>
        <v/>
      </c>
      <c r="T12" s="188" t="str">
        <f>IF(AND('Mapa final'!$AB$26="Muy Alta",'Mapa final'!$AD$26="Mayor"),CONCATENATE("R7C",'Mapa final'!$R$26),"")</f>
        <v/>
      </c>
      <c r="U12" s="84" t="str">
        <f>IF(AND('Mapa final'!$AB$27="Muy Alta",'Mapa final'!$AD$27="Mayor"),CONCATENATE("R7C",'Mapa final'!$R$27),"")</f>
        <v/>
      </c>
      <c r="V12" s="158" t="str">
        <f>IF(AND('Mapa final'!$AB$25="Muy Alta",'Mapa final'!$AD$25="Catastrófico"),CONCATENATE("R7C",'Mapa final'!$R$25),"")</f>
        <v/>
      </c>
      <c r="W12" s="189" t="str">
        <f>IF(AND('Mapa final'!$AB$26="Muy Alta",'Mapa final'!$AD$26="Catastrófico"),CONCATENATE("R7C",'Mapa final'!$R$26),"")</f>
        <v/>
      </c>
      <c r="X12" s="159" t="str">
        <f>IF(AND('Mapa final'!$AB$27="Muy Alta",'Mapa final'!$AD$27="Catastrófico"),CONCATENATE("R7C",'Mapa final'!$R$27),"")</f>
        <v/>
      </c>
      <c r="Y12" s="38"/>
      <c r="Z12" s="279"/>
      <c r="AA12" s="280"/>
      <c r="AB12" s="280"/>
      <c r="AC12" s="280"/>
      <c r="AD12" s="280"/>
      <c r="AE12" s="281"/>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76" ht="15" customHeight="1" x14ac:dyDescent="0.25">
      <c r="A13" s="38"/>
      <c r="B13" s="291"/>
      <c r="C13" s="292"/>
      <c r="D13" s="293"/>
      <c r="E13" s="275"/>
      <c r="F13" s="274"/>
      <c r="G13" s="274"/>
      <c r="H13" s="274"/>
      <c r="I13" s="274"/>
      <c r="J13" s="83" t="str">
        <f>IF(AND('Mapa final'!$AB$28="Muy Alta",'Mapa final'!$AD$28="Leve"),CONCATENATE("R8C",'Mapa final'!$R$28),"")</f>
        <v/>
      </c>
      <c r="K13" s="188" t="str">
        <f>IF(AND('Mapa final'!$AB$29="Muy Alta",'Mapa final'!$AD$29="Leve"),CONCATENATE("R8C",'Mapa final'!$R$29),"")</f>
        <v/>
      </c>
      <c r="L13" s="84" t="str">
        <f>IF(AND('Mapa final'!$AB$30="Muy Alta",'Mapa final'!$AD$30="Leve"),CONCATENATE("R8C",'Mapa final'!$R$30),"")</f>
        <v/>
      </c>
      <c r="M13" s="83" t="str">
        <f>IF(AND('Mapa final'!$AB$28="Muy Alta",'Mapa final'!$AD$28="Menor"),CONCATENATE("R8C",'Mapa final'!$R$28),"")</f>
        <v/>
      </c>
      <c r="N13" s="188" t="str">
        <f>IF(AND('Mapa final'!$AB$29="Muy Alta",'Mapa final'!$AD$29="Menor"),CONCATENATE("R8C",'Mapa final'!$R$29),"")</f>
        <v/>
      </c>
      <c r="O13" s="84" t="str">
        <f>IF(AND('Mapa final'!$AB$30="Muy Alta",'Mapa final'!$AD$30="Menor"),CONCATENATE("R8C",'Mapa final'!$R$30),"")</f>
        <v/>
      </c>
      <c r="P13" s="83" t="str">
        <f>IF(AND('Mapa final'!$AB$28="Muy Alta",'Mapa final'!$AD$28="Moderado"),CONCATENATE("R8C",'Mapa final'!$R$28),"")</f>
        <v/>
      </c>
      <c r="Q13" s="188" t="str">
        <f>IF(AND('Mapa final'!$AB$29="Muy Alta",'Mapa final'!$AD$29="Moderado"),CONCATENATE("R8C",'Mapa final'!$R$29),"")</f>
        <v/>
      </c>
      <c r="R13" s="84" t="str">
        <f>IF(AND('Mapa final'!$AB$30="Muy Alta",'Mapa final'!$AD$30="Moderado"),CONCATENATE("R8C",'Mapa final'!$R$30),"")</f>
        <v/>
      </c>
      <c r="S13" s="83" t="str">
        <f>IF(AND('Mapa final'!$AB$28="Muy Alta",'Mapa final'!$AD$28="Mayor"),CONCATENATE("R8C",'Mapa final'!$R$28),"")</f>
        <v/>
      </c>
      <c r="T13" s="188" t="str">
        <f>IF(AND('Mapa final'!$AB$29="Muy Alta",'Mapa final'!$AD$29="Mayor"),CONCATENATE("R8C",'Mapa final'!$R$29),"")</f>
        <v/>
      </c>
      <c r="U13" s="84" t="str">
        <f>IF(AND('Mapa final'!$AB$30="Muy Alta",'Mapa final'!$AD$30="Mayor"),CONCATENATE("R8C",'Mapa final'!$R$30),"")</f>
        <v/>
      </c>
      <c r="V13" s="158" t="str">
        <f>IF(AND('Mapa final'!$AB$28="Muy Alta",'Mapa final'!$AD$28="Catastrófico"),CONCATENATE("R8C",'Mapa final'!$R$28),"")</f>
        <v/>
      </c>
      <c r="W13" s="189" t="str">
        <f>IF(AND('Mapa final'!$AB$29="Muy Alta",'Mapa final'!$AD$29="Catastrófico"),CONCATENATE("R8C",'Mapa final'!$R$29),"")</f>
        <v/>
      </c>
      <c r="X13" s="159" t="str">
        <f>IF(AND('Mapa final'!$AB$30="Muy Alta",'Mapa final'!$AD$30="Catastrófico"),CONCATENATE("R8C",'Mapa final'!$R$30),"")</f>
        <v/>
      </c>
      <c r="Y13" s="38"/>
      <c r="Z13" s="279"/>
      <c r="AA13" s="280"/>
      <c r="AB13" s="280"/>
      <c r="AC13" s="280"/>
      <c r="AD13" s="280"/>
      <c r="AE13" s="281"/>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76" ht="15" customHeight="1" x14ac:dyDescent="0.25">
      <c r="A14" s="38"/>
      <c r="B14" s="291"/>
      <c r="C14" s="292"/>
      <c r="D14" s="293"/>
      <c r="E14" s="275"/>
      <c r="F14" s="274"/>
      <c r="G14" s="274"/>
      <c r="H14" s="274"/>
      <c r="I14" s="274"/>
      <c r="J14" s="83" t="str">
        <f>IF(AND('Mapa final'!$AB$31="Muy Alta",'Mapa final'!$AD$31="Leve"),CONCATENATE("R9C",'Mapa final'!$R$31),"")</f>
        <v/>
      </c>
      <c r="K14" s="188" t="str">
        <f>IF(AND('Mapa final'!$AB$32="Muy Alta",'Mapa final'!$AD$32="Leve"),CONCATENATE("R9C",'Mapa final'!$R$32),"")</f>
        <v/>
      </c>
      <c r="L14" s="84" t="str">
        <f>IF(AND('Mapa final'!$AB$33="Muy Alta",'Mapa final'!$AD$33="Leve"),CONCATENATE("R9C",'Mapa final'!$R$33),"")</f>
        <v/>
      </c>
      <c r="M14" s="83" t="str">
        <f>IF(AND('Mapa final'!$AB$31="Muy Alta",'Mapa final'!$AD$31="Menor"),CONCATENATE("R9C",'Mapa final'!$R$31),"")</f>
        <v/>
      </c>
      <c r="N14" s="188" t="str">
        <f>IF(AND('Mapa final'!$AB$32="Muy Alta",'Mapa final'!$AD$32="Menor"),CONCATENATE("R9C",'Mapa final'!$R$32),"")</f>
        <v/>
      </c>
      <c r="O14" s="84" t="str">
        <f>IF(AND('Mapa final'!$AB$33="Muy Alta",'Mapa final'!$AD$33="Menor"),CONCATENATE("R9C",'Mapa final'!$R$33),"")</f>
        <v/>
      </c>
      <c r="P14" s="83" t="str">
        <f>IF(AND('Mapa final'!$AB$31="Muy Alta",'Mapa final'!$AD$31="Moderado"),CONCATENATE("R9C",'Mapa final'!$R$31),"")</f>
        <v/>
      </c>
      <c r="Q14" s="188" t="str">
        <f>IF(AND('Mapa final'!$AB$32="Muy Alta",'Mapa final'!$AD$32="Moderado"),CONCATENATE("R9C",'Mapa final'!$R$32),"")</f>
        <v/>
      </c>
      <c r="R14" s="84" t="str">
        <f>IF(AND('Mapa final'!$AB$33="Muy Alta",'Mapa final'!$AD$33="Moderado"),CONCATENATE("R9C",'Mapa final'!$R$33),"")</f>
        <v/>
      </c>
      <c r="S14" s="83" t="str">
        <f>IF(AND('Mapa final'!$AB$31="Muy Alta",'Mapa final'!$AD$31="Mayor"),CONCATENATE("R9C",'Mapa final'!$R$31),"")</f>
        <v/>
      </c>
      <c r="T14" s="188" t="str">
        <f>IF(AND('Mapa final'!$AB$32="Muy Alta",'Mapa final'!$AD$32="Mayor"),CONCATENATE("R9C",'Mapa final'!$R$32),"")</f>
        <v/>
      </c>
      <c r="U14" s="84" t="str">
        <f>IF(AND('Mapa final'!$AB$33="Muy Alta",'Mapa final'!$AD$33="Mayor"),CONCATENATE("R9C",'Mapa final'!$R$33),"")</f>
        <v/>
      </c>
      <c r="V14" s="158" t="str">
        <f>IF(AND('Mapa final'!$AB$31="Muy Alta",'Mapa final'!$AD$31="Catastrófico"),CONCATENATE("R9C",'Mapa final'!$R$31),"")</f>
        <v/>
      </c>
      <c r="W14" s="189" t="str">
        <f>IF(AND('Mapa final'!$AB$32="Muy Alta",'Mapa final'!$AD$32="Catastrófico"),CONCATENATE("R9C",'Mapa final'!$R$32),"")</f>
        <v/>
      </c>
      <c r="X14" s="159" t="str">
        <f>IF(AND('Mapa final'!$AB$33="Muy Alta",'Mapa final'!$AD$33="Catastrófico"),CONCATENATE("R9C",'Mapa final'!$R$33),"")</f>
        <v/>
      </c>
      <c r="Y14" s="38"/>
      <c r="Z14" s="279"/>
      <c r="AA14" s="280"/>
      <c r="AB14" s="280"/>
      <c r="AC14" s="280"/>
      <c r="AD14" s="280"/>
      <c r="AE14" s="281"/>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76" ht="15" customHeight="1" x14ac:dyDescent="0.25">
      <c r="A15" s="38"/>
      <c r="B15" s="291"/>
      <c r="C15" s="292"/>
      <c r="D15" s="293"/>
      <c r="E15" s="275"/>
      <c r="F15" s="274"/>
      <c r="G15" s="274"/>
      <c r="H15" s="274"/>
      <c r="I15" s="274"/>
      <c r="J15" s="83" t="str">
        <f>IF(AND('Mapa final'!$AB$34="Muy Alta",'Mapa final'!$AD$34="Leve"),CONCATENATE("R10C",'Mapa final'!$R$34),"")</f>
        <v/>
      </c>
      <c r="K15" s="188" t="str">
        <f>IF(AND('Mapa final'!$AB$35="Muy Alta",'Mapa final'!$AD$35="Leve"),CONCATENATE("R10C",'Mapa final'!$R$35),"")</f>
        <v/>
      </c>
      <c r="L15" s="84" t="str">
        <f>IF(AND('Mapa final'!$AB$36="Muy Alta",'Mapa final'!$AD$36="Leve"),CONCATENATE("R10C",'Mapa final'!$R$36),"")</f>
        <v/>
      </c>
      <c r="M15" s="83" t="str">
        <f>IF(AND('Mapa final'!$AB$34="Muy Alta",'Mapa final'!$AD$34="Menor"),CONCATENATE("R10C",'Mapa final'!$R$34),"")</f>
        <v/>
      </c>
      <c r="N15" s="188" t="str">
        <f>IF(AND('Mapa final'!$AB$35="Muy Alta",'Mapa final'!$AD$35="Menor"),CONCATENATE("R10C",'Mapa final'!$R$35),"")</f>
        <v/>
      </c>
      <c r="O15" s="84" t="str">
        <f>IF(AND('Mapa final'!$AB$36="Muy Alta",'Mapa final'!$AD$36="Menor"),CONCATENATE("R10C",'Mapa final'!$R$36),"")</f>
        <v/>
      </c>
      <c r="P15" s="83" t="str">
        <f>IF(AND('Mapa final'!$AB$34="Muy Alta",'Mapa final'!$AD$34="Moderado"),CONCATENATE("R10C",'Mapa final'!$R$34),"")</f>
        <v/>
      </c>
      <c r="Q15" s="188" t="str">
        <f>IF(AND('Mapa final'!$AB$35="Muy Alta",'Mapa final'!$AD$35="Moderado"),CONCATENATE("R10C",'Mapa final'!$R$35),"")</f>
        <v/>
      </c>
      <c r="R15" s="84" t="str">
        <f>IF(AND('Mapa final'!$AB$36="Muy Alta",'Mapa final'!$AD$36="Moderado"),CONCATENATE("R10C",'Mapa final'!$R$36),"")</f>
        <v/>
      </c>
      <c r="S15" s="83" t="str">
        <f>IF(AND('Mapa final'!$AB$34="Muy Alta",'Mapa final'!$AD$34="Mayor"),CONCATENATE("R10C",'Mapa final'!$R$34),"")</f>
        <v/>
      </c>
      <c r="T15" s="188" t="str">
        <f>IF(AND('Mapa final'!$AB$35="Muy Alta",'Mapa final'!$AD$35="Mayor"),CONCATENATE("R10C",'Mapa final'!$R$35),"")</f>
        <v/>
      </c>
      <c r="U15" s="84" t="str">
        <f>IF(AND('Mapa final'!$AB$36="Muy Alta",'Mapa final'!$AD$36="Mayor"),CONCATENATE("R10C",'Mapa final'!$R$36),"")</f>
        <v/>
      </c>
      <c r="V15" s="158" t="str">
        <f>IF(AND('Mapa final'!$AB$34="Muy Alta",'Mapa final'!$AD$34="Catastrófico"),CONCATENATE("R10C",'Mapa final'!$R$34),"")</f>
        <v/>
      </c>
      <c r="W15" s="189" t="str">
        <f>IF(AND('Mapa final'!$AB$35="Muy Alta",'Mapa final'!$AD$35="Catastrófico"),CONCATENATE("R10C",'Mapa final'!$R$35),"")</f>
        <v/>
      </c>
      <c r="X15" s="159" t="str">
        <f>IF(AND('Mapa final'!$AB$36="Muy Alta",'Mapa final'!$AD$36="Catastrófico"),CONCATENATE("R10C",'Mapa final'!$R$36),"")</f>
        <v/>
      </c>
      <c r="Y15" s="38"/>
      <c r="Z15" s="279"/>
      <c r="AA15" s="280"/>
      <c r="AB15" s="280"/>
      <c r="AC15" s="280"/>
      <c r="AD15" s="280"/>
      <c r="AE15" s="281"/>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76" ht="15" customHeight="1" x14ac:dyDescent="0.25">
      <c r="A16" s="38"/>
      <c r="B16" s="291"/>
      <c r="C16" s="292"/>
      <c r="D16" s="293"/>
      <c r="E16" s="275"/>
      <c r="F16" s="274"/>
      <c r="G16" s="274"/>
      <c r="H16" s="274"/>
      <c r="I16" s="274"/>
      <c r="J16" s="83" t="str">
        <f>IF(AND('Mapa final'!$AB$37="Muy Alta",'Mapa final'!$AD$37="Leve"),CONCATENATE("R11C",'Mapa final'!$R$37),"")</f>
        <v/>
      </c>
      <c r="K16" s="188" t="str">
        <f>IF(AND('Mapa final'!$AB$38="Muy Alta",'Mapa final'!$AD$38="Leve"),CONCATENATE("R11C",'Mapa final'!$R$38),"")</f>
        <v/>
      </c>
      <c r="L16" s="84" t="str">
        <f>IF(AND('Mapa final'!$AB$39="Muy Alta",'Mapa final'!$AD$39="Leve"),CONCATENATE("R11C",'Mapa final'!$R$39),"")</f>
        <v/>
      </c>
      <c r="M16" s="83" t="str">
        <f>IF(AND('Mapa final'!$AB$37="Muy Alta",'Mapa final'!$AD$37="Menor"),CONCATENATE("R11C",'Mapa final'!$R$37),"")</f>
        <v/>
      </c>
      <c r="N16" s="188" t="str">
        <f>IF(AND('Mapa final'!$AB$38="Muy Alta",'Mapa final'!$AD$38="Menor"),CONCATENATE("R11C",'Mapa final'!$R$38),"")</f>
        <v/>
      </c>
      <c r="O16" s="84" t="str">
        <f>IF(AND('Mapa final'!$AB$39="Muy Alta",'Mapa final'!$AD$39="Menor"),CONCATENATE("R11C",'Mapa final'!$R$39),"")</f>
        <v/>
      </c>
      <c r="P16" s="83" t="str">
        <f>IF(AND('Mapa final'!$AB$37="Muy Alta",'Mapa final'!$AD$37="Moderado"),CONCATENATE("R11C",'Mapa final'!$R$37),"")</f>
        <v/>
      </c>
      <c r="Q16" s="188" t="str">
        <f>IF(AND('Mapa final'!$AB$38="Muy Alta",'Mapa final'!$AD$38="Moderado"),CONCATENATE("R11C",'Mapa final'!$R$38),"")</f>
        <v/>
      </c>
      <c r="R16" s="84" t="str">
        <f>IF(AND('Mapa final'!$AB$39="Muy Alta",'Mapa final'!$AD$39="Moderado"),CONCATENATE("R11C",'Mapa final'!$R$39),"")</f>
        <v/>
      </c>
      <c r="S16" s="83" t="str">
        <f>IF(AND('Mapa final'!$AB$37="Muy Alta",'Mapa final'!$AD$37="Mayor"),CONCATENATE("R11C",'Mapa final'!$R$37),"")</f>
        <v/>
      </c>
      <c r="T16" s="188" t="str">
        <f>IF(AND('Mapa final'!$AB$38="Muy Alta",'Mapa final'!$AD$38="Mayor"),CONCATENATE("R11C",'Mapa final'!$R$38),"")</f>
        <v/>
      </c>
      <c r="U16" s="84" t="str">
        <f>IF(AND('Mapa final'!$AB$39="Muy Alta",'Mapa final'!$AD$39="Mayor"),CONCATENATE("R11C",'Mapa final'!$R$39),"")</f>
        <v/>
      </c>
      <c r="V16" s="158" t="str">
        <f>IF(AND('Mapa final'!$AB$37="Muy Alta",'Mapa final'!$AD$37="Catastrófico"),CONCATENATE("R11C",'Mapa final'!$R$37),"")</f>
        <v/>
      </c>
      <c r="W16" s="189" t="str">
        <f>IF(AND('Mapa final'!$AB$38="Muy Alta",'Mapa final'!$AD$38="Catastrófico"),CONCATENATE("R11C",'Mapa final'!$R$38),"")</f>
        <v/>
      </c>
      <c r="X16" s="159" t="str">
        <f>IF(AND('Mapa final'!$AB$39="Muy Alta",'Mapa final'!$AD$39="Catastrófico"),CONCATENATE("R11C",'Mapa final'!$R$39),"")</f>
        <v/>
      </c>
      <c r="Y16" s="38"/>
      <c r="Z16" s="279"/>
      <c r="AA16" s="280"/>
      <c r="AB16" s="280"/>
      <c r="AC16" s="280"/>
      <c r="AD16" s="280"/>
      <c r="AE16" s="281"/>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ht="15" customHeight="1" x14ac:dyDescent="0.25">
      <c r="A17" s="38"/>
      <c r="B17" s="291"/>
      <c r="C17" s="292"/>
      <c r="D17" s="293"/>
      <c r="E17" s="275"/>
      <c r="F17" s="274"/>
      <c r="G17" s="274"/>
      <c r="H17" s="274"/>
      <c r="I17" s="274"/>
      <c r="J17" s="83" t="str">
        <f>IF(AND('Mapa final'!$AB$40="Muy Alta",'Mapa final'!$AD$40="Leve"),CONCATENATE("R12C",'Mapa final'!$R$40),"")</f>
        <v/>
      </c>
      <c r="K17" s="188" t="str">
        <f>IF(AND('Mapa final'!$AB$41="Muy Alta",'Mapa final'!$AD$41="Leve"),CONCATENATE("R12C",'Mapa final'!$R$41),"")</f>
        <v/>
      </c>
      <c r="L17" s="84" t="str">
        <f>IF(AND('Mapa final'!$AB$42="Muy Alta",'Mapa final'!$AD$42="Leve"),CONCATENATE("R12C",'Mapa final'!$R$42),"")</f>
        <v/>
      </c>
      <c r="M17" s="83" t="str">
        <f>IF(AND('Mapa final'!$AB$40="Muy Alta",'Mapa final'!$AD$40="Menor"),CONCATENATE("R12C",'Mapa final'!$R$40),"")</f>
        <v/>
      </c>
      <c r="N17" s="188" t="str">
        <f>IF(AND('Mapa final'!$AB$41="Muy Alta",'Mapa final'!$AD$41="Menor"),CONCATENATE("R12C",'Mapa final'!$R$41),"")</f>
        <v/>
      </c>
      <c r="O17" s="84" t="str">
        <f>IF(AND('Mapa final'!$AB$42="Muy Alta",'Mapa final'!$AD$42="Menor"),CONCATENATE("R12C",'Mapa final'!$R$42),"")</f>
        <v/>
      </c>
      <c r="P17" s="83" t="str">
        <f>IF(AND('Mapa final'!$AB$40="Muy Alta",'Mapa final'!$AD$40="Moderado"),CONCATENATE("R12C",'Mapa final'!$R$40),"")</f>
        <v/>
      </c>
      <c r="Q17" s="188" t="str">
        <f>IF(AND('Mapa final'!$AB$41="Muy Alta",'Mapa final'!$AD$41="Moderado"),CONCATENATE("R12C",'Mapa final'!$R$41),"")</f>
        <v/>
      </c>
      <c r="R17" s="84" t="str">
        <f>IF(AND('Mapa final'!$AB$42="Muy Alta",'Mapa final'!$AD$42="Moderado"),CONCATENATE("R12C",'Mapa final'!$R$42),"")</f>
        <v/>
      </c>
      <c r="S17" s="83" t="str">
        <f>IF(AND('Mapa final'!$AB$40="Muy Alta",'Mapa final'!$AD$40="Mayor"),CONCATENATE("R12C",'Mapa final'!$R$40),"")</f>
        <v/>
      </c>
      <c r="T17" s="188" t="str">
        <f>IF(AND('Mapa final'!$AB$41="Muy Alta",'Mapa final'!$AD$41="Mayor"),CONCATENATE("R12C",'Mapa final'!$R$41),"")</f>
        <v/>
      </c>
      <c r="U17" s="84" t="str">
        <f>IF(AND('Mapa final'!$AB$42="Muy Alta",'Mapa final'!$AD$42="Mayor"),CONCATENATE("R12C",'Mapa final'!$R$42),"")</f>
        <v/>
      </c>
      <c r="V17" s="158" t="str">
        <f>IF(AND('Mapa final'!$AB$40="Muy Alta",'Mapa final'!$AD$40="Catastrófico"),CONCATENATE("R12C",'Mapa final'!$R$40),"")</f>
        <v/>
      </c>
      <c r="W17" s="189" t="str">
        <f>IF(AND('Mapa final'!$AB$41="Muy Alta",'Mapa final'!$AD$41="Catastrófico"),CONCATENATE("R12C",'Mapa final'!$R$41),"")</f>
        <v/>
      </c>
      <c r="X17" s="159" t="str">
        <f>IF(AND('Mapa final'!$AB$42="Muy Alta",'Mapa final'!$AD$42="Catastrófico"),CONCATENATE("R12C",'Mapa final'!$R$42),"")</f>
        <v/>
      </c>
      <c r="Y17" s="38"/>
      <c r="Z17" s="279"/>
      <c r="AA17" s="280"/>
      <c r="AB17" s="280"/>
      <c r="AC17" s="280"/>
      <c r="AD17" s="280"/>
      <c r="AE17" s="281"/>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ht="15" customHeight="1" x14ac:dyDescent="0.25">
      <c r="A18" s="38"/>
      <c r="B18" s="291"/>
      <c r="C18" s="292"/>
      <c r="D18" s="293"/>
      <c r="E18" s="275"/>
      <c r="F18" s="274"/>
      <c r="G18" s="274"/>
      <c r="H18" s="274"/>
      <c r="I18" s="274"/>
      <c r="J18" s="83" t="str">
        <f>IF(AND('Mapa final'!$AB$43="Muy Alta",'Mapa final'!$AD$43="Leve"),CONCATENATE("R12C",'Mapa final'!$R$43),"")</f>
        <v/>
      </c>
      <c r="K18" s="188" t="str">
        <f>IF(AND('Mapa final'!$AB$44="Muy Alta",'Mapa final'!$AD$44="Leve"),CONCATENATE("R13C",'Mapa final'!$R$44),"")</f>
        <v/>
      </c>
      <c r="L18" s="84" t="str">
        <f>IF(AND('Mapa final'!$AB$45="Muy Alta",'Mapa final'!$AD$45="Leve"),CONCATENATE("R13C",'Mapa final'!$R$45),"")</f>
        <v/>
      </c>
      <c r="M18" s="83" t="str">
        <f>IF(AND('Mapa final'!$AB$43="Muy Alta",'Mapa final'!$AD$43="Menor"),CONCATENATE("R12C",'Mapa final'!$R$43),"")</f>
        <v/>
      </c>
      <c r="N18" s="188" t="str">
        <f>IF(AND('Mapa final'!$AB$44="Muy Alta",'Mapa final'!$AD$44="Menor"),CONCATENATE("R13C",'Mapa final'!$R$44),"")</f>
        <v/>
      </c>
      <c r="O18" s="84" t="str">
        <f>IF(AND('Mapa final'!$AB$45="Muy Alta",'Mapa final'!$AD$45="Menor"),CONCATENATE("R13C",'Mapa final'!$R$45),"")</f>
        <v/>
      </c>
      <c r="P18" s="83" t="str">
        <f>IF(AND('Mapa final'!$AB$43="Muy Alta",'Mapa final'!$AD$43="Moderado"),CONCATENATE("R12C",'Mapa final'!$R$43),"")</f>
        <v/>
      </c>
      <c r="Q18" s="188" t="str">
        <f>IF(AND('Mapa final'!$AB$44="Muy Alta",'Mapa final'!$AD$44="Moderado"),CONCATENATE("R13C",'Mapa final'!$R$44),"")</f>
        <v/>
      </c>
      <c r="R18" s="84" t="str">
        <f>IF(AND('Mapa final'!$AB$45="Muy Alta",'Mapa final'!$AD$45="Moderado"),CONCATENATE("R13C",'Mapa final'!$R$45),"")</f>
        <v/>
      </c>
      <c r="S18" s="83" t="str">
        <f>IF(AND('Mapa final'!$AB$43="Muy Alta",'Mapa final'!$AD$43="Mayor"),CONCATENATE("R12C",'Mapa final'!$R$43),"")</f>
        <v/>
      </c>
      <c r="T18" s="188" t="str">
        <f>IF(AND('Mapa final'!$AB$44="Muy Alta",'Mapa final'!$AD$44="Mayor"),CONCATENATE("R13C",'Mapa final'!$R$44),"")</f>
        <v/>
      </c>
      <c r="U18" s="84" t="str">
        <f>IF(AND('Mapa final'!$AB$45="Muy Alta",'Mapa final'!$AD$45="Mayor"),CONCATENATE("R13C",'Mapa final'!$R$45),"")</f>
        <v/>
      </c>
      <c r="V18" s="158" t="str">
        <f>IF(AND('Mapa final'!$AB$43="Muy Alta",'Mapa final'!$AD$43="Catastrófico"),CONCATENATE("R12C",'Mapa final'!$R$43),"")</f>
        <v/>
      </c>
      <c r="W18" s="189" t="str">
        <f>IF(AND('Mapa final'!$AB$44="Muy Alta",'Mapa final'!$AD$44="Catastrófico"),CONCATENATE("R13C",'Mapa final'!$R$44),"")</f>
        <v/>
      </c>
      <c r="X18" s="159" t="str">
        <f>IF(AND('Mapa final'!$AB$45="Muy Alta",'Mapa final'!$AD$45="Catastrófico"),CONCATENATE("R13C",'Mapa final'!$R$45),"")</f>
        <v/>
      </c>
      <c r="Y18" s="38"/>
      <c r="Z18" s="279"/>
      <c r="AA18" s="280"/>
      <c r="AB18" s="280"/>
      <c r="AC18" s="280"/>
      <c r="AD18" s="280"/>
      <c r="AE18" s="281"/>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38"/>
      <c r="B19" s="291"/>
      <c r="C19" s="292"/>
      <c r="D19" s="293"/>
      <c r="E19" s="275"/>
      <c r="F19" s="274"/>
      <c r="G19" s="274"/>
      <c r="H19" s="274"/>
      <c r="I19" s="274"/>
      <c r="J19" s="83" t="str">
        <f>IF(AND('Mapa final'!$AB$46="Muy Alta",'Mapa final'!$AD$46="Leve"),CONCATENATE("R13C",'Mapa final'!$R$46),"")</f>
        <v/>
      </c>
      <c r="K19" s="188" t="str">
        <f>IF(AND('Mapa final'!$AB$47="Muy Alta",'Mapa final'!$AD$47="Leve"),CONCATENATE("R14C",'Mapa final'!$R$47),"")</f>
        <v/>
      </c>
      <c r="L19" s="84" t="str">
        <f>IF(AND('Mapa final'!$AB$48="Muy Alta",'Mapa final'!$AD$48="Leve"),CONCATENATE("R14C",'Mapa final'!$R$48),"")</f>
        <v/>
      </c>
      <c r="M19" s="83" t="str">
        <f>IF(AND('Mapa final'!$AB$46="Muy Alta",'Mapa final'!$AD$46="Menor"),CONCATENATE("R13C",'Mapa final'!$R$46),"")</f>
        <v/>
      </c>
      <c r="N19" s="188" t="str">
        <f>IF(AND('Mapa final'!$AB$47="Muy Alta",'Mapa final'!$AD$47="Menor"),CONCATENATE("R14C",'Mapa final'!$R$47),"")</f>
        <v/>
      </c>
      <c r="O19" s="84" t="str">
        <f>IF(AND('Mapa final'!$AB$48="Muy Alta",'Mapa final'!$AD$48="Menor"),CONCATENATE("R14C",'Mapa final'!$R$48),"")</f>
        <v/>
      </c>
      <c r="P19" s="83" t="str">
        <f>IF(AND('Mapa final'!$AB$46="Muy Alta",'Mapa final'!$AD$46="Moderado"),CONCATENATE("R13C",'Mapa final'!$R$46),"")</f>
        <v/>
      </c>
      <c r="Q19" s="188" t="str">
        <f>IF(AND('Mapa final'!$AB$47="Muy Alta",'Mapa final'!$AD$47="Moderado"),CONCATENATE("R14C",'Mapa final'!$R$47),"")</f>
        <v/>
      </c>
      <c r="R19" s="84" t="str">
        <f>IF(AND('Mapa final'!$AB$48="Muy Alta",'Mapa final'!$AD$48="Moderado"),CONCATENATE("R14C",'Mapa final'!$R$48),"")</f>
        <v/>
      </c>
      <c r="S19" s="83" t="str">
        <f>IF(AND('Mapa final'!$AB$46="Muy Alta",'Mapa final'!$AD$46="Mayor"),CONCATENATE("R13C",'Mapa final'!$R$46),"")</f>
        <v/>
      </c>
      <c r="T19" s="188" t="str">
        <f>IF(AND('Mapa final'!$AB$47="Muy Alta",'Mapa final'!$AD$47="Mayor"),CONCATENATE("R14C",'Mapa final'!$R$47),"")</f>
        <v/>
      </c>
      <c r="U19" s="84" t="str">
        <f>IF(AND('Mapa final'!$AB$48="Muy Alta",'Mapa final'!$AD$48="Mayor"),CONCATENATE("R14C",'Mapa final'!$R$48),"")</f>
        <v/>
      </c>
      <c r="V19" s="158" t="str">
        <f>IF(AND('Mapa final'!$AB$46="Muy Alta",'Mapa final'!$AD$46="Catastrófico"),CONCATENATE("R13C",'Mapa final'!$R$46),"")</f>
        <v/>
      </c>
      <c r="W19" s="189" t="str">
        <f>IF(AND('Mapa final'!$AB$47="Muy Alta",'Mapa final'!$AD$47="Catastrófico"),CONCATENATE("R14C",'Mapa final'!$R$47),"")</f>
        <v/>
      </c>
      <c r="X19" s="159" t="str">
        <f>IF(AND('Mapa final'!$AB$48="Muy Alta",'Mapa final'!$AD$48="Catastrófico"),CONCATENATE("R14C",'Mapa final'!$R$48),"")</f>
        <v/>
      </c>
      <c r="Y19" s="38"/>
      <c r="Z19" s="279"/>
      <c r="AA19" s="280"/>
      <c r="AB19" s="280"/>
      <c r="AC19" s="280"/>
      <c r="AD19" s="280"/>
      <c r="AE19" s="281"/>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ht="15" customHeight="1" x14ac:dyDescent="0.25">
      <c r="A20" s="38"/>
      <c r="B20" s="291"/>
      <c r="C20" s="292"/>
      <c r="D20" s="293"/>
      <c r="E20" s="275"/>
      <c r="F20" s="274"/>
      <c r="G20" s="274"/>
      <c r="H20" s="274"/>
      <c r="I20" s="274"/>
      <c r="J20" s="83" t="str">
        <f>IF(AND('Mapa final'!$AB$49="Muy Alta",'Mapa final'!$AD$49="Leve"),CONCATENATE("R14C",'Mapa final'!$R$49),"")</f>
        <v/>
      </c>
      <c r="K20" s="188" t="str">
        <f>IF(AND('Mapa final'!$AB$50="Muy Alta",'Mapa final'!$AD$50="Leve"),CONCATENATE("R14C",'Mapa final'!$R$50),"")</f>
        <v/>
      </c>
      <c r="L20" s="84" t="str">
        <f>IF(AND('Mapa final'!$AB$51="Muy Alta",'Mapa final'!$AD$51="Leve"),CONCATENATE("R14C",'Mapa final'!$R$51),"")</f>
        <v/>
      </c>
      <c r="M20" s="83" t="str">
        <f>IF(AND('Mapa final'!$AB$49="Muy Alta",'Mapa final'!$AD$49="Menor"),CONCATENATE("R14C",'Mapa final'!$R$49),"")</f>
        <v/>
      </c>
      <c r="N20" s="188" t="str">
        <f>IF(AND('Mapa final'!$AB$50="Muy Alta",'Mapa final'!$AD$50="Menor"),CONCATENATE("R14C",'Mapa final'!$R$50),"")</f>
        <v/>
      </c>
      <c r="O20" s="84" t="str">
        <f>IF(AND('Mapa final'!$AB$51="Muy Alta",'Mapa final'!$AD$51="Menor"),CONCATENATE("R14C",'Mapa final'!$R$51),"")</f>
        <v/>
      </c>
      <c r="P20" s="83" t="str">
        <f>IF(AND('Mapa final'!$AB$49="Muy Alta",'Mapa final'!$AD$49="Moderado"),CONCATENATE("R14C",'Mapa final'!$R$49),"")</f>
        <v/>
      </c>
      <c r="Q20" s="188" t="str">
        <f>IF(AND('Mapa final'!$AB$50="Muy Alta",'Mapa final'!$AD$50="Moderado"),CONCATENATE("R14C",'Mapa final'!$R$50),"")</f>
        <v/>
      </c>
      <c r="R20" s="84" t="str">
        <f>IF(AND('Mapa final'!$AB$51="Muy Alta",'Mapa final'!$AD$51="Moderado"),CONCATENATE("R14C",'Mapa final'!$R$51),"")</f>
        <v/>
      </c>
      <c r="S20" s="83" t="str">
        <f>IF(AND('Mapa final'!$AB$49="Muy Alta",'Mapa final'!$AD$49="Mayor"),CONCATENATE("R14C",'Mapa final'!$R$49),"")</f>
        <v/>
      </c>
      <c r="T20" s="188" t="str">
        <f>IF(AND('Mapa final'!$AB$50="Muy Alta",'Mapa final'!$AD$50="Mayor"),CONCATENATE("R14C",'Mapa final'!$R$50),"")</f>
        <v/>
      </c>
      <c r="U20" s="84" t="str">
        <f>IF(AND('Mapa final'!$AB$51="Muy Alta",'Mapa final'!$AD$51="Mayor"),CONCATENATE("R14C",'Mapa final'!$R$51),"")</f>
        <v/>
      </c>
      <c r="V20" s="158" t="str">
        <f>IF(AND('Mapa final'!$AB$49="Muy Alta",'Mapa final'!$AD$49="Catastrófico"),CONCATENATE("R14C",'Mapa final'!$R$49),"")</f>
        <v/>
      </c>
      <c r="W20" s="189" t="str">
        <f>IF(AND('Mapa final'!$AB$50="Muy Alta",'Mapa final'!$AD$50="Catastrófico"),CONCATENATE("R14C",'Mapa final'!$R$50),"")</f>
        <v/>
      </c>
      <c r="X20" s="159" t="str">
        <f>IF(AND('Mapa final'!$AB$51="Muy Alta",'Mapa final'!$AD$51="Catastrófico"),CONCATENATE("R14C",'Mapa final'!$R$51),"")</f>
        <v/>
      </c>
      <c r="Y20" s="38"/>
      <c r="Z20" s="279"/>
      <c r="AA20" s="280"/>
      <c r="AB20" s="280"/>
      <c r="AC20" s="280"/>
      <c r="AD20" s="280"/>
      <c r="AE20" s="281"/>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ht="15" customHeight="1" x14ac:dyDescent="0.25">
      <c r="A21" s="38"/>
      <c r="B21" s="291"/>
      <c r="C21" s="292"/>
      <c r="D21" s="293"/>
      <c r="E21" s="275"/>
      <c r="F21" s="274"/>
      <c r="G21" s="274"/>
      <c r="H21" s="274"/>
      <c r="I21" s="274"/>
      <c r="J21" s="83" t="str">
        <f>IF(AND('Mapa final'!$AB$52="Muy Alta",'Mapa final'!$AD$52="Leve"),CONCATENATE("R15C",'Mapa final'!$R$52),"")</f>
        <v/>
      </c>
      <c r="K21" s="188" t="str">
        <f>IF(AND('Mapa final'!$AB$53="Muy Alta",'Mapa final'!$AD$53="Leve"),CONCATENATE("R15C",'Mapa final'!$R$53),"")</f>
        <v/>
      </c>
      <c r="L21" s="84" t="str">
        <f>IF(AND('Mapa final'!$AB$54="Muy Alta",'Mapa final'!$AD$54="Leve"),CONCATENATE("R15C",'Mapa final'!$R$54),"")</f>
        <v/>
      </c>
      <c r="M21" s="83" t="str">
        <f>IF(AND('Mapa final'!$AB$52="Muy Alta",'Mapa final'!$AD$52="Menor"),CONCATENATE("R15C",'Mapa final'!$R$52),"")</f>
        <v/>
      </c>
      <c r="N21" s="188" t="str">
        <f>IF(AND('Mapa final'!$AB$53="Muy Alta",'Mapa final'!$AD$53="Menor"),CONCATENATE("R15C",'Mapa final'!$R$53),"")</f>
        <v/>
      </c>
      <c r="O21" s="84" t="str">
        <f>IF(AND('Mapa final'!$AB$54="Muy Alta",'Mapa final'!$AD$54="Menor"),CONCATENATE("R15C",'Mapa final'!$R$54),"")</f>
        <v/>
      </c>
      <c r="P21" s="83" t="str">
        <f>IF(AND('Mapa final'!$AB$52="Muy Alta",'Mapa final'!$AD$52="Moderado"),CONCATENATE("R15C",'Mapa final'!$R$52),"")</f>
        <v/>
      </c>
      <c r="Q21" s="188" t="str">
        <f>IF(AND('Mapa final'!$AB$53="Muy Alta",'Mapa final'!$AD$53="Moderado"),CONCATENATE("R15C",'Mapa final'!$R$53),"")</f>
        <v/>
      </c>
      <c r="R21" s="84" t="str">
        <f>IF(AND('Mapa final'!$AB$54="Muy Alta",'Mapa final'!$AD$54="Moderado"),CONCATENATE("R15C",'Mapa final'!$R$54),"")</f>
        <v/>
      </c>
      <c r="S21" s="83" t="str">
        <f>IF(AND('Mapa final'!$AB$52="Muy Alta",'Mapa final'!$AD$52="Mayor"),CONCATENATE("R15C",'Mapa final'!$R$52),"")</f>
        <v/>
      </c>
      <c r="T21" s="188" t="str">
        <f>IF(AND('Mapa final'!$AB$53="Muy Alta",'Mapa final'!$AD$53="Mayor"),CONCATENATE("R15C",'Mapa final'!$R$53),"")</f>
        <v/>
      </c>
      <c r="U21" s="84" t="str">
        <f>IF(AND('Mapa final'!$AB$54="Muy Alta",'Mapa final'!$AD$54="Mayor"),CONCATENATE("R15C",'Mapa final'!$R$54),"")</f>
        <v/>
      </c>
      <c r="V21" s="158" t="str">
        <f>IF(AND('Mapa final'!$AB$52="Muy Alta",'Mapa final'!$AD$52="Catastrófico"),CONCATENATE("R15C",'Mapa final'!$R$52),"")</f>
        <v/>
      </c>
      <c r="W21" s="189" t="str">
        <f>IF(AND('Mapa final'!$AB$53="Muy Alta",'Mapa final'!$AD$53="Catastrófico"),CONCATENATE("R15C",'Mapa final'!$R$53),"")</f>
        <v/>
      </c>
      <c r="X21" s="159" t="str">
        <f>IF(AND('Mapa final'!$AB$54="Muy Alta",'Mapa final'!$AD$54="Catastrófico"),CONCATENATE("R15C",'Mapa final'!$R$54),"")</f>
        <v/>
      </c>
      <c r="Y21" s="38"/>
      <c r="Z21" s="279"/>
      <c r="AA21" s="280"/>
      <c r="AB21" s="280"/>
      <c r="AC21" s="280"/>
      <c r="AD21" s="280"/>
      <c r="AE21" s="281"/>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291"/>
      <c r="C22" s="292"/>
      <c r="D22" s="293"/>
      <c r="E22" s="275"/>
      <c r="F22" s="274"/>
      <c r="G22" s="274"/>
      <c r="H22" s="274"/>
      <c r="I22" s="274"/>
      <c r="J22" s="83" t="str">
        <f>IF(AND('Mapa final'!$AB$55="Muy Alta",'Mapa final'!$AD$55="Leve"),CONCATENATE("R16C",'Mapa final'!$R$55),"")</f>
        <v/>
      </c>
      <c r="K22" s="188" t="str">
        <f>IF(AND('Mapa final'!$AB$56="Muy Alta",'Mapa final'!$AD$56="Leve"),CONCATENATE("R16C",'Mapa final'!$R$56),"")</f>
        <v/>
      </c>
      <c r="L22" s="84" t="str">
        <f>IF(AND('Mapa final'!$AB$57="Muy Alta",'Mapa final'!$AD$57="Leve"),CONCATENATE("R16C",'Mapa final'!$R$57),"")</f>
        <v/>
      </c>
      <c r="M22" s="83" t="str">
        <f>IF(AND('Mapa final'!$AB$55="Muy Alta",'Mapa final'!$AD$55="Menor"),CONCATENATE("R16C",'Mapa final'!$R$55),"")</f>
        <v/>
      </c>
      <c r="N22" s="188" t="str">
        <f>IF(AND('Mapa final'!$AB$56="Muy Alta",'Mapa final'!$AD$56="Menor"),CONCATENATE("R16C",'Mapa final'!$R$56),"")</f>
        <v/>
      </c>
      <c r="O22" s="84" t="str">
        <f>IF(AND('Mapa final'!$AB$57="Muy Alta",'Mapa final'!$AD$57="Menor"),CONCATENATE("R16C",'Mapa final'!$R$57),"")</f>
        <v/>
      </c>
      <c r="P22" s="83" t="str">
        <f>IF(AND('Mapa final'!$AB$55="Muy Alta",'Mapa final'!$AD$55="Moderado"),CONCATENATE("R16C",'Mapa final'!$R$55),"")</f>
        <v/>
      </c>
      <c r="Q22" s="188" t="str">
        <f>IF(AND('Mapa final'!$AB$56="Muy Alta",'Mapa final'!$AD$56="Moderado"),CONCATENATE("R16C",'Mapa final'!$R$56),"")</f>
        <v/>
      </c>
      <c r="R22" s="84" t="str">
        <f>IF(AND('Mapa final'!$AB$57="Muy Alta",'Mapa final'!$AD$57="Moderado"),CONCATENATE("R16C",'Mapa final'!$R$57),"")</f>
        <v/>
      </c>
      <c r="S22" s="83" t="str">
        <f>IF(AND('Mapa final'!$AB$55="Muy Alta",'Mapa final'!$AD$55="Mayor"),CONCATENATE("R16C",'Mapa final'!$R$55),"")</f>
        <v/>
      </c>
      <c r="T22" s="188" t="str">
        <f>IF(AND('Mapa final'!$AB$56="Muy Alta",'Mapa final'!$AD$56="Mayor"),CONCATENATE("R16C",'Mapa final'!$R$56),"")</f>
        <v/>
      </c>
      <c r="U22" s="84" t="str">
        <f>IF(AND('Mapa final'!$AB$57="Muy Alta",'Mapa final'!$AD$57="Mayor"),CONCATENATE("R16C",'Mapa final'!$R$57),"")</f>
        <v/>
      </c>
      <c r="V22" s="158" t="str">
        <f>IF(AND('Mapa final'!$AB$55="Muy Alta",'Mapa final'!$AD$55="Catastrófico"),CONCATENATE("R16C",'Mapa final'!$R$55),"")</f>
        <v/>
      </c>
      <c r="W22" s="189" t="str">
        <f>IF(AND('Mapa final'!$AB$56="Muy Alta",'Mapa final'!$AD$56="Catastrófico"),CONCATENATE("R16C",'Mapa final'!$R$56),"")</f>
        <v/>
      </c>
      <c r="X22" s="159" t="str">
        <f>IF(AND('Mapa final'!$AB$57="Muy Alta",'Mapa final'!$AD$57="Catastrófico"),CONCATENATE("R16C",'Mapa final'!$R$57),"")</f>
        <v/>
      </c>
      <c r="Y22" s="38"/>
      <c r="Z22" s="279"/>
      <c r="AA22" s="280"/>
      <c r="AB22" s="280"/>
      <c r="AC22" s="280"/>
      <c r="AD22" s="280"/>
      <c r="AE22" s="281"/>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ht="15" customHeight="1" x14ac:dyDescent="0.25">
      <c r="A23" s="38"/>
      <c r="B23" s="291"/>
      <c r="C23" s="292"/>
      <c r="D23" s="293"/>
      <c r="E23" s="275"/>
      <c r="F23" s="274"/>
      <c r="G23" s="274"/>
      <c r="H23" s="274"/>
      <c r="I23" s="274"/>
      <c r="J23" s="83" t="str">
        <f>IF(AND('Mapa final'!$AB$58="Muy Alta",'Mapa final'!$AD$58="Leve"),CONCATENATE("R17C",'Mapa final'!$R$58),"")</f>
        <v/>
      </c>
      <c r="K23" s="188" t="str">
        <f>IF(AND('Mapa final'!$AB$59="Muy Alta",'Mapa final'!$AD$59="Leve"),CONCATENATE("R17C",'Mapa final'!$R$59),"")</f>
        <v/>
      </c>
      <c r="L23" s="84" t="str">
        <f>IF(AND('Mapa final'!$AB$60="Muy Alta",'Mapa final'!$AD$60="Leve"),CONCATENATE("R17C",'Mapa final'!$R$60),"")</f>
        <v/>
      </c>
      <c r="M23" s="83" t="str">
        <f>IF(AND('Mapa final'!$AB$58="Muy Alta",'Mapa final'!$AD$58="Menor"),CONCATENATE("R17C",'Mapa final'!$R$58),"")</f>
        <v/>
      </c>
      <c r="N23" s="188" t="str">
        <f>IF(AND('Mapa final'!$AB$59="Muy Alta",'Mapa final'!$AD$59="Menor"),CONCATENATE("R17C",'Mapa final'!$R$59),"")</f>
        <v/>
      </c>
      <c r="O23" s="84" t="str">
        <f>IF(AND('Mapa final'!$AB$60="Muy Alta",'Mapa final'!$AD$60="Menor"),CONCATENATE("R17C",'Mapa final'!$R$60),"")</f>
        <v/>
      </c>
      <c r="P23" s="83" t="str">
        <f>IF(AND('Mapa final'!$AB$58="Muy Alta",'Mapa final'!$AD$58="Moderado"),CONCATENATE("R17C",'Mapa final'!$R$58),"")</f>
        <v/>
      </c>
      <c r="Q23" s="188" t="str">
        <f>IF(AND('Mapa final'!$AB$59="Muy Alta",'Mapa final'!$AD$59="Moderado"),CONCATENATE("R17C",'Mapa final'!$R$59),"")</f>
        <v/>
      </c>
      <c r="R23" s="84" t="str">
        <f>IF(AND('Mapa final'!$AB$60="Muy Alta",'Mapa final'!$AD$60="Moderado"),CONCATENATE("R17C",'Mapa final'!$R$60),"")</f>
        <v/>
      </c>
      <c r="S23" s="83" t="str">
        <f>IF(AND('Mapa final'!$AB$58="Muy Alta",'Mapa final'!$AD$58="Mayor"),CONCATENATE("R17C",'Mapa final'!$R$58),"")</f>
        <v/>
      </c>
      <c r="T23" s="188" t="str">
        <f>IF(AND('Mapa final'!$AB$59="Muy Alta",'Mapa final'!$AD$59="Mayor"),CONCATENATE("R17C",'Mapa final'!$R$59),"")</f>
        <v/>
      </c>
      <c r="U23" s="84" t="str">
        <f>IF(AND('Mapa final'!$AB$60="Muy Alta",'Mapa final'!$AD$60="Mayor"),CONCATENATE("R17C",'Mapa final'!$R$60),"")</f>
        <v/>
      </c>
      <c r="V23" s="158" t="str">
        <f>IF(AND('Mapa final'!$AB$58="Muy Alta",'Mapa final'!$AD$58="Catastrófico"),CONCATENATE("R17C",'Mapa final'!$R$58),"")</f>
        <v/>
      </c>
      <c r="W23" s="189" t="str">
        <f>IF(AND('Mapa final'!$AB$59="Muy Alta",'Mapa final'!$AD$59="Catastrófico"),CONCATENATE("R17C",'Mapa final'!$R$59),"")</f>
        <v/>
      </c>
      <c r="X23" s="159" t="str">
        <f>IF(AND('Mapa final'!$AB$60="Muy Alta",'Mapa final'!$AD$60="Catastrófico"),CONCATENATE("R17C",'Mapa final'!$R$60),"")</f>
        <v/>
      </c>
      <c r="Y23" s="38"/>
      <c r="Z23" s="279"/>
      <c r="AA23" s="280"/>
      <c r="AB23" s="280"/>
      <c r="AC23" s="280"/>
      <c r="AD23" s="280"/>
      <c r="AE23" s="281"/>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ht="15" customHeight="1" x14ac:dyDescent="0.25">
      <c r="A24" s="38"/>
      <c r="B24" s="291"/>
      <c r="C24" s="292"/>
      <c r="D24" s="293"/>
      <c r="E24" s="275"/>
      <c r="F24" s="274"/>
      <c r="G24" s="274"/>
      <c r="H24" s="274"/>
      <c r="I24" s="274"/>
      <c r="J24" s="83" t="str">
        <f>IF(AND('Mapa final'!$AB$61="Muy Alta",'Mapa final'!$AD$61="Leve"),CONCATENATE("R18C",'Mapa final'!$R$61),"")</f>
        <v/>
      </c>
      <c r="K24" s="188" t="str">
        <f>IF(AND('Mapa final'!$AB$62="Muy Alta",'Mapa final'!$AD$62="Leve"),CONCATENATE("R18C",'Mapa final'!$R$62),"")</f>
        <v/>
      </c>
      <c r="L24" s="84" t="str">
        <f>IF(AND('Mapa final'!$AB$63="Muy Alta",'Mapa final'!$AD$63="Leve"),CONCATENATE("R18C",'Mapa final'!$R$63),"")</f>
        <v/>
      </c>
      <c r="M24" s="83" t="str">
        <f>IF(AND('Mapa final'!$AB$61="Muy Alta",'Mapa final'!$AD$61="Menor"),CONCATENATE("R18C",'Mapa final'!$R$61),"")</f>
        <v/>
      </c>
      <c r="N24" s="188" t="str">
        <f>IF(AND('Mapa final'!$AB$62="Muy Alta",'Mapa final'!$AD$62="Menor"),CONCATENATE("R18C",'Mapa final'!$R$62),"")</f>
        <v/>
      </c>
      <c r="O24" s="84" t="str">
        <f>IF(AND('Mapa final'!$AB$63="Muy Alta",'Mapa final'!$AD$63="Menor"),CONCATENATE("R18C",'Mapa final'!$R$63),"")</f>
        <v/>
      </c>
      <c r="P24" s="83" t="str">
        <f>IF(AND('Mapa final'!$AB$61="Muy Alta",'Mapa final'!$AD$61="Moderado"),CONCATENATE("R18C",'Mapa final'!$R$61),"")</f>
        <v/>
      </c>
      <c r="Q24" s="188" t="str">
        <f>IF(AND('Mapa final'!$AB$62="Muy Alta",'Mapa final'!$AD$62="Moderado"),CONCATENATE("R18C",'Mapa final'!$R$62),"")</f>
        <v/>
      </c>
      <c r="R24" s="84" t="str">
        <f>IF(AND('Mapa final'!$AB$63="Muy Alta",'Mapa final'!$AD$63="Moderado"),CONCATENATE("R18C",'Mapa final'!$R$63),"")</f>
        <v/>
      </c>
      <c r="S24" s="83" t="str">
        <f>IF(AND('Mapa final'!$AB$61="Muy Alta",'Mapa final'!$AD$61="Mayor"),CONCATENATE("R18C",'Mapa final'!$R$61),"")</f>
        <v/>
      </c>
      <c r="T24" s="188" t="str">
        <f>IF(AND('Mapa final'!$AB$62="Muy Alta",'Mapa final'!$AD$62="Mayor"),CONCATENATE("R18C",'Mapa final'!$R$62),"")</f>
        <v/>
      </c>
      <c r="U24" s="84" t="str">
        <f>IF(AND('Mapa final'!$AB$63="Muy Alta",'Mapa final'!$AD$63="Mayor"),CONCATENATE("R18C",'Mapa final'!$R$63),"")</f>
        <v/>
      </c>
      <c r="V24" s="158" t="str">
        <f>IF(AND('Mapa final'!$AB$61="Muy Alta",'Mapa final'!$AD$61="Catastrófico"),CONCATENATE("R18C",'Mapa final'!$R$61),"")</f>
        <v/>
      </c>
      <c r="W24" s="189" t="str">
        <f>IF(AND('Mapa final'!$AB$62="Muy Alta",'Mapa final'!$AD$62="Catastrófico"),CONCATENATE("R18C",'Mapa final'!$R$62),"")</f>
        <v/>
      </c>
      <c r="X24" s="159" t="str">
        <f>IF(AND('Mapa final'!$AB$63="Muy Alta",'Mapa final'!$AD$63="Catastrófico"),CONCATENATE("R18C",'Mapa final'!$R$63),"")</f>
        <v/>
      </c>
      <c r="Y24" s="38"/>
      <c r="Z24" s="279"/>
      <c r="AA24" s="280"/>
      <c r="AB24" s="280"/>
      <c r="AC24" s="280"/>
      <c r="AD24" s="280"/>
      <c r="AE24" s="281"/>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ht="15" customHeight="1" x14ac:dyDescent="0.25">
      <c r="A25" s="38"/>
      <c r="B25" s="291"/>
      <c r="C25" s="292"/>
      <c r="D25" s="293"/>
      <c r="E25" s="275"/>
      <c r="F25" s="274"/>
      <c r="G25" s="274"/>
      <c r="H25" s="274"/>
      <c r="I25" s="274"/>
      <c r="J25" s="83" t="str">
        <f>IF(AND('Mapa final'!$AB$64="Muy Alta",'Mapa final'!$AD$64="Leve"),CONCATENATE("R19C",'Mapa final'!$R$64),"")</f>
        <v/>
      </c>
      <c r="K25" s="188" t="str">
        <f>IF(AND('Mapa final'!$AB$65="Muy Alta",'Mapa final'!$AD$65="Leve"),CONCATENATE("R19C",'Mapa final'!$R$65),"")</f>
        <v/>
      </c>
      <c r="L25" s="84" t="str">
        <f>IF(AND('Mapa final'!$AB$66="Muy Alta",'Mapa final'!$AD$66="Leve"),CONCATENATE("R19C",'Mapa final'!$R$66),"")</f>
        <v/>
      </c>
      <c r="M25" s="83" t="str">
        <f>IF(AND('Mapa final'!$AB$64="Muy Alta",'Mapa final'!$AD$64="Menor"),CONCATENATE("R19C",'Mapa final'!$R$64),"")</f>
        <v/>
      </c>
      <c r="N25" s="188" t="str">
        <f>IF(AND('Mapa final'!$AB$65="Muy Alta",'Mapa final'!$AD$65="Menor"),CONCATENATE("R19C",'Mapa final'!$R$65),"")</f>
        <v/>
      </c>
      <c r="O25" s="84" t="str">
        <f>IF(AND('Mapa final'!$AB$66="Muy Alta",'Mapa final'!$AD$66="Menor"),CONCATENATE("R19C",'Mapa final'!$R$66),"")</f>
        <v/>
      </c>
      <c r="P25" s="83" t="str">
        <f>IF(AND('Mapa final'!$AB$64="Muy Alta",'Mapa final'!$AD$64="Moderado"),CONCATENATE("R19C",'Mapa final'!$R$64),"")</f>
        <v/>
      </c>
      <c r="Q25" s="188" t="str">
        <f>IF(AND('Mapa final'!$AB$65="Muy Alta",'Mapa final'!$AD$65="Moderado"),CONCATENATE("R19C",'Mapa final'!$R$65),"")</f>
        <v/>
      </c>
      <c r="R25" s="84" t="str">
        <f>IF(AND('Mapa final'!$AB$66="Muy Alta",'Mapa final'!$AD$66="Moderado"),CONCATENATE("R19C",'Mapa final'!$R$66),"")</f>
        <v/>
      </c>
      <c r="S25" s="83" t="str">
        <f>IF(AND('Mapa final'!$AB$64="Muy Alta",'Mapa final'!$AD$64="Mayor"),CONCATENATE("R19C",'Mapa final'!$R$64),"")</f>
        <v/>
      </c>
      <c r="T25" s="188" t="str">
        <f>IF(AND('Mapa final'!$AB$65="Muy Alta",'Mapa final'!$AD$65="Mayor"),CONCATENATE("R19C",'Mapa final'!$R$65),"")</f>
        <v/>
      </c>
      <c r="U25" s="84" t="str">
        <f>IF(AND('Mapa final'!$AB$66="Muy Alta",'Mapa final'!$AD$66="Mayor"),CONCATENATE("R19C",'Mapa final'!$R$66),"")</f>
        <v/>
      </c>
      <c r="V25" s="158" t="str">
        <f>IF(AND('Mapa final'!$AB$64="Muy Alta",'Mapa final'!$AD$64="Catastrófico"),CONCATENATE("R19C",'Mapa final'!$R$64),"")</f>
        <v/>
      </c>
      <c r="W25" s="189" t="str">
        <f>IF(AND('Mapa final'!$AB$65="Muy Alta",'Mapa final'!$AD$65="Catastrófico"),CONCATENATE("R19C",'Mapa final'!$R$65),"")</f>
        <v/>
      </c>
      <c r="X25" s="159" t="str">
        <f>IF(AND('Mapa final'!$AB$66="Muy Alta",'Mapa final'!$AD$66="Catastrófico"),CONCATENATE("R19C",'Mapa final'!$R$66),"")</f>
        <v/>
      </c>
      <c r="Y25" s="38"/>
      <c r="Z25" s="279"/>
      <c r="AA25" s="280"/>
      <c r="AB25" s="280"/>
      <c r="AC25" s="280"/>
      <c r="AD25" s="280"/>
      <c r="AE25" s="281"/>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291"/>
      <c r="C26" s="292"/>
      <c r="D26" s="293"/>
      <c r="E26" s="275"/>
      <c r="F26" s="274"/>
      <c r="G26" s="274"/>
      <c r="H26" s="274"/>
      <c r="I26" s="274"/>
      <c r="J26" s="83" t="str">
        <f>IF(AND('Mapa final'!$AB$67="Muy Alta",'Mapa final'!$AD$67="Leve"),CONCATENATE("R20",'Mapa final'!$R$67),"")</f>
        <v/>
      </c>
      <c r="K26" s="188" t="str">
        <f>IF(AND('Mapa final'!$AB$68="Muy Alta",'Mapa final'!$AD$68="Leve"),CONCATENATE("R20C",'Mapa final'!$R$68),"")</f>
        <v/>
      </c>
      <c r="L26" s="84" t="str">
        <f>IF(AND('Mapa final'!$AB$69="Muy Alta",'Mapa final'!$AD$69="Leve"),CONCATENATE("R20C",'Mapa final'!$R$69),"")</f>
        <v/>
      </c>
      <c r="M26" s="83" t="str">
        <f>IF(AND('Mapa final'!$AB$67="Muy Alta",'Mapa final'!$AD$67="Menor"),CONCATENATE("R20",'Mapa final'!$R$67),"")</f>
        <v/>
      </c>
      <c r="N26" s="188" t="str">
        <f>IF(AND('Mapa final'!$AB$68="Muy Alta",'Mapa final'!$AD$68="Menor"),CONCATENATE("R20C",'Mapa final'!$R$68),"")</f>
        <v/>
      </c>
      <c r="O26" s="84" t="str">
        <f>IF(AND('Mapa final'!$AB$69="Muy Alta",'Mapa final'!$AD$69="Menor"),CONCATENATE("R20C",'Mapa final'!$R$69),"")</f>
        <v/>
      </c>
      <c r="P26" s="83" t="str">
        <f>IF(AND('Mapa final'!$AB$67="Muy Alta",'Mapa final'!$AD$67="Moderado"),CONCATENATE("R20",'Mapa final'!$R$67),"")</f>
        <v/>
      </c>
      <c r="Q26" s="188" t="str">
        <f>IF(AND('Mapa final'!$AB$68="Muy Alta",'Mapa final'!$AD$68="Moderado"),CONCATENATE("R20C",'Mapa final'!$R$68),"")</f>
        <v/>
      </c>
      <c r="R26" s="84" t="str">
        <f>IF(AND('Mapa final'!$AB$69="Muy Alta",'Mapa final'!$AD$69="Moderado"),CONCATENATE("R20C",'Mapa final'!$R$69),"")</f>
        <v/>
      </c>
      <c r="S26" s="83" t="str">
        <f>IF(AND('Mapa final'!$AB$67="Muy Alta",'Mapa final'!$AD$67="Mayor"),CONCATENATE("R20",'Mapa final'!$R$67),"")</f>
        <v/>
      </c>
      <c r="T26" s="188" t="str">
        <f>IF(AND('Mapa final'!$AB$68="Muy Alta",'Mapa final'!$AD$68="Mayor"),CONCATENATE("R20C",'Mapa final'!$R$68),"")</f>
        <v/>
      </c>
      <c r="U26" s="84" t="str">
        <f>IF(AND('Mapa final'!$AB$69="Muy Alta",'Mapa final'!$AD$69="Mayor"),CONCATENATE("R20C",'Mapa final'!$R$69),"")</f>
        <v/>
      </c>
      <c r="V26" s="158" t="str">
        <f>IF(AND('Mapa final'!$AB$67="Muy Alta",'Mapa final'!$AD$67="Catastrófico"),CONCATENATE("R20",'Mapa final'!$R$67),"")</f>
        <v/>
      </c>
      <c r="W26" s="189" t="str">
        <f>IF(AND('Mapa final'!$AB$68="Muy Alta",'Mapa final'!$AD$68="Catastrófico"),CONCATENATE("R20C",'Mapa final'!$R$68),"")</f>
        <v/>
      </c>
      <c r="X26" s="159" t="str">
        <f>IF(AND('Mapa final'!$AB$69="Muy Alta",'Mapa final'!$AD$69="Catastrófico"),CONCATENATE("R20C",'Mapa final'!$R$69),"")</f>
        <v/>
      </c>
      <c r="Y26" s="38"/>
      <c r="Z26" s="279"/>
      <c r="AA26" s="280"/>
      <c r="AB26" s="280"/>
      <c r="AC26" s="280"/>
      <c r="AD26" s="280"/>
      <c r="AE26" s="281"/>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ht="15" customHeight="1" x14ac:dyDescent="0.25">
      <c r="A27" s="38"/>
      <c r="B27" s="291"/>
      <c r="C27" s="292"/>
      <c r="D27" s="293"/>
      <c r="E27" s="275"/>
      <c r="F27" s="274"/>
      <c r="G27" s="274"/>
      <c r="H27" s="274"/>
      <c r="I27" s="274"/>
      <c r="J27" s="83" t="str">
        <f>IF(AND('Mapa final'!$AB$70="Muy Alta",'Mapa final'!$AD$70="Leve"),CONCATENATE("R21C",'Mapa final'!$R$70),"")</f>
        <v/>
      </c>
      <c r="K27" s="188" t="str">
        <f>IF(AND('Mapa final'!$AB$71="Muy Alta",'Mapa final'!$AD$71="Leve"),CONCATENATE("R21C",'Mapa final'!$R$71),"")</f>
        <v/>
      </c>
      <c r="L27" s="84" t="str">
        <f>IF(AND('Mapa final'!$AB$72="Muy Alta",'Mapa final'!$AD$72="Leve"),CONCATENATE("R21C",'Mapa final'!$R$72),"")</f>
        <v/>
      </c>
      <c r="M27" s="83" t="str">
        <f>IF(AND('Mapa final'!$AB$70="Muy Alta",'Mapa final'!$AD$70="Menor"),CONCATENATE("R21C",'Mapa final'!$R$70),"")</f>
        <v/>
      </c>
      <c r="N27" s="188" t="str">
        <f>IF(AND('Mapa final'!$AB$71="Muy Alta",'Mapa final'!$AD$71="Menor"),CONCATENATE("R21C",'Mapa final'!$R$71),"")</f>
        <v/>
      </c>
      <c r="O27" s="84" t="str">
        <f>IF(AND('Mapa final'!$AB$72="Muy Alta",'Mapa final'!$AD$72="Menor"),CONCATENATE("R21C",'Mapa final'!$R$72),"")</f>
        <v/>
      </c>
      <c r="P27" s="83" t="str">
        <f>IF(AND('Mapa final'!$AB$70="Muy Alta",'Mapa final'!$AD$70="Moderado"),CONCATENATE("R21C",'Mapa final'!$R$70),"")</f>
        <v/>
      </c>
      <c r="Q27" s="188" t="str">
        <f>IF(AND('Mapa final'!$AB$71="Muy Alta",'Mapa final'!$AD$71="Moderado"),CONCATENATE("R21C",'Mapa final'!$R$71),"")</f>
        <v/>
      </c>
      <c r="R27" s="84" t="str">
        <f>IF(AND('Mapa final'!$AB$72="Muy Alta",'Mapa final'!$AD$72="Moderado"),CONCATENATE("R21C",'Mapa final'!$R$72),"")</f>
        <v/>
      </c>
      <c r="S27" s="83" t="str">
        <f>IF(AND('Mapa final'!$AB$70="Muy Alta",'Mapa final'!$AD$70="Mayor"),CONCATENATE("R21C",'Mapa final'!$R$70),"")</f>
        <v/>
      </c>
      <c r="T27" s="188" t="str">
        <f>IF(AND('Mapa final'!$AB$71="Muy Alta",'Mapa final'!$AD$71="Mayor"),CONCATENATE("R21C",'Mapa final'!$R$71),"")</f>
        <v/>
      </c>
      <c r="U27" s="84" t="str">
        <f>IF(AND('Mapa final'!$AB$72="Muy Alta",'Mapa final'!$AD$72="Mayor"),CONCATENATE("R21C",'Mapa final'!$R$72),"")</f>
        <v/>
      </c>
      <c r="V27" s="158" t="str">
        <f>IF(AND('Mapa final'!$AB$70="Muy Alta",'Mapa final'!$AD$70="Catastrófico"),CONCATENATE("R21C",'Mapa final'!$R$70),"")</f>
        <v/>
      </c>
      <c r="W27" s="189" t="str">
        <f>IF(AND('Mapa final'!$AB$71="Muy Alta",'Mapa final'!$AD$71="Catastrófico"),CONCATENATE("R21C",'Mapa final'!$R$71),"")</f>
        <v/>
      </c>
      <c r="X27" s="159" t="str">
        <f>IF(AND('Mapa final'!$AB$72="Muy Alta",'Mapa final'!$AD$72="Catastrófico"),CONCATENATE("R21C",'Mapa final'!$R$72),"")</f>
        <v/>
      </c>
      <c r="Y27" s="38"/>
      <c r="Z27" s="279"/>
      <c r="AA27" s="280"/>
      <c r="AB27" s="280"/>
      <c r="AC27" s="280"/>
      <c r="AD27" s="280"/>
      <c r="AE27" s="281"/>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ht="15" customHeight="1" x14ac:dyDescent="0.25">
      <c r="A28" s="38"/>
      <c r="B28" s="291"/>
      <c r="C28" s="292"/>
      <c r="D28" s="293"/>
      <c r="E28" s="275"/>
      <c r="F28" s="274"/>
      <c r="G28" s="274"/>
      <c r="H28" s="274"/>
      <c r="I28" s="274"/>
      <c r="J28" s="83" t="str">
        <f>IF(AND('Mapa final'!$AB$73="Muy Alta",'Mapa final'!$AD$73="Leve"),CONCATENATE("R22C",'Mapa final'!$R$73),"")</f>
        <v/>
      </c>
      <c r="K28" s="188" t="str">
        <f>IF(AND('Mapa final'!$AB$74="Muy Alta",'Mapa final'!$AD$74="Leve"),CONCATENATE("R22C",'Mapa final'!$R$74),"")</f>
        <v/>
      </c>
      <c r="L28" s="84" t="str">
        <f>IF(AND('Mapa final'!$AB$75="Muy Alta",'Mapa final'!$AD$75="Leve"),CONCATENATE("R2C",'Mapa final'!$R$75),"")</f>
        <v/>
      </c>
      <c r="M28" s="83" t="str">
        <f>IF(AND('Mapa final'!$AB$73="Muy Alta",'Mapa final'!$AD$73="Menor"),CONCATENATE("R22C",'Mapa final'!$R$73),"")</f>
        <v/>
      </c>
      <c r="N28" s="188" t="str">
        <f>IF(AND('Mapa final'!$AB$74="Muy Alta",'Mapa final'!$AD$74="Menor"),CONCATENATE("R22C",'Mapa final'!$R$74),"")</f>
        <v/>
      </c>
      <c r="O28" s="84" t="str">
        <f>IF(AND('Mapa final'!$AB$75="Muy Alta",'Mapa final'!$AD$75="Menor"),CONCATENATE("R2C",'Mapa final'!$R$75),"")</f>
        <v/>
      </c>
      <c r="P28" s="83" t="str">
        <f>IF(AND('Mapa final'!$AB$73="Muy Alta",'Mapa final'!$AD$73="Moderado"),CONCATENATE("R22C",'Mapa final'!$R$73),"")</f>
        <v/>
      </c>
      <c r="Q28" s="188" t="str">
        <f>IF(AND('Mapa final'!$AB$74="Muy Alta",'Mapa final'!$AD$74="Moderado"),CONCATENATE("R22C",'Mapa final'!$R$74),"")</f>
        <v/>
      </c>
      <c r="R28" s="84" t="str">
        <f>IF(AND('Mapa final'!$AB$75="Muy Alta",'Mapa final'!$AD$75="Moderado"),CONCATENATE("R2C",'Mapa final'!$R$75),"")</f>
        <v/>
      </c>
      <c r="S28" s="83" t="str">
        <f>IF(AND('Mapa final'!$AB$73="Muy Alta",'Mapa final'!$AD$73="Mayor"),CONCATENATE("R22C",'Mapa final'!$R$73),"")</f>
        <v/>
      </c>
      <c r="T28" s="188" t="str">
        <f>IF(AND('Mapa final'!$AB$74="Muy Alta",'Mapa final'!$AD$74="Mayor"),CONCATENATE("R22C",'Mapa final'!$R$74),"")</f>
        <v/>
      </c>
      <c r="U28" s="84" t="str">
        <f>IF(AND('Mapa final'!$AB$75="Muy Alta",'Mapa final'!$AD$75="Mayor"),CONCATENATE("R2C",'Mapa final'!$R$75),"")</f>
        <v/>
      </c>
      <c r="V28" s="158" t="str">
        <f>IF(AND('Mapa final'!$AB$73="Muy Alta",'Mapa final'!$AD$73="Catastrófico"),CONCATENATE("R22C",'Mapa final'!$R$73),"")</f>
        <v/>
      </c>
      <c r="W28" s="189" t="str">
        <f>IF(AND('Mapa final'!$AB$74="Muy Alta",'Mapa final'!$AD$74="Catastrófico"),CONCATENATE("R22C",'Mapa final'!$R$74),"")</f>
        <v/>
      </c>
      <c r="X28" s="159" t="str">
        <f>IF(AND('Mapa final'!$AB$75="Muy Alta",'Mapa final'!$AD$75="Catastrófico"),CONCATENATE("R2C",'Mapa final'!$R$75),"")</f>
        <v/>
      </c>
      <c r="Y28" s="38"/>
      <c r="Z28" s="279"/>
      <c r="AA28" s="280"/>
      <c r="AB28" s="280"/>
      <c r="AC28" s="280"/>
      <c r="AD28" s="280"/>
      <c r="AE28" s="281"/>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ht="15" customHeight="1" x14ac:dyDescent="0.25">
      <c r="A29" s="38"/>
      <c r="B29" s="291"/>
      <c r="C29" s="292"/>
      <c r="D29" s="293"/>
      <c r="E29" s="275"/>
      <c r="F29" s="274"/>
      <c r="G29" s="274"/>
      <c r="H29" s="274"/>
      <c r="I29" s="274"/>
      <c r="J29" s="83" t="str">
        <f>IF(AND('Mapa final'!$AB$76="Muy Alta",'Mapa final'!$AD$76="Leve"),CONCATENATE("R23C",'Mapa final'!$R$76),"")</f>
        <v/>
      </c>
      <c r="K29" s="188" t="str">
        <f>IF(AND('Mapa final'!$AB$77="Muy Alta",'Mapa final'!$AD$77="Leve"),CONCATENATE("R23C",'Mapa final'!$R$77),"")</f>
        <v/>
      </c>
      <c r="L29" s="84" t="str">
        <f>IF(AND('Mapa final'!$AB$78="Muy Alta",'Mapa final'!$AD$78="Leve"),CONCATENATE("R23C",'Mapa final'!$R$78),"")</f>
        <v/>
      </c>
      <c r="M29" s="83" t="str">
        <f>IF(AND('Mapa final'!$AB$76="Muy Alta",'Mapa final'!$AD$76="Menor"),CONCATENATE("R23C",'Mapa final'!$R$76),"")</f>
        <v/>
      </c>
      <c r="N29" s="188" t="str">
        <f>IF(AND('Mapa final'!$AB$77="Muy Alta",'Mapa final'!$AD$77="Menor"),CONCATENATE("R23C",'Mapa final'!$R$77),"")</f>
        <v/>
      </c>
      <c r="O29" s="84" t="str">
        <f>IF(AND('Mapa final'!$AB$78="Muy Alta",'Mapa final'!$AD$78="Menor"),CONCATENATE("R23C",'Mapa final'!$R$78),"")</f>
        <v/>
      </c>
      <c r="P29" s="83" t="str">
        <f>IF(AND('Mapa final'!$AB$76="Muy Alta",'Mapa final'!$AD$76="Moderado"),CONCATENATE("R23C",'Mapa final'!$R$76),"")</f>
        <v/>
      </c>
      <c r="Q29" s="188" t="str">
        <f>IF(AND('Mapa final'!$AB$77="Muy Alta",'Mapa final'!$AD$77="Moderado"),CONCATENATE("R23C",'Mapa final'!$R$77),"")</f>
        <v/>
      </c>
      <c r="R29" s="84" t="str">
        <f>IF(AND('Mapa final'!$AB$78="Muy Alta",'Mapa final'!$AD$78="Moderado"),CONCATENATE("R23C",'Mapa final'!$R$78),"")</f>
        <v/>
      </c>
      <c r="S29" s="83" t="str">
        <f>IF(AND('Mapa final'!$AB$76="Muy Alta",'Mapa final'!$AD$76="Mayor"),CONCATENATE("R23C",'Mapa final'!$R$76),"")</f>
        <v/>
      </c>
      <c r="T29" s="188" t="str">
        <f>IF(AND('Mapa final'!$AB$77="Muy Alta",'Mapa final'!$AD$77="Mayor"),CONCATENATE("R23C",'Mapa final'!$R$77),"")</f>
        <v/>
      </c>
      <c r="U29" s="84" t="str">
        <f>IF(AND('Mapa final'!$AB$78="Muy Alta",'Mapa final'!$AD$78="Mayor"),CONCATENATE("R23C",'Mapa final'!$R$78),"")</f>
        <v/>
      </c>
      <c r="V29" s="158" t="str">
        <f>IF(AND('Mapa final'!$AB$76="Muy Alta",'Mapa final'!$AD$76="Catastrófico"),CONCATENATE("R23C",'Mapa final'!$R$76),"")</f>
        <v/>
      </c>
      <c r="W29" s="189" t="str">
        <f>IF(AND('Mapa final'!$AB$77="Muy Alta",'Mapa final'!$AD$77="Catastrófico"),CONCATENATE("R23C",'Mapa final'!$R$77),"")</f>
        <v/>
      </c>
      <c r="X29" s="159" t="str">
        <f>IF(AND('Mapa final'!$AB$78="Muy Alta",'Mapa final'!$AD$78="Catastrófico"),CONCATENATE("R23C",'Mapa final'!$R$78),"")</f>
        <v/>
      </c>
      <c r="Y29" s="38"/>
      <c r="Z29" s="279"/>
      <c r="AA29" s="280"/>
      <c r="AB29" s="280"/>
      <c r="AC29" s="280"/>
      <c r="AD29" s="280"/>
      <c r="AE29" s="281"/>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ht="15" customHeight="1" x14ac:dyDescent="0.25">
      <c r="A30" s="38"/>
      <c r="B30" s="291"/>
      <c r="C30" s="292"/>
      <c r="D30" s="293"/>
      <c r="E30" s="275"/>
      <c r="F30" s="274"/>
      <c r="G30" s="274"/>
      <c r="H30" s="274"/>
      <c r="I30" s="274"/>
      <c r="J30" s="83" t="str">
        <f>IF(AND('Mapa final'!$AB$79="Muy Alta",'Mapa final'!$AD$79="Leve"),CONCATENATE("R24C",'Mapa final'!$R$79),"")</f>
        <v/>
      </c>
      <c r="K30" s="188" t="str">
        <f>IF(AND('Mapa final'!$AB$80="Muy Alta",'Mapa final'!$AD$80="Leve"),CONCATENATE("R24C",'Mapa final'!$R$80),"")</f>
        <v/>
      </c>
      <c r="L30" s="84" t="str">
        <f>IF(AND('Mapa final'!$AB$81="Muy Alta",'Mapa final'!$AD$81="Leve"),CONCATENATE("R24C",'Mapa final'!$R$81),"")</f>
        <v/>
      </c>
      <c r="M30" s="83" t="str">
        <f>IF(AND('Mapa final'!$AB$79="Muy Alta",'Mapa final'!$AD$79="Menor"),CONCATENATE("R24C",'Mapa final'!$R$79),"")</f>
        <v/>
      </c>
      <c r="N30" s="188" t="str">
        <f>IF(AND('Mapa final'!$AB$80="Muy Alta",'Mapa final'!$AD$80="Menor"),CONCATENATE("R24C",'Mapa final'!$R$80),"")</f>
        <v/>
      </c>
      <c r="O30" s="84" t="str">
        <f>IF(AND('Mapa final'!$AB$81="Muy Alta",'Mapa final'!$AD$81="Menor"),CONCATENATE("R24C",'Mapa final'!$R$81),"")</f>
        <v/>
      </c>
      <c r="P30" s="83" t="str">
        <f>IF(AND('Mapa final'!$AB$79="Muy Alta",'Mapa final'!$AD$79="Moderado"),CONCATENATE("R24C",'Mapa final'!$R$79),"")</f>
        <v/>
      </c>
      <c r="Q30" s="188" t="str">
        <f>IF(AND('Mapa final'!$AB$80="Muy Alta",'Mapa final'!$AD$80="Moderado"),CONCATENATE("R24C",'Mapa final'!$R$80),"")</f>
        <v/>
      </c>
      <c r="R30" s="84" t="str">
        <f>IF(AND('Mapa final'!$AB$81="Muy Alta",'Mapa final'!$AD$81="Moderado"),CONCATENATE("R24C",'Mapa final'!$R$81),"")</f>
        <v/>
      </c>
      <c r="S30" s="83" t="str">
        <f>IF(AND('Mapa final'!$AB$79="Muy Alta",'Mapa final'!$AD$79="Mayor"),CONCATENATE("R24C",'Mapa final'!$R$79),"")</f>
        <v/>
      </c>
      <c r="T30" s="188" t="str">
        <f>IF(AND('Mapa final'!$AB$80="Muy Alta",'Mapa final'!$AD$80="Mayor"),CONCATENATE("R24C",'Mapa final'!$R$80),"")</f>
        <v/>
      </c>
      <c r="U30" s="84" t="str">
        <f>IF(AND('Mapa final'!$AB$81="Muy Alta",'Mapa final'!$AD$81="Mayor"),CONCATENATE("R24C",'Mapa final'!$R$81),"")</f>
        <v/>
      </c>
      <c r="V30" s="158" t="str">
        <f>IF(AND('Mapa final'!$AB$79="Muy Alta",'Mapa final'!$AD$79="Catastrófico"),CONCATENATE("R24C",'Mapa final'!$R$79),"")</f>
        <v/>
      </c>
      <c r="W30" s="189" t="str">
        <f>IF(AND('Mapa final'!$AB$80="Muy Alta",'Mapa final'!$AD$80="Catastrófico"),CONCATENATE("R24C",'Mapa final'!$R$80),"")</f>
        <v/>
      </c>
      <c r="X30" s="159" t="str">
        <f>IF(AND('Mapa final'!$AB$81="Muy Alta",'Mapa final'!$AD$81="Catastrófico"),CONCATENATE("R24C",'Mapa final'!$R$81),"")</f>
        <v/>
      </c>
      <c r="Y30" s="38"/>
      <c r="Z30" s="279"/>
      <c r="AA30" s="280"/>
      <c r="AB30" s="280"/>
      <c r="AC30" s="280"/>
      <c r="AD30" s="280"/>
      <c r="AE30" s="281"/>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ht="15" customHeight="1" x14ac:dyDescent="0.25">
      <c r="A31" s="38"/>
      <c r="B31" s="291"/>
      <c r="C31" s="292"/>
      <c r="D31" s="293"/>
      <c r="E31" s="275"/>
      <c r="F31" s="274"/>
      <c r="G31" s="274"/>
      <c r="H31" s="274"/>
      <c r="I31" s="274"/>
      <c r="J31" s="83" t="str">
        <f>IF(AND('Mapa final'!$AB$82="Muy Alta",'Mapa final'!$AD$82="Leve"),CONCATENATE("R25C",'Mapa final'!$R$82),"")</f>
        <v/>
      </c>
      <c r="K31" s="188" t="str">
        <f>IF(AND('Mapa final'!$AB$83="Muy Alta",'Mapa final'!$AD$83="Leve"),CONCATENATE("R25C",'Mapa final'!$R$83),"")</f>
        <v/>
      </c>
      <c r="L31" s="84" t="str">
        <f>IF(AND('Mapa final'!$AB$84="Muy Alta",'Mapa final'!$AD$84="Leve"),CONCATENATE("R25C",'Mapa final'!$R$84),"")</f>
        <v/>
      </c>
      <c r="M31" s="83" t="str">
        <f>IF(AND('Mapa final'!$AB$82="Muy Alta",'Mapa final'!$AD$82="Menor"),CONCATENATE("R25C",'Mapa final'!$R$82),"")</f>
        <v/>
      </c>
      <c r="N31" s="188" t="str">
        <f>IF(AND('Mapa final'!$AB$83="Muy Alta",'Mapa final'!$AD$83="Menor"),CONCATENATE("R25C",'Mapa final'!$R$83),"")</f>
        <v/>
      </c>
      <c r="O31" s="84" t="str">
        <f>IF(AND('Mapa final'!$AB$84="Muy Alta",'Mapa final'!$AD$84="Menor"),CONCATENATE("R25C",'Mapa final'!$R$84),"")</f>
        <v/>
      </c>
      <c r="P31" s="83" t="str">
        <f>IF(AND('Mapa final'!$AB$82="Muy Alta",'Mapa final'!$AD$82="Moderado"),CONCATENATE("R25C",'Mapa final'!$R$82),"")</f>
        <v/>
      </c>
      <c r="Q31" s="188" t="str">
        <f>IF(AND('Mapa final'!$AB$83="Muy Alta",'Mapa final'!$AD$83="Moderado"),CONCATENATE("R25C",'Mapa final'!$R$83),"")</f>
        <v/>
      </c>
      <c r="R31" s="84" t="str">
        <f>IF(AND('Mapa final'!$AB$84="Muy Alta",'Mapa final'!$AD$84="Moderado"),CONCATENATE("R25C",'Mapa final'!$R$84),"")</f>
        <v/>
      </c>
      <c r="S31" s="83" t="str">
        <f>IF(AND('Mapa final'!$AB$82="Muy Alta",'Mapa final'!$AD$82="Mayor"),CONCATENATE("R25C",'Mapa final'!$R$82),"")</f>
        <v/>
      </c>
      <c r="T31" s="188" t="str">
        <f>IF(AND('Mapa final'!$AB$83="Muy Alta",'Mapa final'!$AD$83="Mayor"),CONCATENATE("R25C",'Mapa final'!$R$83),"")</f>
        <v/>
      </c>
      <c r="U31" s="84" t="str">
        <f>IF(AND('Mapa final'!$AB$84="Muy Alta",'Mapa final'!$AD$84="Mayor"),CONCATENATE("R25C",'Mapa final'!$R$84),"")</f>
        <v/>
      </c>
      <c r="V31" s="158" t="str">
        <f>IF(AND('Mapa final'!$AB$82="Muy Alta",'Mapa final'!$AD$82="Catastrófico"),CONCATENATE("R25C",'Mapa final'!$R$82),"")</f>
        <v/>
      </c>
      <c r="W31" s="189" t="str">
        <f>IF(AND('Mapa final'!$AB$83="Muy Alta",'Mapa final'!$AD$83="Catastrófico"),CONCATENATE("R25C",'Mapa final'!$R$83),"")</f>
        <v/>
      </c>
      <c r="X31" s="159" t="str">
        <f>IF(AND('Mapa final'!$AB$84="Muy Alta",'Mapa final'!$AD$84="Catastrófico"),CONCATENATE("R25C",'Mapa final'!$R$84),"")</f>
        <v/>
      </c>
      <c r="Y31" s="38"/>
      <c r="Z31" s="279"/>
      <c r="AA31" s="280"/>
      <c r="AB31" s="280"/>
      <c r="AC31" s="280"/>
      <c r="AD31" s="280"/>
      <c r="AE31" s="281"/>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ht="15" customHeight="1" x14ac:dyDescent="0.25">
      <c r="A32" s="38"/>
      <c r="B32" s="291"/>
      <c r="C32" s="292"/>
      <c r="D32" s="293"/>
      <c r="E32" s="275"/>
      <c r="F32" s="274"/>
      <c r="G32" s="274"/>
      <c r="H32" s="274"/>
      <c r="I32" s="274"/>
      <c r="J32" s="83" t="str">
        <f>IF(AND('Mapa final'!$AB$85="Muy Alta",'Mapa final'!$AD$85="Leve"),CONCATENATE("R26C",'Mapa final'!$R$85),"")</f>
        <v/>
      </c>
      <c r="K32" s="188" t="str">
        <f>IF(AND('Mapa final'!$AB$86="Muy Alta",'Mapa final'!$AD$86="Leve"),CONCATENATE("R26C",'Mapa final'!$R$86),"")</f>
        <v/>
      </c>
      <c r="L32" s="84" t="str">
        <f>IF(AND('Mapa final'!$AB$87="Muy Alta",'Mapa final'!$AD$87="Leve"),CONCATENATE("R26C",'Mapa final'!$R$87),"")</f>
        <v/>
      </c>
      <c r="M32" s="83" t="str">
        <f>IF(AND('Mapa final'!$AB$85="Muy Alta",'Mapa final'!$AD$85="Menor"),CONCATENATE("R26C",'Mapa final'!$R$85),"")</f>
        <v/>
      </c>
      <c r="N32" s="188" t="str">
        <f>IF(AND('Mapa final'!$AB$86="Muy Alta",'Mapa final'!$AD$86="Menor"),CONCATENATE("R26C",'Mapa final'!$R$86),"")</f>
        <v/>
      </c>
      <c r="O32" s="84" t="str">
        <f>IF(AND('Mapa final'!$AB$87="Muy Alta",'Mapa final'!$AD$87="Menor"),CONCATENATE("R26C",'Mapa final'!$R$87),"")</f>
        <v/>
      </c>
      <c r="P32" s="83" t="str">
        <f>IF(AND('Mapa final'!$AB$85="Muy Alta",'Mapa final'!$AD$85="Moderado"),CONCATENATE("R26C",'Mapa final'!$R$85),"")</f>
        <v/>
      </c>
      <c r="Q32" s="188" t="str">
        <f>IF(AND('Mapa final'!$AB$86="Muy Alta",'Mapa final'!$AD$86="Moderado"),CONCATENATE("R26C",'Mapa final'!$R$86),"")</f>
        <v/>
      </c>
      <c r="R32" s="84" t="str">
        <f>IF(AND('Mapa final'!$AB$87="Muy Alta",'Mapa final'!$AD$87="Moderado"),CONCATENATE("R26C",'Mapa final'!$R$87),"")</f>
        <v/>
      </c>
      <c r="S32" s="83" t="str">
        <f>IF(AND('Mapa final'!$AB$85="Muy Alta",'Mapa final'!$AD$85="Mayor"),CONCATENATE("R26C",'Mapa final'!$R$85),"")</f>
        <v/>
      </c>
      <c r="T32" s="188" t="str">
        <f>IF(AND('Mapa final'!$AB$86="Muy Alta",'Mapa final'!$AD$86="Mayor"),CONCATENATE("R26C",'Mapa final'!$R$86),"")</f>
        <v/>
      </c>
      <c r="U32" s="84" t="str">
        <f>IF(AND('Mapa final'!$AB$87="Muy Alta",'Mapa final'!$AD$87="Mayor"),CONCATENATE("R26C",'Mapa final'!$R$87),"")</f>
        <v/>
      </c>
      <c r="V32" s="158" t="str">
        <f>IF(AND('Mapa final'!$AB$85="Muy Alta",'Mapa final'!$AD$85="Catastrófico"),CONCATENATE("R26C",'Mapa final'!$R$85),"")</f>
        <v/>
      </c>
      <c r="W32" s="189" t="str">
        <f>IF(AND('Mapa final'!$AB$86="Muy Alta",'Mapa final'!$AD$86="Catastrófico"),CONCATENATE("R26C",'Mapa final'!$R$86),"")</f>
        <v/>
      </c>
      <c r="X32" s="159" t="str">
        <f>IF(AND('Mapa final'!$AB$87="Muy Alta",'Mapa final'!$AD$87="Catastrófico"),CONCATENATE("R26C",'Mapa final'!$R$87),"")</f>
        <v/>
      </c>
      <c r="Y32" s="38"/>
      <c r="Z32" s="279"/>
      <c r="AA32" s="280"/>
      <c r="AB32" s="280"/>
      <c r="AC32" s="280"/>
      <c r="AD32" s="280"/>
      <c r="AE32" s="281"/>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ht="15" customHeight="1" x14ac:dyDescent="0.25">
      <c r="A33" s="38"/>
      <c r="B33" s="291"/>
      <c r="C33" s="292"/>
      <c r="D33" s="293"/>
      <c r="E33" s="275"/>
      <c r="F33" s="274"/>
      <c r="G33" s="274"/>
      <c r="H33" s="274"/>
      <c r="I33" s="274"/>
      <c r="J33" s="83" t="str">
        <f>IF(AND('Mapa final'!$AB$88="Muy Alta",'Mapa final'!$AD$88="Leve"),CONCATENATE("R27C",'Mapa final'!$R$88),"")</f>
        <v/>
      </c>
      <c r="K33" s="188" t="str">
        <f>IF(AND('Mapa final'!$AB$89="Muy Alta",'Mapa final'!$AD$89="Leve"),CONCATENATE("R27C",'Mapa final'!$R$89),"")</f>
        <v/>
      </c>
      <c r="L33" s="84" t="str">
        <f>IF(AND('Mapa final'!$AB$90="Muy Alta",'Mapa final'!$AD$90="Leve"),CONCATENATE("R27C",'Mapa final'!$R$90),"")</f>
        <v/>
      </c>
      <c r="M33" s="83" t="str">
        <f>IF(AND('Mapa final'!$AB$88="Muy Alta",'Mapa final'!$AD$88="Menor"),CONCATENATE("R27C",'Mapa final'!$R$88),"")</f>
        <v/>
      </c>
      <c r="N33" s="188" t="str">
        <f>IF(AND('Mapa final'!$AB$89="Muy Alta",'Mapa final'!$AD$89="Menor"),CONCATENATE("R27C",'Mapa final'!$R$89),"")</f>
        <v/>
      </c>
      <c r="O33" s="84" t="str">
        <f>IF(AND('Mapa final'!$AB$90="Muy Alta",'Mapa final'!$AD$90="Menor"),CONCATENATE("R27C",'Mapa final'!$R$90),"")</f>
        <v/>
      </c>
      <c r="P33" s="83" t="str">
        <f>IF(AND('Mapa final'!$AB$88="Muy Alta",'Mapa final'!$AD$88="Moderado"),CONCATENATE("R27C",'Mapa final'!$R$88),"")</f>
        <v/>
      </c>
      <c r="Q33" s="188" t="str">
        <f>IF(AND('Mapa final'!$AB$89="Muy Alta",'Mapa final'!$AD$89="Moderado"),CONCATENATE("R27C",'Mapa final'!$R$89),"")</f>
        <v/>
      </c>
      <c r="R33" s="84" t="str">
        <f>IF(AND('Mapa final'!$AB$90="Muy Alta",'Mapa final'!$AD$90="Moderado"),CONCATENATE("R27C",'Mapa final'!$R$90),"")</f>
        <v/>
      </c>
      <c r="S33" s="83" t="str">
        <f>IF(AND('Mapa final'!$AB$88="Muy Alta",'Mapa final'!$AD$88="Mayor"),CONCATENATE("R27C",'Mapa final'!$R$88),"")</f>
        <v/>
      </c>
      <c r="T33" s="188" t="str">
        <f>IF(AND('Mapa final'!$AB$89="Muy Alta",'Mapa final'!$AD$89="Mayor"),CONCATENATE("R27C",'Mapa final'!$R$89),"")</f>
        <v/>
      </c>
      <c r="U33" s="84" t="str">
        <f>IF(AND('Mapa final'!$AB$90="Muy Alta",'Mapa final'!$AD$90="Mayor"),CONCATENATE("R27C",'Mapa final'!$R$90),"")</f>
        <v/>
      </c>
      <c r="V33" s="158" t="str">
        <f>IF(AND('Mapa final'!$AB$88="Muy Alta",'Mapa final'!$AD$88="Catastrófico"),CONCATENATE("R27C",'Mapa final'!$R$88),"")</f>
        <v/>
      </c>
      <c r="W33" s="189" t="str">
        <f>IF(AND('Mapa final'!$AB$89="Muy Alta",'Mapa final'!$AD$89="Catastrófico"),CONCATENATE("R27C",'Mapa final'!$R$89),"")</f>
        <v/>
      </c>
      <c r="X33" s="159" t="str">
        <f>IF(AND('Mapa final'!$AB$90="Muy Alta",'Mapa final'!$AD$90="Catastrófico"),CONCATENATE("R27C",'Mapa final'!$R$90),"")</f>
        <v/>
      </c>
      <c r="Y33" s="38"/>
      <c r="Z33" s="279"/>
      <c r="AA33" s="280"/>
      <c r="AB33" s="280"/>
      <c r="AC33" s="280"/>
      <c r="AD33" s="280"/>
      <c r="AE33" s="281"/>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ht="15" customHeight="1" x14ac:dyDescent="0.25">
      <c r="A34" s="38"/>
      <c r="B34" s="291"/>
      <c r="C34" s="292"/>
      <c r="D34" s="293"/>
      <c r="E34" s="275"/>
      <c r="F34" s="274"/>
      <c r="G34" s="274"/>
      <c r="H34" s="274"/>
      <c r="I34" s="274"/>
      <c r="J34" s="83" t="str">
        <f>IF(AND('Mapa final'!$AB$91="Muy Alta",'Mapa final'!$AD$91="Leve"),CONCATENATE("R28C",'Mapa final'!$R$91),"")</f>
        <v/>
      </c>
      <c r="K34" s="188" t="str">
        <f>IF(AND('Mapa final'!$AB$92="Muy Alta",'Mapa final'!$AD$92="Leve"),CONCATENATE("R28C",'Mapa final'!$R$92),"")</f>
        <v/>
      </c>
      <c r="L34" s="84" t="str">
        <f>IF(AND('Mapa final'!$AB$93="Muy Alta",'Mapa final'!$AD$93="Leve"),CONCATENATE("R28C",'Mapa final'!$R$93),"")</f>
        <v/>
      </c>
      <c r="M34" s="83" t="str">
        <f>IF(AND('Mapa final'!$AB$91="Muy Alta",'Mapa final'!$AD$91="Menor"),CONCATENATE("R28C",'Mapa final'!$R$91),"")</f>
        <v/>
      </c>
      <c r="N34" s="188" t="str">
        <f>IF(AND('Mapa final'!$AB$92="Muy Alta",'Mapa final'!$AD$92="Menor"),CONCATENATE("R28C",'Mapa final'!$R$92),"")</f>
        <v/>
      </c>
      <c r="O34" s="84" t="str">
        <f>IF(AND('Mapa final'!$AB$93="Muy Alta",'Mapa final'!$AD$93="Menor"),CONCATENATE("R28C",'Mapa final'!$R$93),"")</f>
        <v/>
      </c>
      <c r="P34" s="83" t="str">
        <f>IF(AND('Mapa final'!$AB$91="Muy Alta",'Mapa final'!$AD$91="Moderado"),CONCATENATE("R28C",'Mapa final'!$R$91),"")</f>
        <v/>
      </c>
      <c r="Q34" s="188" t="str">
        <f>IF(AND('Mapa final'!$AB$92="Muy Alta",'Mapa final'!$AD$92="Moderado"),CONCATENATE("R28C",'Mapa final'!$R$92),"")</f>
        <v/>
      </c>
      <c r="R34" s="84" t="str">
        <f>IF(AND('Mapa final'!$AB$93="Muy Alta",'Mapa final'!$AD$93="Moderado"),CONCATENATE("R28C",'Mapa final'!$R$93),"")</f>
        <v/>
      </c>
      <c r="S34" s="83" t="str">
        <f>IF(AND('Mapa final'!$AB$91="Muy Alta",'Mapa final'!$AD$91="Mayor"),CONCATENATE("R28C",'Mapa final'!$R$91),"")</f>
        <v/>
      </c>
      <c r="T34" s="188" t="str">
        <f>IF(AND('Mapa final'!$AB$92="Muy Alta",'Mapa final'!$AD$92="Mayor"),CONCATENATE("R28C",'Mapa final'!$R$92),"")</f>
        <v/>
      </c>
      <c r="U34" s="84" t="str">
        <f>IF(AND('Mapa final'!$AB$93="Muy Alta",'Mapa final'!$AD$93="Mayor"),CONCATENATE("R28C",'Mapa final'!$R$93),"")</f>
        <v/>
      </c>
      <c r="V34" s="158" t="str">
        <f>IF(AND('Mapa final'!$AB$91="Muy Alta",'Mapa final'!$AD$91="Catastrófico"),CONCATENATE("R28C",'Mapa final'!$R$91),"")</f>
        <v/>
      </c>
      <c r="W34" s="189" t="str">
        <f>IF(AND('Mapa final'!$AB$92="Muy Alta",'Mapa final'!$AD$92="Catastrófico"),CONCATENATE("R28C",'Mapa final'!$R$92),"")</f>
        <v/>
      </c>
      <c r="X34" s="159" t="str">
        <f>IF(AND('Mapa final'!$AB$93="Muy Alta",'Mapa final'!$AD$93="Catastrófico"),CONCATENATE("R28C",'Mapa final'!$R$93),"")</f>
        <v/>
      </c>
      <c r="Y34" s="38"/>
      <c r="Z34" s="279"/>
      <c r="AA34" s="280"/>
      <c r="AB34" s="280"/>
      <c r="AC34" s="280"/>
      <c r="AD34" s="280"/>
      <c r="AE34" s="281"/>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ht="15" customHeight="1" x14ac:dyDescent="0.25">
      <c r="A35" s="38"/>
      <c r="B35" s="291"/>
      <c r="C35" s="292"/>
      <c r="D35" s="293"/>
      <c r="E35" s="275"/>
      <c r="F35" s="274"/>
      <c r="G35" s="274"/>
      <c r="H35" s="274"/>
      <c r="I35" s="274"/>
      <c r="J35" s="83" t="str">
        <f>IF(AND('Mapa final'!$AB$94="Muy Alta",'Mapa final'!$AD$94="Leve"),CONCATENATE("R29C",'Mapa final'!$R$94),"")</f>
        <v/>
      </c>
      <c r="K35" s="188" t="str">
        <f>IF(AND('Mapa final'!$AB$95="Muy Alta",'Mapa final'!$AD$95="Leve"),CONCATENATE("R29C",'Mapa final'!$R$95),"")</f>
        <v/>
      </c>
      <c r="L35" s="84" t="str">
        <f>IF(AND('Mapa final'!$AB$96="Muy Alta",'Mapa final'!$AD$96="Leve"),CONCATENATE("R29C",'Mapa final'!$R$96),"")</f>
        <v/>
      </c>
      <c r="M35" s="83" t="str">
        <f>IF(AND('Mapa final'!$AB$94="Muy Alta",'Mapa final'!$AD$94="Menor"),CONCATENATE("R29C",'Mapa final'!$R$94),"")</f>
        <v/>
      </c>
      <c r="N35" s="188" t="str">
        <f>IF(AND('Mapa final'!$AB$95="Muy Alta",'Mapa final'!$AD$95="Menor"),CONCATENATE("R29C",'Mapa final'!$R$95),"")</f>
        <v/>
      </c>
      <c r="O35" s="84" t="str">
        <f>IF(AND('Mapa final'!$AB$96="Muy Alta",'Mapa final'!$AD$96="Menor"),CONCATENATE("R29C",'Mapa final'!$R$96),"")</f>
        <v/>
      </c>
      <c r="P35" s="83" t="str">
        <f>IF(AND('Mapa final'!$AB$94="Muy Alta",'Mapa final'!$AD$94="Moderado"),CONCATENATE("R29C",'Mapa final'!$R$94),"")</f>
        <v/>
      </c>
      <c r="Q35" s="188" t="str">
        <f>IF(AND('Mapa final'!$AB$95="Muy Alta",'Mapa final'!$AD$95="Moderado"),CONCATENATE("R29C",'Mapa final'!$R$95),"")</f>
        <v/>
      </c>
      <c r="R35" s="84" t="str">
        <f>IF(AND('Mapa final'!$AB$96="Muy Alta",'Mapa final'!$AD$96="Moderado"),CONCATENATE("R29C",'Mapa final'!$R$96),"")</f>
        <v/>
      </c>
      <c r="S35" s="83" t="str">
        <f>IF(AND('Mapa final'!$AB$94="Muy Alta",'Mapa final'!$AD$94="Mayor"),CONCATENATE("R29C",'Mapa final'!$R$94),"")</f>
        <v/>
      </c>
      <c r="T35" s="188" t="str">
        <f>IF(AND('Mapa final'!$AB$95="Muy Alta",'Mapa final'!$AD$95="Mayor"),CONCATENATE("R29C",'Mapa final'!$R$95),"")</f>
        <v/>
      </c>
      <c r="U35" s="84" t="str">
        <f>IF(AND('Mapa final'!$AB$96="Muy Alta",'Mapa final'!$AD$96="Mayor"),CONCATENATE("R29C",'Mapa final'!$R$96),"")</f>
        <v/>
      </c>
      <c r="V35" s="158" t="str">
        <f>IF(AND('Mapa final'!$AB$94="Muy Alta",'Mapa final'!$AD$94="Catastrófico"),CONCATENATE("R29C",'Mapa final'!$R$94),"")</f>
        <v/>
      </c>
      <c r="W35" s="189" t="str">
        <f>IF(AND('Mapa final'!$AB$95="Muy Alta",'Mapa final'!$AD$95="Catastrófico"),CONCATENATE("R29C",'Mapa final'!$R$95),"")</f>
        <v/>
      </c>
      <c r="X35" s="159" t="str">
        <f>IF(AND('Mapa final'!$AB$96="Muy Alta",'Mapa final'!$AD$96="Catastrófico"),CONCATENATE("R29C",'Mapa final'!$R$96),"")</f>
        <v/>
      </c>
      <c r="Y35" s="38"/>
      <c r="Z35" s="279"/>
      <c r="AA35" s="280"/>
      <c r="AB35" s="280"/>
      <c r="AC35" s="280"/>
      <c r="AD35" s="280"/>
      <c r="AE35" s="281"/>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ht="15" customHeight="1" x14ac:dyDescent="0.25">
      <c r="A36" s="38"/>
      <c r="B36" s="291"/>
      <c r="C36" s="292"/>
      <c r="D36" s="293"/>
      <c r="E36" s="275"/>
      <c r="F36" s="274"/>
      <c r="G36" s="274"/>
      <c r="H36" s="274"/>
      <c r="I36" s="274"/>
      <c r="J36" s="83" t="str">
        <f>IF(AND('Mapa final'!$AB$97="Muy Alta",'Mapa final'!$AD$97="Leve"),CONCATENATE("R30C",'Mapa final'!$R$97),"")</f>
        <v/>
      </c>
      <c r="K36" s="188" t="str">
        <f>IF(AND('Mapa final'!$AB$98="Muy Alta",'Mapa final'!$AD$98="Leve"),CONCATENATE("R30C",'Mapa final'!$R$98),"")</f>
        <v/>
      </c>
      <c r="L36" s="84" t="str">
        <f>IF(AND('Mapa final'!$AB$99="Muy Alta",'Mapa final'!$AD$99="Leve"),CONCATENATE("R30C",'Mapa final'!$R$99),"")</f>
        <v/>
      </c>
      <c r="M36" s="83" t="str">
        <f>IF(AND('Mapa final'!$AB$97="Muy Alta",'Mapa final'!$AD$97="Menor"),CONCATENATE("R30C",'Mapa final'!$R$97),"")</f>
        <v/>
      </c>
      <c r="N36" s="188" t="str">
        <f>IF(AND('Mapa final'!$AB$98="Muy Alta",'Mapa final'!$AD$98="Menor"),CONCATENATE("R30C",'Mapa final'!$R$98),"")</f>
        <v/>
      </c>
      <c r="O36" s="84" t="str">
        <f>IF(AND('Mapa final'!$AB$99="Muy Alta",'Mapa final'!$AD$99="Menor"),CONCATENATE("R30C",'Mapa final'!$R$99),"")</f>
        <v/>
      </c>
      <c r="P36" s="83" t="str">
        <f>IF(AND('Mapa final'!$AB$97="Muy Alta",'Mapa final'!$AD$97="Moderado"),CONCATENATE("R30C",'Mapa final'!$R$97),"")</f>
        <v/>
      </c>
      <c r="Q36" s="188" t="str">
        <f>IF(AND('Mapa final'!$AB$98="Muy Alta",'Mapa final'!$AD$98="Moderado"),CONCATENATE("R30C",'Mapa final'!$R$98),"")</f>
        <v/>
      </c>
      <c r="R36" s="84" t="str">
        <f>IF(AND('Mapa final'!$AB$99="Muy Alta",'Mapa final'!$AD$99="Moderado"),CONCATENATE("R30C",'Mapa final'!$R$99),"")</f>
        <v/>
      </c>
      <c r="S36" s="83" t="str">
        <f>IF(AND('Mapa final'!$AB$97="Muy Alta",'Mapa final'!$AD$97="Mayor"),CONCATENATE("R30C",'Mapa final'!$R$97),"")</f>
        <v/>
      </c>
      <c r="T36" s="188" t="str">
        <f>IF(AND('Mapa final'!$AB$98="Muy Alta",'Mapa final'!$AD$98="Mayor"),CONCATENATE("R30C",'Mapa final'!$R$98),"")</f>
        <v/>
      </c>
      <c r="U36" s="84" t="str">
        <f>IF(AND('Mapa final'!$AB$99="Muy Alta",'Mapa final'!$AD$99="Mayor"),CONCATENATE("R30C",'Mapa final'!$R$99),"")</f>
        <v/>
      </c>
      <c r="V36" s="158" t="str">
        <f>IF(AND('Mapa final'!$AB$97="Muy Alta",'Mapa final'!$AD$97="Catastrófico"),CONCATENATE("R30C",'Mapa final'!$R$97),"")</f>
        <v/>
      </c>
      <c r="W36" s="189" t="str">
        <f>IF(AND('Mapa final'!$AB$98="Muy Alta",'Mapa final'!$AD$98="Catastrófico"),CONCATENATE("R30C",'Mapa final'!$R$98),"")</f>
        <v/>
      </c>
      <c r="X36" s="159" t="str">
        <f>IF(AND('Mapa final'!$AB$99="Muy Alta",'Mapa final'!$AD$99="Catastrófico"),CONCATENATE("R30C",'Mapa final'!$R$99),"")</f>
        <v/>
      </c>
      <c r="Y36" s="38"/>
      <c r="Z36" s="279"/>
      <c r="AA36" s="280"/>
      <c r="AB36" s="280"/>
      <c r="AC36" s="280"/>
      <c r="AD36" s="280"/>
      <c r="AE36" s="281"/>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ht="15" customHeight="1" x14ac:dyDescent="0.25">
      <c r="A37" s="38"/>
      <c r="B37" s="291"/>
      <c r="C37" s="292"/>
      <c r="D37" s="293"/>
      <c r="E37" s="275"/>
      <c r="F37" s="274"/>
      <c r="G37" s="274"/>
      <c r="H37" s="274"/>
      <c r="I37" s="274"/>
      <c r="J37" s="83" t="str">
        <f>IF(AND('Mapa final'!$AB$100="Muy Alta",'Mapa final'!$AD$100="Leve"),CONCATENATE("R31C",'Mapa final'!$R$100),"")</f>
        <v/>
      </c>
      <c r="K37" s="188" t="str">
        <f>IF(AND('Mapa final'!$AB$101="Muy Alta",'Mapa final'!$AD$101="Leve"),CONCATENATE("R31C",'Mapa final'!$R$101),"")</f>
        <v/>
      </c>
      <c r="L37" s="84" t="str">
        <f>IF(AND('Mapa final'!$AB$102="Muy Alta",'Mapa final'!$AD$102="Leve"),CONCATENATE("R31C",'Mapa final'!$R$102),"")</f>
        <v/>
      </c>
      <c r="M37" s="83" t="str">
        <f>IF(AND('Mapa final'!$AB$100="Muy Alta",'Mapa final'!$AD$100="Menor"),CONCATENATE("R31C",'Mapa final'!$R$100),"")</f>
        <v/>
      </c>
      <c r="N37" s="188" t="str">
        <f>IF(AND('Mapa final'!$AB$101="Muy Alta",'Mapa final'!$AD$101="Menor"),CONCATENATE("R31C",'Mapa final'!$R$101),"")</f>
        <v/>
      </c>
      <c r="O37" s="84" t="str">
        <f>IF(AND('Mapa final'!$AB$102="Muy Alta",'Mapa final'!$AD$102="Menor"),CONCATENATE("R31C",'Mapa final'!$R$102),"")</f>
        <v/>
      </c>
      <c r="P37" s="83" t="str">
        <f>IF(AND('Mapa final'!$AB$100="Muy Alta",'Mapa final'!$AD$100="Moderado"),CONCATENATE("R31C",'Mapa final'!$R$100),"")</f>
        <v/>
      </c>
      <c r="Q37" s="188" t="str">
        <f>IF(AND('Mapa final'!$AB$101="Muy Alta",'Mapa final'!$AD$101="Moderado"),CONCATENATE("R31C",'Mapa final'!$R$101),"")</f>
        <v/>
      </c>
      <c r="R37" s="84" t="str">
        <f>IF(AND('Mapa final'!$AB$102="Muy Alta",'Mapa final'!$AD$102="Moderado"),CONCATENATE("R31C",'Mapa final'!$R$102),"")</f>
        <v/>
      </c>
      <c r="S37" s="83" t="str">
        <f>IF(AND('Mapa final'!$AB$100="Muy Alta",'Mapa final'!$AD$100="Mayor"),CONCATENATE("R31C",'Mapa final'!$R$100),"")</f>
        <v/>
      </c>
      <c r="T37" s="188" t="str">
        <f>IF(AND('Mapa final'!$AB$101="Muy Alta",'Mapa final'!$AD$101="Mayor"),CONCATENATE("R31C",'Mapa final'!$R$101),"")</f>
        <v/>
      </c>
      <c r="U37" s="84" t="str">
        <f>IF(AND('Mapa final'!$AB$102="Muy Alta",'Mapa final'!$AD$102="Mayor"),CONCATENATE("R31C",'Mapa final'!$R$102),"")</f>
        <v/>
      </c>
      <c r="V37" s="158" t="str">
        <f>IF(AND('Mapa final'!$AB$100="Muy Alta",'Mapa final'!$AD$100="Catastrófico"),CONCATENATE("R31C",'Mapa final'!$R$100),"")</f>
        <v/>
      </c>
      <c r="W37" s="189" t="str">
        <f>IF(AND('Mapa final'!$AB$101="Muy Alta",'Mapa final'!$AD$101="Catastrófico"),CONCATENATE("R31C",'Mapa final'!$R$101),"")</f>
        <v/>
      </c>
      <c r="X37" s="159" t="str">
        <f>IF(AND('Mapa final'!$AB$102="Muy Alta",'Mapa final'!$AD$102="Catastrófico"),CONCATENATE("R31C",'Mapa final'!$R$102),"")</f>
        <v/>
      </c>
      <c r="Y37" s="38"/>
      <c r="Z37" s="279"/>
      <c r="AA37" s="280"/>
      <c r="AB37" s="280"/>
      <c r="AC37" s="280"/>
      <c r="AD37" s="280"/>
      <c r="AE37" s="281"/>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ht="15" customHeight="1" x14ac:dyDescent="0.25">
      <c r="A38" s="38"/>
      <c r="B38" s="291"/>
      <c r="C38" s="292"/>
      <c r="D38" s="293"/>
      <c r="E38" s="275"/>
      <c r="F38" s="274"/>
      <c r="G38" s="274"/>
      <c r="H38" s="274"/>
      <c r="I38" s="274"/>
      <c r="J38" s="83" t="str">
        <f>IF(AND('Mapa final'!$AB$103="Muy Alta",'Mapa final'!$AD$103="Leve"),CONCATENATE("R32C",'Mapa final'!$R$103),"")</f>
        <v/>
      </c>
      <c r="K38" s="188" t="str">
        <f>IF(AND('Mapa final'!$AB$104="Muy Alta",'Mapa final'!$AD$104="Leve"),CONCATENATE("R32C",'Mapa final'!$R$104),"")</f>
        <v/>
      </c>
      <c r="L38" s="84" t="str">
        <f>IF(AND('Mapa final'!$AB$105="Muy Alta",'Mapa final'!$AD$105="Leve"),CONCATENATE("R32C",'Mapa final'!$R$105),"")</f>
        <v/>
      </c>
      <c r="M38" s="83" t="str">
        <f>IF(AND('Mapa final'!$AB$103="Muy Alta",'Mapa final'!$AD$103="Menor"),CONCATENATE("R32C",'Mapa final'!$R$103),"")</f>
        <v/>
      </c>
      <c r="N38" s="188" t="str">
        <f>IF(AND('Mapa final'!$AB$104="Muy Alta",'Mapa final'!$AD$104="Menor"),CONCATENATE("R32C",'Mapa final'!$R$104),"")</f>
        <v/>
      </c>
      <c r="O38" s="84" t="str">
        <f>IF(AND('Mapa final'!$AB$105="Muy Alta",'Mapa final'!$AD$105="Menor"),CONCATENATE("R32C",'Mapa final'!$R$105),"")</f>
        <v/>
      </c>
      <c r="P38" s="83" t="str">
        <f>IF(AND('Mapa final'!$AB$103="Muy Alta",'Mapa final'!$AD$103="Moderado"),CONCATENATE("R32C",'Mapa final'!$R$103),"")</f>
        <v/>
      </c>
      <c r="Q38" s="188" t="str">
        <f>IF(AND('Mapa final'!$AB$104="Muy Alta",'Mapa final'!$AD$104="Moderado"),CONCATENATE("R32C",'Mapa final'!$R$104),"")</f>
        <v/>
      </c>
      <c r="R38" s="84" t="str">
        <f>IF(AND('Mapa final'!$AB$105="Muy Alta",'Mapa final'!$AD$105="Moderado"),CONCATENATE("R32C",'Mapa final'!$R$105),"")</f>
        <v/>
      </c>
      <c r="S38" s="83" t="str">
        <f>IF(AND('Mapa final'!$AB$103="Muy Alta",'Mapa final'!$AD$103="Mayor"),CONCATENATE("R32C",'Mapa final'!$R$103),"")</f>
        <v/>
      </c>
      <c r="T38" s="188" t="str">
        <f>IF(AND('Mapa final'!$AB$104="Muy Alta",'Mapa final'!$AD$104="Mayor"),CONCATENATE("R32C",'Mapa final'!$R$104),"")</f>
        <v/>
      </c>
      <c r="U38" s="84" t="str">
        <f>IF(AND('Mapa final'!$AB$105="Muy Alta",'Mapa final'!$AD$105="Mayor"),CONCATENATE("R32C",'Mapa final'!$R$105),"")</f>
        <v/>
      </c>
      <c r="V38" s="158" t="str">
        <f>IF(AND('Mapa final'!$AB$103="Muy Alta",'Mapa final'!$AD$103="Catastrófico"),CONCATENATE("R32C",'Mapa final'!$R$103),"")</f>
        <v/>
      </c>
      <c r="W38" s="189" t="str">
        <f>IF(AND('Mapa final'!$AB$104="Muy Alta",'Mapa final'!$AD$104="Catastrófico"),CONCATENATE("R32C",'Mapa final'!$R$104),"")</f>
        <v/>
      </c>
      <c r="X38" s="159" t="str">
        <f>IF(AND('Mapa final'!$AB$105="Muy Alta",'Mapa final'!$AD$105="Catastrófico"),CONCATENATE("R32C",'Mapa final'!$R$105),"")</f>
        <v/>
      </c>
      <c r="Y38" s="38"/>
      <c r="Z38" s="279"/>
      <c r="AA38" s="280"/>
      <c r="AB38" s="280"/>
      <c r="AC38" s="280"/>
      <c r="AD38" s="280"/>
      <c r="AE38" s="281"/>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ht="15" customHeight="1" x14ac:dyDescent="0.25">
      <c r="A39" s="38"/>
      <c r="B39" s="291"/>
      <c r="C39" s="292"/>
      <c r="D39" s="293"/>
      <c r="E39" s="275"/>
      <c r="F39" s="274"/>
      <c r="G39" s="274"/>
      <c r="H39" s="274"/>
      <c r="I39" s="274"/>
      <c r="J39" s="83" t="str">
        <f>IF(AND('Mapa final'!$AB$106="Muy Alta",'Mapa final'!$AD$106="Leve"),CONCATENATE("R33C",'Mapa final'!$R$106),"")</f>
        <v/>
      </c>
      <c r="K39" s="188" t="str">
        <f>IF(AND('Mapa final'!$AB$107="Muy Alta",'Mapa final'!$AD$107="Leve"),CONCATENATE("R33C",'Mapa final'!$R$107),"")</f>
        <v/>
      </c>
      <c r="L39" s="84" t="str">
        <f>IF(AND('Mapa final'!$AB$108="Muy Alta",'Mapa final'!$AD$108="Leve"),CONCATENATE("R33C",'Mapa final'!$R$108),"")</f>
        <v/>
      </c>
      <c r="M39" s="83" t="str">
        <f>IF(AND('Mapa final'!$AB$106="Muy Alta",'Mapa final'!$AD$106="Menor"),CONCATENATE("R33C",'Mapa final'!$R$106),"")</f>
        <v/>
      </c>
      <c r="N39" s="188" t="str">
        <f>IF(AND('Mapa final'!$AB$107="Muy Alta",'Mapa final'!$AD$107="Menor"),CONCATENATE("R33C",'Mapa final'!$R$107),"")</f>
        <v/>
      </c>
      <c r="O39" s="84" t="str">
        <f>IF(AND('Mapa final'!$AB$108="Muy Alta",'Mapa final'!$AD$108="Menor"),CONCATENATE("R33C",'Mapa final'!$R$108),"")</f>
        <v/>
      </c>
      <c r="P39" s="83" t="str">
        <f>IF(AND('Mapa final'!$AB$106="Muy Alta",'Mapa final'!$AD$106="Moderado"),CONCATENATE("R33C",'Mapa final'!$R$106),"")</f>
        <v/>
      </c>
      <c r="Q39" s="188" t="str">
        <f>IF(AND('Mapa final'!$AB$107="Muy Alta",'Mapa final'!$AD$107="Moderado"),CONCATENATE("R33C",'Mapa final'!$R$107),"")</f>
        <v/>
      </c>
      <c r="R39" s="84" t="str">
        <f>IF(AND('Mapa final'!$AB$108="Muy Alta",'Mapa final'!$AD$108="Moderado"),CONCATENATE("R33C",'Mapa final'!$R$108),"")</f>
        <v/>
      </c>
      <c r="S39" s="83" t="str">
        <f>IF(AND('Mapa final'!$AB$106="Muy Alta",'Mapa final'!$AD$106="Mayor"),CONCATENATE("R33C",'Mapa final'!$R$106),"")</f>
        <v/>
      </c>
      <c r="T39" s="188" t="str">
        <f>IF(AND('Mapa final'!$AB$107="Muy Alta",'Mapa final'!$AD$107="Mayor"),CONCATENATE("R33C",'Mapa final'!$R$107),"")</f>
        <v/>
      </c>
      <c r="U39" s="84" t="str">
        <f>IF(AND('Mapa final'!$AB$108="Muy Alta",'Mapa final'!$AD$108="Mayor"),CONCATENATE("R33C",'Mapa final'!$R$108),"")</f>
        <v/>
      </c>
      <c r="V39" s="158" t="str">
        <f>IF(AND('Mapa final'!$AB$106="Muy Alta",'Mapa final'!$AD$106="Catastrófico"),CONCATENATE("R33C",'Mapa final'!$R$106),"")</f>
        <v/>
      </c>
      <c r="W39" s="189" t="str">
        <f>IF(AND('Mapa final'!$AB$107="Muy Alta",'Mapa final'!$AD$107="Catastrófico"),CONCATENATE("R33C",'Mapa final'!$R$107),"")</f>
        <v/>
      </c>
      <c r="X39" s="159" t="str">
        <f>IF(AND('Mapa final'!$AB$108="Muy Alta",'Mapa final'!$AD$108="Catastrófico"),CONCATENATE("R33C",'Mapa final'!$R$108),"")</f>
        <v/>
      </c>
      <c r="Y39" s="38"/>
      <c r="Z39" s="279"/>
      <c r="AA39" s="280"/>
      <c r="AB39" s="280"/>
      <c r="AC39" s="280"/>
      <c r="AD39" s="280"/>
      <c r="AE39" s="281"/>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ht="15" customHeight="1" x14ac:dyDescent="0.25">
      <c r="A40" s="38"/>
      <c r="B40" s="291"/>
      <c r="C40" s="292"/>
      <c r="D40" s="293"/>
      <c r="E40" s="275"/>
      <c r="F40" s="274"/>
      <c r="G40" s="274"/>
      <c r="H40" s="274"/>
      <c r="I40" s="274"/>
      <c r="J40" s="83" t="str">
        <f>IF(AND('Mapa final'!$AB$109="Muy Alta",'Mapa final'!$AD$109="Leve"),CONCATENATE("R34C",'Mapa final'!$R$109),"")</f>
        <v/>
      </c>
      <c r="K40" s="188" t="str">
        <f>IF(AND('Mapa final'!$AB$110="Muy Alta",'Mapa final'!$AD$110="Leve"),CONCATENATE("R34C",'Mapa final'!$R$110),"")</f>
        <v/>
      </c>
      <c r="L40" s="84" t="str">
        <f>IF(AND('Mapa final'!$AB$111="Muy Alta",'Mapa final'!$AD$111="Leve"),CONCATENATE("R34C",'Mapa final'!$R$111),"")</f>
        <v/>
      </c>
      <c r="M40" s="83" t="str">
        <f>IF(AND('Mapa final'!$AB$109="Muy Alta",'Mapa final'!$AD$109="Menor"),CONCATENATE("R34C",'Mapa final'!$R$109),"")</f>
        <v/>
      </c>
      <c r="N40" s="188" t="str">
        <f>IF(AND('Mapa final'!$AB$110="Muy Alta",'Mapa final'!$AD$110="Menor"),CONCATENATE("R34C",'Mapa final'!$R$110),"")</f>
        <v/>
      </c>
      <c r="O40" s="84" t="str">
        <f>IF(AND('Mapa final'!$AB$111="Muy Alta",'Mapa final'!$AD$111="Menor"),CONCATENATE("R34C",'Mapa final'!$R$111),"")</f>
        <v/>
      </c>
      <c r="P40" s="83" t="str">
        <f>IF(AND('Mapa final'!$AB$109="Muy Alta",'Mapa final'!$AD$109="Moderado"),CONCATENATE("R34C",'Mapa final'!$R$109),"")</f>
        <v/>
      </c>
      <c r="Q40" s="188" t="str">
        <f>IF(AND('Mapa final'!$AB$110="Muy Alta",'Mapa final'!$AD$110="Moderado"),CONCATENATE("R34C",'Mapa final'!$R$110),"")</f>
        <v/>
      </c>
      <c r="R40" s="84" t="str">
        <f>IF(AND('Mapa final'!$AB$111="Muy Alta",'Mapa final'!$AD$111="Moderado"),CONCATENATE("R34C",'Mapa final'!$R$111),"")</f>
        <v/>
      </c>
      <c r="S40" s="83" t="str">
        <f>IF(AND('Mapa final'!$AB$109="Muy Alta",'Mapa final'!$AD$109="Mayor"),CONCATENATE("R34C",'Mapa final'!$R$109),"")</f>
        <v/>
      </c>
      <c r="T40" s="188" t="str">
        <f>IF(AND('Mapa final'!$AB$110="Muy Alta",'Mapa final'!$AD$110="Mayor"),CONCATENATE("R34C",'Mapa final'!$R$110),"")</f>
        <v/>
      </c>
      <c r="U40" s="84" t="str">
        <f>IF(AND('Mapa final'!$AB$111="Muy Alta",'Mapa final'!$AD$111="Mayor"),CONCATENATE("R34C",'Mapa final'!$R$111),"")</f>
        <v/>
      </c>
      <c r="V40" s="158" t="str">
        <f>IF(AND('Mapa final'!$AB$109="Muy Alta",'Mapa final'!$AD$109="Catastrófico"),CONCATENATE("R34C",'Mapa final'!$R$109),"")</f>
        <v/>
      </c>
      <c r="W40" s="189" t="str">
        <f>IF(AND('Mapa final'!$AB$110="Muy Alta",'Mapa final'!$AD$110="Catastrófico"),CONCATENATE("R34C",'Mapa final'!$R$110),"")</f>
        <v/>
      </c>
      <c r="X40" s="159" t="str">
        <f>IF(AND('Mapa final'!$AB$111="Muy Alta",'Mapa final'!$AD$111="Catastrófico"),CONCATENATE("R34C",'Mapa final'!$R$111),"")</f>
        <v/>
      </c>
      <c r="Y40" s="38"/>
      <c r="Z40" s="279"/>
      <c r="AA40" s="280"/>
      <c r="AB40" s="280"/>
      <c r="AC40" s="280"/>
      <c r="AD40" s="280"/>
      <c r="AE40" s="281"/>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ht="15" customHeight="1" x14ac:dyDescent="0.25">
      <c r="A41" s="38"/>
      <c r="B41" s="291"/>
      <c r="C41" s="292"/>
      <c r="D41" s="293"/>
      <c r="E41" s="275"/>
      <c r="F41" s="274"/>
      <c r="G41" s="274"/>
      <c r="H41" s="274"/>
      <c r="I41" s="274"/>
      <c r="J41" s="83" t="str">
        <f>IF(AND('Mapa final'!$AB$112="Muy Alta",'Mapa final'!$AD$112="Leve"),CONCATENATE("R35C",'Mapa final'!$R$112),"")</f>
        <v/>
      </c>
      <c r="K41" s="188" t="str">
        <f>IF(AND('Mapa final'!$AB$113="Muy Alta",'Mapa final'!$AD$113="Leve"),CONCATENATE("R35C",'Mapa final'!$R$113),"")</f>
        <v/>
      </c>
      <c r="L41" s="84" t="str">
        <f>IF(AND('Mapa final'!$AB$114="Muy Alta",'Mapa final'!$AD$114="Leve"),CONCATENATE("R35C",'Mapa final'!$R$114),"")</f>
        <v/>
      </c>
      <c r="M41" s="83" t="str">
        <f>IF(AND('Mapa final'!$AB$112="Muy Alta",'Mapa final'!$AD$112="Menor"),CONCATENATE("R35C",'Mapa final'!$R$112),"")</f>
        <v/>
      </c>
      <c r="N41" s="188" t="str">
        <f>IF(AND('Mapa final'!$AB$113="Muy Alta",'Mapa final'!$AD$113="Menor"),CONCATENATE("R35C",'Mapa final'!$R$113),"")</f>
        <v/>
      </c>
      <c r="O41" s="84" t="str">
        <f>IF(AND('Mapa final'!$AB$114="Muy Alta",'Mapa final'!$AD$114="Menor"),CONCATENATE("R35C",'Mapa final'!$R$114),"")</f>
        <v/>
      </c>
      <c r="P41" s="83" t="str">
        <f>IF(AND('Mapa final'!$AB$112="Muy Alta",'Mapa final'!$AD$112="Moderado"),CONCATENATE("R35C",'Mapa final'!$R$112),"")</f>
        <v/>
      </c>
      <c r="Q41" s="188" t="str">
        <f>IF(AND('Mapa final'!$AB$113="Muy Alta",'Mapa final'!$AD$113="Moderado"),CONCATENATE("R35C",'Mapa final'!$R$113),"")</f>
        <v/>
      </c>
      <c r="R41" s="84" t="str">
        <f>IF(AND('Mapa final'!$AB$114="Muy Alta",'Mapa final'!$AD$114="Moderado"),CONCATENATE("R35C",'Mapa final'!$R$114),"")</f>
        <v/>
      </c>
      <c r="S41" s="83" t="str">
        <f>IF(AND('Mapa final'!$AB$112="Muy Alta",'Mapa final'!$AD$112="Mayor"),CONCATENATE("R35C",'Mapa final'!$R$112),"")</f>
        <v/>
      </c>
      <c r="T41" s="188" t="str">
        <f>IF(AND('Mapa final'!$AB$113="Muy Alta",'Mapa final'!$AD$113="Mayor"),CONCATENATE("R35C",'Mapa final'!$R$113),"")</f>
        <v/>
      </c>
      <c r="U41" s="84" t="str">
        <f>IF(AND('Mapa final'!$AB$114="Muy Alta",'Mapa final'!$AD$114="Mayor"),CONCATENATE("R35C",'Mapa final'!$R$114),"")</f>
        <v/>
      </c>
      <c r="V41" s="158" t="str">
        <f>IF(AND('Mapa final'!$AB$112="Muy Alta",'Mapa final'!$AD$112="Catastrófico"),CONCATENATE("R35C",'Mapa final'!$R$112),"")</f>
        <v/>
      </c>
      <c r="W41" s="189" t="str">
        <f>IF(AND('Mapa final'!$AB$113="Muy Alta",'Mapa final'!$AD$113="Catastrófico"),CONCATENATE("R35C",'Mapa final'!$R$113),"")</f>
        <v/>
      </c>
      <c r="X41" s="159" t="str">
        <f>IF(AND('Mapa final'!$AB$114="Muy Alta",'Mapa final'!$AD$114="Catastrófico"),CONCATENATE("R35C",'Mapa final'!$R$114),"")</f>
        <v/>
      </c>
      <c r="Y41" s="38"/>
      <c r="Z41" s="279"/>
      <c r="AA41" s="280"/>
      <c r="AB41" s="280"/>
      <c r="AC41" s="280"/>
      <c r="AD41" s="280"/>
      <c r="AE41" s="281"/>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ht="15" customHeight="1" x14ac:dyDescent="0.25">
      <c r="A42" s="38"/>
      <c r="B42" s="291"/>
      <c r="C42" s="292"/>
      <c r="D42" s="293"/>
      <c r="E42" s="275"/>
      <c r="F42" s="274"/>
      <c r="G42" s="274"/>
      <c r="H42" s="274"/>
      <c r="I42" s="274"/>
      <c r="J42" s="83" t="str">
        <f>IF(AND('Mapa final'!$AB$115="Muy Alta",'Mapa final'!$AD$115="Leve"),CONCATENATE("R36C",'Mapa final'!$R$115),"")</f>
        <v/>
      </c>
      <c r="K42" s="188" t="str">
        <f>IF(AND('Mapa final'!$AB$116="Muy Alta",'Mapa final'!$AD$116="Leve"),CONCATENATE("R36C",'Mapa final'!$R$116),"")</f>
        <v/>
      </c>
      <c r="L42" s="84" t="str">
        <f>IF(AND('Mapa final'!$AB$117="Muy Alta",'Mapa final'!$AD$117="Leve"),CONCATENATE("R36C",'Mapa final'!$R$117),"")</f>
        <v/>
      </c>
      <c r="M42" s="83" t="str">
        <f>IF(AND('Mapa final'!$AB$115="Muy Alta",'Mapa final'!$AD$115="Menor"),CONCATENATE("R36C",'Mapa final'!$R$115),"")</f>
        <v/>
      </c>
      <c r="N42" s="188" t="str">
        <f>IF(AND('Mapa final'!$AB$116="Muy Alta",'Mapa final'!$AD$116="Menor"),CONCATENATE("R36C",'Mapa final'!$R$116),"")</f>
        <v/>
      </c>
      <c r="O42" s="84" t="str">
        <f>IF(AND('Mapa final'!$AB$117="Muy Alta",'Mapa final'!$AD$117="Menor"),CONCATENATE("R36C",'Mapa final'!$R$117),"")</f>
        <v/>
      </c>
      <c r="P42" s="83" t="str">
        <f>IF(AND('Mapa final'!$AB$115="Muy Alta",'Mapa final'!$AD$115="Moderado"),CONCATENATE("R36C",'Mapa final'!$R$115),"")</f>
        <v/>
      </c>
      <c r="Q42" s="188" t="str">
        <f>IF(AND('Mapa final'!$AB$116="Muy Alta",'Mapa final'!$AD$116="Moderado"),CONCATENATE("R36C",'Mapa final'!$R$116),"")</f>
        <v/>
      </c>
      <c r="R42" s="84" t="str">
        <f>IF(AND('Mapa final'!$AB$117="Muy Alta",'Mapa final'!$AD$117="Moderado"),CONCATENATE("R36C",'Mapa final'!$R$117),"")</f>
        <v/>
      </c>
      <c r="S42" s="83" t="str">
        <f>IF(AND('Mapa final'!$AB$115="Muy Alta",'Mapa final'!$AD$115="Mayor"),CONCATENATE("R36C",'Mapa final'!$R$115),"")</f>
        <v/>
      </c>
      <c r="T42" s="188" t="str">
        <f>IF(AND('Mapa final'!$AB$116="Muy Alta",'Mapa final'!$AD$116="Mayor"),CONCATENATE("R36C",'Mapa final'!$R$116),"")</f>
        <v/>
      </c>
      <c r="U42" s="84" t="str">
        <f>IF(AND('Mapa final'!$AB$117="Muy Alta",'Mapa final'!$AD$117="Mayor"),CONCATENATE("R36C",'Mapa final'!$R$117),"")</f>
        <v/>
      </c>
      <c r="V42" s="158" t="str">
        <f>IF(AND('Mapa final'!$AB$115="Muy Alta",'Mapa final'!$AD$115="Catastrófico"),CONCATENATE("R36C",'Mapa final'!$R$115),"")</f>
        <v/>
      </c>
      <c r="W42" s="189" t="str">
        <f>IF(AND('Mapa final'!$AB$116="Muy Alta",'Mapa final'!$AD$116="Catastrófico"),CONCATENATE("R36C",'Mapa final'!$R$116),"")</f>
        <v/>
      </c>
      <c r="X42" s="159" t="str">
        <f>IF(AND('Mapa final'!$AB$117="Muy Alta",'Mapa final'!$AD$117="Catastrófico"),CONCATENATE("R36C",'Mapa final'!$R$117),"")</f>
        <v/>
      </c>
      <c r="Y42" s="38"/>
      <c r="Z42" s="279"/>
      <c r="AA42" s="280"/>
      <c r="AB42" s="280"/>
      <c r="AC42" s="280"/>
      <c r="AD42" s="280"/>
      <c r="AE42" s="281"/>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ht="15" customHeight="1" x14ac:dyDescent="0.25">
      <c r="A43" s="38"/>
      <c r="B43" s="291"/>
      <c r="C43" s="292"/>
      <c r="D43" s="293"/>
      <c r="E43" s="275"/>
      <c r="F43" s="274"/>
      <c r="G43" s="274"/>
      <c r="H43" s="274"/>
      <c r="I43" s="274"/>
      <c r="J43" s="83" t="str">
        <f>IF(AND('Mapa final'!$AB$118="Muy Alta",'Mapa final'!$AD$118="Leve"),CONCATENATE("R37C",'Mapa final'!$R$118),"")</f>
        <v/>
      </c>
      <c r="K43" s="188" t="str">
        <f>IF(AND('Mapa final'!$AB$119="Muy Alta",'Mapa final'!$AD$119="Leve"),CONCATENATE("R37C",'Mapa final'!$R$119),"")</f>
        <v/>
      </c>
      <c r="L43" s="84" t="str">
        <f>IF(AND('Mapa final'!$AB$120="Muy Alta",'Mapa final'!$AD$120="Leve"),CONCATENATE("R37C",'Mapa final'!$R$120),"")</f>
        <v/>
      </c>
      <c r="M43" s="83" t="str">
        <f>IF(AND('Mapa final'!$AB$118="Muy Alta",'Mapa final'!$AD$118="Menor"),CONCATENATE("R37C",'Mapa final'!$R$118),"")</f>
        <v/>
      </c>
      <c r="N43" s="188" t="str">
        <f>IF(AND('Mapa final'!$AB$119="Muy Alta",'Mapa final'!$AD$119="Menor"),CONCATENATE("R37C",'Mapa final'!$R$119),"")</f>
        <v/>
      </c>
      <c r="O43" s="84" t="str">
        <f>IF(AND('Mapa final'!$AB$120="Muy Alta",'Mapa final'!$AD$120="Menor"),CONCATENATE("R37C",'Mapa final'!$R$120),"")</f>
        <v/>
      </c>
      <c r="P43" s="83" t="str">
        <f>IF(AND('Mapa final'!$AB$118="Muy Alta",'Mapa final'!$AD$118="Moderado"),CONCATENATE("R37C",'Mapa final'!$R$118),"")</f>
        <v/>
      </c>
      <c r="Q43" s="188" t="str">
        <f>IF(AND('Mapa final'!$AB$119="Muy Alta",'Mapa final'!$AD$119="Moderado"),CONCATENATE("R37C",'Mapa final'!$R$119),"")</f>
        <v/>
      </c>
      <c r="R43" s="84" t="str">
        <f>IF(AND('Mapa final'!$AB$120="Muy Alta",'Mapa final'!$AD$120="Moderado"),CONCATENATE("R37C",'Mapa final'!$R$120),"")</f>
        <v/>
      </c>
      <c r="S43" s="83" t="str">
        <f>IF(AND('Mapa final'!$AB$118="Muy Alta",'Mapa final'!$AD$118="Mayor"),CONCATENATE("R37C",'Mapa final'!$R$118),"")</f>
        <v/>
      </c>
      <c r="T43" s="188" t="str">
        <f>IF(AND('Mapa final'!$AB$119="Muy Alta",'Mapa final'!$AD$119="Mayor"),CONCATENATE("R37C",'Mapa final'!$R$119),"")</f>
        <v/>
      </c>
      <c r="U43" s="84" t="str">
        <f>IF(AND('Mapa final'!$AB$120="Muy Alta",'Mapa final'!$AD$120="Mayor"),CONCATENATE("R37C",'Mapa final'!$R$120),"")</f>
        <v/>
      </c>
      <c r="V43" s="158" t="str">
        <f>IF(AND('Mapa final'!$AB$118="Muy Alta",'Mapa final'!$AD$118="Catastrófico"),CONCATENATE("R37C",'Mapa final'!$R$118),"")</f>
        <v/>
      </c>
      <c r="W43" s="189" t="str">
        <f>IF(AND('Mapa final'!$AB$119="Muy Alta",'Mapa final'!$AD$119="Catastrófico"),CONCATENATE("R37C",'Mapa final'!$R$119),"")</f>
        <v/>
      </c>
      <c r="X43" s="159" t="str">
        <f>IF(AND('Mapa final'!$AB$120="Muy Alta",'Mapa final'!$AD$120="Catastrófico"),CONCATENATE("R37C",'Mapa final'!$R$120),"")</f>
        <v/>
      </c>
      <c r="Y43" s="38"/>
      <c r="Z43" s="279"/>
      <c r="AA43" s="280"/>
      <c r="AB43" s="280"/>
      <c r="AC43" s="280"/>
      <c r="AD43" s="280"/>
      <c r="AE43" s="281"/>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row r="44" spans="1:61" ht="15" customHeight="1" x14ac:dyDescent="0.25">
      <c r="A44" s="38"/>
      <c r="B44" s="291"/>
      <c r="C44" s="292"/>
      <c r="D44" s="293"/>
      <c r="E44" s="275"/>
      <c r="F44" s="274"/>
      <c r="G44" s="274"/>
      <c r="H44" s="274"/>
      <c r="I44" s="274"/>
      <c r="J44" s="83" t="str">
        <f>IF(AND('Mapa final'!$AB$121="Muy Alta",'Mapa final'!$AD$121="Leve"),CONCATENATE("R38C",'Mapa final'!$R$121),"")</f>
        <v/>
      </c>
      <c r="K44" s="188" t="str">
        <f>IF(AND('Mapa final'!$AB$122="Muy Alta",'Mapa final'!$AD$122="Leve"),CONCATENATE("R38C",'Mapa final'!$R$122),"")</f>
        <v/>
      </c>
      <c r="L44" s="84" t="str">
        <f>IF(AND('Mapa final'!$AB$123="Muy Alta",'Mapa final'!$AD$123="Leve"),CONCATENATE("R38C",'Mapa final'!$R$123),"")</f>
        <v/>
      </c>
      <c r="M44" s="83" t="str">
        <f>IF(AND('Mapa final'!$AB$121="Muy Alta",'Mapa final'!$AD$121="Menor"),CONCATENATE("R38C",'Mapa final'!$R$121),"")</f>
        <v/>
      </c>
      <c r="N44" s="188" t="str">
        <f>IF(AND('Mapa final'!$AB$122="Muy Alta",'Mapa final'!$AD$122="Menor"),CONCATENATE("R38C",'Mapa final'!$R$122),"")</f>
        <v/>
      </c>
      <c r="O44" s="84" t="str">
        <f>IF(AND('Mapa final'!$AB$123="Muy Alta",'Mapa final'!$AD$123="Menor"),CONCATENATE("R38C",'Mapa final'!$R$123),"")</f>
        <v/>
      </c>
      <c r="P44" s="83" t="str">
        <f>IF(AND('Mapa final'!$AB$121="Muy Alta",'Mapa final'!$AD$121="Moderado"),CONCATENATE("R38C",'Mapa final'!$R$121),"")</f>
        <v/>
      </c>
      <c r="Q44" s="188" t="str">
        <f>IF(AND('Mapa final'!$AB$122="Muy Alta",'Mapa final'!$AD$122="Moderado"),CONCATENATE("R38C",'Mapa final'!$R$122),"")</f>
        <v/>
      </c>
      <c r="R44" s="84" t="str">
        <f>IF(AND('Mapa final'!$AB$123="Muy Alta",'Mapa final'!$AD$123="Moderado"),CONCATENATE("R38C",'Mapa final'!$R$123),"")</f>
        <v/>
      </c>
      <c r="S44" s="83" t="str">
        <f>IF(AND('Mapa final'!$AB$121="Muy Alta",'Mapa final'!$AD$121="Mayor"),CONCATENATE("R38C",'Mapa final'!$R$121),"")</f>
        <v/>
      </c>
      <c r="T44" s="188" t="str">
        <f>IF(AND('Mapa final'!$AB$122="Muy Alta",'Mapa final'!$AD$122="Mayor"),CONCATENATE("R38C",'Mapa final'!$R$122),"")</f>
        <v/>
      </c>
      <c r="U44" s="84" t="str">
        <f>IF(AND('Mapa final'!$AB$123="Muy Alta",'Mapa final'!$AD$123="Mayor"),CONCATENATE("R38C",'Mapa final'!$R$123),"")</f>
        <v/>
      </c>
      <c r="V44" s="158" t="str">
        <f>IF(AND('Mapa final'!$AB$121="Muy Alta",'Mapa final'!$AD$121="Catastrófico"),CONCATENATE("R38C",'Mapa final'!$R$121),"")</f>
        <v/>
      </c>
      <c r="W44" s="189" t="str">
        <f>IF(AND('Mapa final'!$AB$122="Muy Alta",'Mapa final'!$AD$122="Catastrófico"),CONCATENATE("R38C",'Mapa final'!$R$122),"")</f>
        <v/>
      </c>
      <c r="X44" s="159" t="str">
        <f>IF(AND('Mapa final'!$AB$123="Muy Alta",'Mapa final'!$AD$123="Catastrófico"),CONCATENATE("R38C",'Mapa final'!$R$123),"")</f>
        <v/>
      </c>
      <c r="Y44" s="38"/>
      <c r="Z44" s="279"/>
      <c r="AA44" s="280"/>
      <c r="AB44" s="280"/>
      <c r="AC44" s="280"/>
      <c r="AD44" s="280"/>
      <c r="AE44" s="281"/>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row>
    <row r="45" spans="1:61" ht="15" customHeight="1" x14ac:dyDescent="0.25">
      <c r="A45" s="38"/>
      <c r="B45" s="291"/>
      <c r="C45" s="292"/>
      <c r="D45" s="293"/>
      <c r="E45" s="275"/>
      <c r="F45" s="274"/>
      <c r="G45" s="274"/>
      <c r="H45" s="274"/>
      <c r="I45" s="274"/>
      <c r="J45" s="83" t="str">
        <f>IF(AND('Mapa final'!$AB$124="Muy Alta",'Mapa final'!$AD$124="Leve"),CONCATENATE("R39C",'Mapa final'!$R$124),"")</f>
        <v/>
      </c>
      <c r="K45" s="188" t="str">
        <f>IF(AND('Mapa final'!$AB$125="Muy Alta",'Mapa final'!$AD$125="Leve"),CONCATENATE("R39C",'Mapa final'!$R$125),"")</f>
        <v/>
      </c>
      <c r="L45" s="84" t="str">
        <f>IF(AND('Mapa final'!$AB$126="Muy Alta",'Mapa final'!$AD$126="Leve"),CONCATENATE("R39C",'Mapa final'!$R$126),"")</f>
        <v/>
      </c>
      <c r="M45" s="83" t="str">
        <f>IF(AND('Mapa final'!$AB$124="Muy Alta",'Mapa final'!$AD$124="Menor"),CONCATENATE("R39C",'Mapa final'!$R$124),"")</f>
        <v/>
      </c>
      <c r="N45" s="188" t="str">
        <f>IF(AND('Mapa final'!$AB$125="Muy Alta",'Mapa final'!$AD$125="Menor"),CONCATENATE("R39C",'Mapa final'!$R$125),"")</f>
        <v/>
      </c>
      <c r="O45" s="84" t="str">
        <f>IF(AND('Mapa final'!$AB$126="Muy Alta",'Mapa final'!$AD$126="Menor"),CONCATENATE("R39C",'Mapa final'!$R$126),"")</f>
        <v/>
      </c>
      <c r="P45" s="83" t="str">
        <f>IF(AND('Mapa final'!$AB$124="Muy Alta",'Mapa final'!$AD$124="Moderado"),CONCATENATE("R39C",'Mapa final'!$R$124),"")</f>
        <v/>
      </c>
      <c r="Q45" s="188" t="str">
        <f>IF(AND('Mapa final'!$AB$125="Muy Alta",'Mapa final'!$AD$125="Moderado"),CONCATENATE("R39C",'Mapa final'!$R$125),"")</f>
        <v/>
      </c>
      <c r="R45" s="84" t="str">
        <f>IF(AND('Mapa final'!$AB$126="Muy Alta",'Mapa final'!$AD$126="Moderado"),CONCATENATE("R39C",'Mapa final'!$R$126),"")</f>
        <v/>
      </c>
      <c r="S45" s="83" t="str">
        <f>IF(AND('Mapa final'!$AB$124="Muy Alta",'Mapa final'!$AD$124="Mayor"),CONCATENATE("R39C",'Mapa final'!$R$124),"")</f>
        <v/>
      </c>
      <c r="T45" s="188" t="str">
        <f>IF(AND('Mapa final'!$AB$125="Muy Alta",'Mapa final'!$AD$125="Mayor"),CONCATENATE("R39C",'Mapa final'!$R$125),"")</f>
        <v/>
      </c>
      <c r="U45" s="84" t="str">
        <f>IF(AND('Mapa final'!$AB$126="Muy Alta",'Mapa final'!$AD$126="Mayor"),CONCATENATE("R39C",'Mapa final'!$R$126),"")</f>
        <v/>
      </c>
      <c r="V45" s="158" t="str">
        <f>IF(AND('Mapa final'!$AB$124="Muy Alta",'Mapa final'!$AD$124="Catastrófico"),CONCATENATE("R39C",'Mapa final'!$R$124),"")</f>
        <v/>
      </c>
      <c r="W45" s="189" t="str">
        <f>IF(AND('Mapa final'!$AB$125="Muy Alta",'Mapa final'!$AD$125="Catastrófico"),CONCATENATE("R39C",'Mapa final'!$R$125),"")</f>
        <v/>
      </c>
      <c r="X45" s="159" t="str">
        <f>IF(AND('Mapa final'!$AB$126="Muy Alta",'Mapa final'!$AD$126="Catastrófico"),CONCATENATE("R39C",'Mapa final'!$R$126),"")</f>
        <v/>
      </c>
      <c r="Y45" s="38"/>
      <c r="Z45" s="279"/>
      <c r="AA45" s="280"/>
      <c r="AB45" s="280"/>
      <c r="AC45" s="280"/>
      <c r="AD45" s="280"/>
      <c r="AE45" s="281"/>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row>
    <row r="46" spans="1:61" ht="15" customHeight="1" x14ac:dyDescent="0.25">
      <c r="A46" s="38"/>
      <c r="B46" s="291"/>
      <c r="C46" s="292"/>
      <c r="D46" s="293"/>
      <c r="E46" s="275"/>
      <c r="F46" s="274"/>
      <c r="G46" s="274"/>
      <c r="H46" s="274"/>
      <c r="I46" s="274"/>
      <c r="J46" s="83" t="str">
        <f>IF(AND('Mapa final'!$AB$127="Muy Alta",'Mapa final'!$AD$127="Leve"),CONCATENATE("R40C",'Mapa final'!$R$127),"")</f>
        <v/>
      </c>
      <c r="K46" s="188" t="str">
        <f>IF(AND('Mapa final'!$AB$128="Muy Alta",'Mapa final'!$AD$128="Leve"),CONCATENATE("R40C",'Mapa final'!$R$128),"")</f>
        <v/>
      </c>
      <c r="L46" s="84" t="str">
        <f>IF(AND('Mapa final'!$AB$129="Muy Alta",'Mapa final'!$AD$129="Leve"),CONCATENATE("R40C",'Mapa final'!$R$129),"")</f>
        <v/>
      </c>
      <c r="M46" s="83" t="str">
        <f>IF(AND('Mapa final'!$AB$127="Muy Alta",'Mapa final'!$AD$127="Menor"),CONCATENATE("R40C",'Mapa final'!$R$127),"")</f>
        <v/>
      </c>
      <c r="N46" s="188" t="str">
        <f>IF(AND('Mapa final'!$AB$128="Muy Alta",'Mapa final'!$AD$128="Menor"),CONCATENATE("R40C",'Mapa final'!$R$128),"")</f>
        <v/>
      </c>
      <c r="O46" s="84" t="str">
        <f>IF(AND('Mapa final'!$AB$129="Muy Alta",'Mapa final'!$AD$129="Menor"),CONCATENATE("R40C",'Mapa final'!$R$129),"")</f>
        <v/>
      </c>
      <c r="P46" s="83" t="str">
        <f>IF(AND('Mapa final'!$AB$127="Muy Alta",'Mapa final'!$AD$127="Moderado"),CONCATENATE("R40C",'Mapa final'!$R$127),"")</f>
        <v/>
      </c>
      <c r="Q46" s="188" t="str">
        <f>IF(AND('Mapa final'!$AB$128="Muy Alta",'Mapa final'!$AD$128="Moderado"),CONCATENATE("R40C",'Mapa final'!$R$128),"")</f>
        <v/>
      </c>
      <c r="R46" s="84" t="str">
        <f>IF(AND('Mapa final'!$AB$129="Muy Alta",'Mapa final'!$AD$129="Moderado"),CONCATENATE("R40C",'Mapa final'!$R$129),"")</f>
        <v/>
      </c>
      <c r="S46" s="83" t="str">
        <f>IF(AND('Mapa final'!$AB$127="Muy Alta",'Mapa final'!$AD$127="Mayor"),CONCATENATE("R40C",'Mapa final'!$R$127),"")</f>
        <v/>
      </c>
      <c r="T46" s="188" t="str">
        <f>IF(AND('Mapa final'!$AB$128="Muy Alta",'Mapa final'!$AD$128="Mayor"),CONCATENATE("R40C",'Mapa final'!$R$128),"")</f>
        <v/>
      </c>
      <c r="U46" s="84" t="str">
        <f>IF(AND('Mapa final'!$AB$129="Muy Alta",'Mapa final'!$AD$129="Mayor"),CONCATENATE("R40C",'Mapa final'!$R$129),"")</f>
        <v/>
      </c>
      <c r="V46" s="158" t="str">
        <f>IF(AND('Mapa final'!$AB$127="Muy Alta",'Mapa final'!$AD$127="Catastrófico"),CONCATENATE("R40C",'Mapa final'!$R$127),"")</f>
        <v/>
      </c>
      <c r="W46" s="189" t="str">
        <f>IF(AND('Mapa final'!$AB$128="Muy Alta",'Mapa final'!$AD$128="Catastrófico"),CONCATENATE("R40C",'Mapa final'!$R$128),"")</f>
        <v/>
      </c>
      <c r="X46" s="159" t="str">
        <f>IF(AND('Mapa final'!$AB$129="Muy Alta",'Mapa final'!$AD$129="Catastrófico"),CONCATENATE("R40C",'Mapa final'!$R$129),"")</f>
        <v/>
      </c>
      <c r="Y46" s="38"/>
      <c r="Z46" s="279"/>
      <c r="AA46" s="280"/>
      <c r="AB46" s="280"/>
      <c r="AC46" s="280"/>
      <c r="AD46" s="280"/>
      <c r="AE46" s="281"/>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row>
    <row r="47" spans="1:61" ht="15" customHeight="1" x14ac:dyDescent="0.25">
      <c r="A47" s="38"/>
      <c r="B47" s="291"/>
      <c r="C47" s="292"/>
      <c r="D47" s="293"/>
      <c r="E47" s="275"/>
      <c r="F47" s="274"/>
      <c r="G47" s="274"/>
      <c r="H47" s="274"/>
      <c r="I47" s="274"/>
      <c r="J47" s="83" t="str">
        <f>IF(AND('Mapa final'!$AB$130="Muy Alta",'Mapa final'!$AD$130="Leve"),CONCATENATE("R41C",'Mapa final'!$R$130),"")</f>
        <v/>
      </c>
      <c r="K47" s="188" t="str">
        <f>IF(AND('Mapa final'!$AB$131="Muy Alta",'Mapa final'!$AD$131="Leve"),CONCATENATE("R41C",'Mapa final'!$R$131),"")</f>
        <v/>
      </c>
      <c r="L47" s="84" t="str">
        <f>IF(AND('Mapa final'!$AB$132="Muy Alta",'Mapa final'!$AD$132="Leve"),CONCATENATE("R41C",'Mapa final'!$R$132),"")</f>
        <v/>
      </c>
      <c r="M47" s="83" t="str">
        <f>IF(AND('Mapa final'!$AB$130="Muy Alta",'Mapa final'!$AD$130="Menor"),CONCATENATE("R41C",'Mapa final'!$R$130),"")</f>
        <v/>
      </c>
      <c r="N47" s="188" t="str">
        <f>IF(AND('Mapa final'!$AB$131="Muy Alta",'Mapa final'!$AD$131="Menor"),CONCATENATE("R41C",'Mapa final'!$R$131),"")</f>
        <v/>
      </c>
      <c r="O47" s="84" t="str">
        <f>IF(AND('Mapa final'!$AB$132="Muy Alta",'Mapa final'!$AD$132="Menor"),CONCATENATE("R41C",'Mapa final'!$R$132),"")</f>
        <v/>
      </c>
      <c r="P47" s="83" t="str">
        <f>IF(AND('Mapa final'!$AB$130="Muy Alta",'Mapa final'!$AD$130="Moderado"),CONCATENATE("R41C",'Mapa final'!$R$130),"")</f>
        <v/>
      </c>
      <c r="Q47" s="188" t="str">
        <f>IF(AND('Mapa final'!$AB$131="Muy Alta",'Mapa final'!$AD$131="Moderado"),CONCATENATE("R41C",'Mapa final'!$R$131),"")</f>
        <v/>
      </c>
      <c r="R47" s="84" t="str">
        <f>IF(AND('Mapa final'!$AB$132="Muy Alta",'Mapa final'!$AD$132="Moderado"),CONCATENATE("R41C",'Mapa final'!$R$132),"")</f>
        <v/>
      </c>
      <c r="S47" s="83" t="str">
        <f>IF(AND('Mapa final'!$AB$130="Muy Alta",'Mapa final'!$AD$130="Mayor"),CONCATENATE("R41C",'Mapa final'!$R$130),"")</f>
        <v/>
      </c>
      <c r="T47" s="188" t="str">
        <f>IF(AND('Mapa final'!$AB$131="Muy Alta",'Mapa final'!$AD$131="Mayor"),CONCATENATE("R41C",'Mapa final'!$R$131),"")</f>
        <v/>
      </c>
      <c r="U47" s="84" t="str">
        <f>IF(AND('Mapa final'!$AB$132="Muy Alta",'Mapa final'!$AD$132="Mayor"),CONCATENATE("R41C",'Mapa final'!$R$132),"")</f>
        <v/>
      </c>
      <c r="V47" s="158" t="str">
        <f>IF(AND('Mapa final'!$AB$130="Muy Alta",'Mapa final'!$AD$130="Catastrófico"),CONCATENATE("R41C",'Mapa final'!$R$130),"")</f>
        <v/>
      </c>
      <c r="W47" s="189" t="str">
        <f>IF(AND('Mapa final'!$AB$131="Muy Alta",'Mapa final'!$AD$131="Catastrófico"),CONCATENATE("R41C",'Mapa final'!$R$131),"")</f>
        <v/>
      </c>
      <c r="X47" s="159" t="str">
        <f>IF(AND('Mapa final'!$AB$132="Muy Alta",'Mapa final'!$AD$132="Catastrófico"),CONCATENATE("R41C",'Mapa final'!$R$132),"")</f>
        <v/>
      </c>
      <c r="Y47" s="38"/>
      <c r="Z47" s="279"/>
      <c r="AA47" s="280"/>
      <c r="AB47" s="280"/>
      <c r="AC47" s="280"/>
      <c r="AD47" s="280"/>
      <c r="AE47" s="281"/>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row>
    <row r="48" spans="1:61" ht="15" customHeight="1" x14ac:dyDescent="0.25">
      <c r="A48" s="38"/>
      <c r="B48" s="291"/>
      <c r="C48" s="292"/>
      <c r="D48" s="293"/>
      <c r="E48" s="275"/>
      <c r="F48" s="274"/>
      <c r="G48" s="274"/>
      <c r="H48" s="274"/>
      <c r="I48" s="274"/>
      <c r="J48" s="83" t="str">
        <f>IF(AND('Mapa final'!$AB$133="Muy Alta",'Mapa final'!$AD$133="Leve"),CONCATENATE("R42C",'Mapa final'!$R$133),"")</f>
        <v/>
      </c>
      <c r="K48" s="188" t="str">
        <f>IF(AND('Mapa final'!$AB$134="Muy Alta",'Mapa final'!$AD$134="Leve"),CONCATENATE("R42C",'Mapa final'!$R$134),"")</f>
        <v/>
      </c>
      <c r="L48" s="84" t="str">
        <f>IF(AND('Mapa final'!$AB$135="Muy Alta",'Mapa final'!$AD$135="Leve"),CONCATENATE("R42C",'Mapa final'!$R$135),"")</f>
        <v/>
      </c>
      <c r="M48" s="83" t="str">
        <f>IF(AND('Mapa final'!$AB$133="Muy Alta",'Mapa final'!$AD$133="Menor"),CONCATENATE("R42C",'Mapa final'!$R$133),"")</f>
        <v/>
      </c>
      <c r="N48" s="188" t="str">
        <f>IF(AND('Mapa final'!$AB$134="Muy Alta",'Mapa final'!$AD$134="Menor"),CONCATENATE("R42C",'Mapa final'!$R$134),"")</f>
        <v/>
      </c>
      <c r="O48" s="84" t="str">
        <f>IF(AND('Mapa final'!$AB$135="Muy Alta",'Mapa final'!$AD$135="Menor"),CONCATENATE("R42C",'Mapa final'!$R$135),"")</f>
        <v/>
      </c>
      <c r="P48" s="83" t="str">
        <f>IF(AND('Mapa final'!$AB$133="Muy Alta",'Mapa final'!$AD$133="Moderado"),CONCATENATE("R42C",'Mapa final'!$R$133),"")</f>
        <v/>
      </c>
      <c r="Q48" s="188" t="str">
        <f>IF(AND('Mapa final'!$AB$134="Muy Alta",'Mapa final'!$AD$134="Moderado"),CONCATENATE("R42C",'Mapa final'!$R$134),"")</f>
        <v/>
      </c>
      <c r="R48" s="84" t="str">
        <f>IF(AND('Mapa final'!$AB$135="Muy Alta",'Mapa final'!$AD$135="Moderado"),CONCATENATE("R42C",'Mapa final'!$R$135),"")</f>
        <v/>
      </c>
      <c r="S48" s="83" t="str">
        <f>IF(AND('Mapa final'!$AB$133="Muy Alta",'Mapa final'!$AD$133="Mayor"),CONCATENATE("R42C",'Mapa final'!$R$133),"")</f>
        <v/>
      </c>
      <c r="T48" s="188" t="str">
        <f>IF(AND('Mapa final'!$AB$134="Muy Alta",'Mapa final'!$AD$134="Mayor"),CONCATENATE("R42C",'Mapa final'!$R$134),"")</f>
        <v/>
      </c>
      <c r="U48" s="84" t="str">
        <f>IF(AND('Mapa final'!$AB$135="Muy Alta",'Mapa final'!$AD$135="Mayor"),CONCATENATE("R42C",'Mapa final'!$R$135),"")</f>
        <v/>
      </c>
      <c r="V48" s="158" t="str">
        <f>IF(AND('Mapa final'!$AB$133="Muy Alta",'Mapa final'!$AD$133="Catastrófico"),CONCATENATE("R42C",'Mapa final'!$R$133),"")</f>
        <v/>
      </c>
      <c r="W48" s="189" t="str">
        <f>IF(AND('Mapa final'!$AB$134="Muy Alta",'Mapa final'!$AD$134="Catastrófico"),CONCATENATE("R42C",'Mapa final'!$R$134),"")</f>
        <v/>
      </c>
      <c r="X48" s="159" t="str">
        <f>IF(AND('Mapa final'!$AB$135="Muy Alta",'Mapa final'!$AD$135="Catastrófico"),CONCATENATE("R42C",'Mapa final'!$R$135),"")</f>
        <v/>
      </c>
      <c r="Y48" s="38"/>
      <c r="Z48" s="279"/>
      <c r="AA48" s="280"/>
      <c r="AB48" s="280"/>
      <c r="AC48" s="280"/>
      <c r="AD48" s="280"/>
      <c r="AE48" s="281"/>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row>
    <row r="49" spans="1:61" ht="15" customHeight="1" thickBot="1" x14ac:dyDescent="0.3">
      <c r="A49" s="38"/>
      <c r="B49" s="291"/>
      <c r="C49" s="292"/>
      <c r="D49" s="293"/>
      <c r="E49" s="275"/>
      <c r="F49" s="274"/>
      <c r="G49" s="274"/>
      <c r="H49" s="274"/>
      <c r="I49" s="274"/>
      <c r="J49" s="83" t="str">
        <f>IF(AND('Mapa final'!$AB$136="Muy Alta",'Mapa final'!$AD$136="Leve"),CONCATENATE("R43C",'Mapa final'!$R$136),"")</f>
        <v/>
      </c>
      <c r="K49" s="188" t="str">
        <f>IF(AND('Mapa final'!$AB$137="Muy Alta",'Mapa final'!$AD$137="Leve"),CONCATENATE("R43C",'Mapa final'!$R$137),"")</f>
        <v/>
      </c>
      <c r="L49" s="84" t="str">
        <f>IF(AND('Mapa final'!$AB$138="Muy Alta",'Mapa final'!$AD$138="Leve"),CONCATENATE("R43C",'Mapa final'!$R$138),"")</f>
        <v/>
      </c>
      <c r="M49" s="83" t="str">
        <f>IF(AND('Mapa final'!$AB$136="Muy Alta",'Mapa final'!$AD$136="Menor"),CONCATENATE("R43C",'Mapa final'!$R$136),"")</f>
        <v/>
      </c>
      <c r="N49" s="188" t="str">
        <f>IF(AND('Mapa final'!$AB$137="Muy Alta",'Mapa final'!$AD$137="Menor"),CONCATENATE("R43C",'Mapa final'!$R$137),"")</f>
        <v/>
      </c>
      <c r="O49" s="84" t="str">
        <f>IF(AND('Mapa final'!$AB$138="Muy Alta",'Mapa final'!$AD$138="Menor"),CONCATENATE("R43C",'Mapa final'!$R$138),"")</f>
        <v/>
      </c>
      <c r="P49" s="83" t="str">
        <f>IF(AND('Mapa final'!$AB$136="Muy Alta",'Mapa final'!$AD$136="Moderado"),CONCATENATE("R43C",'Mapa final'!$R$136),"")</f>
        <v/>
      </c>
      <c r="Q49" s="188" t="str">
        <f>IF(AND('Mapa final'!$AB$137="Muy Alta",'Mapa final'!$AD$137="Moderado"),CONCATENATE("R43C",'Mapa final'!$R$137),"")</f>
        <v/>
      </c>
      <c r="R49" s="84" t="str">
        <f>IF(AND('Mapa final'!$AB$138="Muy Alta",'Mapa final'!$AD$138="Moderado"),CONCATENATE("R43C",'Mapa final'!$R$138),"")</f>
        <v/>
      </c>
      <c r="S49" s="83" t="str">
        <f>IF(AND('Mapa final'!$AB$136="Muy Alta",'Mapa final'!$AD$136="Mayor"),CONCATENATE("R43C",'Mapa final'!$R$136),"")</f>
        <v/>
      </c>
      <c r="T49" s="188" t="str">
        <f>IF(AND('Mapa final'!$AB$137="Muy Alta",'Mapa final'!$AD$137="Mayor"),CONCATENATE("R43C",'Mapa final'!$R$137),"")</f>
        <v/>
      </c>
      <c r="U49" s="84" t="str">
        <f>IF(AND('Mapa final'!$AB$138="Muy Alta",'Mapa final'!$AD$138="Mayor"),CONCATENATE("R43C",'Mapa final'!$R$138),"")</f>
        <v/>
      </c>
      <c r="V49" s="158" t="str">
        <f>IF(AND('Mapa final'!$AB$136="Muy Alta",'Mapa final'!$AD$136="Catastrófico"),CONCATENATE("R43C",'Mapa final'!$R$136),"")</f>
        <v/>
      </c>
      <c r="W49" s="189" t="str">
        <f>IF(AND('Mapa final'!$AB$137="Muy Alta",'Mapa final'!$AD$137="Catastrófico"),CONCATENATE("R43C",'Mapa final'!$R$137),"")</f>
        <v/>
      </c>
      <c r="X49" s="159" t="str">
        <f>IF(AND('Mapa final'!$AB$138="Muy Alta",'Mapa final'!$AD$138="Catastrófico"),CONCATENATE("R43C",'Mapa final'!$R$138),"")</f>
        <v/>
      </c>
      <c r="Y49" s="38"/>
      <c r="Z49" s="282"/>
      <c r="AA49" s="283"/>
      <c r="AB49" s="283"/>
      <c r="AC49" s="283"/>
      <c r="AD49" s="283"/>
      <c r="AE49" s="284"/>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row>
    <row r="50" spans="1:61" ht="15" customHeight="1" x14ac:dyDescent="0.25">
      <c r="A50" s="38"/>
      <c r="B50" s="291"/>
      <c r="C50" s="292"/>
      <c r="D50" s="293"/>
      <c r="E50" s="271" t="s">
        <v>106</v>
      </c>
      <c r="F50" s="272"/>
      <c r="G50" s="272"/>
      <c r="H50" s="272"/>
      <c r="I50" s="272"/>
      <c r="J50" s="160" t="str">
        <f>IF(AND('Mapa final'!$AB$7="Alta",'Mapa final'!$AD$7="Leve"),CONCATENATE("R1C",'Mapa final'!$R$7),"")</f>
        <v/>
      </c>
      <c r="K50" s="161" t="str">
        <f>IF(AND('Mapa final'!$AB$8="Alta",'Mapa final'!$AD$8="Leve"),CONCATENATE("R1C",'Mapa final'!$R$8),"")</f>
        <v/>
      </c>
      <c r="L50" s="162" t="str">
        <f>IF(AND('Mapa final'!$AB$9="Alta",'Mapa final'!$AD$9="Leve"),CONCATENATE("R1C",'Mapa final'!$R$9),"")</f>
        <v/>
      </c>
      <c r="M50" s="160" t="str">
        <f>IF(AND('Mapa final'!$AB$7="Alta",'Mapa final'!$AD$7="Menor"),CONCATENATE("R1C",'Mapa final'!$R$7),"")</f>
        <v/>
      </c>
      <c r="N50" s="161" t="str">
        <f>IF(AND('Mapa final'!$AB$8="Alta",'Mapa final'!$AD$8="Menor"),CONCATENATE("R1C",'Mapa final'!$R$8),"")</f>
        <v/>
      </c>
      <c r="O50" s="162" t="str">
        <f>IF(AND('Mapa final'!$AB$9="Alta",'Mapa final'!$AD$9="Menor"),CONCATENATE("R1C",'Mapa final'!$R$9),"")</f>
        <v/>
      </c>
      <c r="P50" s="192" t="str">
        <f>IF(AND('Mapa final'!$AB$7="Alta",'Mapa final'!$AD$7="Moderado"),CONCATENATE("R1C",'Mapa final'!$R$7),"")</f>
        <v/>
      </c>
      <c r="Q50" s="193" t="str">
        <f>IF(AND('Mapa final'!$AB$8="Alta",'Mapa final'!$AD$8="Moderado"),CONCATENATE("R1C",'Mapa final'!$R$8),"")</f>
        <v/>
      </c>
      <c r="R50" s="194" t="str">
        <f>IF(AND('Mapa final'!$AB$9="Alta",'Mapa final'!$AD$9="Moderado"),CONCATENATE("R1C",'Mapa final'!$R$9),"")</f>
        <v/>
      </c>
      <c r="S50" s="192" t="str">
        <f>IF(AND('Mapa final'!$AB$7="Alta",'Mapa final'!$AD$7="Mayor"),CONCATENATE("R1C",'Mapa final'!$R$7),"")</f>
        <v/>
      </c>
      <c r="T50" s="193" t="str">
        <f>IF(AND('Mapa final'!$AB$8="Alta",'Mapa final'!$AD$8="Mayor"),CONCATENATE("R1C",'Mapa final'!$R$8),"")</f>
        <v/>
      </c>
      <c r="U50" s="194" t="str">
        <f>IF(AND('Mapa final'!$AB$9="Alta",'Mapa final'!$AD$9="Mayor"),CONCATENATE("R1C",'Mapa final'!$R$9),"")</f>
        <v/>
      </c>
      <c r="V50" s="155" t="str">
        <f>IF(AND('Mapa final'!$AB$7="Alta",'Mapa final'!$AD$7="Catastrófico"),CONCATENATE("R1C",'Mapa final'!$R$7),"")</f>
        <v/>
      </c>
      <c r="W50" s="156" t="str">
        <f>IF(AND('Mapa final'!$AB$8="Alta",'Mapa final'!$AD$8="Catastrófico"),CONCATENATE("R1C",'Mapa final'!$R$8),"")</f>
        <v/>
      </c>
      <c r="X50" s="157" t="str">
        <f>IF(AND('Mapa final'!$AB$9="Alta",'Mapa final'!$AD$9="Catastrófico"),CONCATENATE("R1C",'Mapa final'!$R$9),"")</f>
        <v/>
      </c>
      <c r="Y50" s="38"/>
      <c r="Z50" s="262" t="s">
        <v>74</v>
      </c>
      <c r="AA50" s="263"/>
      <c r="AB50" s="263"/>
      <c r="AC50" s="263"/>
      <c r="AD50" s="263"/>
      <c r="AE50" s="264"/>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row>
    <row r="51" spans="1:61" ht="15" customHeight="1" x14ac:dyDescent="0.25">
      <c r="A51" s="38"/>
      <c r="B51" s="291"/>
      <c r="C51" s="292"/>
      <c r="D51" s="293"/>
      <c r="E51" s="273"/>
      <c r="F51" s="274"/>
      <c r="G51" s="274"/>
      <c r="H51" s="274"/>
      <c r="I51" s="274"/>
      <c r="J51" s="163" t="str">
        <f>IF(AND('Mapa final'!$AB$10="Alta",'Mapa final'!$AD$10="Leve"),CONCATENATE("R2C",'Mapa final'!$R$10),"")</f>
        <v/>
      </c>
      <c r="K51" s="190" t="str">
        <f>IF(AND('Mapa final'!$AB$11="Alta",'Mapa final'!$AD$11="Leve"),CONCATENATE("R2C",'Mapa final'!$R$11),"")</f>
        <v/>
      </c>
      <c r="L51" s="164" t="str">
        <f>IF(AND('Mapa final'!$AB$12="Alta",'Mapa final'!$AD$12="Leve"),CONCATENATE("R2C",'Mapa final'!$R$12),"")</f>
        <v/>
      </c>
      <c r="M51" s="163" t="str">
        <f>IF(AND('Mapa final'!$AB$10="Alta",'Mapa final'!$AD$10="Menor"),CONCATENATE("R2C",'Mapa final'!$R$10),"")</f>
        <v/>
      </c>
      <c r="N51" s="190" t="str">
        <f>IF(AND('Mapa final'!$AB$11="Alta",'Mapa final'!$AD$11="Menor"),CONCATENATE("R2C",'Mapa final'!$R$11),"")</f>
        <v/>
      </c>
      <c r="O51" s="164" t="str">
        <f>IF(AND('Mapa final'!$AB$12="Alta",'Mapa final'!$AD$12="Menor"),CONCATENATE("R2C",'Mapa final'!$R$12),"")</f>
        <v/>
      </c>
      <c r="P51" s="195" t="str">
        <f>IF(AND('Mapa final'!$AB$10="Alta",'Mapa final'!$AD$10="Moderado"),CONCATENATE("R2C",'Mapa final'!$R$10),"")</f>
        <v/>
      </c>
      <c r="Q51" s="196" t="str">
        <f>IF(AND('Mapa final'!$AB$11="Alta",'Mapa final'!$AD$11="Moderado"),CONCATENATE("R2C",'Mapa final'!$R$11),"")</f>
        <v/>
      </c>
      <c r="R51" s="197" t="str">
        <f>IF(AND('Mapa final'!$AB$12="Alta",'Mapa final'!$AD$12="Moderado"),CONCATENATE("R2C",'Mapa final'!$R$12),"")</f>
        <v/>
      </c>
      <c r="S51" s="195" t="str">
        <f>IF(AND('Mapa final'!$AB$10="Alta",'Mapa final'!$AD$10="Mayor"),CONCATENATE("R2C",'Mapa final'!$R$10),"")</f>
        <v/>
      </c>
      <c r="T51" s="196" t="str">
        <f>IF(AND('Mapa final'!$AB$11="Alta",'Mapa final'!$AD$11="Mayor"),CONCATENATE("R2C",'Mapa final'!$R$11),"")</f>
        <v/>
      </c>
      <c r="U51" s="197" t="str">
        <f>IF(AND('Mapa final'!$AB$12="Alta",'Mapa final'!$AD$12="Mayor"),CONCATENATE("R2C",'Mapa final'!$R$12),"")</f>
        <v/>
      </c>
      <c r="V51" s="158" t="str">
        <f>IF(AND('Mapa final'!$AB$10="Alta",'Mapa final'!$AD$10="Catastrófico"),CONCATENATE("R2C",'Mapa final'!$R$10),"")</f>
        <v/>
      </c>
      <c r="W51" s="189" t="str">
        <f>IF(AND('Mapa final'!$AB$11="Alta",'Mapa final'!$AD$11="Catastrófico"),CONCATENATE("R2C",'Mapa final'!$R$11),"")</f>
        <v/>
      </c>
      <c r="X51" s="159" t="str">
        <f>IF(AND('Mapa final'!$AB$12="Alta",'Mapa final'!$AD$12="Catastrófico"),CONCATENATE("R2C",'Mapa final'!$R$12),"")</f>
        <v/>
      </c>
      <c r="Y51" s="38"/>
      <c r="Z51" s="265"/>
      <c r="AA51" s="266"/>
      <c r="AB51" s="266"/>
      <c r="AC51" s="266"/>
      <c r="AD51" s="266"/>
      <c r="AE51" s="267"/>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row>
    <row r="52" spans="1:61" ht="15" customHeight="1" x14ac:dyDescent="0.25">
      <c r="A52" s="38"/>
      <c r="B52" s="291"/>
      <c r="C52" s="292"/>
      <c r="D52" s="293"/>
      <c r="E52" s="275"/>
      <c r="F52" s="274"/>
      <c r="G52" s="274"/>
      <c r="H52" s="274"/>
      <c r="I52" s="274"/>
      <c r="J52" s="163" t="str">
        <f>IF(AND('Mapa final'!$AB$13="Alta",'Mapa final'!$AD$13="Leve"),CONCATENATE("R3C",'Mapa final'!$R$13),"")</f>
        <v/>
      </c>
      <c r="K52" s="190" t="str">
        <f>IF(AND('Mapa final'!$AB$14="Alta",'Mapa final'!$AD$14="Leve"),CONCATENATE("R3C",'Mapa final'!$R$14),"")</f>
        <v/>
      </c>
      <c r="L52" s="164" t="str">
        <f>IF(AND('Mapa final'!$AB$15="Alta",'Mapa final'!$AD$15="Leve"),CONCATENATE("R3C",'Mapa final'!$R$15),"")</f>
        <v/>
      </c>
      <c r="M52" s="163" t="str">
        <f>IF(AND('Mapa final'!$AB$13="Alta",'Mapa final'!$AD$13="Menor"),CONCATENATE("R3C",'Mapa final'!$R$13),"")</f>
        <v/>
      </c>
      <c r="N52" s="190" t="str">
        <f>IF(AND('Mapa final'!$AB$14="Alta",'Mapa final'!$AD$14="Menor"),CONCATENATE("R3C",'Mapa final'!$R$14),"")</f>
        <v/>
      </c>
      <c r="O52" s="164" t="str">
        <f>IF(AND('Mapa final'!$AB$15="Alta",'Mapa final'!$AD$15="Menor"),CONCATENATE("R3C",'Mapa final'!$R$15),"")</f>
        <v/>
      </c>
      <c r="P52" s="195" t="str">
        <f>IF(AND('Mapa final'!$AB$13="Alta",'Mapa final'!$AD$13="Moderado"),CONCATENATE("R3C",'Mapa final'!$R$13),"")</f>
        <v/>
      </c>
      <c r="Q52" s="196" t="str">
        <f>IF(AND('Mapa final'!$AB$14="Alta",'Mapa final'!$AD$14="Moderado"),CONCATENATE("R3C",'Mapa final'!$R$14),"")</f>
        <v/>
      </c>
      <c r="R52" s="197" t="str">
        <f>IF(AND('Mapa final'!$AB$15="Alta",'Mapa final'!$AD$15="Moderado"),CONCATENATE("R3C",'Mapa final'!$R$15),"")</f>
        <v/>
      </c>
      <c r="S52" s="195" t="str">
        <f>IF(AND('Mapa final'!$AB$13="Alta",'Mapa final'!$AD$13="Mayor"),CONCATENATE("R3C",'Mapa final'!$R$13),"")</f>
        <v/>
      </c>
      <c r="T52" s="196" t="str">
        <f>IF(AND('Mapa final'!$AB$14="Alta",'Mapa final'!$AD$14="Mayor"),CONCATENATE("R3C",'Mapa final'!$R$14),"")</f>
        <v/>
      </c>
      <c r="U52" s="197" t="str">
        <f>IF(AND('Mapa final'!$AB$15="Alta",'Mapa final'!$AD$15="Mayor"),CONCATENATE("R3C",'Mapa final'!$R$15),"")</f>
        <v/>
      </c>
      <c r="V52" s="158" t="str">
        <f>IF(AND('Mapa final'!$AB$13="Alta",'Mapa final'!$AD$13="Catastrófico"),CONCATENATE("R3C",'Mapa final'!$R$13),"")</f>
        <v/>
      </c>
      <c r="W52" s="189" t="str">
        <f>IF(AND('Mapa final'!$AB$14="Alta",'Mapa final'!$AD$14="Catastrófico"),CONCATENATE("R3C",'Mapa final'!$R$14),"")</f>
        <v/>
      </c>
      <c r="X52" s="159" t="str">
        <f>IF(AND('Mapa final'!$AB$15="Alta",'Mapa final'!$AD$15="Catastrófico"),CONCATENATE("R3C",'Mapa final'!$R$15),"")</f>
        <v/>
      </c>
      <c r="Y52" s="38"/>
      <c r="Z52" s="265"/>
      <c r="AA52" s="266"/>
      <c r="AB52" s="266"/>
      <c r="AC52" s="266"/>
      <c r="AD52" s="266"/>
      <c r="AE52" s="267"/>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row>
    <row r="53" spans="1:61" ht="15" customHeight="1" x14ac:dyDescent="0.25">
      <c r="A53" s="38"/>
      <c r="B53" s="291"/>
      <c r="C53" s="292"/>
      <c r="D53" s="293"/>
      <c r="E53" s="275"/>
      <c r="F53" s="274"/>
      <c r="G53" s="274"/>
      <c r="H53" s="274"/>
      <c r="I53" s="274"/>
      <c r="J53" s="163" t="str">
        <f>IF(AND('Mapa final'!$AB$16="Alta",'Mapa final'!$AD$16="Leve"),CONCATENATE("R4C",'Mapa final'!$R$16),"")</f>
        <v/>
      </c>
      <c r="K53" s="190" t="str">
        <f>IF(AND('Mapa final'!$AB$17="Alta",'Mapa final'!$AD$17="Leve"),CONCATENATE("R4C",'Mapa final'!$R$17),"")</f>
        <v/>
      </c>
      <c r="L53" s="164" t="str">
        <f>IF(AND('Mapa final'!$AB$18="Alta",'Mapa final'!$AD$18="Leve"),CONCATENATE("R4C",'Mapa final'!$R$18),"")</f>
        <v/>
      </c>
      <c r="M53" s="163" t="str">
        <f>IF(AND('Mapa final'!$AB$16="Alta",'Mapa final'!$AD$16="Menor"),CONCATENATE("R4C",'Mapa final'!$R$16),"")</f>
        <v/>
      </c>
      <c r="N53" s="190" t="str">
        <f>IF(AND('Mapa final'!$AB$17="Alta",'Mapa final'!$AD$17="Menor"),CONCATENATE("R4C",'Mapa final'!$R$17),"")</f>
        <v/>
      </c>
      <c r="O53" s="164" t="str">
        <f>IF(AND('Mapa final'!$AB$18="Alta",'Mapa final'!$AD$18="Menor"),CONCATENATE("R4C",'Mapa final'!$R$18),"")</f>
        <v/>
      </c>
      <c r="P53" s="195" t="str">
        <f>IF(AND('Mapa final'!$AB$16="Alta",'Mapa final'!$AD$16="Moderado"),CONCATENATE("R4C",'Mapa final'!$R$16),"")</f>
        <v/>
      </c>
      <c r="Q53" s="196" t="str">
        <f>IF(AND('Mapa final'!$AB$17="Alta",'Mapa final'!$AD$17="Moderado"),CONCATENATE("R4C",'Mapa final'!$R$17),"")</f>
        <v/>
      </c>
      <c r="R53" s="197" t="str">
        <f>IF(AND('Mapa final'!$AB$18="Alta",'Mapa final'!$AD$18="Moderado"),CONCATENATE("R4C",'Mapa final'!$R$18),"")</f>
        <v/>
      </c>
      <c r="S53" s="195" t="str">
        <f>IF(AND('Mapa final'!$AB$16="Alta",'Mapa final'!$AD$16="Mayor"),CONCATENATE("R4C",'Mapa final'!$R$16),"")</f>
        <v/>
      </c>
      <c r="T53" s="196" t="str">
        <f>IF(AND('Mapa final'!$AB$17="Alta",'Mapa final'!$AD$17="Mayor"),CONCATENATE("R4C",'Mapa final'!$R$17),"")</f>
        <v/>
      </c>
      <c r="U53" s="197" t="str">
        <f>IF(AND('Mapa final'!$AB$18="Alta",'Mapa final'!$AD$18="Mayor"),CONCATENATE("R4C",'Mapa final'!$R$18),"")</f>
        <v/>
      </c>
      <c r="V53" s="158" t="str">
        <f>IF(AND('Mapa final'!$AB$16="Alta",'Mapa final'!$AD$16="Catastrófico"),CONCATENATE("R4C",'Mapa final'!$R$16),"")</f>
        <v/>
      </c>
      <c r="W53" s="189" t="str">
        <f>IF(AND('Mapa final'!$AB$17="Alta",'Mapa final'!$AD$17="Catastrófico"),CONCATENATE("R4C",'Mapa final'!$R$17),"")</f>
        <v/>
      </c>
      <c r="X53" s="159" t="str">
        <f>IF(AND('Mapa final'!$AB$18="Alta",'Mapa final'!$AD$18="Catastrófico"),CONCATENATE("R4C",'Mapa final'!$R$18),"")</f>
        <v/>
      </c>
      <c r="Y53" s="38"/>
      <c r="Z53" s="265"/>
      <c r="AA53" s="266"/>
      <c r="AB53" s="266"/>
      <c r="AC53" s="266"/>
      <c r="AD53" s="266"/>
      <c r="AE53" s="267"/>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row>
    <row r="54" spans="1:61" ht="12" customHeight="1" x14ac:dyDescent="0.25">
      <c r="A54" s="38"/>
      <c r="B54" s="291"/>
      <c r="C54" s="292"/>
      <c r="D54" s="293"/>
      <c r="E54" s="275"/>
      <c r="F54" s="274"/>
      <c r="G54" s="274"/>
      <c r="H54" s="274"/>
      <c r="I54" s="274"/>
      <c r="J54" s="163" t="str">
        <f>IF(AND('Mapa final'!$AB$19="Alta",'Mapa final'!$AD$19="Leve"),CONCATENATE("R5C",'Mapa final'!$R$19),"")</f>
        <v/>
      </c>
      <c r="K54" s="190" t="str">
        <f>IF(AND('Mapa final'!$AB$20="Alta",'Mapa final'!$AD$20="Leve"),CONCATENATE("R5C",'Mapa final'!$R$20),"")</f>
        <v/>
      </c>
      <c r="L54" s="164" t="str">
        <f>IF(AND('Mapa final'!$AB$21="Alta",'Mapa final'!$AD$21="Leve"),CONCATENATE("R5C",'Mapa final'!$R$21),"")</f>
        <v/>
      </c>
      <c r="M54" s="163" t="str">
        <f>IF(AND('Mapa final'!$AB$19="Alta",'Mapa final'!$AD$19="Menor"),CONCATENATE("R5C",'Mapa final'!$R$19),"")</f>
        <v/>
      </c>
      <c r="N54" s="190" t="str">
        <f>IF(AND('Mapa final'!$AB$20="Alta",'Mapa final'!$AD$20="Menor"),CONCATENATE("R5C",'Mapa final'!$R$20),"")</f>
        <v/>
      </c>
      <c r="O54" s="164" t="str">
        <f>IF(AND('Mapa final'!$AB$21="Alta",'Mapa final'!$AD$21="Menor"),CONCATENATE("R5C",'Mapa final'!$R$21),"")</f>
        <v/>
      </c>
      <c r="P54" s="195" t="str">
        <f>IF(AND('Mapa final'!$AB$19="Alta",'Mapa final'!$AD$19="Moderado"),CONCATENATE("R5C",'Mapa final'!$R$19),"")</f>
        <v/>
      </c>
      <c r="Q54" s="196" t="str">
        <f>IF(AND('Mapa final'!$AB$20="Alta",'Mapa final'!$AD$20="Moderado"),CONCATENATE("R5C",'Mapa final'!$R$20),"")</f>
        <v/>
      </c>
      <c r="R54" s="197" t="str">
        <f>IF(AND('Mapa final'!$AB$21="Alta",'Mapa final'!$AD$21="Moderado"),CONCATENATE("R5C",'Mapa final'!$R$21),"")</f>
        <v/>
      </c>
      <c r="S54" s="195" t="str">
        <f>IF(AND('Mapa final'!$AB$19="Alta",'Mapa final'!$AD$19="Mayor"),CONCATENATE("R5C",'Mapa final'!$R$19),"")</f>
        <v/>
      </c>
      <c r="T54" s="196" t="str">
        <f>IF(AND('Mapa final'!$AB$20="Alta",'Mapa final'!$AD$20="Mayor"),CONCATENATE("R5C",'Mapa final'!$R$20),"")</f>
        <v/>
      </c>
      <c r="U54" s="197" t="str">
        <f>IF(AND('Mapa final'!$AB$21="Alta",'Mapa final'!$AD$21="Mayor"),CONCATENATE("R5C",'Mapa final'!$R$21),"")</f>
        <v/>
      </c>
      <c r="V54" s="158" t="str">
        <f>IF(AND('Mapa final'!$AB$19="Alta",'Mapa final'!$AD$19="Catastrófico"),CONCATENATE("R5C",'Mapa final'!$R$19),"")</f>
        <v/>
      </c>
      <c r="W54" s="189" t="str">
        <f>IF(AND('Mapa final'!$AB$20="Alta",'Mapa final'!$AD$20="Catastrófico"),CONCATENATE("R5C",'Mapa final'!$R$20),"")</f>
        <v/>
      </c>
      <c r="X54" s="159" t="str">
        <f>IF(AND('Mapa final'!$AB$21="Alta",'Mapa final'!$AD$21="Catastrófico"),CONCATENATE("R5C",'Mapa final'!$R$21),"")</f>
        <v/>
      </c>
      <c r="Y54" s="38"/>
      <c r="Z54" s="265"/>
      <c r="AA54" s="266"/>
      <c r="AB54" s="266"/>
      <c r="AC54" s="266"/>
      <c r="AD54" s="266"/>
      <c r="AE54" s="267"/>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row>
    <row r="55" spans="1:61" ht="12" customHeight="1" x14ac:dyDescent="0.25">
      <c r="A55" s="38"/>
      <c r="B55" s="291"/>
      <c r="C55" s="292"/>
      <c r="D55" s="293"/>
      <c r="E55" s="275"/>
      <c r="F55" s="274"/>
      <c r="G55" s="274"/>
      <c r="H55" s="274"/>
      <c r="I55" s="274"/>
      <c r="J55" s="163" t="str">
        <f>IF(AND('Mapa final'!$AB$22="Alta",'Mapa final'!$AD$22="Leve"),CONCATENATE("R6C",'Mapa final'!$R$22),"")</f>
        <v/>
      </c>
      <c r="K55" s="190" t="str">
        <f>IF(AND('Mapa final'!$AB$23="Alta",'Mapa final'!$AD$23="Leve"),CONCATENATE("R6C",'Mapa final'!$R$23),"")</f>
        <v/>
      </c>
      <c r="L55" s="164" t="str">
        <f>IF(AND('Mapa final'!$AB$24="Alta",'Mapa final'!$AD$24="Leve"),CONCATENATE("R6C",'Mapa final'!$R$24),"")</f>
        <v/>
      </c>
      <c r="M55" s="163" t="str">
        <f>IF(AND('Mapa final'!$AB$22="Alta",'Mapa final'!$AD$22="Menor"),CONCATENATE("R6C",'Mapa final'!$R$22),"")</f>
        <v/>
      </c>
      <c r="N55" s="190" t="str">
        <f>IF(AND('Mapa final'!$AB$23="Alta",'Mapa final'!$AD$23="Menor"),CONCATENATE("R6C",'Mapa final'!$R$23),"")</f>
        <v/>
      </c>
      <c r="O55" s="164" t="str">
        <f>IF(AND('Mapa final'!$AB$24="Alta",'Mapa final'!$AD$24="Menor"),CONCATENATE("R6C",'Mapa final'!$R$24),"")</f>
        <v/>
      </c>
      <c r="P55" s="195" t="str">
        <f>IF(AND('Mapa final'!$AB$22="Alta",'Mapa final'!$AD$22="Moderado"),CONCATENATE("R6C",'Mapa final'!$R$22),"")</f>
        <v/>
      </c>
      <c r="Q55" s="196" t="str">
        <f>IF(AND('Mapa final'!$AB$23="Alta",'Mapa final'!$AD$23="Moderado"),CONCATENATE("R6C",'Mapa final'!$R$23),"")</f>
        <v/>
      </c>
      <c r="R55" s="197" t="str">
        <f>IF(AND('Mapa final'!$AB$24="Alta",'Mapa final'!$AD$24="Moderado"),CONCATENATE("R6C",'Mapa final'!$R$24),"")</f>
        <v/>
      </c>
      <c r="S55" s="195" t="str">
        <f>IF(AND('Mapa final'!$AB$22="Alta",'Mapa final'!$AD$22="Mayor"),CONCATENATE("R6C",'Mapa final'!$R$22),"")</f>
        <v/>
      </c>
      <c r="T55" s="196" t="str">
        <f>IF(AND('Mapa final'!$AB$23="Alta",'Mapa final'!$AD$23="Mayor"),CONCATENATE("R6C",'Mapa final'!$R$23),"")</f>
        <v/>
      </c>
      <c r="U55" s="197" t="str">
        <f>IF(AND('Mapa final'!$AB$24="Alta",'Mapa final'!$AD$24="Mayor"),CONCATENATE("R6C",'Mapa final'!$R$24),"")</f>
        <v/>
      </c>
      <c r="V55" s="158" t="str">
        <f>IF(AND('Mapa final'!$AB$22="Alta",'Mapa final'!$AD$22="Catastrófico"),CONCATENATE("R6C",'Mapa final'!$R$22),"")</f>
        <v/>
      </c>
      <c r="W55" s="189" t="str">
        <f>IF(AND('Mapa final'!$AB$23="Alta",'Mapa final'!$AD$23="Catastrófico"),CONCATENATE("R6C",'Mapa final'!$R$23),"")</f>
        <v/>
      </c>
      <c r="X55" s="159" t="str">
        <f>IF(AND('Mapa final'!$AB$24="Alta",'Mapa final'!$AD$24="Catastrófico"),CONCATENATE("R6C",'Mapa final'!$R$24),"")</f>
        <v/>
      </c>
      <c r="Y55" s="38"/>
      <c r="Z55" s="265"/>
      <c r="AA55" s="266"/>
      <c r="AB55" s="266"/>
      <c r="AC55" s="266"/>
      <c r="AD55" s="266"/>
      <c r="AE55" s="267"/>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row>
    <row r="56" spans="1:61" ht="12" customHeight="1" x14ac:dyDescent="0.25">
      <c r="A56" s="38"/>
      <c r="B56" s="291"/>
      <c r="C56" s="292"/>
      <c r="D56" s="293"/>
      <c r="E56" s="275"/>
      <c r="F56" s="274"/>
      <c r="G56" s="274"/>
      <c r="H56" s="274"/>
      <c r="I56" s="274"/>
      <c r="J56" s="163" t="str">
        <f>IF(AND('Mapa final'!$AB$25="Alta",'Mapa final'!$AD$25="Leve"),CONCATENATE("R7C",'Mapa final'!$R$25),"")</f>
        <v/>
      </c>
      <c r="K56" s="190" t="str">
        <f>IF(AND('Mapa final'!$AB$26="Alta",'Mapa final'!$AD$26="Leve"),CONCATENATE("R7C",'Mapa final'!$R$26),"")</f>
        <v/>
      </c>
      <c r="L56" s="164" t="str">
        <f>IF(AND('Mapa final'!$AB$27="Alta",'Mapa final'!$AD$27="Leve"),CONCATENATE("R7C",'Mapa final'!$R$27),"")</f>
        <v/>
      </c>
      <c r="M56" s="163" t="str">
        <f>IF(AND('Mapa final'!$AB$25="Alta",'Mapa final'!$AD$25="Menor"),CONCATENATE("R7C",'Mapa final'!$R$25),"")</f>
        <v/>
      </c>
      <c r="N56" s="190" t="str">
        <f>IF(AND('Mapa final'!$AB$26="Alta",'Mapa final'!$AD$26="Menor"),CONCATENATE("R7C",'Mapa final'!$R$26),"")</f>
        <v/>
      </c>
      <c r="O56" s="164" t="str">
        <f>IF(AND('Mapa final'!$AB$27="Alta",'Mapa final'!$AD$27="Menor"),CONCATENATE("R7C",'Mapa final'!$R$27),"")</f>
        <v/>
      </c>
      <c r="P56" s="195" t="str">
        <f>IF(AND('Mapa final'!$AB$25="Alta",'Mapa final'!$AD$25="Moderado"),CONCATENATE("R7C",'Mapa final'!$R$25),"")</f>
        <v/>
      </c>
      <c r="Q56" s="196" t="str">
        <f>IF(AND('Mapa final'!$AB$26="Alta",'Mapa final'!$AD$26="Moderado"),CONCATENATE("R7C",'Mapa final'!$R$26),"")</f>
        <v/>
      </c>
      <c r="R56" s="197" t="str">
        <f>IF(AND('Mapa final'!$AB$27="Alta",'Mapa final'!$AD$27="Moderado"),CONCATENATE("R7C",'Mapa final'!$R$27),"")</f>
        <v/>
      </c>
      <c r="S56" s="195" t="str">
        <f>IF(AND('Mapa final'!$AB$25="Alta",'Mapa final'!$AD$25="Mayor"),CONCATENATE("R7C",'Mapa final'!$R$25),"")</f>
        <v/>
      </c>
      <c r="T56" s="196" t="str">
        <f>IF(AND('Mapa final'!$AB$26="Alta",'Mapa final'!$AD$26="Mayor"),CONCATENATE("R7C",'Mapa final'!$R$26),"")</f>
        <v/>
      </c>
      <c r="U56" s="197" t="str">
        <f>IF(AND('Mapa final'!$AB$27="Alta",'Mapa final'!$AD$27="Mayor"),CONCATENATE("R7C",'Mapa final'!$R$27),"")</f>
        <v/>
      </c>
      <c r="V56" s="158" t="str">
        <f>IF(AND('Mapa final'!$AB$25="Alta",'Mapa final'!$AD$25="Catastrófico"),CONCATENATE("R7C",'Mapa final'!$R$25),"")</f>
        <v/>
      </c>
      <c r="W56" s="189" t="str">
        <f>IF(AND('Mapa final'!$AB$26="Alta",'Mapa final'!$AD$26="Catastrófico"),CONCATENATE("R7C",'Mapa final'!$R$26),"")</f>
        <v/>
      </c>
      <c r="X56" s="159" t="str">
        <f>IF(AND('Mapa final'!$AB$27="Alta",'Mapa final'!$AD$27="Catastrófico"),CONCATENATE("R7C",'Mapa final'!$R$27),"")</f>
        <v/>
      </c>
      <c r="Y56" s="38"/>
      <c r="Z56" s="265"/>
      <c r="AA56" s="266"/>
      <c r="AB56" s="266"/>
      <c r="AC56" s="266"/>
      <c r="AD56" s="266"/>
      <c r="AE56" s="267"/>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row>
    <row r="57" spans="1:61" ht="12" customHeight="1" x14ac:dyDescent="0.25">
      <c r="A57" s="38"/>
      <c r="B57" s="291"/>
      <c r="C57" s="292"/>
      <c r="D57" s="293"/>
      <c r="E57" s="275"/>
      <c r="F57" s="274"/>
      <c r="G57" s="274"/>
      <c r="H57" s="274"/>
      <c r="I57" s="274"/>
      <c r="J57" s="163" t="str">
        <f>IF(AND('Mapa final'!$AB$28="Alta",'Mapa final'!$AD$28="Leve"),CONCATENATE("R8C",'Mapa final'!$R$28),"")</f>
        <v/>
      </c>
      <c r="K57" s="190" t="str">
        <f>IF(AND('Mapa final'!$AB$29="Alta",'Mapa final'!$AD$29="Leve"),CONCATENATE("R8C",'Mapa final'!$R$29),"")</f>
        <v/>
      </c>
      <c r="L57" s="164" t="str">
        <f>IF(AND('Mapa final'!$AB$30="Alta",'Mapa final'!$AD$30="Leve"),CONCATENATE("R8C",'Mapa final'!$R$30),"")</f>
        <v/>
      </c>
      <c r="M57" s="163" t="str">
        <f>IF(AND('Mapa final'!$AB$28="Alta",'Mapa final'!$AD$28="Menor"),CONCATENATE("R8C",'Mapa final'!$R$28),"")</f>
        <v/>
      </c>
      <c r="N57" s="190" t="str">
        <f>IF(AND('Mapa final'!$AB$29="Alta",'Mapa final'!$AD$29="Menor"),CONCATENATE("R8C",'Mapa final'!$R$29),"")</f>
        <v/>
      </c>
      <c r="O57" s="164" t="str">
        <f>IF(AND('Mapa final'!$AB$30="Alta",'Mapa final'!$AD$30="Menor"),CONCATENATE("R8C",'Mapa final'!$R$30),"")</f>
        <v/>
      </c>
      <c r="P57" s="195" t="str">
        <f>IF(AND('Mapa final'!$AB$28="Alta",'Mapa final'!$AD$28="Moderado"),CONCATENATE("R8C",'Mapa final'!$R$28),"")</f>
        <v/>
      </c>
      <c r="Q57" s="196" t="str">
        <f>IF(AND('Mapa final'!$AB$29="Alta",'Mapa final'!$AD$29="Moderado"),CONCATENATE("R8C",'Mapa final'!$R$29),"")</f>
        <v/>
      </c>
      <c r="R57" s="197" t="str">
        <f>IF(AND('Mapa final'!$AB$30="Alta",'Mapa final'!$AD$30="Moderado"),CONCATENATE("R8C",'Mapa final'!$R$30),"")</f>
        <v/>
      </c>
      <c r="S57" s="195" t="str">
        <f>IF(AND('Mapa final'!$AB$28="Alta",'Mapa final'!$AD$28="Mayor"),CONCATENATE("R8C",'Mapa final'!$R$28),"")</f>
        <v/>
      </c>
      <c r="T57" s="196" t="str">
        <f>IF(AND('Mapa final'!$AB$29="Alta",'Mapa final'!$AD$29="Mayor"),CONCATENATE("R8C",'Mapa final'!$R$29),"")</f>
        <v/>
      </c>
      <c r="U57" s="197" t="str">
        <f>IF(AND('Mapa final'!$AB$30="Alta",'Mapa final'!$AD$30="Mayor"),CONCATENATE("R8C",'Mapa final'!$R$30),"")</f>
        <v/>
      </c>
      <c r="V57" s="158" t="str">
        <f>IF(AND('Mapa final'!$AB$28="Alta",'Mapa final'!$AD$28="Catastrófico"),CONCATENATE("R8C",'Mapa final'!$R$28),"")</f>
        <v/>
      </c>
      <c r="W57" s="189" t="str">
        <f>IF(AND('Mapa final'!$AB$29="Alta",'Mapa final'!$AD$29="Catastrófico"),CONCATENATE("R8C",'Mapa final'!$R$29),"")</f>
        <v/>
      </c>
      <c r="X57" s="159" t="str">
        <f>IF(AND('Mapa final'!$AB$30="Alta",'Mapa final'!$AD$30="Catastrófico"),CONCATENATE("R8C",'Mapa final'!$R$30),"")</f>
        <v/>
      </c>
      <c r="Y57" s="38"/>
      <c r="Z57" s="265"/>
      <c r="AA57" s="266"/>
      <c r="AB57" s="266"/>
      <c r="AC57" s="266"/>
      <c r="AD57" s="266"/>
      <c r="AE57" s="267"/>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row>
    <row r="58" spans="1:61" ht="12" customHeight="1" x14ac:dyDescent="0.25">
      <c r="A58" s="38"/>
      <c r="B58" s="291"/>
      <c r="C58" s="292"/>
      <c r="D58" s="293"/>
      <c r="E58" s="275"/>
      <c r="F58" s="274"/>
      <c r="G58" s="274"/>
      <c r="H58" s="274"/>
      <c r="I58" s="274"/>
      <c r="J58" s="163" t="str">
        <f>IF(AND('Mapa final'!$AB$31="Alta",'Mapa final'!$AD$31="Leve"),CONCATENATE("R9C",'Mapa final'!$R$31),"")</f>
        <v/>
      </c>
      <c r="K58" s="190" t="str">
        <f>IF(AND('Mapa final'!$AB$32="Alta",'Mapa final'!$AD$32="Leve"),CONCATENATE("R9C",'Mapa final'!$R$32),"")</f>
        <v/>
      </c>
      <c r="L58" s="164" t="str">
        <f>IF(AND('Mapa final'!$AB$33="Alta",'Mapa final'!$AD$33="Leve"),CONCATENATE("R9C",'Mapa final'!$R$33),"")</f>
        <v/>
      </c>
      <c r="M58" s="163" t="str">
        <f>IF(AND('Mapa final'!$AB$31="Alta",'Mapa final'!$AD$31="Menor"),CONCATENATE("R9C",'Mapa final'!$R$31),"")</f>
        <v/>
      </c>
      <c r="N58" s="190" t="str">
        <f>IF(AND('Mapa final'!$AB$32="Alta",'Mapa final'!$AD$32="Menor"),CONCATENATE("R9C",'Mapa final'!$R$32),"")</f>
        <v/>
      </c>
      <c r="O58" s="164" t="str">
        <f>IF(AND('Mapa final'!$AB$33="Alta",'Mapa final'!$AD$33="Menor"),CONCATENATE("R9C",'Mapa final'!$R$33),"")</f>
        <v/>
      </c>
      <c r="P58" s="195" t="str">
        <f>IF(AND('Mapa final'!$AB$31="Alta",'Mapa final'!$AD$31="Moderado"),CONCATENATE("R9C",'Mapa final'!$R$31),"")</f>
        <v/>
      </c>
      <c r="Q58" s="196" t="str">
        <f>IF(AND('Mapa final'!$AB$32="Alta",'Mapa final'!$AD$32="Moderado"),CONCATENATE("R9C",'Mapa final'!$R$32),"")</f>
        <v/>
      </c>
      <c r="R58" s="197" t="str">
        <f>IF(AND('Mapa final'!$AB$33="Alta",'Mapa final'!$AD$33="Moderado"),CONCATENATE("R9C",'Mapa final'!$R$33),"")</f>
        <v/>
      </c>
      <c r="S58" s="195" t="str">
        <f>IF(AND('Mapa final'!$AB$31="Alta",'Mapa final'!$AD$31="Mayor"),CONCATENATE("R9C",'Mapa final'!$R$31),"")</f>
        <v/>
      </c>
      <c r="T58" s="196" t="str">
        <f>IF(AND('Mapa final'!$AB$32="Alta",'Mapa final'!$AD$32="Mayor"),CONCATENATE("R9C",'Mapa final'!$R$32),"")</f>
        <v/>
      </c>
      <c r="U58" s="197" t="str">
        <f>IF(AND('Mapa final'!$AB$33="Alta",'Mapa final'!$AD$33="Mayor"),CONCATENATE("R9C",'Mapa final'!$R$33),"")</f>
        <v/>
      </c>
      <c r="V58" s="158" t="str">
        <f>IF(AND('Mapa final'!$AB$31="Alta",'Mapa final'!$AD$31="Catastrófico"),CONCATENATE("R9C",'Mapa final'!$R$31),"")</f>
        <v/>
      </c>
      <c r="W58" s="189" t="str">
        <f>IF(AND('Mapa final'!$AB$32="Alta",'Mapa final'!$AD$32="Catastrófico"),CONCATENATE("R9C",'Mapa final'!$R$32),"")</f>
        <v/>
      </c>
      <c r="X58" s="159" t="str">
        <f>IF(AND('Mapa final'!$AB$33="Alta",'Mapa final'!$AD$33="Catastrófico"),CONCATENATE("R9C",'Mapa final'!$R$33),"")</f>
        <v/>
      </c>
      <c r="Y58" s="38"/>
      <c r="Z58" s="265"/>
      <c r="AA58" s="266"/>
      <c r="AB58" s="266"/>
      <c r="AC58" s="266"/>
      <c r="AD58" s="266"/>
      <c r="AE58" s="267"/>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row>
    <row r="59" spans="1:61" ht="12" customHeight="1" x14ac:dyDescent="0.25">
      <c r="A59" s="38"/>
      <c r="B59" s="291"/>
      <c r="C59" s="292"/>
      <c r="D59" s="293"/>
      <c r="E59" s="275"/>
      <c r="F59" s="274"/>
      <c r="G59" s="274"/>
      <c r="H59" s="274"/>
      <c r="I59" s="274"/>
      <c r="J59" s="163" t="str">
        <f>IF(AND('Mapa final'!$AB$34="Alta",'Mapa final'!$AD$34="Leve"),CONCATENATE("R10C",'Mapa final'!$R$34),"")</f>
        <v/>
      </c>
      <c r="K59" s="190" t="str">
        <f>IF(AND('Mapa final'!$AB$35="Alta",'Mapa final'!$AD$35="Leve"),CONCATENATE("R10C",'Mapa final'!$R$35),"")</f>
        <v/>
      </c>
      <c r="L59" s="164" t="str">
        <f>IF(AND('Mapa final'!$AB$36="Alta",'Mapa final'!$AD$36="Leve"),CONCATENATE("R10C",'Mapa final'!$R$36),"")</f>
        <v/>
      </c>
      <c r="M59" s="163" t="str">
        <f>IF(AND('Mapa final'!$AB$34="Alta",'Mapa final'!$AD$34="Menor"),CONCATENATE("R10C",'Mapa final'!$R$34),"")</f>
        <v/>
      </c>
      <c r="N59" s="190" t="str">
        <f>IF(AND('Mapa final'!$AB$35="Alta",'Mapa final'!$AD$35="Menor"),CONCATENATE("R10C",'Mapa final'!$R$35),"")</f>
        <v/>
      </c>
      <c r="O59" s="164" t="str">
        <f>IF(AND('Mapa final'!$AB$36="Alta",'Mapa final'!$AD$36="Menor"),CONCATENATE("R10C",'Mapa final'!$R$36),"")</f>
        <v/>
      </c>
      <c r="P59" s="195" t="str">
        <f>IF(AND('Mapa final'!$AB$34="Alta",'Mapa final'!$AD$34="Moderado"),CONCATENATE("R10C",'Mapa final'!$R$34),"")</f>
        <v/>
      </c>
      <c r="Q59" s="196" t="str">
        <f>IF(AND('Mapa final'!$AB$35="Alta",'Mapa final'!$AD$35="Moderado"),CONCATENATE("R10C",'Mapa final'!$R$35),"")</f>
        <v/>
      </c>
      <c r="R59" s="197" t="str">
        <f>IF(AND('Mapa final'!$AB$36="Alta",'Mapa final'!$AD$36="Moderado"),CONCATENATE("R10C",'Mapa final'!$R$36),"")</f>
        <v/>
      </c>
      <c r="S59" s="195" t="str">
        <f>IF(AND('Mapa final'!$AB$34="Alta",'Mapa final'!$AD$34="Mayor"),CONCATENATE("R10C",'Mapa final'!$R$34),"")</f>
        <v/>
      </c>
      <c r="T59" s="196" t="str">
        <f>IF(AND('Mapa final'!$AB$35="Alta",'Mapa final'!$AD$35="Mayor"),CONCATENATE("R10C",'Mapa final'!$R$35),"")</f>
        <v/>
      </c>
      <c r="U59" s="197" t="str">
        <f>IF(AND('Mapa final'!$AB$36="Alta",'Mapa final'!$AD$36="Mayor"),CONCATENATE("R10C",'Mapa final'!$R$36),"")</f>
        <v/>
      </c>
      <c r="V59" s="158" t="str">
        <f>IF(AND('Mapa final'!$AB$34="Alta",'Mapa final'!$AD$34="Catastrófico"),CONCATENATE("R10C",'Mapa final'!$R$34),"")</f>
        <v/>
      </c>
      <c r="W59" s="189" t="str">
        <f>IF(AND('Mapa final'!$AB$35="Alta",'Mapa final'!$AD$35="Catastrófico"),CONCATENATE("R10C",'Mapa final'!$R$35),"")</f>
        <v/>
      </c>
      <c r="X59" s="159" t="str">
        <f>IF(AND('Mapa final'!$AB$36="Alta",'Mapa final'!$AD$36="Catastrófico"),CONCATENATE("R10C",'Mapa final'!$R$36),"")</f>
        <v/>
      </c>
      <c r="Y59" s="38"/>
      <c r="Z59" s="265"/>
      <c r="AA59" s="266"/>
      <c r="AB59" s="266"/>
      <c r="AC59" s="266"/>
      <c r="AD59" s="266"/>
      <c r="AE59" s="267"/>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row>
    <row r="60" spans="1:61" ht="12" customHeight="1" x14ac:dyDescent="0.25">
      <c r="A60" s="38"/>
      <c r="B60" s="291"/>
      <c r="C60" s="292"/>
      <c r="D60" s="293"/>
      <c r="E60" s="275"/>
      <c r="F60" s="274"/>
      <c r="G60" s="274"/>
      <c r="H60" s="274"/>
      <c r="I60" s="274"/>
      <c r="J60" s="163" t="str">
        <f>IF(AND('Mapa final'!$AB$37="Alta",'Mapa final'!$AD$37="Leve"),CONCATENATE("R11C",'Mapa final'!$R$37),"")</f>
        <v/>
      </c>
      <c r="K60" s="190" t="str">
        <f>IF(AND('Mapa final'!$AB$38="Alta",'Mapa final'!$AD$38="Leve"),CONCATENATE("R11C",'Mapa final'!$R$38),"")</f>
        <v/>
      </c>
      <c r="L60" s="164" t="str">
        <f>IF(AND('Mapa final'!$AB$39="Alta",'Mapa final'!$AD$39="Leve"),CONCATENATE("R11C",'Mapa final'!$R$39),"")</f>
        <v/>
      </c>
      <c r="M60" s="163" t="str">
        <f>IF(AND('Mapa final'!$AB$37="Alta",'Mapa final'!$AD$37="Menor"),CONCATENATE("R11C",'Mapa final'!$R$37),"")</f>
        <v/>
      </c>
      <c r="N60" s="190" t="str">
        <f>IF(AND('Mapa final'!$AB$38="Alta",'Mapa final'!$AD$38="Menor"),CONCATENATE("R11C",'Mapa final'!$R$38),"")</f>
        <v/>
      </c>
      <c r="O60" s="164" t="str">
        <f>IF(AND('Mapa final'!$AB$39="Alta",'Mapa final'!$AD$39="Menor"),CONCATENATE("R11C",'Mapa final'!$R$39),"")</f>
        <v/>
      </c>
      <c r="P60" s="195" t="str">
        <f>IF(AND('Mapa final'!$AB$37="Alta",'Mapa final'!$AD$37="Moderado"),CONCATENATE("R11C",'Mapa final'!$R$37),"")</f>
        <v/>
      </c>
      <c r="Q60" s="196" t="str">
        <f>IF(AND('Mapa final'!$AB$38="Alta",'Mapa final'!$AD$38="Moderado"),CONCATENATE("R11C",'Mapa final'!$R$38),"")</f>
        <v/>
      </c>
      <c r="R60" s="197" t="str">
        <f>IF(AND('Mapa final'!$AB$39="Alta",'Mapa final'!$AD$39="Moderado"),CONCATENATE("R11C",'Mapa final'!$R$39),"")</f>
        <v/>
      </c>
      <c r="S60" s="195" t="str">
        <f>IF(AND('Mapa final'!$AB$37="Alta",'Mapa final'!$AD$37="Mayor"),CONCATENATE("R11C",'Mapa final'!$R$37),"")</f>
        <v/>
      </c>
      <c r="T60" s="196" t="str">
        <f>IF(AND('Mapa final'!$AB$38="Alta",'Mapa final'!$AD$38="Mayor"),CONCATENATE("R11C",'Mapa final'!$R$38),"")</f>
        <v/>
      </c>
      <c r="U60" s="197" t="str">
        <f>IF(AND('Mapa final'!$AB$39="Alta",'Mapa final'!$AD$39="Mayor"),CONCATENATE("R11C",'Mapa final'!$R$39),"")</f>
        <v/>
      </c>
      <c r="V60" s="158" t="str">
        <f>IF(AND('Mapa final'!$AB$37="Alta",'Mapa final'!$AD$37="Catastrófico"),CONCATENATE("R11C",'Mapa final'!$R$37),"")</f>
        <v/>
      </c>
      <c r="W60" s="189" t="str">
        <f>IF(AND('Mapa final'!$AB$38="Alta",'Mapa final'!$AD$38="Catastrófico"),CONCATENATE("R11C",'Mapa final'!$R$38),"")</f>
        <v/>
      </c>
      <c r="X60" s="159" t="str">
        <f>IF(AND('Mapa final'!$AB$39="Alta",'Mapa final'!$AD$39="Catastrófico"),CONCATENATE("R11C",'Mapa final'!$R$39),"")</f>
        <v/>
      </c>
      <c r="Y60" s="38"/>
      <c r="Z60" s="265"/>
      <c r="AA60" s="266"/>
      <c r="AB60" s="266"/>
      <c r="AC60" s="266"/>
      <c r="AD60" s="266"/>
      <c r="AE60" s="267"/>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row>
    <row r="61" spans="1:61" ht="12" customHeight="1" x14ac:dyDescent="0.25">
      <c r="A61" s="38"/>
      <c r="B61" s="291"/>
      <c r="C61" s="292"/>
      <c r="D61" s="293"/>
      <c r="E61" s="275"/>
      <c r="F61" s="274"/>
      <c r="G61" s="274"/>
      <c r="H61" s="274"/>
      <c r="I61" s="274"/>
      <c r="J61" s="163" t="str">
        <f>IF(AND('Mapa final'!$AB$40="Alta",'Mapa final'!$AD$40="Leve"),CONCATENATE("R12C",'Mapa final'!$R$40),"")</f>
        <v/>
      </c>
      <c r="K61" s="190" t="str">
        <f>IF(AND('Mapa final'!$AB$41="Alta",'Mapa final'!$AD$41="Leve"),CONCATENATE("R12C",'Mapa final'!$R$41),"")</f>
        <v/>
      </c>
      <c r="L61" s="164" t="str">
        <f>IF(AND('Mapa final'!$AB$42="Alta",'Mapa final'!$AD$42="Leve"),CONCATENATE("R12C",'Mapa final'!$R$42),"")</f>
        <v/>
      </c>
      <c r="M61" s="163" t="str">
        <f>IF(AND('Mapa final'!$AB$40="Alta",'Mapa final'!$AD$40="Menor"),CONCATENATE("R12C",'Mapa final'!$R$40),"")</f>
        <v/>
      </c>
      <c r="N61" s="190" t="str">
        <f>IF(AND('Mapa final'!$AB$41="Alta",'Mapa final'!$AD$41="Menor"),CONCATENATE("R12C",'Mapa final'!$R$41),"")</f>
        <v/>
      </c>
      <c r="O61" s="164" t="str">
        <f>IF(AND('Mapa final'!$AB$42="Alta",'Mapa final'!$AD$42="Menor"),CONCATENATE("R12C",'Mapa final'!$R$42),"")</f>
        <v/>
      </c>
      <c r="P61" s="195" t="str">
        <f>IF(AND('Mapa final'!$AB$40="Alta",'Mapa final'!$AD$40="Moderado"),CONCATENATE("R12C",'Mapa final'!$R$40),"")</f>
        <v/>
      </c>
      <c r="Q61" s="196" t="str">
        <f>IF(AND('Mapa final'!$AB$41="Alta",'Mapa final'!$AD$41="Moderado"),CONCATENATE("R12C",'Mapa final'!$R$41),"")</f>
        <v/>
      </c>
      <c r="R61" s="197" t="str">
        <f>IF(AND('Mapa final'!$AB$42="Alta",'Mapa final'!$AD$42="Moderado"),CONCATENATE("R12C",'Mapa final'!$R$42),"")</f>
        <v/>
      </c>
      <c r="S61" s="195" t="str">
        <f>IF(AND('Mapa final'!$AB$40="Alta",'Mapa final'!$AD$40="Mayor"),CONCATENATE("R12C",'Mapa final'!$R$40),"")</f>
        <v/>
      </c>
      <c r="T61" s="196" t="str">
        <f>IF(AND('Mapa final'!$AB$41="Alta",'Mapa final'!$AD$41="Mayor"),CONCATENATE("R12C",'Mapa final'!$R$41),"")</f>
        <v/>
      </c>
      <c r="U61" s="197" t="str">
        <f>IF(AND('Mapa final'!$AB$42="Alta",'Mapa final'!$AD$42="Mayor"),CONCATENATE("R12C",'Mapa final'!$R$42),"")</f>
        <v/>
      </c>
      <c r="V61" s="158" t="str">
        <f>IF(AND('Mapa final'!$AB$40="Alta",'Mapa final'!$AD$40="Catastrófico"),CONCATENATE("R12C",'Mapa final'!$R$40),"")</f>
        <v/>
      </c>
      <c r="W61" s="189" t="str">
        <f>IF(AND('Mapa final'!$AB$41="Alta",'Mapa final'!$AD$41="Catastrófico"),CONCATENATE("R12C",'Mapa final'!$R$41),"")</f>
        <v/>
      </c>
      <c r="X61" s="159" t="str">
        <f>IF(AND('Mapa final'!$AB$42="Alta",'Mapa final'!$AD$42="Catastrófico"),CONCATENATE("R12C",'Mapa final'!$R$42),"")</f>
        <v/>
      </c>
      <c r="Y61" s="38"/>
      <c r="Z61" s="265"/>
      <c r="AA61" s="266"/>
      <c r="AB61" s="266"/>
      <c r="AC61" s="266"/>
      <c r="AD61" s="266"/>
      <c r="AE61" s="267"/>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row>
    <row r="62" spans="1:61" ht="12" customHeight="1" x14ac:dyDescent="0.25">
      <c r="A62" s="38"/>
      <c r="B62" s="291"/>
      <c r="C62" s="292"/>
      <c r="D62" s="293"/>
      <c r="E62" s="275"/>
      <c r="F62" s="274"/>
      <c r="G62" s="274"/>
      <c r="H62" s="274"/>
      <c r="I62" s="274"/>
      <c r="J62" s="163" t="str">
        <f>IF(AND('Mapa final'!$AB$43="Alta",'Mapa final'!$AD$43="Leve"),CONCATENATE("R12C",'Mapa final'!$R$43),"")</f>
        <v/>
      </c>
      <c r="K62" s="190" t="str">
        <f>IF(AND('Mapa final'!$AB$44="Alta",'Mapa final'!$AD$44="Leve"),CONCATENATE("R13C",'Mapa final'!$R$44),"")</f>
        <v/>
      </c>
      <c r="L62" s="164" t="str">
        <f>IF(AND('Mapa final'!$AB$45="Alta",'Mapa final'!$AD$45="Leve"),CONCATENATE("R13C",'Mapa final'!$R$45),"")</f>
        <v/>
      </c>
      <c r="M62" s="163" t="str">
        <f>IF(AND('Mapa final'!$AB$43="Alta",'Mapa final'!$AD$43="Menor"),CONCATENATE("R12C",'Mapa final'!$R$43),"")</f>
        <v/>
      </c>
      <c r="N62" s="190" t="str">
        <f>IF(AND('Mapa final'!$AB$44="Alta",'Mapa final'!$AD$44="Menor"),CONCATENATE("R13C",'Mapa final'!$R$44),"")</f>
        <v/>
      </c>
      <c r="O62" s="164" t="str">
        <f>IF(AND('Mapa final'!$AB$45="Alta",'Mapa final'!$AD$45="Menor"),CONCATENATE("R13C",'Mapa final'!$R$45),"")</f>
        <v/>
      </c>
      <c r="P62" s="195" t="str">
        <f>IF(AND('Mapa final'!$AB$43="Alta",'Mapa final'!$AD$43="Moderado"),CONCATENATE("R12C",'Mapa final'!$R$43),"")</f>
        <v/>
      </c>
      <c r="Q62" s="196" t="str">
        <f>IF(AND('Mapa final'!$AB$44="Alta",'Mapa final'!$AD$44="Moderado"),CONCATENATE("R13C",'Mapa final'!$R$44),"")</f>
        <v/>
      </c>
      <c r="R62" s="197" t="str">
        <f>IF(AND('Mapa final'!$AB$45="Alta",'Mapa final'!$AD$45="Moderado"),CONCATENATE("R13C",'Mapa final'!$R$45),"")</f>
        <v/>
      </c>
      <c r="S62" s="195" t="str">
        <f>IF(AND('Mapa final'!$AB$43="Alta",'Mapa final'!$AD$43="Mayor"),CONCATENATE("R12C",'Mapa final'!$R$43),"")</f>
        <v/>
      </c>
      <c r="T62" s="196" t="str">
        <f>IF(AND('Mapa final'!$AB$44="Alta",'Mapa final'!$AD$44="Mayor"),CONCATENATE("R13C",'Mapa final'!$R$44),"")</f>
        <v/>
      </c>
      <c r="U62" s="197" t="str">
        <f>IF(AND('Mapa final'!$AB$45="Alta",'Mapa final'!$AD$45="Mayor"),CONCATENATE("R13C",'Mapa final'!$R$45),"")</f>
        <v/>
      </c>
      <c r="V62" s="158" t="str">
        <f>IF(AND('Mapa final'!$AB$43="Alta",'Mapa final'!$AD$43="Catastrófico"),CONCATENATE("R12C",'Mapa final'!$R$43),"")</f>
        <v/>
      </c>
      <c r="W62" s="189" t="str">
        <f>IF(AND('Mapa final'!$AB$44="Alta",'Mapa final'!$AD$44="Catastrófico"),CONCATENATE("R13C",'Mapa final'!$R$44),"")</f>
        <v/>
      </c>
      <c r="X62" s="159" t="str">
        <f>IF(AND('Mapa final'!$AB$45="Alta",'Mapa final'!$AD$45="Catastrófico"),CONCATENATE("R13C",'Mapa final'!$R$45),"")</f>
        <v/>
      </c>
      <c r="Y62" s="38"/>
      <c r="Z62" s="265"/>
      <c r="AA62" s="266"/>
      <c r="AB62" s="266"/>
      <c r="AC62" s="266"/>
      <c r="AD62" s="266"/>
      <c r="AE62" s="267"/>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row>
    <row r="63" spans="1:61" ht="12" customHeight="1" x14ac:dyDescent="0.25">
      <c r="A63" s="38"/>
      <c r="B63" s="291"/>
      <c r="C63" s="292"/>
      <c r="D63" s="293"/>
      <c r="E63" s="275"/>
      <c r="F63" s="274"/>
      <c r="G63" s="274"/>
      <c r="H63" s="274"/>
      <c r="I63" s="274"/>
      <c r="J63" s="163" t="str">
        <f>IF(AND('Mapa final'!$AB$46="Alta",'Mapa final'!$AD$46="Leve"),CONCATENATE("R13C",'Mapa final'!$R$46),"")</f>
        <v/>
      </c>
      <c r="K63" s="190" t="str">
        <f>IF(AND('Mapa final'!$AB$47="Alta",'Mapa final'!$AD$47="Leve"),CONCATENATE("R14C",'Mapa final'!$R$47),"")</f>
        <v/>
      </c>
      <c r="L63" s="164" t="str">
        <f>IF(AND('Mapa final'!$AB$48="Alta",'Mapa final'!$AD$48="Leve"),CONCATENATE("R14C",'Mapa final'!$R$48),"")</f>
        <v/>
      </c>
      <c r="M63" s="163" t="str">
        <f>IF(AND('Mapa final'!$AB$46="Alta",'Mapa final'!$AD$46="Menor"),CONCATENATE("R13C",'Mapa final'!$R$46),"")</f>
        <v/>
      </c>
      <c r="N63" s="190" t="str">
        <f>IF(AND('Mapa final'!$AB$47="Alta",'Mapa final'!$AD$47="Menor"),CONCATENATE("R14C",'Mapa final'!$R$47),"")</f>
        <v/>
      </c>
      <c r="O63" s="164" t="str">
        <f>IF(AND('Mapa final'!$AB$48="Alta",'Mapa final'!$AD$48="Menor"),CONCATENATE("R14C",'Mapa final'!$R$48),"")</f>
        <v/>
      </c>
      <c r="P63" s="195" t="str">
        <f>IF(AND('Mapa final'!$AB$46="Alta",'Mapa final'!$AD$46="Moderado"),CONCATENATE("R13C",'Mapa final'!$R$46),"")</f>
        <v/>
      </c>
      <c r="Q63" s="196" t="str">
        <f>IF(AND('Mapa final'!$AB$47="Alta",'Mapa final'!$AD$47="Moderado"),CONCATENATE("R14C",'Mapa final'!$R$47),"")</f>
        <v/>
      </c>
      <c r="R63" s="197" t="str">
        <f>IF(AND('Mapa final'!$AB$48="Alta",'Mapa final'!$AD$48="Moderado"),CONCATENATE("R14C",'Mapa final'!$R$48),"")</f>
        <v/>
      </c>
      <c r="S63" s="195" t="str">
        <f>IF(AND('Mapa final'!$AB$46="Alta",'Mapa final'!$AD$46="Mayor"),CONCATENATE("R13C",'Mapa final'!$R$46),"")</f>
        <v/>
      </c>
      <c r="T63" s="196" t="str">
        <f>IF(AND('Mapa final'!$AB$47="Alta",'Mapa final'!$AD$47="Mayor"),CONCATENATE("R14C",'Mapa final'!$R$47),"")</f>
        <v/>
      </c>
      <c r="U63" s="197" t="str">
        <f>IF(AND('Mapa final'!$AB$48="Alta",'Mapa final'!$AD$48="Mayor"),CONCATENATE("R14C",'Mapa final'!$R$48),"")</f>
        <v/>
      </c>
      <c r="V63" s="158" t="str">
        <f>IF(AND('Mapa final'!$AB$46="Alta",'Mapa final'!$AD$46="Catastrófico"),CONCATENATE("R13C",'Mapa final'!$R$46),"")</f>
        <v/>
      </c>
      <c r="W63" s="189" t="str">
        <f>IF(AND('Mapa final'!$AB$47="Alta",'Mapa final'!$AD$47="Catastrófico"),CONCATENATE("R14C",'Mapa final'!$R$47),"")</f>
        <v/>
      </c>
      <c r="X63" s="159" t="str">
        <f>IF(AND('Mapa final'!$AB$48="Alta",'Mapa final'!$AD$48="Catastrófico"),CONCATENATE("R14C",'Mapa final'!$R$48),"")</f>
        <v/>
      </c>
      <c r="Y63" s="38"/>
      <c r="Z63" s="265"/>
      <c r="AA63" s="266"/>
      <c r="AB63" s="266"/>
      <c r="AC63" s="266"/>
      <c r="AD63" s="266"/>
      <c r="AE63" s="267"/>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row>
    <row r="64" spans="1:61" ht="15" customHeight="1" x14ac:dyDescent="0.25">
      <c r="A64" s="38"/>
      <c r="B64" s="291"/>
      <c r="C64" s="292"/>
      <c r="D64" s="293"/>
      <c r="E64" s="275"/>
      <c r="F64" s="274"/>
      <c r="G64" s="274"/>
      <c r="H64" s="274"/>
      <c r="I64" s="274"/>
      <c r="J64" s="163" t="str">
        <f>IF(AND('Mapa final'!$AB$49="Alta",'Mapa final'!$AD$49="Leve"),CONCATENATE("R14C",'Mapa final'!$R$49),"")</f>
        <v/>
      </c>
      <c r="K64" s="190" t="str">
        <f>IF(AND('Mapa final'!$AB$50="Alta",'Mapa final'!$AD$50="Leve"),CONCATENATE("R14C",'Mapa final'!$R$50),"")</f>
        <v/>
      </c>
      <c r="L64" s="164" t="str">
        <f>IF(AND('Mapa final'!$AB$51="Alta",'Mapa final'!$AD$51="Leve"),CONCATENATE("R14C",'Mapa final'!$R$51),"")</f>
        <v/>
      </c>
      <c r="M64" s="163" t="str">
        <f>IF(AND('Mapa final'!$AB$49="Alta",'Mapa final'!$AD$49="Menor"),CONCATENATE("R14C",'Mapa final'!$R$49),"")</f>
        <v/>
      </c>
      <c r="N64" s="190" t="str">
        <f>IF(AND('Mapa final'!$AB$50="Alta",'Mapa final'!$AD$50="Menor"),CONCATENATE("R14C",'Mapa final'!$R$50),"")</f>
        <v/>
      </c>
      <c r="O64" s="164" t="str">
        <f>IF(AND('Mapa final'!$AB$51="Alta",'Mapa final'!$AD$51="Menor"),CONCATENATE("R14C",'Mapa final'!$R$51),"")</f>
        <v/>
      </c>
      <c r="P64" s="195" t="str">
        <f>IF(AND('Mapa final'!$AB$49="Alta",'Mapa final'!$AD$49="Moderado"),CONCATENATE("R14C",'Mapa final'!$R$49),"")</f>
        <v/>
      </c>
      <c r="Q64" s="196" t="str">
        <f>IF(AND('Mapa final'!$AB$50="Alta",'Mapa final'!$AD$50="Moderado"),CONCATENATE("R14C",'Mapa final'!$R$50),"")</f>
        <v/>
      </c>
      <c r="R64" s="197" t="str">
        <f>IF(AND('Mapa final'!$AB$51="Alta",'Mapa final'!$AD$51="Moderado"),CONCATENATE("R14C",'Mapa final'!$R$51),"")</f>
        <v/>
      </c>
      <c r="S64" s="195" t="str">
        <f>IF(AND('Mapa final'!$AB$49="Alta",'Mapa final'!$AD$49="Mayor"),CONCATENATE("R14C",'Mapa final'!$R$49),"")</f>
        <v/>
      </c>
      <c r="T64" s="196" t="str">
        <f>IF(AND('Mapa final'!$AB$50="Alta",'Mapa final'!$AD$50="Mayor"),CONCATENATE("R14C",'Mapa final'!$R$50),"")</f>
        <v/>
      </c>
      <c r="U64" s="197" t="str">
        <f>IF(AND('Mapa final'!$AB$51="Alta",'Mapa final'!$AD$51="Mayor"),CONCATENATE("R14C",'Mapa final'!$R$51),"")</f>
        <v/>
      </c>
      <c r="V64" s="158" t="str">
        <f>IF(AND('Mapa final'!$AB$49="Alta",'Mapa final'!$AD$49="Catastrófico"),CONCATENATE("R14C",'Mapa final'!$R$49),"")</f>
        <v/>
      </c>
      <c r="W64" s="189" t="str">
        <f>IF(AND('Mapa final'!$AB$50="Alta",'Mapa final'!$AD$50="Catastrófico"),CONCATENATE("R14C",'Mapa final'!$R$50),"")</f>
        <v/>
      </c>
      <c r="X64" s="159" t="str">
        <f>IF(AND('Mapa final'!$AB$51="Alta",'Mapa final'!$AD$51="Catastrófico"),CONCATENATE("R14C",'Mapa final'!$R$51),"")</f>
        <v/>
      </c>
      <c r="Y64" s="38"/>
      <c r="Z64" s="265"/>
      <c r="AA64" s="266"/>
      <c r="AB64" s="266"/>
      <c r="AC64" s="266"/>
      <c r="AD64" s="266"/>
      <c r="AE64" s="267"/>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row>
    <row r="65" spans="1:61" ht="15" customHeight="1" x14ac:dyDescent="0.25">
      <c r="A65" s="38"/>
      <c r="B65" s="291"/>
      <c r="C65" s="292"/>
      <c r="D65" s="293"/>
      <c r="E65" s="275"/>
      <c r="F65" s="274"/>
      <c r="G65" s="274"/>
      <c r="H65" s="274"/>
      <c r="I65" s="274"/>
      <c r="J65" s="163" t="str">
        <f>IF(AND('Mapa final'!$AB$52="Alta",'Mapa final'!$AD$52="Leve"),CONCATENATE("R15C",'Mapa final'!$R$52),"")</f>
        <v/>
      </c>
      <c r="K65" s="190" t="str">
        <f>IF(AND('Mapa final'!$AB$53="Alta",'Mapa final'!$AD$53="Leve"),CONCATENATE("R15C",'Mapa final'!$R$53),"")</f>
        <v/>
      </c>
      <c r="L65" s="164" t="str">
        <f>IF(AND('Mapa final'!$AB$54="Alta",'Mapa final'!$AD$54="Leve"),CONCATENATE("R15C",'Mapa final'!$R$54),"")</f>
        <v/>
      </c>
      <c r="M65" s="163" t="str">
        <f>IF(AND('Mapa final'!$AB$52="Alta",'Mapa final'!$AD$52="Menor"),CONCATENATE("R15C",'Mapa final'!$R$52),"")</f>
        <v/>
      </c>
      <c r="N65" s="190" t="str">
        <f>IF(AND('Mapa final'!$AB$53="Alta",'Mapa final'!$AD$53="Menor"),CONCATENATE("R15C",'Mapa final'!$R$53),"")</f>
        <v/>
      </c>
      <c r="O65" s="164" t="str">
        <f>IF(AND('Mapa final'!$AB$54="Alta",'Mapa final'!$AD$54="Menor"),CONCATENATE("R15C",'Mapa final'!$R$54),"")</f>
        <v/>
      </c>
      <c r="P65" s="195" t="str">
        <f>IF(AND('Mapa final'!$AB$52="Alta",'Mapa final'!$AD$52="Moderado"),CONCATENATE("R15C",'Mapa final'!$R$52),"")</f>
        <v/>
      </c>
      <c r="Q65" s="196" t="str">
        <f>IF(AND('Mapa final'!$AB$53="Alta",'Mapa final'!$AD$53="Moderado"),CONCATENATE("R15C",'Mapa final'!$R$53),"")</f>
        <v/>
      </c>
      <c r="R65" s="197" t="str">
        <f>IF(AND('Mapa final'!$AB$54="Alta",'Mapa final'!$AD$54="Moderado"),CONCATENATE("R15C",'Mapa final'!$R$54),"")</f>
        <v/>
      </c>
      <c r="S65" s="195" t="str">
        <f>IF(AND('Mapa final'!$AB$52="Alta",'Mapa final'!$AD$52="Mayor"),CONCATENATE("R15C",'Mapa final'!$R$52),"")</f>
        <v/>
      </c>
      <c r="T65" s="196" t="str">
        <f>IF(AND('Mapa final'!$AB$53="Alta",'Mapa final'!$AD$53="Mayor"),CONCATENATE("R15C",'Mapa final'!$R$53),"")</f>
        <v/>
      </c>
      <c r="U65" s="197" t="str">
        <f>IF(AND('Mapa final'!$AB$54="Alta",'Mapa final'!$AD$54="Mayor"),CONCATENATE("R15C",'Mapa final'!$R$54),"")</f>
        <v/>
      </c>
      <c r="V65" s="158" t="str">
        <f>IF(AND('Mapa final'!$AB$52="Alta",'Mapa final'!$AD$52="Catastrófico"),CONCATENATE("R15C",'Mapa final'!$R$52),"")</f>
        <v/>
      </c>
      <c r="W65" s="189" t="str">
        <f>IF(AND('Mapa final'!$AB$53="Alta",'Mapa final'!$AD$53="Catastrófico"),CONCATENATE("R15C",'Mapa final'!$R$53),"")</f>
        <v/>
      </c>
      <c r="X65" s="159" t="str">
        <f>IF(AND('Mapa final'!$AB$54="Alta",'Mapa final'!$AD$54="Catastrófico"),CONCATENATE("R15C",'Mapa final'!$R$54),"")</f>
        <v/>
      </c>
      <c r="Y65" s="38"/>
      <c r="Z65" s="265"/>
      <c r="AA65" s="266"/>
      <c r="AB65" s="266"/>
      <c r="AC65" s="266"/>
      <c r="AD65" s="266"/>
      <c r="AE65" s="267"/>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row>
    <row r="66" spans="1:61" ht="15" customHeight="1" x14ac:dyDescent="0.25">
      <c r="A66" s="38"/>
      <c r="B66" s="291"/>
      <c r="C66" s="292"/>
      <c r="D66" s="293"/>
      <c r="E66" s="275"/>
      <c r="F66" s="274"/>
      <c r="G66" s="274"/>
      <c r="H66" s="274"/>
      <c r="I66" s="274"/>
      <c r="J66" s="163" t="str">
        <f>IF(AND('Mapa final'!$AB$55="Alta",'Mapa final'!$AD$55="Leve"),CONCATENATE("R16C",'Mapa final'!$R$55),"")</f>
        <v/>
      </c>
      <c r="K66" s="190" t="str">
        <f>IF(AND('Mapa final'!$AB$56="Alta",'Mapa final'!$AD$56="Leve"),CONCATENATE("R16C",'Mapa final'!$R$56),"")</f>
        <v/>
      </c>
      <c r="L66" s="164" t="str">
        <f>IF(AND('Mapa final'!$AB$57="Alta",'Mapa final'!$AD$57="Leve"),CONCATENATE("R16C",'Mapa final'!$R$57),"")</f>
        <v/>
      </c>
      <c r="M66" s="163" t="str">
        <f>IF(AND('Mapa final'!$AB$55="Alta",'Mapa final'!$AD$55="Menor"),CONCATENATE("R16C",'Mapa final'!$R$55),"")</f>
        <v/>
      </c>
      <c r="N66" s="190" t="str">
        <f>IF(AND('Mapa final'!$AB$56="Alta",'Mapa final'!$AD$56="Menor"),CONCATENATE("R16C",'Mapa final'!$R$56),"")</f>
        <v/>
      </c>
      <c r="O66" s="164" t="str">
        <f>IF(AND('Mapa final'!$AB$57="Alta",'Mapa final'!$AD$57="Menor"),CONCATENATE("R16C",'Mapa final'!$R$57),"")</f>
        <v/>
      </c>
      <c r="P66" s="195" t="str">
        <f>IF(AND('Mapa final'!$AB$55="Alta",'Mapa final'!$AD$55="Moderado"),CONCATENATE("R16C",'Mapa final'!$R$55),"")</f>
        <v/>
      </c>
      <c r="Q66" s="196" t="str">
        <f>IF(AND('Mapa final'!$AB$56="Alta",'Mapa final'!$AD$56="Moderado"),CONCATENATE("R16C",'Mapa final'!$R$56),"")</f>
        <v/>
      </c>
      <c r="R66" s="197" t="str">
        <f>IF(AND('Mapa final'!$AB$57="Alta",'Mapa final'!$AD$57="Moderado"),CONCATENATE("R16C",'Mapa final'!$R$57),"")</f>
        <v/>
      </c>
      <c r="S66" s="195" t="str">
        <f>IF(AND('Mapa final'!$AB$55="Alta",'Mapa final'!$AD$55="Mayor"),CONCATENATE("R16C",'Mapa final'!$R$55),"")</f>
        <v/>
      </c>
      <c r="T66" s="196" t="str">
        <f>IF(AND('Mapa final'!$AB$56="Alta",'Mapa final'!$AD$56="Mayor"),CONCATENATE("R16C",'Mapa final'!$R$56),"")</f>
        <v/>
      </c>
      <c r="U66" s="197" t="str">
        <f>IF(AND('Mapa final'!$AB$57="Alta",'Mapa final'!$AD$57="Mayor"),CONCATENATE("R16C",'Mapa final'!$R$57),"")</f>
        <v/>
      </c>
      <c r="V66" s="158" t="str">
        <f>IF(AND('Mapa final'!$AB$55="Alta",'Mapa final'!$AD$55="Catastrófico"),CONCATENATE("R16C",'Mapa final'!$R$55),"")</f>
        <v/>
      </c>
      <c r="W66" s="189" t="str">
        <f>IF(AND('Mapa final'!$AB$56="Alta",'Mapa final'!$AD$56="Catastrófico"),CONCATENATE("R16C",'Mapa final'!$R$56),"")</f>
        <v/>
      </c>
      <c r="X66" s="159" t="str">
        <f>IF(AND('Mapa final'!$AB$57="Alta",'Mapa final'!$AD$57="Catastrófico"),CONCATENATE("R16C",'Mapa final'!$R$57),"")</f>
        <v/>
      </c>
      <c r="Y66" s="38"/>
      <c r="Z66" s="265"/>
      <c r="AA66" s="266"/>
      <c r="AB66" s="266"/>
      <c r="AC66" s="266"/>
      <c r="AD66" s="266"/>
      <c r="AE66" s="267"/>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row>
    <row r="67" spans="1:61" ht="15" customHeight="1" x14ac:dyDescent="0.25">
      <c r="A67" s="38"/>
      <c r="B67" s="291"/>
      <c r="C67" s="292"/>
      <c r="D67" s="293"/>
      <c r="E67" s="275"/>
      <c r="F67" s="274"/>
      <c r="G67" s="274"/>
      <c r="H67" s="274"/>
      <c r="I67" s="274"/>
      <c r="J67" s="163" t="str">
        <f>IF(AND('Mapa final'!$AB$58="Alta",'Mapa final'!$AD$58="Leve"),CONCATENATE("R17C",'Mapa final'!$R$58),"")</f>
        <v/>
      </c>
      <c r="K67" s="190" t="str">
        <f>IF(AND('Mapa final'!$AB$59="Alta",'Mapa final'!$AD$59="Leve"),CONCATENATE("R17C",'Mapa final'!$R$59),"")</f>
        <v/>
      </c>
      <c r="L67" s="164" t="str">
        <f>IF(AND('Mapa final'!$AB$60="Alta",'Mapa final'!$AD$60="Leve"),CONCATENATE("R17C",'Mapa final'!$R$60),"")</f>
        <v/>
      </c>
      <c r="M67" s="163" t="str">
        <f>IF(AND('Mapa final'!$AB$58="Alta",'Mapa final'!$AD$58="Menor"),CONCATENATE("R17C",'Mapa final'!$R$58),"")</f>
        <v/>
      </c>
      <c r="N67" s="190" t="str">
        <f>IF(AND('Mapa final'!$AB$59="Alta",'Mapa final'!$AD$59="Menor"),CONCATENATE("R17C",'Mapa final'!$R$59),"")</f>
        <v/>
      </c>
      <c r="O67" s="164" t="str">
        <f>IF(AND('Mapa final'!$AB$60="Alta",'Mapa final'!$AD$60="Menor"),CONCATENATE("R17C",'Mapa final'!$R$60),"")</f>
        <v/>
      </c>
      <c r="P67" s="195" t="str">
        <f>IF(AND('Mapa final'!$AB$58="Alta",'Mapa final'!$AD$58="Moderado"),CONCATENATE("R17C",'Mapa final'!$R$58),"")</f>
        <v/>
      </c>
      <c r="Q67" s="196" t="str">
        <f>IF(AND('Mapa final'!$AB$59="Alta",'Mapa final'!$AD$59="Moderado"),CONCATENATE("R17C",'Mapa final'!$R$59),"")</f>
        <v/>
      </c>
      <c r="R67" s="197" t="str">
        <f>IF(AND('Mapa final'!$AB$60="Alta",'Mapa final'!$AD$60="Moderado"),CONCATENATE("R17C",'Mapa final'!$R$60),"")</f>
        <v/>
      </c>
      <c r="S67" s="195" t="str">
        <f>IF(AND('Mapa final'!$AB$58="Alta",'Mapa final'!$AD$58="Mayor"),CONCATENATE("R17C",'Mapa final'!$R$58),"")</f>
        <v/>
      </c>
      <c r="T67" s="196" t="str">
        <f>IF(AND('Mapa final'!$AB$59="Alta",'Mapa final'!$AD$59="Mayor"),CONCATENATE("R17C",'Mapa final'!$R$59),"")</f>
        <v/>
      </c>
      <c r="U67" s="197" t="str">
        <f>IF(AND('Mapa final'!$AB$60="Alta",'Mapa final'!$AD$60="Mayor"),CONCATENATE("R17C",'Mapa final'!$R$60),"")</f>
        <v/>
      </c>
      <c r="V67" s="158" t="str">
        <f>IF(AND('Mapa final'!$AB$58="Alta",'Mapa final'!$AD$58="Catastrófico"),CONCATENATE("R17C",'Mapa final'!$R$58),"")</f>
        <v/>
      </c>
      <c r="W67" s="189" t="str">
        <f>IF(AND('Mapa final'!$AB$59="Alta",'Mapa final'!$AD$59="Catastrófico"),CONCATENATE("R17C",'Mapa final'!$R$59),"")</f>
        <v/>
      </c>
      <c r="X67" s="159" t="str">
        <f>IF(AND('Mapa final'!$AB$60="Alta",'Mapa final'!$AD$60="Catastrófico"),CONCATENATE("R17C",'Mapa final'!$R$60),"")</f>
        <v/>
      </c>
      <c r="Y67" s="38"/>
      <c r="Z67" s="265"/>
      <c r="AA67" s="266"/>
      <c r="AB67" s="266"/>
      <c r="AC67" s="266"/>
      <c r="AD67" s="266"/>
      <c r="AE67" s="267"/>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row>
    <row r="68" spans="1:61" ht="15" customHeight="1" x14ac:dyDescent="0.25">
      <c r="A68" s="38"/>
      <c r="B68" s="291"/>
      <c r="C68" s="292"/>
      <c r="D68" s="293"/>
      <c r="E68" s="275"/>
      <c r="F68" s="274"/>
      <c r="G68" s="274"/>
      <c r="H68" s="274"/>
      <c r="I68" s="274"/>
      <c r="J68" s="163" t="str">
        <f>IF(AND('Mapa final'!$AB$61="Alta",'Mapa final'!$AD$61="Leve"),CONCATENATE("R18C",'Mapa final'!$R$61),"")</f>
        <v/>
      </c>
      <c r="K68" s="190" t="str">
        <f>IF(AND('Mapa final'!$AB$62="Alta",'Mapa final'!$AD$62="Leve"),CONCATENATE("R18C",'Mapa final'!$R$62),"")</f>
        <v/>
      </c>
      <c r="L68" s="164" t="str">
        <f>IF(AND('Mapa final'!$AB$63="Alta",'Mapa final'!$AD$63="Leve"),CONCATENATE("R18C",'Mapa final'!$R$63),"")</f>
        <v/>
      </c>
      <c r="M68" s="163" t="str">
        <f>IF(AND('Mapa final'!$AB$61="Alta",'Mapa final'!$AD$61="Menor"),CONCATENATE("R18C",'Mapa final'!$R$61),"")</f>
        <v/>
      </c>
      <c r="N68" s="190" t="str">
        <f>IF(AND('Mapa final'!$AB$62="Alta",'Mapa final'!$AD$62="Menor"),CONCATENATE("R18C",'Mapa final'!$R$62),"")</f>
        <v/>
      </c>
      <c r="O68" s="164" t="str">
        <f>IF(AND('Mapa final'!$AB$63="Alta",'Mapa final'!$AD$63="Menor"),CONCATENATE("R18C",'Mapa final'!$R$63),"")</f>
        <v/>
      </c>
      <c r="P68" s="195" t="str">
        <f>IF(AND('Mapa final'!$AB$61="Alta",'Mapa final'!$AD$61="Moderado"),CONCATENATE("R18C",'Mapa final'!$R$61),"")</f>
        <v/>
      </c>
      <c r="Q68" s="196" t="str">
        <f>IF(AND('Mapa final'!$AB$62="Alta",'Mapa final'!$AD$62="Moderado"),CONCATENATE("R18C",'Mapa final'!$R$62),"")</f>
        <v/>
      </c>
      <c r="R68" s="197" t="str">
        <f>IF(AND('Mapa final'!$AB$63="Alta",'Mapa final'!$AD$63="Moderado"),CONCATENATE("R18C",'Mapa final'!$R$63),"")</f>
        <v/>
      </c>
      <c r="S68" s="195" t="str">
        <f>IF(AND('Mapa final'!$AB$61="Alta",'Mapa final'!$AD$61="Mayor"),CONCATENATE("R18C",'Mapa final'!$R$61),"")</f>
        <v/>
      </c>
      <c r="T68" s="196" t="str">
        <f>IF(AND('Mapa final'!$AB$62="Alta",'Mapa final'!$AD$62="Mayor"),CONCATENATE("R18C",'Mapa final'!$R$62),"")</f>
        <v/>
      </c>
      <c r="U68" s="197" t="str">
        <f>IF(AND('Mapa final'!$AB$63="Alta",'Mapa final'!$AD$63="Mayor"),CONCATENATE("R18C",'Mapa final'!$R$63),"")</f>
        <v/>
      </c>
      <c r="V68" s="158" t="str">
        <f>IF(AND('Mapa final'!$AB$61="Alta",'Mapa final'!$AD$61="Catastrófico"),CONCATENATE("R18C",'Mapa final'!$R$61),"")</f>
        <v/>
      </c>
      <c r="W68" s="189" t="str">
        <f>IF(AND('Mapa final'!$AB$62="Alta",'Mapa final'!$AD$62="Catastrófico"),CONCATENATE("R18C",'Mapa final'!$R$62),"")</f>
        <v/>
      </c>
      <c r="X68" s="159" t="str">
        <f>IF(AND('Mapa final'!$AB$63="Alta",'Mapa final'!$AD$63="Catastrófico"),CONCATENATE("R18C",'Mapa final'!$R$63),"")</f>
        <v/>
      </c>
      <c r="Y68" s="38"/>
      <c r="Z68" s="265"/>
      <c r="AA68" s="266"/>
      <c r="AB68" s="266"/>
      <c r="AC68" s="266"/>
      <c r="AD68" s="266"/>
      <c r="AE68" s="267"/>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row>
    <row r="69" spans="1:61" ht="15" customHeight="1" x14ac:dyDescent="0.25">
      <c r="A69" s="38"/>
      <c r="B69" s="291"/>
      <c r="C69" s="292"/>
      <c r="D69" s="293"/>
      <c r="E69" s="275"/>
      <c r="F69" s="274"/>
      <c r="G69" s="274"/>
      <c r="H69" s="274"/>
      <c r="I69" s="274"/>
      <c r="J69" s="163" t="str">
        <f>IF(AND('Mapa final'!$AB$64="Alta",'Mapa final'!$AD$64="Leve"),CONCATENATE("R19C",'Mapa final'!$R$64),"")</f>
        <v/>
      </c>
      <c r="K69" s="190" t="str">
        <f>IF(AND('Mapa final'!$AB$65="Alta",'Mapa final'!$AD$65="Leve"),CONCATENATE("R19C",'Mapa final'!$R$65),"")</f>
        <v/>
      </c>
      <c r="L69" s="164" t="str">
        <f>IF(AND('Mapa final'!$AB$66="Alta",'Mapa final'!$AD$66="Leve"),CONCATENATE("R19C",'Mapa final'!$R$66),"")</f>
        <v/>
      </c>
      <c r="M69" s="163" t="str">
        <f>IF(AND('Mapa final'!$AB$64="Alta",'Mapa final'!$AD$64="Menor"),CONCATENATE("R19C",'Mapa final'!$R$64),"")</f>
        <v/>
      </c>
      <c r="N69" s="190" t="str">
        <f>IF(AND('Mapa final'!$AB$65="Alta",'Mapa final'!$AD$65="Menor"),CONCATENATE("R19C",'Mapa final'!$R$65),"")</f>
        <v/>
      </c>
      <c r="O69" s="164" t="str">
        <f>IF(AND('Mapa final'!$AB$66="Alta",'Mapa final'!$AD$66="Menor"),CONCATENATE("R19C",'Mapa final'!$R$66),"")</f>
        <v/>
      </c>
      <c r="P69" s="195" t="str">
        <f>IF(AND('Mapa final'!$AB$64="Alta",'Mapa final'!$AD$64="Moderado"),CONCATENATE("R19C",'Mapa final'!$R$64),"")</f>
        <v/>
      </c>
      <c r="Q69" s="196" t="str">
        <f>IF(AND('Mapa final'!$AB$65="Alta",'Mapa final'!$AD$65="Moderado"),CONCATENATE("R19C",'Mapa final'!$R$65),"")</f>
        <v/>
      </c>
      <c r="R69" s="197" t="str">
        <f>IF(AND('Mapa final'!$AB$66="Alta",'Mapa final'!$AD$66="Moderado"),CONCATENATE("R19C",'Mapa final'!$R$66),"")</f>
        <v/>
      </c>
      <c r="S69" s="195" t="str">
        <f>IF(AND('Mapa final'!$AB$64="Alta",'Mapa final'!$AD$64="Mayor"),CONCATENATE("R19C",'Mapa final'!$R$64),"")</f>
        <v/>
      </c>
      <c r="T69" s="196" t="str">
        <f>IF(AND('Mapa final'!$AB$65="Alta",'Mapa final'!$AD$65="Mayor"),CONCATENATE("R19C",'Mapa final'!$R$65),"")</f>
        <v/>
      </c>
      <c r="U69" s="197" t="str">
        <f>IF(AND('Mapa final'!$AB$66="Alta",'Mapa final'!$AD$66="Mayor"),CONCATENATE("R19C",'Mapa final'!$R$66),"")</f>
        <v/>
      </c>
      <c r="V69" s="158" t="str">
        <f>IF(AND('Mapa final'!$AB$64="Alta",'Mapa final'!$AD$64="Catastrófico"),CONCATENATE("R19C",'Mapa final'!$R$64),"")</f>
        <v/>
      </c>
      <c r="W69" s="189" t="str">
        <f>IF(AND('Mapa final'!$AB$65="Alta",'Mapa final'!$AD$65="Catastrófico"),CONCATENATE("R19C",'Mapa final'!$R$65),"")</f>
        <v/>
      </c>
      <c r="X69" s="159" t="str">
        <f>IF(AND('Mapa final'!$AB$66="Alta",'Mapa final'!$AD$66="Catastrófico"),CONCATENATE("R19C",'Mapa final'!$R$66),"")</f>
        <v/>
      </c>
      <c r="Y69" s="38"/>
      <c r="Z69" s="265"/>
      <c r="AA69" s="266"/>
      <c r="AB69" s="266"/>
      <c r="AC69" s="266"/>
      <c r="AD69" s="266"/>
      <c r="AE69" s="267"/>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row>
    <row r="70" spans="1:61" ht="15" customHeight="1" x14ac:dyDescent="0.25">
      <c r="A70" s="38"/>
      <c r="B70" s="291"/>
      <c r="C70" s="292"/>
      <c r="D70" s="293"/>
      <c r="E70" s="275"/>
      <c r="F70" s="274"/>
      <c r="G70" s="274"/>
      <c r="H70" s="274"/>
      <c r="I70" s="274"/>
      <c r="J70" s="163" t="str">
        <f>IF(AND('Mapa final'!$AB$67="Alta",'Mapa final'!$AD$67="Leve"),CONCATENATE("R20",'Mapa final'!$R$67),"")</f>
        <v/>
      </c>
      <c r="K70" s="190" t="str">
        <f>IF(AND('Mapa final'!$AB$68="Alta",'Mapa final'!$AD$68="Leve"),CONCATENATE("R20C",'Mapa final'!$R$68),"")</f>
        <v/>
      </c>
      <c r="L70" s="164" t="str">
        <f>IF(AND('Mapa final'!$AB$69="Alta",'Mapa final'!$AD$69="Leve"),CONCATENATE("R20C",'Mapa final'!$R$69),"")</f>
        <v/>
      </c>
      <c r="M70" s="163" t="str">
        <f>IF(AND('Mapa final'!$AB$67="Alta",'Mapa final'!$AD$67="Menor"),CONCATENATE("R20",'Mapa final'!$R$67),"")</f>
        <v/>
      </c>
      <c r="N70" s="190" t="str">
        <f>IF(AND('Mapa final'!$AB$68="Alta",'Mapa final'!$AD$68="Menor"),CONCATENATE("R20C",'Mapa final'!$R$68),"")</f>
        <v/>
      </c>
      <c r="O70" s="164" t="str">
        <f>IF(AND('Mapa final'!$AB$69="Alta",'Mapa final'!$AD$69="Menor"),CONCATENATE("R20C",'Mapa final'!$R$69),"")</f>
        <v/>
      </c>
      <c r="P70" s="195" t="str">
        <f>IF(AND('Mapa final'!$AB$67="Alta",'Mapa final'!$AD$67="Moderado"),CONCATENATE("R20",'Mapa final'!$R$67),"")</f>
        <v/>
      </c>
      <c r="Q70" s="196" t="str">
        <f>IF(AND('Mapa final'!$AB$68="Alta",'Mapa final'!$AD$68="Moderado"),CONCATENATE("R20C",'Mapa final'!$R$68),"")</f>
        <v/>
      </c>
      <c r="R70" s="197" t="str">
        <f>IF(AND('Mapa final'!$AB$69="Alta",'Mapa final'!$AD$69="Moderado"),CONCATENATE("R20C",'Mapa final'!$R$69),"")</f>
        <v/>
      </c>
      <c r="S70" s="195" t="str">
        <f>IF(AND('Mapa final'!$AB$67="Alta",'Mapa final'!$AD$67="Mayor"),CONCATENATE("R20",'Mapa final'!$R$67),"")</f>
        <v/>
      </c>
      <c r="T70" s="196" t="str">
        <f>IF(AND('Mapa final'!$AB$68="Alta",'Mapa final'!$AD$68="Mayor"),CONCATENATE("R20C",'Mapa final'!$R$68),"")</f>
        <v/>
      </c>
      <c r="U70" s="197" t="str">
        <f>IF(AND('Mapa final'!$AB$69="Alta",'Mapa final'!$AD$69="Mayor"),CONCATENATE("R20C",'Mapa final'!$R$69),"")</f>
        <v/>
      </c>
      <c r="V70" s="158" t="str">
        <f>IF(AND('Mapa final'!$AB$67="Alta",'Mapa final'!$AD$67="Catastrófico"),CONCATENATE("R20",'Mapa final'!$R$67),"")</f>
        <v/>
      </c>
      <c r="W70" s="189" t="str">
        <f>IF(AND('Mapa final'!$AB$68="Alta",'Mapa final'!$AD$68="Catastrófico"),CONCATENATE("R20C",'Mapa final'!$R$68),"")</f>
        <v/>
      </c>
      <c r="X70" s="159" t="str">
        <f>IF(AND('Mapa final'!$AB$69="Alta",'Mapa final'!$AD$69="Catastrófico"),CONCATENATE("R20C",'Mapa final'!$R$69),"")</f>
        <v/>
      </c>
      <c r="Y70" s="38"/>
      <c r="Z70" s="265"/>
      <c r="AA70" s="266"/>
      <c r="AB70" s="266"/>
      <c r="AC70" s="266"/>
      <c r="AD70" s="266"/>
      <c r="AE70" s="267"/>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row>
    <row r="71" spans="1:61" ht="15" customHeight="1" x14ac:dyDescent="0.25">
      <c r="A71" s="38"/>
      <c r="B71" s="291"/>
      <c r="C71" s="292"/>
      <c r="D71" s="293"/>
      <c r="E71" s="275"/>
      <c r="F71" s="274"/>
      <c r="G71" s="274"/>
      <c r="H71" s="274"/>
      <c r="I71" s="274"/>
      <c r="J71" s="163" t="str">
        <f>IF(AND('Mapa final'!$AB$70="Alta",'Mapa final'!$AD$70="Leve"),CONCATENATE("R21C",'Mapa final'!$R$70),"")</f>
        <v/>
      </c>
      <c r="K71" s="190" t="str">
        <f>IF(AND('Mapa final'!$AB$71="Alta",'Mapa final'!$AD$71="Leve"),CONCATENATE("R21C",'Mapa final'!$R$71),"")</f>
        <v/>
      </c>
      <c r="L71" s="164" t="str">
        <f>IF(AND('Mapa final'!$AB$72="Alta",'Mapa final'!$AD$72="Leve"),CONCATENATE("R21C",'Mapa final'!$R$72),"")</f>
        <v/>
      </c>
      <c r="M71" s="163" t="str">
        <f>IF(AND('Mapa final'!$AB$70="Alta",'Mapa final'!$AD$70="Menor"),CONCATENATE("R21C",'Mapa final'!$R$70),"")</f>
        <v/>
      </c>
      <c r="N71" s="190" t="str">
        <f>IF(AND('Mapa final'!$AB$71="Alta",'Mapa final'!$AD$71="Menor"),CONCATENATE("R21C",'Mapa final'!$R$71),"")</f>
        <v/>
      </c>
      <c r="O71" s="164" t="str">
        <f>IF(AND('Mapa final'!$AB$72="Alta",'Mapa final'!$AD$72="Menor"),CONCATENATE("R21C",'Mapa final'!$R$72),"")</f>
        <v/>
      </c>
      <c r="P71" s="195" t="str">
        <f>IF(AND('Mapa final'!$AB$70="Alta",'Mapa final'!$AD$70="Moderado"),CONCATENATE("R21C",'Mapa final'!$R$70),"")</f>
        <v/>
      </c>
      <c r="Q71" s="196" t="str">
        <f>IF(AND('Mapa final'!$AB$71="Alta",'Mapa final'!$AD$71="Moderado"),CONCATENATE("R21C",'Mapa final'!$R$71),"")</f>
        <v/>
      </c>
      <c r="R71" s="197" t="str">
        <f>IF(AND('Mapa final'!$AB$72="Alta",'Mapa final'!$AD$72="Moderado"),CONCATENATE("R21C",'Mapa final'!$R$72),"")</f>
        <v/>
      </c>
      <c r="S71" s="195" t="str">
        <f>IF(AND('Mapa final'!$AB$70="Alta",'Mapa final'!$AD$70="Mayor"),CONCATENATE("R21C",'Mapa final'!$R$70),"")</f>
        <v/>
      </c>
      <c r="T71" s="196" t="str">
        <f>IF(AND('Mapa final'!$AB$71="Alta",'Mapa final'!$AD$71="Mayor"),CONCATENATE("R21C",'Mapa final'!$R$71),"")</f>
        <v/>
      </c>
      <c r="U71" s="197" t="str">
        <f>IF(AND('Mapa final'!$AB$72="Alta",'Mapa final'!$AD$72="Mayor"),CONCATENATE("R21C",'Mapa final'!$R$72),"")</f>
        <v/>
      </c>
      <c r="V71" s="158" t="str">
        <f>IF(AND('Mapa final'!$AB$70="Alta",'Mapa final'!$AD$70="Catastrófico"),CONCATENATE("R21C",'Mapa final'!$R$70),"")</f>
        <v/>
      </c>
      <c r="W71" s="189" t="str">
        <f>IF(AND('Mapa final'!$AB$71="Alta",'Mapa final'!$AD$71="Catastrófico"),CONCATENATE("R21C",'Mapa final'!$R$71),"")</f>
        <v/>
      </c>
      <c r="X71" s="159" t="str">
        <f>IF(AND('Mapa final'!$AB$72="Alta",'Mapa final'!$AD$72="Catastrófico"),CONCATENATE("R21C",'Mapa final'!$R$72),"")</f>
        <v/>
      </c>
      <c r="Y71" s="38"/>
      <c r="Z71" s="265"/>
      <c r="AA71" s="266"/>
      <c r="AB71" s="266"/>
      <c r="AC71" s="266"/>
      <c r="AD71" s="266"/>
      <c r="AE71" s="267"/>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row>
    <row r="72" spans="1:61" ht="15" customHeight="1" x14ac:dyDescent="0.25">
      <c r="A72" s="38"/>
      <c r="B72" s="291"/>
      <c r="C72" s="292"/>
      <c r="D72" s="293"/>
      <c r="E72" s="275"/>
      <c r="F72" s="274"/>
      <c r="G72" s="274"/>
      <c r="H72" s="274"/>
      <c r="I72" s="274"/>
      <c r="J72" s="163" t="str">
        <f>IF(AND('Mapa final'!$AB$73="Alta",'Mapa final'!$AD$73="Leve"),CONCATENATE("R22C",'Mapa final'!$R$73),"")</f>
        <v/>
      </c>
      <c r="K72" s="190" t="str">
        <f>IF(AND('Mapa final'!$AB$74="Alta",'Mapa final'!$AD$74="Leve"),CONCATENATE("R22C",'Mapa final'!$R$74),"")</f>
        <v/>
      </c>
      <c r="L72" s="164" t="str">
        <f>IF(AND('Mapa final'!$AB$75="Alta",'Mapa final'!$AD$75="Leve"),CONCATENATE("R2C",'Mapa final'!$R$75),"")</f>
        <v/>
      </c>
      <c r="M72" s="163" t="str">
        <f>IF(AND('Mapa final'!$AB$73="Alta",'Mapa final'!$AD$73="Menor"),CONCATENATE("R22C",'Mapa final'!$R$73),"")</f>
        <v/>
      </c>
      <c r="N72" s="190" t="str">
        <f>IF(AND('Mapa final'!$AB$74="Alta",'Mapa final'!$AD$74="Menor"),CONCATENATE("R22C",'Mapa final'!$R$74),"")</f>
        <v/>
      </c>
      <c r="O72" s="164" t="str">
        <f>IF(AND('Mapa final'!$AB$75="Alta",'Mapa final'!$AD$75="Menor"),CONCATENATE("R2C",'Mapa final'!$R$75),"")</f>
        <v/>
      </c>
      <c r="P72" s="195" t="str">
        <f>IF(AND('Mapa final'!$AB$73="Alta",'Mapa final'!$AD$73="Moderado"),CONCATENATE("R22C",'Mapa final'!$R$73),"")</f>
        <v/>
      </c>
      <c r="Q72" s="196" t="str">
        <f>IF(AND('Mapa final'!$AB$74="Alta",'Mapa final'!$AD$74="Moderado"),CONCATENATE("R22C",'Mapa final'!$R$74),"")</f>
        <v/>
      </c>
      <c r="R72" s="197" t="str">
        <f>IF(AND('Mapa final'!$AB$75="Alta",'Mapa final'!$AD$75="Moderado"),CONCATENATE("R2C",'Mapa final'!$R$75),"")</f>
        <v/>
      </c>
      <c r="S72" s="195" t="str">
        <f>IF(AND('Mapa final'!$AB$73="Alta",'Mapa final'!$AD$73="Mayor"),CONCATENATE("R22C",'Mapa final'!$R$73),"")</f>
        <v/>
      </c>
      <c r="T72" s="196" t="str">
        <f>IF(AND('Mapa final'!$AB$74="Alta",'Mapa final'!$AD$74="Mayor"),CONCATENATE("R22C",'Mapa final'!$R$74),"")</f>
        <v/>
      </c>
      <c r="U72" s="197" t="str">
        <f>IF(AND('Mapa final'!$AB$75="Alta",'Mapa final'!$AD$75="Mayor"),CONCATENATE("R2C",'Mapa final'!$R$75),"")</f>
        <v/>
      </c>
      <c r="V72" s="158" t="str">
        <f>IF(AND('Mapa final'!$AB$73="Alta",'Mapa final'!$AD$73="Catastrófico"),CONCATENATE("R22C",'Mapa final'!$R$73),"")</f>
        <v/>
      </c>
      <c r="W72" s="189" t="str">
        <f>IF(AND('Mapa final'!$AB$74="Alta",'Mapa final'!$AD$74="Catastrófico"),CONCATENATE("R22C",'Mapa final'!$R$74),"")</f>
        <v/>
      </c>
      <c r="X72" s="159" t="str">
        <f>IF(AND('Mapa final'!$AB$75="Alta",'Mapa final'!$AD$75="Catastrófico"),CONCATENATE("R2C",'Mapa final'!$R$75),"")</f>
        <v/>
      </c>
      <c r="Y72" s="38"/>
      <c r="Z72" s="265"/>
      <c r="AA72" s="266"/>
      <c r="AB72" s="266"/>
      <c r="AC72" s="266"/>
      <c r="AD72" s="266"/>
      <c r="AE72" s="267"/>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row>
    <row r="73" spans="1:61" ht="15" customHeight="1" x14ac:dyDescent="0.25">
      <c r="A73" s="38"/>
      <c r="B73" s="291"/>
      <c r="C73" s="292"/>
      <c r="D73" s="293"/>
      <c r="E73" s="275"/>
      <c r="F73" s="274"/>
      <c r="G73" s="274"/>
      <c r="H73" s="274"/>
      <c r="I73" s="274"/>
      <c r="J73" s="163" t="str">
        <f>IF(AND('Mapa final'!$AB$76="Alta",'Mapa final'!$AD$76="Leve"),CONCATENATE("R23C",'Mapa final'!$R$76),"")</f>
        <v/>
      </c>
      <c r="K73" s="190" t="str">
        <f>IF(AND('Mapa final'!$AB$77="Alta",'Mapa final'!$AD$77="Leve"),CONCATENATE("R23C",'Mapa final'!$R$77),"")</f>
        <v/>
      </c>
      <c r="L73" s="164" t="str">
        <f>IF(AND('Mapa final'!$AB$78="Alta",'Mapa final'!$AD$78="Leve"),CONCATENATE("R23C",'Mapa final'!$R$78),"")</f>
        <v/>
      </c>
      <c r="M73" s="163" t="str">
        <f>IF(AND('Mapa final'!$AB$76="Alta",'Mapa final'!$AD$76="Menor"),CONCATENATE("R23C",'Mapa final'!$R$76),"")</f>
        <v/>
      </c>
      <c r="N73" s="190" t="str">
        <f>IF(AND('Mapa final'!$AB$77="Alta",'Mapa final'!$AD$77="Menor"),CONCATENATE("R23C",'Mapa final'!$R$77),"")</f>
        <v/>
      </c>
      <c r="O73" s="164" t="str">
        <f>IF(AND('Mapa final'!$AB$78="Alta",'Mapa final'!$AD$78="Menor"),CONCATENATE("R23C",'Mapa final'!$R$78),"")</f>
        <v/>
      </c>
      <c r="P73" s="195" t="str">
        <f>IF(AND('Mapa final'!$AB$76="Alta",'Mapa final'!$AD$76="Moderado"),CONCATENATE("R23C",'Mapa final'!$R$76),"")</f>
        <v/>
      </c>
      <c r="Q73" s="196" t="str">
        <f>IF(AND('Mapa final'!$AB$77="Alta",'Mapa final'!$AD$77="Moderado"),CONCATENATE("R23C",'Mapa final'!$R$77),"")</f>
        <v/>
      </c>
      <c r="R73" s="197" t="str">
        <f>IF(AND('Mapa final'!$AB$78="Alta",'Mapa final'!$AD$78="Moderado"),CONCATENATE("R23C",'Mapa final'!$R$78),"")</f>
        <v/>
      </c>
      <c r="S73" s="195" t="str">
        <f>IF(AND('Mapa final'!$AB$76="Alta",'Mapa final'!$AD$76="Mayor"),CONCATENATE("R23C",'Mapa final'!$R$76),"")</f>
        <v/>
      </c>
      <c r="T73" s="196" t="str">
        <f>IF(AND('Mapa final'!$AB$77="Alta",'Mapa final'!$AD$77="Mayor"),CONCATENATE("R23C",'Mapa final'!$R$77),"")</f>
        <v/>
      </c>
      <c r="U73" s="197" t="str">
        <f>IF(AND('Mapa final'!$AB$78="Alta",'Mapa final'!$AD$78="Mayor"),CONCATENATE("R23C",'Mapa final'!$R$78),"")</f>
        <v/>
      </c>
      <c r="V73" s="158" t="str">
        <f>IF(AND('Mapa final'!$AB$76="Alta",'Mapa final'!$AD$76="Catastrófico"),CONCATENATE("R23C",'Mapa final'!$R$76),"")</f>
        <v/>
      </c>
      <c r="W73" s="189" t="str">
        <f>IF(AND('Mapa final'!$AB$77="Alta",'Mapa final'!$AD$77="Catastrófico"),CONCATENATE("R23C",'Mapa final'!$R$77),"")</f>
        <v/>
      </c>
      <c r="X73" s="159" t="str">
        <f>IF(AND('Mapa final'!$AB$78="Alta",'Mapa final'!$AD$78="Catastrófico"),CONCATENATE("R23C",'Mapa final'!$R$78),"")</f>
        <v/>
      </c>
      <c r="Y73" s="38"/>
      <c r="Z73" s="265"/>
      <c r="AA73" s="266"/>
      <c r="AB73" s="266"/>
      <c r="AC73" s="266"/>
      <c r="AD73" s="266"/>
      <c r="AE73" s="267"/>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row>
    <row r="74" spans="1:61" ht="15" customHeight="1" x14ac:dyDescent="0.25">
      <c r="A74" s="38"/>
      <c r="B74" s="291"/>
      <c r="C74" s="292"/>
      <c r="D74" s="293"/>
      <c r="E74" s="275"/>
      <c r="F74" s="274"/>
      <c r="G74" s="274"/>
      <c r="H74" s="274"/>
      <c r="I74" s="274"/>
      <c r="J74" s="163" t="str">
        <f>IF(AND('Mapa final'!$AB$79="Alta",'Mapa final'!$AD$79="Leve"),CONCATENATE("R24C",'Mapa final'!$R$79),"")</f>
        <v/>
      </c>
      <c r="K74" s="190" t="str">
        <f>IF(AND('Mapa final'!$AB$80="Alta",'Mapa final'!$AD$80="Leve"),CONCATENATE("R24C",'Mapa final'!$R$80),"")</f>
        <v/>
      </c>
      <c r="L74" s="164" t="str">
        <f>IF(AND('Mapa final'!$AB$81="Alta",'Mapa final'!$AD$81="Leve"),CONCATENATE("R24C",'Mapa final'!$R$81),"")</f>
        <v/>
      </c>
      <c r="M74" s="163" t="str">
        <f>IF(AND('Mapa final'!$AB$79="Alta",'Mapa final'!$AD$79="Menor"),CONCATENATE("R24C",'Mapa final'!$R$79),"")</f>
        <v/>
      </c>
      <c r="N74" s="190" t="str">
        <f>IF(AND('Mapa final'!$AB$80="Alta",'Mapa final'!$AD$80="Menor"),CONCATENATE("R24C",'Mapa final'!$R$80),"")</f>
        <v/>
      </c>
      <c r="O74" s="164" t="str">
        <f>IF(AND('Mapa final'!$AB$81="Alta",'Mapa final'!$AD$81="Menor"),CONCATENATE("R24C",'Mapa final'!$R$81),"")</f>
        <v/>
      </c>
      <c r="P74" s="195" t="str">
        <f>IF(AND('Mapa final'!$AB$79="Alta",'Mapa final'!$AD$79="Moderado"),CONCATENATE("R24C",'Mapa final'!$R$79),"")</f>
        <v/>
      </c>
      <c r="Q74" s="196" t="str">
        <f>IF(AND('Mapa final'!$AB$80="Alta",'Mapa final'!$AD$80="Moderado"),CONCATENATE("R24C",'Mapa final'!$R$80),"")</f>
        <v/>
      </c>
      <c r="R74" s="197" t="str">
        <f>IF(AND('Mapa final'!$AB$81="Alta",'Mapa final'!$AD$81="Moderado"),CONCATENATE("R24C",'Mapa final'!$R$81),"")</f>
        <v/>
      </c>
      <c r="S74" s="195" t="str">
        <f>IF(AND('Mapa final'!$AB$79="Alta",'Mapa final'!$AD$79="Mayor"),CONCATENATE("R24C",'Mapa final'!$R$79),"")</f>
        <v/>
      </c>
      <c r="T74" s="196" t="str">
        <f>IF(AND('Mapa final'!$AB$80="Alta",'Mapa final'!$AD$80="Mayor"),CONCATENATE("R24C",'Mapa final'!$R$80),"")</f>
        <v/>
      </c>
      <c r="U74" s="197" t="str">
        <f>IF(AND('Mapa final'!$AB$81="Alta",'Mapa final'!$AD$81="Mayor"),CONCATENATE("R24C",'Mapa final'!$R$81),"")</f>
        <v/>
      </c>
      <c r="V74" s="158" t="str">
        <f>IF(AND('Mapa final'!$AB$79="Alta",'Mapa final'!$AD$79="Catastrófico"),CONCATENATE("R24C",'Mapa final'!$R$79),"")</f>
        <v/>
      </c>
      <c r="W74" s="189" t="str">
        <f>IF(AND('Mapa final'!$AB$80="Alta",'Mapa final'!$AD$80="Catastrófico"),CONCATENATE("R24C",'Mapa final'!$R$80),"")</f>
        <v/>
      </c>
      <c r="X74" s="159" t="str">
        <f>IF(AND('Mapa final'!$AB$81="Alta",'Mapa final'!$AD$81="Catastrófico"),CONCATENATE("R24C",'Mapa final'!$R$81),"")</f>
        <v/>
      </c>
      <c r="Y74" s="38"/>
      <c r="Z74" s="265"/>
      <c r="AA74" s="266"/>
      <c r="AB74" s="266"/>
      <c r="AC74" s="266"/>
      <c r="AD74" s="266"/>
      <c r="AE74" s="267"/>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row>
    <row r="75" spans="1:61" ht="15" customHeight="1" x14ac:dyDescent="0.25">
      <c r="A75" s="38"/>
      <c r="B75" s="291"/>
      <c r="C75" s="292"/>
      <c r="D75" s="293"/>
      <c r="E75" s="275"/>
      <c r="F75" s="274"/>
      <c r="G75" s="274"/>
      <c r="H75" s="274"/>
      <c r="I75" s="274"/>
      <c r="J75" s="163" t="str">
        <f>IF(AND('Mapa final'!$AB$82="Alta",'Mapa final'!$AD$82="Leve"),CONCATENATE("R25C",'Mapa final'!$R$82),"")</f>
        <v/>
      </c>
      <c r="K75" s="190" t="str">
        <f>IF(AND('Mapa final'!$AB$83="Alta",'Mapa final'!$AD$83="Leve"),CONCATENATE("R25C",'Mapa final'!$R$83),"")</f>
        <v/>
      </c>
      <c r="L75" s="164" t="str">
        <f>IF(AND('Mapa final'!$AB$84="Alta",'Mapa final'!$AD$84="Leve"),CONCATENATE("R25C",'Mapa final'!$R$84),"")</f>
        <v/>
      </c>
      <c r="M75" s="163" t="str">
        <f>IF(AND('Mapa final'!$AB$82="Alta",'Mapa final'!$AD$82="Menor"),CONCATENATE("R25C",'Mapa final'!$R$82),"")</f>
        <v/>
      </c>
      <c r="N75" s="190" t="str">
        <f>IF(AND('Mapa final'!$AB$83="Alta",'Mapa final'!$AD$83="Menor"),CONCATENATE("R25C",'Mapa final'!$R$83),"")</f>
        <v/>
      </c>
      <c r="O75" s="164" t="str">
        <f>IF(AND('Mapa final'!$AB$84="Alta",'Mapa final'!$AD$84="Menor"),CONCATENATE("R25C",'Mapa final'!$R$84),"")</f>
        <v/>
      </c>
      <c r="P75" s="195" t="str">
        <f>IF(AND('Mapa final'!$AB$82="Alta",'Mapa final'!$AD$82="Moderado"),CONCATENATE("R25C",'Mapa final'!$R$82),"")</f>
        <v/>
      </c>
      <c r="Q75" s="196" t="str">
        <f>IF(AND('Mapa final'!$AB$83="Alta",'Mapa final'!$AD$83="Moderado"),CONCATENATE("R25C",'Mapa final'!$R$83),"")</f>
        <v/>
      </c>
      <c r="R75" s="197" t="str">
        <f>IF(AND('Mapa final'!$AB$84="Alta",'Mapa final'!$AD$84="Moderado"),CONCATENATE("R25C",'Mapa final'!$R$84),"")</f>
        <v/>
      </c>
      <c r="S75" s="195" t="str">
        <f>IF(AND('Mapa final'!$AB$82="Alta",'Mapa final'!$AD$82="Mayor"),CONCATENATE("R25C",'Mapa final'!$R$82),"")</f>
        <v/>
      </c>
      <c r="T75" s="196" t="str">
        <f>IF(AND('Mapa final'!$AB$83="Alta",'Mapa final'!$AD$83="Mayor"),CONCATENATE("R25C",'Mapa final'!$R$83),"")</f>
        <v/>
      </c>
      <c r="U75" s="197" t="str">
        <f>IF(AND('Mapa final'!$AB$84="Alta",'Mapa final'!$AD$84="Mayor"),CONCATENATE("R25C",'Mapa final'!$R$84),"")</f>
        <v/>
      </c>
      <c r="V75" s="158" t="str">
        <f>IF(AND('Mapa final'!$AB$82="Alta",'Mapa final'!$AD$82="Catastrófico"),CONCATENATE("R25C",'Mapa final'!$R$82),"")</f>
        <v/>
      </c>
      <c r="W75" s="189" t="str">
        <f>IF(AND('Mapa final'!$AB$83="Alta",'Mapa final'!$AD$83="Catastrófico"),CONCATENATE("R25C",'Mapa final'!$R$83),"")</f>
        <v/>
      </c>
      <c r="X75" s="159" t="str">
        <f>IF(AND('Mapa final'!$AB$84="Alta",'Mapa final'!$AD$84="Catastrófico"),CONCATENATE("R25C",'Mapa final'!$R$84),"")</f>
        <v/>
      </c>
      <c r="Y75" s="38"/>
      <c r="Z75" s="265"/>
      <c r="AA75" s="266"/>
      <c r="AB75" s="266"/>
      <c r="AC75" s="266"/>
      <c r="AD75" s="266"/>
      <c r="AE75" s="267"/>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row>
    <row r="76" spans="1:61" ht="15" customHeight="1" x14ac:dyDescent="0.25">
      <c r="A76" s="38"/>
      <c r="B76" s="291"/>
      <c r="C76" s="292"/>
      <c r="D76" s="293"/>
      <c r="E76" s="275"/>
      <c r="F76" s="274"/>
      <c r="G76" s="274"/>
      <c r="H76" s="274"/>
      <c r="I76" s="274"/>
      <c r="J76" s="163" t="str">
        <f>IF(AND('Mapa final'!$AB$85="Alta",'Mapa final'!$AD$85="Leve"),CONCATENATE("R26C",'Mapa final'!$R$85),"")</f>
        <v/>
      </c>
      <c r="K76" s="190" t="str">
        <f>IF(AND('Mapa final'!$AB$86="Alta",'Mapa final'!$AD$86="Leve"),CONCATENATE("R26C",'Mapa final'!$R$86),"")</f>
        <v/>
      </c>
      <c r="L76" s="164" t="str">
        <f>IF(AND('Mapa final'!$AB$87="Alta",'Mapa final'!$AD$87="Leve"),CONCATENATE("R26C",'Mapa final'!$R$87),"")</f>
        <v/>
      </c>
      <c r="M76" s="163" t="str">
        <f>IF(AND('Mapa final'!$AB$85="Alta",'Mapa final'!$AD$85="Menor"),CONCATENATE("R26C",'Mapa final'!$R$85),"")</f>
        <v/>
      </c>
      <c r="N76" s="190" t="str">
        <f>IF(AND('Mapa final'!$AB$86="Alta",'Mapa final'!$AD$86="Menor"),CONCATENATE("R26C",'Mapa final'!$R$86),"")</f>
        <v/>
      </c>
      <c r="O76" s="164" t="str">
        <f>IF(AND('Mapa final'!$AB$87="Alta",'Mapa final'!$AD$87="Menor"),CONCATENATE("R26C",'Mapa final'!$R$87),"")</f>
        <v/>
      </c>
      <c r="P76" s="195" t="str">
        <f>IF(AND('Mapa final'!$AB$85="Alta",'Mapa final'!$AD$85="Moderado"),CONCATENATE("R26C",'Mapa final'!$R$85),"")</f>
        <v/>
      </c>
      <c r="Q76" s="196" t="str">
        <f>IF(AND('Mapa final'!$AB$86="Alta",'Mapa final'!$AD$86="Moderado"),CONCATENATE("R26C",'Mapa final'!$R$86),"")</f>
        <v/>
      </c>
      <c r="R76" s="197" t="str">
        <f>IF(AND('Mapa final'!$AB$87="Alta",'Mapa final'!$AD$87="Moderado"),CONCATENATE("R26C",'Mapa final'!$R$87),"")</f>
        <v/>
      </c>
      <c r="S76" s="195" t="str">
        <f>IF(AND('Mapa final'!$AB$85="Alta",'Mapa final'!$AD$85="Mayor"),CONCATENATE("R26C",'Mapa final'!$R$85),"")</f>
        <v/>
      </c>
      <c r="T76" s="196" t="str">
        <f>IF(AND('Mapa final'!$AB$86="Alta",'Mapa final'!$AD$86="Mayor"),CONCATENATE("R26C",'Mapa final'!$R$86),"")</f>
        <v/>
      </c>
      <c r="U76" s="197" t="str">
        <f>IF(AND('Mapa final'!$AB$87="Alta",'Mapa final'!$AD$87="Mayor"),CONCATENATE("R26C",'Mapa final'!$R$87),"")</f>
        <v/>
      </c>
      <c r="V76" s="158" t="str">
        <f>IF(AND('Mapa final'!$AB$85="Alta",'Mapa final'!$AD$85="Catastrófico"),CONCATENATE("R26C",'Mapa final'!$R$85),"")</f>
        <v/>
      </c>
      <c r="W76" s="189" t="str">
        <f>IF(AND('Mapa final'!$AB$86="Alta",'Mapa final'!$AD$86="Catastrófico"),CONCATENATE("R26C",'Mapa final'!$R$86),"")</f>
        <v/>
      </c>
      <c r="X76" s="159" t="str">
        <f>IF(AND('Mapa final'!$AB$87="Alta",'Mapa final'!$AD$87="Catastrófico"),CONCATENATE("R26C",'Mapa final'!$R$87),"")</f>
        <v/>
      </c>
      <c r="Y76" s="38"/>
      <c r="Z76" s="265"/>
      <c r="AA76" s="266"/>
      <c r="AB76" s="266"/>
      <c r="AC76" s="266"/>
      <c r="AD76" s="266"/>
      <c r="AE76" s="267"/>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row>
    <row r="77" spans="1:61" ht="15" customHeight="1" x14ac:dyDescent="0.25">
      <c r="A77" s="38"/>
      <c r="B77" s="291"/>
      <c r="C77" s="292"/>
      <c r="D77" s="293"/>
      <c r="E77" s="275"/>
      <c r="F77" s="274"/>
      <c r="G77" s="274"/>
      <c r="H77" s="274"/>
      <c r="I77" s="274"/>
      <c r="J77" s="163" t="str">
        <f>IF(AND('Mapa final'!$AB$88="Alta",'Mapa final'!$AD$88="Leve"),CONCATENATE("R27C",'Mapa final'!$R$88),"")</f>
        <v/>
      </c>
      <c r="K77" s="190" t="str">
        <f>IF(AND('Mapa final'!$AB$89="Alta",'Mapa final'!$AD$89="Leve"),CONCATENATE("R27C",'Mapa final'!$R$89),"")</f>
        <v/>
      </c>
      <c r="L77" s="164" t="str">
        <f>IF(AND('Mapa final'!$AB$90="Alta",'Mapa final'!$AD$90="Leve"),CONCATENATE("R27C",'Mapa final'!$R$90),"")</f>
        <v/>
      </c>
      <c r="M77" s="163" t="str">
        <f>IF(AND('Mapa final'!$AB$88="Alta",'Mapa final'!$AD$88="Menor"),CONCATENATE("R27C",'Mapa final'!$R$88),"")</f>
        <v/>
      </c>
      <c r="N77" s="190" t="str">
        <f>IF(AND('Mapa final'!$AB$89="Alta",'Mapa final'!$AD$89="Menor"),CONCATENATE("R27C",'Mapa final'!$R$89),"")</f>
        <v/>
      </c>
      <c r="O77" s="164" t="str">
        <f>IF(AND('Mapa final'!$AB$90="Alta",'Mapa final'!$AD$90="Menor"),CONCATENATE("R27C",'Mapa final'!$R$90),"")</f>
        <v/>
      </c>
      <c r="P77" s="195" t="str">
        <f>IF(AND('Mapa final'!$AB$88="Alta",'Mapa final'!$AD$88="Moderado"),CONCATENATE("R27C",'Mapa final'!$R$88),"")</f>
        <v/>
      </c>
      <c r="Q77" s="196" t="str">
        <f>IF(AND('Mapa final'!$AB$89="Alta",'Mapa final'!$AD$89="Moderado"),CONCATENATE("R27C",'Mapa final'!$R$89),"")</f>
        <v/>
      </c>
      <c r="R77" s="197" t="str">
        <f>IF(AND('Mapa final'!$AB$90="Alta",'Mapa final'!$AD$90="Moderado"),CONCATENATE("R27C",'Mapa final'!$R$90),"")</f>
        <v/>
      </c>
      <c r="S77" s="195" t="str">
        <f>IF(AND('Mapa final'!$AB$88="Alta",'Mapa final'!$AD$88="Mayor"),CONCATENATE("R27C",'Mapa final'!$R$88),"")</f>
        <v/>
      </c>
      <c r="T77" s="196" t="str">
        <f>IF(AND('Mapa final'!$AB$89="Alta",'Mapa final'!$AD$89="Mayor"),CONCATENATE("R27C",'Mapa final'!$R$89),"")</f>
        <v/>
      </c>
      <c r="U77" s="197" t="str">
        <f>IF(AND('Mapa final'!$AB$90="Alta",'Mapa final'!$AD$90="Mayor"),CONCATENATE("R27C",'Mapa final'!$R$90),"")</f>
        <v/>
      </c>
      <c r="V77" s="158" t="str">
        <f>IF(AND('Mapa final'!$AB$88="Alta",'Mapa final'!$AD$88="Catastrófico"),CONCATENATE("R27C",'Mapa final'!$R$88),"")</f>
        <v/>
      </c>
      <c r="W77" s="189" t="str">
        <f>IF(AND('Mapa final'!$AB$89="Alta",'Mapa final'!$AD$89="Catastrófico"),CONCATENATE("R27C",'Mapa final'!$R$89),"")</f>
        <v/>
      </c>
      <c r="X77" s="159" t="str">
        <f>IF(AND('Mapa final'!$AB$90="Alta",'Mapa final'!$AD$90="Catastrófico"),CONCATENATE("R27C",'Mapa final'!$R$90),"")</f>
        <v/>
      </c>
      <c r="Y77" s="38"/>
      <c r="Z77" s="265"/>
      <c r="AA77" s="266"/>
      <c r="AB77" s="266"/>
      <c r="AC77" s="266"/>
      <c r="AD77" s="266"/>
      <c r="AE77" s="267"/>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row>
    <row r="78" spans="1:61" ht="15" customHeight="1" x14ac:dyDescent="0.25">
      <c r="A78" s="38"/>
      <c r="B78" s="291"/>
      <c r="C78" s="292"/>
      <c r="D78" s="293"/>
      <c r="E78" s="275"/>
      <c r="F78" s="274"/>
      <c r="G78" s="274"/>
      <c r="H78" s="274"/>
      <c r="I78" s="274"/>
      <c r="J78" s="163" t="str">
        <f>IF(AND('Mapa final'!$AB$91="Alta",'Mapa final'!$AD$91="Leve"),CONCATENATE("R28C",'Mapa final'!$R$91),"")</f>
        <v/>
      </c>
      <c r="K78" s="190" t="str">
        <f>IF(AND('Mapa final'!$AB$92="Alta",'Mapa final'!$AD$92="Leve"),CONCATENATE("R28C",'Mapa final'!$R$92),"")</f>
        <v/>
      </c>
      <c r="L78" s="164" t="str">
        <f>IF(AND('Mapa final'!$AB$93="Alta",'Mapa final'!$AD$93="Leve"),CONCATENATE("R28C",'Mapa final'!$R$93),"")</f>
        <v/>
      </c>
      <c r="M78" s="163" t="str">
        <f>IF(AND('Mapa final'!$AB$91="Alta",'Mapa final'!$AD$91="Menor"),CONCATENATE("R28C",'Mapa final'!$R$91),"")</f>
        <v/>
      </c>
      <c r="N78" s="190" t="str">
        <f>IF(AND('Mapa final'!$AB$92="Alta",'Mapa final'!$AD$92="Menor"),CONCATENATE("R28C",'Mapa final'!$R$92),"")</f>
        <v/>
      </c>
      <c r="O78" s="164" t="str">
        <f>IF(AND('Mapa final'!$AB$93="Alta",'Mapa final'!$AD$93="Menor"),CONCATENATE("R28C",'Mapa final'!$R$93),"")</f>
        <v/>
      </c>
      <c r="P78" s="195" t="str">
        <f>IF(AND('Mapa final'!$AB$91="Alta",'Mapa final'!$AD$91="Moderado"),CONCATENATE("R28C",'Mapa final'!$R$91),"")</f>
        <v/>
      </c>
      <c r="Q78" s="196" t="str">
        <f>IF(AND('Mapa final'!$AB$92="Alta",'Mapa final'!$AD$92="Moderado"),CONCATENATE("R28C",'Mapa final'!$R$92),"")</f>
        <v/>
      </c>
      <c r="R78" s="197" t="str">
        <f>IF(AND('Mapa final'!$AB$93="Alta",'Mapa final'!$AD$93="Moderado"),CONCATENATE("R28C",'Mapa final'!$R$93),"")</f>
        <v/>
      </c>
      <c r="S78" s="195" t="str">
        <f>IF(AND('Mapa final'!$AB$91="Alta",'Mapa final'!$AD$91="Mayor"),CONCATENATE("R28C",'Mapa final'!$R$91),"")</f>
        <v/>
      </c>
      <c r="T78" s="196" t="str">
        <f>IF(AND('Mapa final'!$AB$92="Alta",'Mapa final'!$AD$92="Mayor"),CONCATENATE("R28C",'Mapa final'!$R$92),"")</f>
        <v/>
      </c>
      <c r="U78" s="197" t="str">
        <f>IF(AND('Mapa final'!$AB$93="Alta",'Mapa final'!$AD$93="Mayor"),CONCATENATE("R28C",'Mapa final'!$R$93),"")</f>
        <v/>
      </c>
      <c r="V78" s="158" t="str">
        <f>IF(AND('Mapa final'!$AB$91="Alta",'Mapa final'!$AD$91="Catastrófico"),CONCATENATE("R28C",'Mapa final'!$R$91),"")</f>
        <v/>
      </c>
      <c r="W78" s="189" t="str">
        <f>IF(AND('Mapa final'!$AB$92="Alta",'Mapa final'!$AD$92="Catastrófico"),CONCATENATE("R28C",'Mapa final'!$R$92),"")</f>
        <v/>
      </c>
      <c r="X78" s="159" t="str">
        <f>IF(AND('Mapa final'!$AB$93="Alta",'Mapa final'!$AD$93="Catastrófico"),CONCATENATE("R28C",'Mapa final'!$R$93),"")</f>
        <v/>
      </c>
      <c r="Y78" s="38"/>
      <c r="Z78" s="265"/>
      <c r="AA78" s="266"/>
      <c r="AB78" s="266"/>
      <c r="AC78" s="266"/>
      <c r="AD78" s="266"/>
      <c r="AE78" s="267"/>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row>
    <row r="79" spans="1:61" ht="15" customHeight="1" x14ac:dyDescent="0.25">
      <c r="A79" s="38"/>
      <c r="B79" s="291"/>
      <c r="C79" s="292"/>
      <c r="D79" s="293"/>
      <c r="E79" s="275"/>
      <c r="F79" s="274"/>
      <c r="G79" s="274"/>
      <c r="H79" s="274"/>
      <c r="I79" s="274"/>
      <c r="J79" s="163" t="str">
        <f>IF(AND('Mapa final'!$AB$94="Alta",'Mapa final'!$AD$94="Leve"),CONCATENATE("R29C",'Mapa final'!$R$94),"")</f>
        <v/>
      </c>
      <c r="K79" s="190" t="str">
        <f>IF(AND('Mapa final'!$AB$95="Alta",'Mapa final'!$AD$95="Leve"),CONCATENATE("R29C",'Mapa final'!$R$95),"")</f>
        <v/>
      </c>
      <c r="L79" s="164" t="str">
        <f>IF(AND('Mapa final'!$AB$96="Alta",'Mapa final'!$AD$96="Leve"),CONCATENATE("R29C",'Mapa final'!$R$96),"")</f>
        <v/>
      </c>
      <c r="M79" s="163" t="str">
        <f>IF(AND('Mapa final'!$AB$94="Alta",'Mapa final'!$AD$94="Menor"),CONCATENATE("R29C",'Mapa final'!$R$94),"")</f>
        <v/>
      </c>
      <c r="N79" s="190" t="str">
        <f>IF(AND('Mapa final'!$AB$95="Alta",'Mapa final'!$AD$95="Menor"),CONCATENATE("R29C",'Mapa final'!$R$95),"")</f>
        <v/>
      </c>
      <c r="O79" s="164" t="str">
        <f>IF(AND('Mapa final'!$AB$96="Alta",'Mapa final'!$AD$96="Menor"),CONCATENATE("R29C",'Mapa final'!$R$96),"")</f>
        <v/>
      </c>
      <c r="P79" s="195" t="str">
        <f>IF(AND('Mapa final'!$AB$94="Alta",'Mapa final'!$AD$94="Moderado"),CONCATENATE("R29C",'Mapa final'!$R$94),"")</f>
        <v/>
      </c>
      <c r="Q79" s="196" t="str">
        <f>IF(AND('Mapa final'!$AB$95="Alta",'Mapa final'!$AD$95="Moderado"),CONCATENATE("R29C",'Mapa final'!$R$95),"")</f>
        <v/>
      </c>
      <c r="R79" s="197" t="str">
        <f>IF(AND('Mapa final'!$AB$96="Alta",'Mapa final'!$AD$96="Moderado"),CONCATENATE("R29C",'Mapa final'!$R$96),"")</f>
        <v/>
      </c>
      <c r="S79" s="195" t="str">
        <f>IF(AND('Mapa final'!$AB$94="Alta",'Mapa final'!$AD$94="Mayor"),CONCATENATE("R29C",'Mapa final'!$R$94),"")</f>
        <v/>
      </c>
      <c r="T79" s="196" t="str">
        <f>IF(AND('Mapa final'!$AB$95="Alta",'Mapa final'!$AD$95="Mayor"),CONCATENATE("R29C",'Mapa final'!$R$95),"")</f>
        <v/>
      </c>
      <c r="U79" s="197" t="str">
        <f>IF(AND('Mapa final'!$AB$96="Alta",'Mapa final'!$AD$96="Mayor"),CONCATENATE("R29C",'Mapa final'!$R$96),"")</f>
        <v/>
      </c>
      <c r="V79" s="158" t="str">
        <f>IF(AND('Mapa final'!$AB$94="Alta",'Mapa final'!$AD$94="Catastrófico"),CONCATENATE("R29C",'Mapa final'!$R$94),"")</f>
        <v/>
      </c>
      <c r="W79" s="189" t="str">
        <f>IF(AND('Mapa final'!$AB$95="Alta",'Mapa final'!$AD$95="Catastrófico"),CONCATENATE("R29C",'Mapa final'!$R$95),"")</f>
        <v/>
      </c>
      <c r="X79" s="159" t="str">
        <f>IF(AND('Mapa final'!$AB$96="Alta",'Mapa final'!$AD$96="Catastrófico"),CONCATENATE("R29C",'Mapa final'!$R$96),"")</f>
        <v/>
      </c>
      <c r="Y79" s="38"/>
      <c r="Z79" s="265"/>
      <c r="AA79" s="266"/>
      <c r="AB79" s="266"/>
      <c r="AC79" s="266"/>
      <c r="AD79" s="266"/>
      <c r="AE79" s="267"/>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row>
    <row r="80" spans="1:61" ht="15" customHeight="1" x14ac:dyDescent="0.25">
      <c r="A80" s="38"/>
      <c r="B80" s="291"/>
      <c r="C80" s="292"/>
      <c r="D80" s="293"/>
      <c r="E80" s="275"/>
      <c r="F80" s="274"/>
      <c r="G80" s="274"/>
      <c r="H80" s="274"/>
      <c r="I80" s="274"/>
      <c r="J80" s="163" t="str">
        <f>IF(AND('Mapa final'!$AB$97="Alta",'Mapa final'!$AD$97="Leve"),CONCATENATE("R30C",'Mapa final'!$R$97),"")</f>
        <v/>
      </c>
      <c r="K80" s="190" t="str">
        <f>IF(AND('Mapa final'!$AB$98="Alta",'Mapa final'!$AD$98="Leve"),CONCATENATE("R30C",'Mapa final'!$R$98),"")</f>
        <v/>
      </c>
      <c r="L80" s="164" t="str">
        <f>IF(AND('Mapa final'!$AB$99="Alta",'Mapa final'!$AD$99="Leve"),CONCATENATE("R30C",'Mapa final'!$R$99),"")</f>
        <v/>
      </c>
      <c r="M80" s="163" t="str">
        <f>IF(AND('Mapa final'!$AB$97="Alta",'Mapa final'!$AD$97="Menor"),CONCATENATE("R30C",'Mapa final'!$R$97),"")</f>
        <v/>
      </c>
      <c r="N80" s="190" t="str">
        <f>IF(AND('Mapa final'!$AB$98="Alta",'Mapa final'!$AD$98="Menor"),CONCATENATE("R30C",'Mapa final'!$R$98),"")</f>
        <v/>
      </c>
      <c r="O80" s="164" t="str">
        <f>IF(AND('Mapa final'!$AB$99="Alta",'Mapa final'!$AD$99="Menor"),CONCATENATE("R30C",'Mapa final'!$R$99),"")</f>
        <v/>
      </c>
      <c r="P80" s="195" t="str">
        <f>IF(AND('Mapa final'!$AB$97="Alta",'Mapa final'!$AD$97="Moderado"),CONCATENATE("R30C",'Mapa final'!$R$97),"")</f>
        <v/>
      </c>
      <c r="Q80" s="196" t="str">
        <f>IF(AND('Mapa final'!$AB$98="Alta",'Mapa final'!$AD$98="Moderado"),CONCATENATE("R30C",'Mapa final'!$R$98),"")</f>
        <v/>
      </c>
      <c r="R80" s="197" t="str">
        <f>IF(AND('Mapa final'!$AB$99="Alta",'Mapa final'!$AD$99="Moderado"),CONCATENATE("R30C",'Mapa final'!$R$99),"")</f>
        <v/>
      </c>
      <c r="S80" s="195" t="str">
        <f>IF(AND('Mapa final'!$AB$97="Alta",'Mapa final'!$AD$97="Mayor"),CONCATENATE("R30C",'Mapa final'!$R$97),"")</f>
        <v/>
      </c>
      <c r="T80" s="196" t="str">
        <f>IF(AND('Mapa final'!$AB$98="Alta",'Mapa final'!$AD$98="Mayor"),CONCATENATE("R30C",'Mapa final'!$R$98),"")</f>
        <v/>
      </c>
      <c r="U80" s="197" t="str">
        <f>IF(AND('Mapa final'!$AB$99="Alta",'Mapa final'!$AD$99="Mayor"),CONCATENATE("R30C",'Mapa final'!$R$99),"")</f>
        <v/>
      </c>
      <c r="V80" s="158" t="str">
        <f>IF(AND('Mapa final'!$AB$97="Alta",'Mapa final'!$AD$97="Catastrófico"),CONCATENATE("R30C",'Mapa final'!$R$97),"")</f>
        <v/>
      </c>
      <c r="W80" s="189" t="str">
        <f>IF(AND('Mapa final'!$AB$98="Alta",'Mapa final'!$AD$98="Catastrófico"),CONCATENATE("R30C",'Mapa final'!$R$98),"")</f>
        <v/>
      </c>
      <c r="X80" s="159" t="str">
        <f>IF(AND('Mapa final'!$AB$99="Alta",'Mapa final'!$AD$99="Catastrófico"),CONCATENATE("R30C",'Mapa final'!$R$99),"")</f>
        <v/>
      </c>
      <c r="Y80" s="38"/>
      <c r="Z80" s="265"/>
      <c r="AA80" s="266"/>
      <c r="AB80" s="266"/>
      <c r="AC80" s="266"/>
      <c r="AD80" s="266"/>
      <c r="AE80" s="267"/>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row>
    <row r="81" spans="1:61" ht="15" customHeight="1" x14ac:dyDescent="0.25">
      <c r="A81" s="38"/>
      <c r="B81" s="291"/>
      <c r="C81" s="292"/>
      <c r="D81" s="293"/>
      <c r="E81" s="275"/>
      <c r="F81" s="274"/>
      <c r="G81" s="274"/>
      <c r="H81" s="274"/>
      <c r="I81" s="274"/>
      <c r="J81" s="163" t="str">
        <f>IF(AND('Mapa final'!$AB$100="Alta",'Mapa final'!$AD$100="Leve"),CONCATENATE("R31C",'Mapa final'!$R$100),"")</f>
        <v/>
      </c>
      <c r="K81" s="190" t="str">
        <f>IF(AND('Mapa final'!$AB$101="Alta",'Mapa final'!$AD$101="Leve"),CONCATENATE("R31C",'Mapa final'!$R$101),"")</f>
        <v/>
      </c>
      <c r="L81" s="164" t="str">
        <f>IF(AND('Mapa final'!$AB$102="Alta",'Mapa final'!$AD$102="Leve"),CONCATENATE("R31C",'Mapa final'!$R$102),"")</f>
        <v/>
      </c>
      <c r="M81" s="163" t="str">
        <f>IF(AND('Mapa final'!$AB$100="Alta",'Mapa final'!$AD$100="Menor"),CONCATENATE("R31C",'Mapa final'!$R$100),"")</f>
        <v/>
      </c>
      <c r="N81" s="190" t="str">
        <f>IF(AND('Mapa final'!$AB$101="Alta",'Mapa final'!$AD$101="Menor"),CONCATENATE("R31C",'Mapa final'!$R$101),"")</f>
        <v/>
      </c>
      <c r="O81" s="164" t="str">
        <f>IF(AND('Mapa final'!$AB$102="Alta",'Mapa final'!$AD$102="Menor"),CONCATENATE("R31C",'Mapa final'!$R$102),"")</f>
        <v/>
      </c>
      <c r="P81" s="195" t="str">
        <f>IF(AND('Mapa final'!$AB$100="Alta",'Mapa final'!$AD$100="Moderado"),CONCATENATE("R31C",'Mapa final'!$R$100),"")</f>
        <v/>
      </c>
      <c r="Q81" s="196" t="str">
        <f>IF(AND('Mapa final'!$AB$101="Alta",'Mapa final'!$AD$101="Moderado"),CONCATENATE("R31C",'Mapa final'!$R$101),"")</f>
        <v/>
      </c>
      <c r="R81" s="197" t="str">
        <f>IF(AND('Mapa final'!$AB$102="Alta",'Mapa final'!$AD$102="Moderado"),CONCATENATE("R31C",'Mapa final'!$R$102),"")</f>
        <v/>
      </c>
      <c r="S81" s="195" t="str">
        <f>IF(AND('Mapa final'!$AB$100="Alta",'Mapa final'!$AD$100="Mayor"),CONCATENATE("R31C",'Mapa final'!$R$100),"")</f>
        <v/>
      </c>
      <c r="T81" s="196" t="str">
        <f>IF(AND('Mapa final'!$AB$101="Alta",'Mapa final'!$AD$101="Mayor"),CONCATENATE("R31C",'Mapa final'!$R$101),"")</f>
        <v/>
      </c>
      <c r="U81" s="197" t="str">
        <f>IF(AND('Mapa final'!$AB$102="Alta",'Mapa final'!$AD$102="Mayor"),CONCATENATE("R31C",'Mapa final'!$R$102),"")</f>
        <v/>
      </c>
      <c r="V81" s="158" t="str">
        <f>IF(AND('Mapa final'!$AB$100="Alta",'Mapa final'!$AD$100="Catastrófico"),CONCATENATE("R31C",'Mapa final'!$R$100),"")</f>
        <v/>
      </c>
      <c r="W81" s="189" t="str">
        <f>IF(AND('Mapa final'!$AB$101="Alta",'Mapa final'!$AD$101="Catastrófico"),CONCATENATE("R31C",'Mapa final'!$R$101),"")</f>
        <v/>
      </c>
      <c r="X81" s="159" t="str">
        <f>IF(AND('Mapa final'!$AB$102="Alta",'Mapa final'!$AD$102="Catastrófico"),CONCATENATE("R31C",'Mapa final'!$R$102),"")</f>
        <v/>
      </c>
      <c r="Y81" s="38"/>
      <c r="Z81" s="265"/>
      <c r="AA81" s="266"/>
      <c r="AB81" s="266"/>
      <c r="AC81" s="266"/>
      <c r="AD81" s="266"/>
      <c r="AE81" s="267"/>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row>
    <row r="82" spans="1:61" ht="15" customHeight="1" x14ac:dyDescent="0.25">
      <c r="A82" s="38"/>
      <c r="B82" s="291"/>
      <c r="C82" s="292"/>
      <c r="D82" s="293"/>
      <c r="E82" s="275"/>
      <c r="F82" s="274"/>
      <c r="G82" s="274"/>
      <c r="H82" s="274"/>
      <c r="I82" s="274"/>
      <c r="J82" s="163" t="str">
        <f>IF(AND('Mapa final'!$AB$103="Alta",'Mapa final'!$AD$103="Leve"),CONCATENATE("R32C",'Mapa final'!$R$103),"")</f>
        <v/>
      </c>
      <c r="K82" s="190" t="str">
        <f>IF(AND('Mapa final'!$AB$104="Alta",'Mapa final'!$AD$104="Leve"),CONCATENATE("R32C",'Mapa final'!$R$104),"")</f>
        <v/>
      </c>
      <c r="L82" s="164" t="str">
        <f>IF(AND('Mapa final'!$AB$105="Alta",'Mapa final'!$AD$105="Leve"),CONCATENATE("R32C",'Mapa final'!$R$105),"")</f>
        <v/>
      </c>
      <c r="M82" s="163" t="str">
        <f>IF(AND('Mapa final'!$AB$103="Alta",'Mapa final'!$AD$103="Menor"),CONCATENATE("R32C",'Mapa final'!$R$103),"")</f>
        <v/>
      </c>
      <c r="N82" s="190" t="str">
        <f>IF(AND('Mapa final'!$AB$104="Alta",'Mapa final'!$AD$104="Menor"),CONCATENATE("R32C",'Mapa final'!$R$104),"")</f>
        <v/>
      </c>
      <c r="O82" s="164" t="str">
        <f>IF(AND('Mapa final'!$AB$105="Alta",'Mapa final'!$AD$105="Menor"),CONCATENATE("R32C",'Mapa final'!$R$105),"")</f>
        <v/>
      </c>
      <c r="P82" s="195" t="str">
        <f>IF(AND('Mapa final'!$AB$103="Alta",'Mapa final'!$AD$103="Moderado"),CONCATENATE("R32C",'Mapa final'!$R$103),"")</f>
        <v/>
      </c>
      <c r="Q82" s="196" t="str">
        <f>IF(AND('Mapa final'!$AB$104="Alta",'Mapa final'!$AD$104="Moderado"),CONCATENATE("R32C",'Mapa final'!$R$104),"")</f>
        <v/>
      </c>
      <c r="R82" s="197" t="str">
        <f>IF(AND('Mapa final'!$AB$105="Alta",'Mapa final'!$AD$105="Moderado"),CONCATENATE("R32C",'Mapa final'!$R$105),"")</f>
        <v/>
      </c>
      <c r="S82" s="195" t="str">
        <f>IF(AND('Mapa final'!$AB$103="Alta",'Mapa final'!$AD$103="Mayor"),CONCATENATE("R32C",'Mapa final'!$R$103),"")</f>
        <v/>
      </c>
      <c r="T82" s="196" t="str">
        <f>IF(AND('Mapa final'!$AB$104="Alta",'Mapa final'!$AD$104="Mayor"),CONCATENATE("R32C",'Mapa final'!$R$104),"")</f>
        <v/>
      </c>
      <c r="U82" s="197" t="str">
        <f>IF(AND('Mapa final'!$AB$105="Alta",'Mapa final'!$AD$105="Mayor"),CONCATENATE("R32C",'Mapa final'!$R$105),"")</f>
        <v/>
      </c>
      <c r="V82" s="158" t="str">
        <f>IF(AND('Mapa final'!$AB$103="Alta",'Mapa final'!$AD$103="Catastrófico"),CONCATENATE("R32C",'Mapa final'!$R$103),"")</f>
        <v/>
      </c>
      <c r="W82" s="189" t="str">
        <f>IF(AND('Mapa final'!$AB$104="Alta",'Mapa final'!$AD$104="Catastrófico"),CONCATENATE("R32C",'Mapa final'!$R$104),"")</f>
        <v/>
      </c>
      <c r="X82" s="159" t="str">
        <f>IF(AND('Mapa final'!$AB$105="Alta",'Mapa final'!$AD$105="Catastrófico"),CONCATENATE("R32C",'Mapa final'!$R$105),"")</f>
        <v/>
      </c>
      <c r="Y82" s="38"/>
      <c r="Z82" s="265"/>
      <c r="AA82" s="266"/>
      <c r="AB82" s="266"/>
      <c r="AC82" s="266"/>
      <c r="AD82" s="266"/>
      <c r="AE82" s="267"/>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row>
    <row r="83" spans="1:61" ht="15" customHeight="1" x14ac:dyDescent="0.25">
      <c r="A83" s="38"/>
      <c r="B83" s="291"/>
      <c r="C83" s="292"/>
      <c r="D83" s="293"/>
      <c r="E83" s="275"/>
      <c r="F83" s="274"/>
      <c r="G83" s="274"/>
      <c r="H83" s="274"/>
      <c r="I83" s="274"/>
      <c r="J83" s="163" t="str">
        <f>IF(AND('Mapa final'!$AB$106="Alta",'Mapa final'!$AD$106="Leve"),CONCATENATE("R33C",'Mapa final'!$R$106),"")</f>
        <v/>
      </c>
      <c r="K83" s="190" t="str">
        <f>IF(AND('Mapa final'!$AB$107="Alta",'Mapa final'!$AD$107="Leve"),CONCATENATE("R33C",'Mapa final'!$R$107),"")</f>
        <v/>
      </c>
      <c r="L83" s="164" t="str">
        <f>IF(AND('Mapa final'!$AB$108="Alta",'Mapa final'!$AD$108="Leve"),CONCATENATE("R33C",'Mapa final'!$R$108),"")</f>
        <v/>
      </c>
      <c r="M83" s="163" t="str">
        <f>IF(AND('Mapa final'!$AB$106="Alta",'Mapa final'!$AD$106="Menor"),CONCATENATE("R33C",'Mapa final'!$R$106),"")</f>
        <v/>
      </c>
      <c r="N83" s="190" t="str">
        <f>IF(AND('Mapa final'!$AB$107="Alta",'Mapa final'!$AD$107="Menor"),CONCATENATE("R33C",'Mapa final'!$R$107),"")</f>
        <v/>
      </c>
      <c r="O83" s="164" t="str">
        <f>IF(AND('Mapa final'!$AB$108="Alta",'Mapa final'!$AD$108="Menor"),CONCATENATE("R33C",'Mapa final'!$R$108),"")</f>
        <v/>
      </c>
      <c r="P83" s="195" t="str">
        <f>IF(AND('Mapa final'!$AB$106="Alta",'Mapa final'!$AD$106="Moderado"),CONCATENATE("R33C",'Mapa final'!$R$106),"")</f>
        <v/>
      </c>
      <c r="Q83" s="196" t="str">
        <f>IF(AND('Mapa final'!$AB$107="Alta",'Mapa final'!$AD$107="Moderado"),CONCATENATE("R33C",'Mapa final'!$R$107),"")</f>
        <v/>
      </c>
      <c r="R83" s="197" t="str">
        <f>IF(AND('Mapa final'!$AB$108="Alta",'Mapa final'!$AD$108="Moderado"),CONCATENATE("R33C",'Mapa final'!$R$108),"")</f>
        <v/>
      </c>
      <c r="S83" s="195" t="str">
        <f>IF(AND('Mapa final'!$AB$106="Alta",'Mapa final'!$AD$106="Mayor"),CONCATENATE("R33C",'Mapa final'!$R$106),"")</f>
        <v/>
      </c>
      <c r="T83" s="196" t="str">
        <f>IF(AND('Mapa final'!$AB$107="Alta",'Mapa final'!$AD$107="Mayor"),CONCATENATE("R33C",'Mapa final'!$R$107),"")</f>
        <v/>
      </c>
      <c r="U83" s="197" t="str">
        <f>IF(AND('Mapa final'!$AB$108="Alta",'Mapa final'!$AD$108="Mayor"),CONCATENATE("R33C",'Mapa final'!$R$108),"")</f>
        <v/>
      </c>
      <c r="V83" s="158" t="str">
        <f>IF(AND('Mapa final'!$AB$106="Alta",'Mapa final'!$AD$106="Catastrófico"),CONCATENATE("R33C",'Mapa final'!$R$106),"")</f>
        <v/>
      </c>
      <c r="W83" s="189" t="str">
        <f>IF(AND('Mapa final'!$AB$107="Alta",'Mapa final'!$AD$107="Catastrófico"),CONCATENATE("R33C",'Mapa final'!$R$107),"")</f>
        <v/>
      </c>
      <c r="X83" s="159" t="str">
        <f>IF(AND('Mapa final'!$AB$108="Alta",'Mapa final'!$AD$108="Catastrófico"),CONCATENATE("R33C",'Mapa final'!$R$108),"")</f>
        <v/>
      </c>
      <c r="Y83" s="38"/>
      <c r="Z83" s="265"/>
      <c r="AA83" s="266"/>
      <c r="AB83" s="266"/>
      <c r="AC83" s="266"/>
      <c r="AD83" s="266"/>
      <c r="AE83" s="267"/>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row>
    <row r="84" spans="1:61" ht="15" customHeight="1" x14ac:dyDescent="0.25">
      <c r="A84" s="38"/>
      <c r="B84" s="291"/>
      <c r="C84" s="292"/>
      <c r="D84" s="293"/>
      <c r="E84" s="275"/>
      <c r="F84" s="274"/>
      <c r="G84" s="274"/>
      <c r="H84" s="274"/>
      <c r="I84" s="274"/>
      <c r="J84" s="163" t="str">
        <f>IF(AND('Mapa final'!$AB$109="Alta",'Mapa final'!$AD$109="Leve"),CONCATENATE("R34C",'Mapa final'!$R$109),"")</f>
        <v/>
      </c>
      <c r="K84" s="190" t="str">
        <f>IF(AND('Mapa final'!$AB$110="Alta",'Mapa final'!$AD$110="Leve"),CONCATENATE("R34C",'Mapa final'!$R$110),"")</f>
        <v/>
      </c>
      <c r="L84" s="164" t="str">
        <f>IF(AND('Mapa final'!$AB$111="Alta",'Mapa final'!$AD$111="Leve"),CONCATENATE("R34C",'Mapa final'!$R$111),"")</f>
        <v/>
      </c>
      <c r="M84" s="163" t="str">
        <f>IF(AND('Mapa final'!$AB$109="Alta",'Mapa final'!$AD$109="Menor"),CONCATENATE("R34C",'Mapa final'!$R$109),"")</f>
        <v/>
      </c>
      <c r="N84" s="190" t="str">
        <f>IF(AND('Mapa final'!$AB$110="Alta",'Mapa final'!$AD$110="Menor"),CONCATENATE("R34C",'Mapa final'!$R$110),"")</f>
        <v/>
      </c>
      <c r="O84" s="164" t="str">
        <f>IF(AND('Mapa final'!$AB$111="Alta",'Mapa final'!$AD$111="Menor"),CONCATENATE("R34C",'Mapa final'!$R$111),"")</f>
        <v/>
      </c>
      <c r="P84" s="195" t="str">
        <f>IF(AND('Mapa final'!$AB$109="Alta",'Mapa final'!$AD$109="Moderado"),CONCATENATE("R34C",'Mapa final'!$R$109),"")</f>
        <v/>
      </c>
      <c r="Q84" s="196" t="str">
        <f>IF(AND('Mapa final'!$AB$110="Alta",'Mapa final'!$AD$110="Moderado"),CONCATENATE("R34C",'Mapa final'!$R$110),"")</f>
        <v/>
      </c>
      <c r="R84" s="197" t="str">
        <f>IF(AND('Mapa final'!$AB$111="Alta",'Mapa final'!$AD$111="Moderado"),CONCATENATE("R34C",'Mapa final'!$R$111),"")</f>
        <v/>
      </c>
      <c r="S84" s="195" t="str">
        <f>IF(AND('Mapa final'!$AB$109="Alta",'Mapa final'!$AD$109="Mayor"),CONCATENATE("R34C",'Mapa final'!$R$109),"")</f>
        <v/>
      </c>
      <c r="T84" s="196" t="str">
        <f>IF(AND('Mapa final'!$AB$110="Alta",'Mapa final'!$AD$110="Mayor"),CONCATENATE("R34C",'Mapa final'!$R$110),"")</f>
        <v/>
      </c>
      <c r="U84" s="197" t="str">
        <f>IF(AND('Mapa final'!$AB$111="Alta",'Mapa final'!$AD$111="Mayor"),CONCATENATE("R34C",'Mapa final'!$R$111),"")</f>
        <v/>
      </c>
      <c r="V84" s="158" t="str">
        <f>IF(AND('Mapa final'!$AB$109="Alta",'Mapa final'!$AD$109="Catastrófico"),CONCATENATE("R34C",'Mapa final'!$R$109),"")</f>
        <v/>
      </c>
      <c r="W84" s="189" t="str">
        <f>IF(AND('Mapa final'!$AB$110="Alta",'Mapa final'!$AD$110="Catastrófico"),CONCATENATE("R34C",'Mapa final'!$R$110),"")</f>
        <v/>
      </c>
      <c r="X84" s="159" t="str">
        <f>IF(AND('Mapa final'!$AB$111="Alta",'Mapa final'!$AD$111="Catastrófico"),CONCATENATE("R34C",'Mapa final'!$R$111),"")</f>
        <v/>
      </c>
      <c r="Y84" s="38"/>
      <c r="Z84" s="265"/>
      <c r="AA84" s="266"/>
      <c r="AB84" s="266"/>
      <c r="AC84" s="266"/>
      <c r="AD84" s="266"/>
      <c r="AE84" s="267"/>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row>
    <row r="85" spans="1:61" ht="15" customHeight="1" x14ac:dyDescent="0.25">
      <c r="A85" s="38"/>
      <c r="B85" s="291"/>
      <c r="C85" s="292"/>
      <c r="D85" s="293"/>
      <c r="E85" s="275"/>
      <c r="F85" s="274"/>
      <c r="G85" s="274"/>
      <c r="H85" s="274"/>
      <c r="I85" s="274"/>
      <c r="J85" s="163" t="str">
        <f>IF(AND('Mapa final'!$AB$112="Alta",'Mapa final'!$AD$112="Leve"),CONCATENATE("R35C",'Mapa final'!$R$112),"")</f>
        <v/>
      </c>
      <c r="K85" s="190" t="str">
        <f>IF(AND('Mapa final'!$AB$113="Alta",'Mapa final'!$AD$113="Leve"),CONCATENATE("R35C",'Mapa final'!$R$113),"")</f>
        <v/>
      </c>
      <c r="L85" s="164" t="str">
        <f>IF(AND('Mapa final'!$AB$114="Alta",'Mapa final'!$AD$114="Leve"),CONCATENATE("R35C",'Mapa final'!$R$114),"")</f>
        <v/>
      </c>
      <c r="M85" s="163" t="str">
        <f>IF(AND('Mapa final'!$AB$112="Alta",'Mapa final'!$AD$112="Menor"),CONCATENATE("R35C",'Mapa final'!$R$112),"")</f>
        <v/>
      </c>
      <c r="N85" s="190" t="str">
        <f>IF(AND('Mapa final'!$AB$113="Alta",'Mapa final'!$AD$113="Menor"),CONCATENATE("R35C",'Mapa final'!$R$113),"")</f>
        <v/>
      </c>
      <c r="O85" s="164" t="str">
        <f>IF(AND('Mapa final'!$AB$114="Alta",'Mapa final'!$AD$114="Menor"),CONCATENATE("R35C",'Mapa final'!$R$114),"")</f>
        <v/>
      </c>
      <c r="P85" s="195" t="str">
        <f>IF(AND('Mapa final'!$AB$112="Alta",'Mapa final'!$AD$112="Moderado"),CONCATENATE("R35C",'Mapa final'!$R$112),"")</f>
        <v/>
      </c>
      <c r="Q85" s="196" t="str">
        <f>IF(AND('Mapa final'!$AB$113="Alta",'Mapa final'!$AD$113="Moderado"),CONCATENATE("R35C",'Mapa final'!$R$113),"")</f>
        <v/>
      </c>
      <c r="R85" s="197" t="str">
        <f>IF(AND('Mapa final'!$AB$114="Alta",'Mapa final'!$AD$114="Moderado"),CONCATENATE("R35C",'Mapa final'!$R$114),"")</f>
        <v/>
      </c>
      <c r="S85" s="195" t="str">
        <f>IF(AND('Mapa final'!$AB$112="Alta",'Mapa final'!$AD$112="Mayor"),CONCATENATE("R35C",'Mapa final'!$R$112),"")</f>
        <v/>
      </c>
      <c r="T85" s="196" t="str">
        <f>IF(AND('Mapa final'!$AB$113="Alta",'Mapa final'!$AD$113="Mayor"),CONCATENATE("R35C",'Mapa final'!$R$113),"")</f>
        <v/>
      </c>
      <c r="U85" s="197" t="str">
        <f>IF(AND('Mapa final'!$AB$114="Alta",'Mapa final'!$AD$114="Mayor"),CONCATENATE("R35C",'Mapa final'!$R$114),"")</f>
        <v/>
      </c>
      <c r="V85" s="158" t="str">
        <f>IF(AND('Mapa final'!$AB$112="Alta",'Mapa final'!$AD$112="Catastrófico"),CONCATENATE("R35C",'Mapa final'!$R$112),"")</f>
        <v/>
      </c>
      <c r="W85" s="189" t="str">
        <f>IF(AND('Mapa final'!$AB$113="Alta",'Mapa final'!$AD$113="Catastrófico"),CONCATENATE("R35C",'Mapa final'!$R$113),"")</f>
        <v/>
      </c>
      <c r="X85" s="159" t="str">
        <f>IF(AND('Mapa final'!$AB$114="Alta",'Mapa final'!$AD$114="Catastrófico"),CONCATENATE("R35C",'Mapa final'!$R$114),"")</f>
        <v/>
      </c>
      <c r="Y85" s="38"/>
      <c r="Z85" s="265"/>
      <c r="AA85" s="266"/>
      <c r="AB85" s="266"/>
      <c r="AC85" s="266"/>
      <c r="AD85" s="266"/>
      <c r="AE85" s="267"/>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row>
    <row r="86" spans="1:61" ht="15" customHeight="1" x14ac:dyDescent="0.25">
      <c r="A86" s="38"/>
      <c r="B86" s="291"/>
      <c r="C86" s="292"/>
      <c r="D86" s="293"/>
      <c r="E86" s="275"/>
      <c r="F86" s="274"/>
      <c r="G86" s="274"/>
      <c r="H86" s="274"/>
      <c r="I86" s="274"/>
      <c r="J86" s="163" t="str">
        <f>IF(AND('Mapa final'!$AB$115="Alta",'Mapa final'!$AD$115="Leve"),CONCATENATE("R36C",'Mapa final'!$R$115),"")</f>
        <v/>
      </c>
      <c r="K86" s="190" t="str">
        <f>IF(AND('Mapa final'!$AB$116="Alta",'Mapa final'!$AD$116="Leve"),CONCATENATE("R36C",'Mapa final'!$R$116),"")</f>
        <v/>
      </c>
      <c r="L86" s="164" t="str">
        <f>IF(AND('Mapa final'!$AB$117="Alta",'Mapa final'!$AD$117="Leve"),CONCATENATE("R36C",'Mapa final'!$R$117),"")</f>
        <v/>
      </c>
      <c r="M86" s="163" t="str">
        <f>IF(AND('Mapa final'!$AB$115="Alta",'Mapa final'!$AD$115="Menor"),CONCATENATE("R36C",'Mapa final'!$R$115),"")</f>
        <v/>
      </c>
      <c r="N86" s="190" t="str">
        <f>IF(AND('Mapa final'!$AB$116="Alta",'Mapa final'!$AD$116="Menor"),CONCATENATE("R36C",'Mapa final'!$R$116),"")</f>
        <v/>
      </c>
      <c r="O86" s="164" t="str">
        <f>IF(AND('Mapa final'!$AB$117="Alta",'Mapa final'!$AD$117="Menor"),CONCATENATE("R36C",'Mapa final'!$R$117),"")</f>
        <v/>
      </c>
      <c r="P86" s="195" t="str">
        <f>IF(AND('Mapa final'!$AB$115="Alta",'Mapa final'!$AD$115="Moderado"),CONCATENATE("R36C",'Mapa final'!$R$115),"")</f>
        <v/>
      </c>
      <c r="Q86" s="196" t="str">
        <f>IF(AND('Mapa final'!$AB$116="Alta",'Mapa final'!$AD$116="Moderado"),CONCATENATE("R36C",'Mapa final'!$R$116),"")</f>
        <v/>
      </c>
      <c r="R86" s="197" t="str">
        <f>IF(AND('Mapa final'!$AB$117="Alta",'Mapa final'!$AD$117="Moderado"),CONCATENATE("R36C",'Mapa final'!$R$117),"")</f>
        <v/>
      </c>
      <c r="S86" s="195" t="str">
        <f>IF(AND('Mapa final'!$AB$115="Alta",'Mapa final'!$AD$115="Mayor"),CONCATENATE("R36C",'Mapa final'!$R$115),"")</f>
        <v/>
      </c>
      <c r="T86" s="196" t="str">
        <f>IF(AND('Mapa final'!$AB$116="Alta",'Mapa final'!$AD$116="Mayor"),CONCATENATE("R36C",'Mapa final'!$R$116),"")</f>
        <v/>
      </c>
      <c r="U86" s="197" t="str">
        <f>IF(AND('Mapa final'!$AB$117="Alta",'Mapa final'!$AD$117="Mayor"),CONCATENATE("R36C",'Mapa final'!$R$117),"")</f>
        <v/>
      </c>
      <c r="V86" s="158" t="str">
        <f>IF(AND('Mapa final'!$AB$115="Alta",'Mapa final'!$AD$115="Catastrófico"),CONCATENATE("R36C",'Mapa final'!$R$115),"")</f>
        <v/>
      </c>
      <c r="W86" s="189" t="str">
        <f>IF(AND('Mapa final'!$AB$116="Alta",'Mapa final'!$AD$116="Catastrófico"),CONCATENATE("R36C",'Mapa final'!$R$116),"")</f>
        <v/>
      </c>
      <c r="X86" s="159" t="str">
        <f>IF(AND('Mapa final'!$AB$117="Alta",'Mapa final'!$AD$117="Catastrófico"),CONCATENATE("R36C",'Mapa final'!$R$117),"")</f>
        <v/>
      </c>
      <c r="Y86" s="38"/>
      <c r="Z86" s="265"/>
      <c r="AA86" s="266"/>
      <c r="AB86" s="266"/>
      <c r="AC86" s="266"/>
      <c r="AD86" s="266"/>
      <c r="AE86" s="267"/>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row>
    <row r="87" spans="1:61" ht="15" customHeight="1" x14ac:dyDescent="0.25">
      <c r="A87" s="38"/>
      <c r="B87" s="291"/>
      <c r="C87" s="292"/>
      <c r="D87" s="293"/>
      <c r="E87" s="275"/>
      <c r="F87" s="274"/>
      <c r="G87" s="274"/>
      <c r="H87" s="274"/>
      <c r="I87" s="274"/>
      <c r="J87" s="163" t="str">
        <f>IF(AND('Mapa final'!$AB$118="Alta",'Mapa final'!$AD$118="Leve"),CONCATENATE("R37C",'Mapa final'!$R$118),"")</f>
        <v/>
      </c>
      <c r="K87" s="190" t="str">
        <f>IF(AND('Mapa final'!$AB$119="Alta",'Mapa final'!$AD$119="Leve"),CONCATENATE("R37C",'Mapa final'!$R$119),"")</f>
        <v/>
      </c>
      <c r="L87" s="164" t="str">
        <f>IF(AND('Mapa final'!$AB$120="Alta",'Mapa final'!$AD$120="Leve"),CONCATENATE("R37C",'Mapa final'!$R$120),"")</f>
        <v/>
      </c>
      <c r="M87" s="163" t="str">
        <f>IF(AND('Mapa final'!$AB$118="Alta",'Mapa final'!$AD$118="Menor"),CONCATENATE("R37C",'Mapa final'!$R$118),"")</f>
        <v/>
      </c>
      <c r="N87" s="190" t="str">
        <f>IF(AND('Mapa final'!$AB$119="Alta",'Mapa final'!$AD$119="Menor"),CONCATENATE("R37C",'Mapa final'!$R$119),"")</f>
        <v/>
      </c>
      <c r="O87" s="164" t="str">
        <f>IF(AND('Mapa final'!$AB$120="Alta",'Mapa final'!$AD$120="Menor"),CONCATENATE("R37C",'Mapa final'!$R$120),"")</f>
        <v/>
      </c>
      <c r="P87" s="195" t="str">
        <f>IF(AND('Mapa final'!$AB$118="Alta",'Mapa final'!$AD$118="Moderado"),CONCATENATE("R37C",'Mapa final'!$R$118),"")</f>
        <v/>
      </c>
      <c r="Q87" s="196" t="str">
        <f>IF(AND('Mapa final'!$AB$119="Alta",'Mapa final'!$AD$119="Moderado"),CONCATENATE("R37C",'Mapa final'!$R$119),"")</f>
        <v/>
      </c>
      <c r="R87" s="197" t="str">
        <f>IF(AND('Mapa final'!$AB$120="Alta",'Mapa final'!$AD$120="Moderado"),CONCATENATE("R37C",'Mapa final'!$R$120),"")</f>
        <v/>
      </c>
      <c r="S87" s="195" t="str">
        <f>IF(AND('Mapa final'!$AB$118="Alta",'Mapa final'!$AD$118="Mayor"),CONCATENATE("R37C",'Mapa final'!$R$118),"")</f>
        <v/>
      </c>
      <c r="T87" s="196" t="str">
        <f>IF(AND('Mapa final'!$AB$119="Alta",'Mapa final'!$AD$119="Mayor"),CONCATENATE("R37C",'Mapa final'!$R$119),"")</f>
        <v/>
      </c>
      <c r="U87" s="197" t="str">
        <f>IF(AND('Mapa final'!$AB$120="Alta",'Mapa final'!$AD$120="Mayor"),CONCATENATE("R37C",'Mapa final'!$R$120),"")</f>
        <v/>
      </c>
      <c r="V87" s="158" t="str">
        <f>IF(AND('Mapa final'!$AB$118="Alta",'Mapa final'!$AD$118="Catastrófico"),CONCATENATE("R37C",'Mapa final'!$R$118),"")</f>
        <v/>
      </c>
      <c r="W87" s="189" t="str">
        <f>IF(AND('Mapa final'!$AB$119="Alta",'Mapa final'!$AD$119="Catastrófico"),CONCATENATE("R37C",'Mapa final'!$R$119),"")</f>
        <v/>
      </c>
      <c r="X87" s="159" t="str">
        <f>IF(AND('Mapa final'!$AB$120="Alta",'Mapa final'!$AD$120="Catastrófico"),CONCATENATE("R37C",'Mapa final'!$R$120),"")</f>
        <v/>
      </c>
      <c r="Y87" s="38"/>
      <c r="Z87" s="265"/>
      <c r="AA87" s="266"/>
      <c r="AB87" s="266"/>
      <c r="AC87" s="266"/>
      <c r="AD87" s="266"/>
      <c r="AE87" s="267"/>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row>
    <row r="88" spans="1:61" ht="15" customHeight="1" x14ac:dyDescent="0.25">
      <c r="A88" s="38"/>
      <c r="B88" s="291"/>
      <c r="C88" s="292"/>
      <c r="D88" s="293"/>
      <c r="E88" s="275"/>
      <c r="F88" s="274"/>
      <c r="G88" s="274"/>
      <c r="H88" s="274"/>
      <c r="I88" s="274"/>
      <c r="J88" s="163" t="str">
        <f>IF(AND('Mapa final'!$AB$121="Alta",'Mapa final'!$AD$121="Leve"),CONCATENATE("R38C",'Mapa final'!$R$121),"")</f>
        <v/>
      </c>
      <c r="K88" s="190" t="str">
        <f>IF(AND('Mapa final'!$AB$122="Alta",'Mapa final'!$AD$122="Leve"),CONCATENATE("R38C",'Mapa final'!$R$122),"")</f>
        <v/>
      </c>
      <c r="L88" s="164" t="str">
        <f>IF(AND('Mapa final'!$AB$123="Alta",'Mapa final'!$AD$123="Leve"),CONCATENATE("R38C",'Mapa final'!$R$123),"")</f>
        <v/>
      </c>
      <c r="M88" s="163" t="str">
        <f>IF(AND('Mapa final'!$AB$121="Alta",'Mapa final'!$AD$121="Menor"),CONCATENATE("R38C",'Mapa final'!$R$121),"")</f>
        <v/>
      </c>
      <c r="N88" s="190" t="str">
        <f>IF(AND('Mapa final'!$AB$122="Alta",'Mapa final'!$AD$122="Menor"),CONCATENATE("R38C",'Mapa final'!$R$122),"")</f>
        <v/>
      </c>
      <c r="O88" s="164" t="str">
        <f>IF(AND('Mapa final'!$AB$123="Alta",'Mapa final'!$AD$123="Menor"),CONCATENATE("R38C",'Mapa final'!$R$123),"")</f>
        <v/>
      </c>
      <c r="P88" s="195" t="str">
        <f>IF(AND('Mapa final'!$AB$121="Alta",'Mapa final'!$AD$121="Moderado"),CONCATENATE("R38C",'Mapa final'!$R$121),"")</f>
        <v/>
      </c>
      <c r="Q88" s="196" t="str">
        <f>IF(AND('Mapa final'!$AB$122="Alta",'Mapa final'!$AD$122="Moderado"),CONCATENATE("R38C",'Mapa final'!$R$122),"")</f>
        <v/>
      </c>
      <c r="R88" s="197" t="str">
        <f>IF(AND('Mapa final'!$AB$123="Alta",'Mapa final'!$AD$123="Moderado"),CONCATENATE("R38C",'Mapa final'!$R$123),"")</f>
        <v/>
      </c>
      <c r="S88" s="195" t="str">
        <f>IF(AND('Mapa final'!$AB$121="Alta",'Mapa final'!$AD$121="Mayor"),CONCATENATE("R38C",'Mapa final'!$R$121),"")</f>
        <v/>
      </c>
      <c r="T88" s="196" t="str">
        <f>IF(AND('Mapa final'!$AB$122="Alta",'Mapa final'!$AD$122="Mayor"),CONCATENATE("R38C",'Mapa final'!$R$122),"")</f>
        <v/>
      </c>
      <c r="U88" s="197" t="str">
        <f>IF(AND('Mapa final'!$AB$123="Alta",'Mapa final'!$AD$123="Mayor"),CONCATENATE("R38C",'Mapa final'!$R$123),"")</f>
        <v/>
      </c>
      <c r="V88" s="158" t="str">
        <f>IF(AND('Mapa final'!$AB$121="Alta",'Mapa final'!$AD$121="Catastrófico"),CONCATENATE("R38C",'Mapa final'!$R$121),"")</f>
        <v/>
      </c>
      <c r="W88" s="189" t="str">
        <f>IF(AND('Mapa final'!$AB$122="Alta",'Mapa final'!$AD$122="Catastrófico"),CONCATENATE("R38C",'Mapa final'!$R$122),"")</f>
        <v/>
      </c>
      <c r="X88" s="159" t="str">
        <f>IF(AND('Mapa final'!$AB$123="Alta",'Mapa final'!$AD$123="Catastrófico"),CONCATENATE("R38C",'Mapa final'!$R$123),"")</f>
        <v/>
      </c>
      <c r="Y88" s="38"/>
      <c r="Z88" s="265"/>
      <c r="AA88" s="266"/>
      <c r="AB88" s="266"/>
      <c r="AC88" s="266"/>
      <c r="AD88" s="266"/>
      <c r="AE88" s="267"/>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row>
    <row r="89" spans="1:61" ht="15" customHeight="1" x14ac:dyDescent="0.25">
      <c r="A89" s="38"/>
      <c r="B89" s="291"/>
      <c r="C89" s="292"/>
      <c r="D89" s="293"/>
      <c r="E89" s="275"/>
      <c r="F89" s="274"/>
      <c r="G89" s="274"/>
      <c r="H89" s="274"/>
      <c r="I89" s="274"/>
      <c r="J89" s="163" t="str">
        <f>IF(AND('Mapa final'!$AB$124="Alta",'Mapa final'!$AD$124="Leve"),CONCATENATE("R39C",'Mapa final'!$R$124),"")</f>
        <v/>
      </c>
      <c r="K89" s="190" t="str">
        <f>IF(AND('Mapa final'!$AB$125="Alta",'Mapa final'!$AD$125="Leve"),CONCATENATE("R39C",'Mapa final'!$R$125),"")</f>
        <v/>
      </c>
      <c r="L89" s="164" t="str">
        <f>IF(AND('Mapa final'!$AB$126="Alta",'Mapa final'!$AD$126="Leve"),CONCATENATE("R39C",'Mapa final'!$R$126),"")</f>
        <v/>
      </c>
      <c r="M89" s="163" t="str">
        <f>IF(AND('Mapa final'!$AB$124="Alta",'Mapa final'!$AD$124="Menor"),CONCATENATE("R39C",'Mapa final'!$R$124),"")</f>
        <v/>
      </c>
      <c r="N89" s="190" t="str">
        <f>IF(AND('Mapa final'!$AB$125="Alta",'Mapa final'!$AD$125="Menor"),CONCATENATE("R39C",'Mapa final'!$R$125),"")</f>
        <v/>
      </c>
      <c r="O89" s="164" t="str">
        <f>IF(AND('Mapa final'!$AB$126="Alta",'Mapa final'!$AD$126="Menor"),CONCATENATE("R39C",'Mapa final'!$R$126),"")</f>
        <v/>
      </c>
      <c r="P89" s="195" t="str">
        <f>IF(AND('Mapa final'!$AB$124="Alta",'Mapa final'!$AD$124="Moderado"),CONCATENATE("R39C",'Mapa final'!$R$124),"")</f>
        <v/>
      </c>
      <c r="Q89" s="196" t="str">
        <f>IF(AND('Mapa final'!$AB$125="Alta",'Mapa final'!$AD$125="Moderado"),CONCATENATE("R39C",'Mapa final'!$R$125),"")</f>
        <v/>
      </c>
      <c r="R89" s="197" t="str">
        <f>IF(AND('Mapa final'!$AB$126="Alta",'Mapa final'!$AD$126="Moderado"),CONCATENATE("R39C",'Mapa final'!$R$126),"")</f>
        <v/>
      </c>
      <c r="S89" s="195" t="str">
        <f>IF(AND('Mapa final'!$AB$124="Alta",'Mapa final'!$AD$124="Mayor"),CONCATENATE("R39C",'Mapa final'!$R$124),"")</f>
        <v/>
      </c>
      <c r="T89" s="196" t="str">
        <f>IF(AND('Mapa final'!$AB$125="Alta",'Mapa final'!$AD$125="Mayor"),CONCATENATE("R39C",'Mapa final'!$R$125),"")</f>
        <v/>
      </c>
      <c r="U89" s="197" t="str">
        <f>IF(AND('Mapa final'!$AB$126="Alta",'Mapa final'!$AD$126="Mayor"),CONCATENATE("R39C",'Mapa final'!$R$126),"")</f>
        <v/>
      </c>
      <c r="V89" s="158" t="str">
        <f>IF(AND('Mapa final'!$AB$124="Alta",'Mapa final'!$AD$124="Catastrófico"),CONCATENATE("R39C",'Mapa final'!$R$124),"")</f>
        <v/>
      </c>
      <c r="W89" s="189" t="str">
        <f>IF(AND('Mapa final'!$AB$125="Alta",'Mapa final'!$AD$125="Catastrófico"),CONCATENATE("R39C",'Mapa final'!$R$125),"")</f>
        <v/>
      </c>
      <c r="X89" s="159" t="str">
        <f>IF(AND('Mapa final'!$AB$126="Alta",'Mapa final'!$AD$126="Catastrófico"),CONCATENATE("R39C",'Mapa final'!$R$126),"")</f>
        <v/>
      </c>
      <c r="Y89" s="38"/>
      <c r="Z89" s="265"/>
      <c r="AA89" s="266"/>
      <c r="AB89" s="266"/>
      <c r="AC89" s="266"/>
      <c r="AD89" s="266"/>
      <c r="AE89" s="267"/>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row>
    <row r="90" spans="1:61" ht="15" customHeight="1" x14ac:dyDescent="0.25">
      <c r="A90" s="38"/>
      <c r="B90" s="291"/>
      <c r="C90" s="292"/>
      <c r="D90" s="293"/>
      <c r="E90" s="275"/>
      <c r="F90" s="274"/>
      <c r="G90" s="274"/>
      <c r="H90" s="274"/>
      <c r="I90" s="274"/>
      <c r="J90" s="163" t="str">
        <f>IF(AND('Mapa final'!$AB$127="Alta",'Mapa final'!$AD$127="Leve"),CONCATENATE("R40C",'Mapa final'!$R$127),"")</f>
        <v/>
      </c>
      <c r="K90" s="190" t="str">
        <f>IF(AND('Mapa final'!$AB$128="Alta",'Mapa final'!$AD$128="Leve"),CONCATENATE("R40C",'Mapa final'!$R$128),"")</f>
        <v/>
      </c>
      <c r="L90" s="164" t="str">
        <f>IF(AND('Mapa final'!$AB$129="Alta",'Mapa final'!$AD$129="Leve"),CONCATENATE("R40C",'Mapa final'!$R$129),"")</f>
        <v/>
      </c>
      <c r="M90" s="163" t="str">
        <f>IF(AND('Mapa final'!$AB$127="Alta",'Mapa final'!$AD$127="Menor"),CONCATENATE("R40C",'Mapa final'!$R$127),"")</f>
        <v/>
      </c>
      <c r="N90" s="190" t="str">
        <f>IF(AND('Mapa final'!$AB$128="Alta",'Mapa final'!$AD$128="Menor"),CONCATENATE("R40C",'Mapa final'!$R$128),"")</f>
        <v/>
      </c>
      <c r="O90" s="164" t="str">
        <f>IF(AND('Mapa final'!$AB$129="Alta",'Mapa final'!$AD$129="Menor"),CONCATENATE("R40C",'Mapa final'!$R$129),"")</f>
        <v/>
      </c>
      <c r="P90" s="195" t="str">
        <f>IF(AND('Mapa final'!$AB$127="Alta",'Mapa final'!$AD$127="Moderado"),CONCATENATE("R40C",'Mapa final'!$R$127),"")</f>
        <v/>
      </c>
      <c r="Q90" s="196" t="str">
        <f>IF(AND('Mapa final'!$AB$128="Alta",'Mapa final'!$AD$128="Moderado"),CONCATENATE("R40C",'Mapa final'!$R$128),"")</f>
        <v/>
      </c>
      <c r="R90" s="197" t="str">
        <f>IF(AND('Mapa final'!$AB$129="Alta",'Mapa final'!$AD$129="Moderado"),CONCATENATE("R40C",'Mapa final'!$R$129),"")</f>
        <v/>
      </c>
      <c r="S90" s="195" t="str">
        <f>IF(AND('Mapa final'!$AB$127="Alta",'Mapa final'!$AD$127="Mayor"),CONCATENATE("R40C",'Mapa final'!$R$127),"")</f>
        <v/>
      </c>
      <c r="T90" s="196" t="str">
        <f>IF(AND('Mapa final'!$AB$128="Alta",'Mapa final'!$AD$128="Mayor"),CONCATENATE("R40C",'Mapa final'!$R$128),"")</f>
        <v/>
      </c>
      <c r="U90" s="197" t="str">
        <f>IF(AND('Mapa final'!$AB$129="Alta",'Mapa final'!$AD$129="Mayor"),CONCATENATE("R40C",'Mapa final'!$R$129),"")</f>
        <v/>
      </c>
      <c r="V90" s="158" t="str">
        <f>IF(AND('Mapa final'!$AB$127="Alta",'Mapa final'!$AD$127="Catastrófico"),CONCATENATE("R40C",'Mapa final'!$R$127),"")</f>
        <v/>
      </c>
      <c r="W90" s="189" t="str">
        <f>IF(AND('Mapa final'!$AB$128="Alta",'Mapa final'!$AD$128="Catastrófico"),CONCATENATE("R40C",'Mapa final'!$R$128),"")</f>
        <v/>
      </c>
      <c r="X90" s="159" t="str">
        <f>IF(AND('Mapa final'!$AB$129="Alta",'Mapa final'!$AD$129="Catastrófico"),CONCATENATE("R40C",'Mapa final'!$R$129),"")</f>
        <v/>
      </c>
      <c r="Y90" s="38"/>
      <c r="Z90" s="265"/>
      <c r="AA90" s="266"/>
      <c r="AB90" s="266"/>
      <c r="AC90" s="266"/>
      <c r="AD90" s="266"/>
      <c r="AE90" s="267"/>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row>
    <row r="91" spans="1:61" ht="15" customHeight="1" x14ac:dyDescent="0.25">
      <c r="A91" s="38"/>
      <c r="B91" s="291"/>
      <c r="C91" s="292"/>
      <c r="D91" s="293"/>
      <c r="E91" s="275"/>
      <c r="F91" s="274"/>
      <c r="G91" s="274"/>
      <c r="H91" s="274"/>
      <c r="I91" s="274"/>
      <c r="J91" s="163" t="str">
        <f>IF(AND('Mapa final'!$AB$130="Alta",'Mapa final'!$AD$130="Leve"),CONCATENATE("R41C",'Mapa final'!$R$130),"")</f>
        <v/>
      </c>
      <c r="K91" s="190" t="str">
        <f>IF(AND('Mapa final'!$AB$131="Alta",'Mapa final'!$AD$131="Leve"),CONCATENATE("R41C",'Mapa final'!$R$131),"")</f>
        <v/>
      </c>
      <c r="L91" s="164" t="str">
        <f>IF(AND('Mapa final'!$AB$132="Alta",'Mapa final'!$AD$132="Leve"),CONCATENATE("R41C",'Mapa final'!$R$132),"")</f>
        <v/>
      </c>
      <c r="M91" s="163" t="str">
        <f>IF(AND('Mapa final'!$AB$130="Alta",'Mapa final'!$AD$130="Menor"),CONCATENATE("R41C",'Mapa final'!$R$130),"")</f>
        <v/>
      </c>
      <c r="N91" s="190" t="str">
        <f>IF(AND('Mapa final'!$AB$131="Alta",'Mapa final'!$AD$131="Menor"),CONCATENATE("R41C",'Mapa final'!$R$131),"")</f>
        <v/>
      </c>
      <c r="O91" s="164" t="str">
        <f>IF(AND('Mapa final'!$AB$132="Alta",'Mapa final'!$AD$132="Menor"),CONCATENATE("R41C",'Mapa final'!$R$132),"")</f>
        <v/>
      </c>
      <c r="P91" s="195" t="str">
        <f>IF(AND('Mapa final'!$AB$130="Alta",'Mapa final'!$AD$130="Moderado"),CONCATENATE("R41C",'Mapa final'!$R$130),"")</f>
        <v/>
      </c>
      <c r="Q91" s="196" t="str">
        <f>IF(AND('Mapa final'!$AB$131="Alta",'Mapa final'!$AD$131="Moderado"),CONCATENATE("R41C",'Mapa final'!$R$131),"")</f>
        <v/>
      </c>
      <c r="R91" s="197" t="str">
        <f>IF(AND('Mapa final'!$AB$132="Alta",'Mapa final'!$AD$132="Moderado"),CONCATENATE("R41C",'Mapa final'!$R$132),"")</f>
        <v/>
      </c>
      <c r="S91" s="195" t="str">
        <f>IF(AND('Mapa final'!$AB$130="Alta",'Mapa final'!$AD$130="Mayor"),CONCATENATE("R41C",'Mapa final'!$R$130),"")</f>
        <v/>
      </c>
      <c r="T91" s="196" t="str">
        <f>IF(AND('Mapa final'!$AB$131="Alta",'Mapa final'!$AD$131="Mayor"),CONCATENATE("R41C",'Mapa final'!$R$131),"")</f>
        <v/>
      </c>
      <c r="U91" s="197" t="str">
        <f>IF(AND('Mapa final'!$AB$132="Alta",'Mapa final'!$AD$132="Mayor"),CONCATENATE("R41C",'Mapa final'!$R$132),"")</f>
        <v/>
      </c>
      <c r="V91" s="158" t="str">
        <f>IF(AND('Mapa final'!$AB$130="Alta",'Mapa final'!$AD$130="Catastrófico"),CONCATENATE("R41C",'Mapa final'!$R$130),"")</f>
        <v/>
      </c>
      <c r="W91" s="189" t="str">
        <f>IF(AND('Mapa final'!$AB$131="Alta",'Mapa final'!$AD$131="Catastrófico"),CONCATENATE("R41C",'Mapa final'!$R$131),"")</f>
        <v/>
      </c>
      <c r="X91" s="159" t="str">
        <f>IF(AND('Mapa final'!$AB$132="Alta",'Mapa final'!$AD$132="Catastrófico"),CONCATENATE("R41C",'Mapa final'!$R$132),"")</f>
        <v/>
      </c>
      <c r="Y91" s="38"/>
      <c r="Z91" s="265"/>
      <c r="AA91" s="266"/>
      <c r="AB91" s="266"/>
      <c r="AC91" s="266"/>
      <c r="AD91" s="266"/>
      <c r="AE91" s="267"/>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row>
    <row r="92" spans="1:61" ht="15" customHeight="1" x14ac:dyDescent="0.25">
      <c r="A92" s="38"/>
      <c r="B92" s="291"/>
      <c r="C92" s="292"/>
      <c r="D92" s="293"/>
      <c r="E92" s="275"/>
      <c r="F92" s="274"/>
      <c r="G92" s="274"/>
      <c r="H92" s="274"/>
      <c r="I92" s="274"/>
      <c r="J92" s="163" t="str">
        <f>IF(AND('Mapa final'!$AB$133="Alta",'Mapa final'!$AD$133="Leve"),CONCATENATE("R42C",'Mapa final'!$R$133),"")</f>
        <v/>
      </c>
      <c r="K92" s="190" t="str">
        <f>IF(AND('Mapa final'!$AB$134="Alta",'Mapa final'!$AD$134="Leve"),CONCATENATE("R42C",'Mapa final'!$R$134),"")</f>
        <v/>
      </c>
      <c r="L92" s="164" t="str">
        <f>IF(AND('Mapa final'!$AB$135="Alta",'Mapa final'!$AD$135="Leve"),CONCATENATE("R42C",'Mapa final'!$R$135),"")</f>
        <v/>
      </c>
      <c r="M92" s="163" t="str">
        <f>IF(AND('Mapa final'!$AB$133="Alta",'Mapa final'!$AD$133="Menor"),CONCATENATE("R42C",'Mapa final'!$R$133),"")</f>
        <v/>
      </c>
      <c r="N92" s="190" t="str">
        <f>IF(AND('Mapa final'!$AB$134="Alta",'Mapa final'!$AD$134="Menor"),CONCATENATE("R42C",'Mapa final'!$R$134),"")</f>
        <v/>
      </c>
      <c r="O92" s="164" t="str">
        <f>IF(AND('Mapa final'!$AB$135="Alta",'Mapa final'!$AD$135="Menor"),CONCATENATE("R42C",'Mapa final'!$R$135),"")</f>
        <v/>
      </c>
      <c r="P92" s="195" t="str">
        <f>IF(AND('Mapa final'!$AB$133="Alta",'Mapa final'!$AD$133="Moderado"),CONCATENATE("R42C",'Mapa final'!$R$133),"")</f>
        <v/>
      </c>
      <c r="Q92" s="196" t="str">
        <f>IF(AND('Mapa final'!$AB$134="Alta",'Mapa final'!$AD$134="Moderado"),CONCATENATE("R42C",'Mapa final'!$R$134),"")</f>
        <v/>
      </c>
      <c r="R92" s="197" t="str">
        <f>IF(AND('Mapa final'!$AB$135="Alta",'Mapa final'!$AD$135="Moderado"),CONCATENATE("R42C",'Mapa final'!$R$135),"")</f>
        <v/>
      </c>
      <c r="S92" s="195" t="str">
        <f>IF(AND('Mapa final'!$AB$133="Alta",'Mapa final'!$AD$133="Mayor"),CONCATENATE("R42C",'Mapa final'!$R$133),"")</f>
        <v/>
      </c>
      <c r="T92" s="196" t="str">
        <f>IF(AND('Mapa final'!$AB$134="Alta",'Mapa final'!$AD$134="Mayor"),CONCATENATE("R42C",'Mapa final'!$R$134),"")</f>
        <v/>
      </c>
      <c r="U92" s="197" t="str">
        <f>IF(AND('Mapa final'!$AB$135="Alta",'Mapa final'!$AD$135="Mayor"),CONCATENATE("R42C",'Mapa final'!$R$135),"")</f>
        <v/>
      </c>
      <c r="V92" s="158" t="str">
        <f>IF(AND('Mapa final'!$AB$133="Alta",'Mapa final'!$AD$133="Catastrófico"),CONCATENATE("R42C",'Mapa final'!$R$133),"")</f>
        <v/>
      </c>
      <c r="W92" s="189" t="str">
        <f>IF(AND('Mapa final'!$AB$134="Alta",'Mapa final'!$AD$134="Catastrófico"),CONCATENATE("R42C",'Mapa final'!$R$134),"")</f>
        <v/>
      </c>
      <c r="X92" s="159" t="str">
        <f>IF(AND('Mapa final'!$AB$135="Alta",'Mapa final'!$AD$135="Catastrófico"),CONCATENATE("R42C",'Mapa final'!$R$135),"")</f>
        <v/>
      </c>
      <c r="Y92" s="38"/>
      <c r="Z92" s="265"/>
      <c r="AA92" s="266"/>
      <c r="AB92" s="266"/>
      <c r="AC92" s="266"/>
      <c r="AD92" s="266"/>
      <c r="AE92" s="267"/>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row>
    <row r="93" spans="1:61" ht="15" customHeight="1" thickBot="1" x14ac:dyDescent="0.3">
      <c r="A93" s="38"/>
      <c r="B93" s="291"/>
      <c r="C93" s="292"/>
      <c r="D93" s="293"/>
      <c r="E93" s="275"/>
      <c r="F93" s="274"/>
      <c r="G93" s="274"/>
      <c r="H93" s="274"/>
      <c r="I93" s="274"/>
      <c r="J93" s="163" t="str">
        <f>IF(AND('Mapa final'!$AB$136="Alta",'Mapa final'!$AD$136="Leve"),CONCATENATE("R43C",'Mapa final'!$R$136),"")</f>
        <v/>
      </c>
      <c r="K93" s="190" t="str">
        <f>IF(AND('Mapa final'!$AB$137="Alta",'Mapa final'!$AD$137="Leve"),CONCATENATE("R43C",'Mapa final'!$R$137),"")</f>
        <v/>
      </c>
      <c r="L93" s="164" t="str">
        <f>IF(AND('Mapa final'!$AB$138="Alta",'Mapa final'!$AD$138="Leve"),CONCATENATE("R43C",'Mapa final'!$R$138),"")</f>
        <v/>
      </c>
      <c r="M93" s="163" t="str">
        <f>IF(AND('Mapa final'!$AB$136="Alta",'Mapa final'!$AD$136="Menor"),CONCATENATE("R43C",'Mapa final'!$R$136),"")</f>
        <v/>
      </c>
      <c r="N93" s="190" t="str">
        <f>IF(AND('Mapa final'!$AB$137="Alta",'Mapa final'!$AD$137="Menor"),CONCATENATE("R43C",'Mapa final'!$R$137),"")</f>
        <v/>
      </c>
      <c r="O93" s="164" t="str">
        <f>IF(AND('Mapa final'!$AB$138="Alta",'Mapa final'!$AD$138="Menor"),CONCATENATE("R43C",'Mapa final'!$R$138),"")</f>
        <v/>
      </c>
      <c r="P93" s="195" t="str">
        <f>IF(AND('Mapa final'!$AB$136="Alta",'Mapa final'!$AD$136="Moderado"),CONCATENATE("R43C",'Mapa final'!$R$136),"")</f>
        <v/>
      </c>
      <c r="Q93" s="196" t="str">
        <f>IF(AND('Mapa final'!$AB$137="Alta",'Mapa final'!$AD$137="Moderado"),CONCATENATE("R43C",'Mapa final'!$R$137),"")</f>
        <v/>
      </c>
      <c r="R93" s="197" t="str">
        <f>IF(AND('Mapa final'!$AB$138="Alta",'Mapa final'!$AD$138="Moderado"),CONCATENATE("R43C",'Mapa final'!$R$138),"")</f>
        <v/>
      </c>
      <c r="S93" s="195" t="str">
        <f>IF(AND('Mapa final'!$AB$136="Alta",'Mapa final'!$AD$136="Mayor"),CONCATENATE("R43C",'Mapa final'!$R$136),"")</f>
        <v/>
      </c>
      <c r="T93" s="196" t="str">
        <f>IF(AND('Mapa final'!$AB$137="Alta",'Mapa final'!$AD$137="Mayor"),CONCATENATE("R43C",'Mapa final'!$R$137),"")</f>
        <v/>
      </c>
      <c r="U93" s="197" t="str">
        <f>IF(AND('Mapa final'!$AB$138="Alta",'Mapa final'!$AD$138="Mayor"),CONCATENATE("R43C",'Mapa final'!$R$138),"")</f>
        <v/>
      </c>
      <c r="V93" s="158" t="str">
        <f>IF(AND('Mapa final'!$AB$136="Alta",'Mapa final'!$AD$136="Catastrófico"),CONCATENATE("R43C",'Mapa final'!$R$136),"")</f>
        <v/>
      </c>
      <c r="W93" s="189" t="str">
        <f>IF(AND('Mapa final'!$AB$137="Alta",'Mapa final'!$AD$137="Catastrófico"),CONCATENATE("R43C",'Mapa final'!$R$137),"")</f>
        <v/>
      </c>
      <c r="X93" s="159" t="str">
        <f>IF(AND('Mapa final'!$AB$138="Alta",'Mapa final'!$AD$138="Catastrófico"),CONCATENATE("R43C",'Mapa final'!$R$138),"")</f>
        <v/>
      </c>
      <c r="Y93" s="38"/>
      <c r="Z93" s="268"/>
      <c r="AA93" s="269"/>
      <c r="AB93" s="269"/>
      <c r="AC93" s="269"/>
      <c r="AD93" s="269"/>
      <c r="AE93" s="270"/>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row>
    <row r="94" spans="1:61" ht="15" customHeight="1" x14ac:dyDescent="0.25">
      <c r="A94" s="38"/>
      <c r="B94" s="291"/>
      <c r="C94" s="292"/>
      <c r="D94" s="293"/>
      <c r="E94" s="271" t="s">
        <v>108</v>
      </c>
      <c r="F94" s="272"/>
      <c r="G94" s="272"/>
      <c r="H94" s="272"/>
      <c r="I94" s="272"/>
      <c r="J94" s="160" t="str">
        <f>IF(AND('Mapa final'!$AB$7="Media",'Mapa final'!$AD$7="Leve"),CONCATENATE("R1C",'Mapa final'!$R$7),"")</f>
        <v/>
      </c>
      <c r="K94" s="161" t="str">
        <f>IF(AND('Mapa final'!$AB$8="Media",'Mapa final'!$AD$8="Leve"),CONCATENATE("R1C",'Mapa final'!$R$8),"")</f>
        <v/>
      </c>
      <c r="L94" s="162" t="str">
        <f>IF(AND('Mapa final'!$AB$9="Media",'Mapa final'!$AD$9="Leve"),CONCATENATE("R1C",'Mapa final'!$R$9),"")</f>
        <v/>
      </c>
      <c r="M94" s="160" t="str">
        <f>IF(AND('Mapa final'!$AB$7="Media",'Mapa final'!$AD$7="Menor"),CONCATENATE("R1C",'Mapa final'!$R$7),"")</f>
        <v/>
      </c>
      <c r="N94" s="161" t="str">
        <f>IF(AND('Mapa final'!$AB$8="Media",'Mapa final'!$AD$8="Menor"),CONCATENATE("R1C",'Mapa final'!$R$8),"")</f>
        <v/>
      </c>
      <c r="O94" s="162" t="str">
        <f>IF(AND('Mapa final'!$AB$9="Media",'Mapa final'!$AD$9="Menor"),CONCATENATE("R1C",'Mapa final'!$R$9),"")</f>
        <v/>
      </c>
      <c r="P94" s="160" t="str">
        <f>IF(AND('Mapa final'!$AB$7="Media",'Mapa final'!$AD$7="Moderado"),CONCATENATE("R1C",'Mapa final'!$R$7),"")</f>
        <v/>
      </c>
      <c r="Q94" s="161" t="str">
        <f>IF(AND('Mapa final'!$AB$8="Media",'Mapa final'!$AD$8="Moderado"),CONCATENATE("R1C",'Mapa final'!$R$8),"")</f>
        <v/>
      </c>
      <c r="R94" s="162" t="str">
        <f>IF(AND('Mapa final'!$AB$9="Media",'Mapa final'!$AD$9="Moderado"),CONCATENATE("R1C",'Mapa final'!$R$9),"")</f>
        <v/>
      </c>
      <c r="S94" s="192" t="str">
        <f>IF(AND('Mapa final'!$AB$7="Media",'Mapa final'!$AD$7="Mayor"),CONCATENATE("R1C",'Mapa final'!$R$7),"")</f>
        <v/>
      </c>
      <c r="T94" s="193" t="str">
        <f>IF(AND('Mapa final'!$AB$8="Media",'Mapa final'!$AD$8="Mayor"),CONCATENATE("R1C",'Mapa final'!$R$8),"")</f>
        <v/>
      </c>
      <c r="U94" s="194" t="str">
        <f>IF(AND('Mapa final'!$AB$9="Media",'Mapa final'!$AD$9="Mayor"),CONCATENATE("R1C",'Mapa final'!$R$9),"")</f>
        <v/>
      </c>
      <c r="V94" s="155" t="str">
        <f>IF(AND('Mapa final'!$AB$7="Media",'Mapa final'!$AD$7="Catastrófico"),CONCATENATE("R1C",'Mapa final'!$R$7),"")</f>
        <v/>
      </c>
      <c r="W94" s="156" t="str">
        <f>IF(AND('Mapa final'!$AB$8="Media",'Mapa final'!$AD$8="Catastrófico"),CONCATENATE("R1C",'Mapa final'!$R$8),"")</f>
        <v/>
      </c>
      <c r="X94" s="157" t="str">
        <f>IF(AND('Mapa final'!$AB$9="Media",'Mapa final'!$AD$9="Catastrófico"),CONCATENATE("R1C",'Mapa final'!$R$9),"")</f>
        <v/>
      </c>
      <c r="Y94" s="38"/>
      <c r="Z94" s="305" t="s">
        <v>75</v>
      </c>
      <c r="AA94" s="306"/>
      <c r="AB94" s="306"/>
      <c r="AC94" s="306"/>
      <c r="AD94" s="306"/>
      <c r="AE94" s="307"/>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row>
    <row r="95" spans="1:61" ht="15" customHeight="1" x14ac:dyDescent="0.25">
      <c r="A95" s="38"/>
      <c r="B95" s="291"/>
      <c r="C95" s="292"/>
      <c r="D95" s="293"/>
      <c r="E95" s="273"/>
      <c r="F95" s="274"/>
      <c r="G95" s="274"/>
      <c r="H95" s="274"/>
      <c r="I95" s="274"/>
      <c r="J95" s="163" t="str">
        <f>IF(AND('Mapa final'!$AB$10="Media",'Mapa final'!$AD$10="Leve"),CONCATENATE("R2C",'Mapa final'!$R$10),"")</f>
        <v/>
      </c>
      <c r="K95" s="190" t="str">
        <f>IF(AND('Mapa final'!$AB$11="Media",'Mapa final'!$AD$11="Leve"),CONCATENATE("R2C",'Mapa final'!$R$11),"")</f>
        <v/>
      </c>
      <c r="L95" s="164" t="str">
        <f>IF(AND('Mapa final'!$AB$12="Media",'Mapa final'!$AD$12="Leve"),CONCATENATE("R2C",'Mapa final'!$R$12),"")</f>
        <v/>
      </c>
      <c r="M95" s="163" t="str">
        <f>IF(AND('Mapa final'!$AB$10="Media",'Mapa final'!$AD$10="Menor"),CONCATENATE("R2C",'Mapa final'!$R$10),"")</f>
        <v/>
      </c>
      <c r="N95" s="190" t="str">
        <f>IF(AND('Mapa final'!$AB$11="Media",'Mapa final'!$AD$11="Menor"),CONCATENATE("R2C",'Mapa final'!$R$11),"")</f>
        <v/>
      </c>
      <c r="O95" s="164" t="str">
        <f>IF(AND('Mapa final'!$AB$12="Media",'Mapa final'!$AD$12="Menor"),CONCATENATE("R2C",'Mapa final'!$R$12),"")</f>
        <v/>
      </c>
      <c r="P95" s="163" t="str">
        <f>IF(AND('Mapa final'!$AB$10="Media",'Mapa final'!$AD$10="Moderado"),CONCATENATE("R2C",'Mapa final'!$R$10),"")</f>
        <v/>
      </c>
      <c r="Q95" s="190" t="str">
        <f>IF(AND('Mapa final'!$AB$11="Media",'Mapa final'!$AD$11="Moderado"),CONCATENATE("R2C",'Mapa final'!$R$11),"")</f>
        <v/>
      </c>
      <c r="R95" s="164" t="str">
        <f>IF(AND('Mapa final'!$AB$12="Media",'Mapa final'!$AD$12="Moderado"),CONCATENATE("R2C",'Mapa final'!$R$12),"")</f>
        <v/>
      </c>
      <c r="S95" s="195" t="str">
        <f>IF(AND('Mapa final'!$AB$10="Media",'Mapa final'!$AD$10="Mayor"),CONCATENATE("R2C",'Mapa final'!$R$10),"")</f>
        <v/>
      </c>
      <c r="T95" s="196" t="str">
        <f>IF(AND('Mapa final'!$AB$11="Media",'Mapa final'!$AD$11="Mayor"),CONCATENATE("R2C",'Mapa final'!$R$11),"")</f>
        <v/>
      </c>
      <c r="U95" s="197" t="str">
        <f>IF(AND('Mapa final'!$AB$12="Media",'Mapa final'!$AD$12="Mayor"),CONCATENATE("R2C",'Mapa final'!$R$12),"")</f>
        <v/>
      </c>
      <c r="V95" s="158" t="str">
        <f>IF(AND('Mapa final'!$AB$10="Media",'Mapa final'!$AD$10="Catastrófico"),CONCATENATE("R2C",'Mapa final'!$R$10),"")</f>
        <v/>
      </c>
      <c r="W95" s="189" t="str">
        <f>IF(AND('Mapa final'!$AB$11="Media",'Mapa final'!$AD$11="Catastrófico"),CONCATENATE("R2C",'Mapa final'!$R$11),"")</f>
        <v/>
      </c>
      <c r="X95" s="159" t="str">
        <f>IF(AND('Mapa final'!$AB$12="Media",'Mapa final'!$AD$12="Catastrófico"),CONCATENATE("R2C",'Mapa final'!$R$12),"")</f>
        <v/>
      </c>
      <c r="Y95" s="38"/>
      <c r="Z95" s="308"/>
      <c r="AA95" s="309"/>
      <c r="AB95" s="309"/>
      <c r="AC95" s="309"/>
      <c r="AD95" s="309"/>
      <c r="AE95" s="310"/>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row>
    <row r="96" spans="1:61" ht="15" customHeight="1" x14ac:dyDescent="0.25">
      <c r="A96" s="38"/>
      <c r="B96" s="291"/>
      <c r="C96" s="292"/>
      <c r="D96" s="293"/>
      <c r="E96" s="275"/>
      <c r="F96" s="274"/>
      <c r="G96" s="274"/>
      <c r="H96" s="274"/>
      <c r="I96" s="274"/>
      <c r="J96" s="163" t="str">
        <f>IF(AND('Mapa final'!$AB$13="Media",'Mapa final'!$AD$13="Leve"),CONCATENATE("R3C",'Mapa final'!$R$13),"")</f>
        <v/>
      </c>
      <c r="K96" s="190" t="str">
        <f>IF(AND('Mapa final'!$AB$14="Media",'Mapa final'!$AD$14="Leve"),CONCATENATE("R3C",'Mapa final'!$R$14),"")</f>
        <v/>
      </c>
      <c r="L96" s="164" t="str">
        <f>IF(AND('Mapa final'!$AB$15="Media",'Mapa final'!$AD$15="Leve"),CONCATENATE("R3C",'Mapa final'!$R$15),"")</f>
        <v/>
      </c>
      <c r="M96" s="163" t="str">
        <f>IF(AND('Mapa final'!$AB$13="Media",'Mapa final'!$AD$13="Menor"),CONCATENATE("R3C",'Mapa final'!$R$13),"")</f>
        <v/>
      </c>
      <c r="N96" s="190" t="str">
        <f>IF(AND('Mapa final'!$AB$14="Media",'Mapa final'!$AD$14="Menor"),CONCATENATE("R3C",'Mapa final'!$R$14),"")</f>
        <v/>
      </c>
      <c r="O96" s="164" t="str">
        <f>IF(AND('Mapa final'!$AB$15="Media",'Mapa final'!$AD$15="Menor"),CONCATENATE("R3C",'Mapa final'!$R$15),"")</f>
        <v/>
      </c>
      <c r="P96" s="163" t="str">
        <f>IF(AND('Mapa final'!$AB$13="Media",'Mapa final'!$AD$13="Moderado"),CONCATENATE("R3C",'Mapa final'!$R$13),"")</f>
        <v/>
      </c>
      <c r="Q96" s="190" t="str">
        <f>IF(AND('Mapa final'!$AB$14="Media",'Mapa final'!$AD$14="Moderado"),CONCATENATE("R3C",'Mapa final'!$R$14),"")</f>
        <v/>
      </c>
      <c r="R96" s="164" t="str">
        <f>IF(AND('Mapa final'!$AB$15="Media",'Mapa final'!$AD$15="Moderado"),CONCATENATE("R3C",'Mapa final'!$R$15),"")</f>
        <v/>
      </c>
      <c r="S96" s="195" t="str">
        <f>IF(AND('Mapa final'!$AB$13="Media",'Mapa final'!$AD$13="Mayor"),CONCATENATE("R3C",'Mapa final'!$R$13),"")</f>
        <v/>
      </c>
      <c r="T96" s="196" t="str">
        <f>IF(AND('Mapa final'!$AB$14="Media",'Mapa final'!$AD$14="Mayor"),CONCATENATE("R3C",'Mapa final'!$R$14),"")</f>
        <v/>
      </c>
      <c r="U96" s="197" t="str">
        <f>IF(AND('Mapa final'!$AB$15="Media",'Mapa final'!$AD$15="Mayor"),CONCATENATE("R3C",'Mapa final'!$R$15),"")</f>
        <v/>
      </c>
      <c r="V96" s="158" t="str">
        <f>IF(AND('Mapa final'!$AB$13="Media",'Mapa final'!$AD$13="Catastrófico"),CONCATENATE("R3C",'Mapa final'!$R$13),"")</f>
        <v/>
      </c>
      <c r="W96" s="189" t="str">
        <f>IF(AND('Mapa final'!$AB$14="Media",'Mapa final'!$AD$14="Catastrófico"),CONCATENATE("R3C",'Mapa final'!$R$14),"")</f>
        <v/>
      </c>
      <c r="X96" s="159" t="str">
        <f>IF(AND('Mapa final'!$AB$15="Media",'Mapa final'!$AD$15="Catastrófico"),CONCATENATE("R3C",'Mapa final'!$R$15),"")</f>
        <v/>
      </c>
      <c r="Y96" s="38"/>
      <c r="Z96" s="308"/>
      <c r="AA96" s="309"/>
      <c r="AB96" s="309"/>
      <c r="AC96" s="309"/>
      <c r="AD96" s="309"/>
      <c r="AE96" s="310"/>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row>
    <row r="97" spans="1:61" ht="15" customHeight="1" x14ac:dyDescent="0.25">
      <c r="A97" s="38"/>
      <c r="B97" s="291"/>
      <c r="C97" s="292"/>
      <c r="D97" s="293"/>
      <c r="E97" s="275"/>
      <c r="F97" s="274"/>
      <c r="G97" s="274"/>
      <c r="H97" s="274"/>
      <c r="I97" s="274"/>
      <c r="J97" s="163" t="str">
        <f>IF(AND('Mapa final'!$AB$16="Media",'Mapa final'!$AD$16="Leve"),CONCATENATE("R4C",'Mapa final'!$R$16),"")</f>
        <v/>
      </c>
      <c r="K97" s="190" t="str">
        <f>IF(AND('Mapa final'!$AB$17="Media",'Mapa final'!$AD$17="Leve"),CONCATENATE("R4C",'Mapa final'!$R$17),"")</f>
        <v/>
      </c>
      <c r="L97" s="164" t="str">
        <f>IF(AND('Mapa final'!$AB$18="Media",'Mapa final'!$AD$18="Leve"),CONCATENATE("R4C",'Mapa final'!$R$18),"")</f>
        <v/>
      </c>
      <c r="M97" s="163" t="str">
        <f>IF(AND('Mapa final'!$AB$16="Media",'Mapa final'!$AD$16="Menor"),CONCATENATE("R4C",'Mapa final'!$R$16),"")</f>
        <v/>
      </c>
      <c r="N97" s="190" t="str">
        <f>IF(AND('Mapa final'!$AB$17="Media",'Mapa final'!$AD$17="Menor"),CONCATENATE("R4C",'Mapa final'!$R$17),"")</f>
        <v/>
      </c>
      <c r="O97" s="164" t="str">
        <f>IF(AND('Mapa final'!$AB$18="Media",'Mapa final'!$AD$18="Menor"),CONCATENATE("R4C",'Mapa final'!$R$18),"")</f>
        <v/>
      </c>
      <c r="P97" s="163" t="str">
        <f>IF(AND('Mapa final'!$AB$16="Media",'Mapa final'!$AD$16="Moderado"),CONCATENATE("R4C",'Mapa final'!$R$16),"")</f>
        <v>R4C1</v>
      </c>
      <c r="Q97" s="190" t="str">
        <f>IF(AND('Mapa final'!$AB$17="Media",'Mapa final'!$AD$17="Moderado"),CONCATENATE("R4C",'Mapa final'!$R$17),"")</f>
        <v/>
      </c>
      <c r="R97" s="164" t="str">
        <f>IF(AND('Mapa final'!$AB$18="Media",'Mapa final'!$AD$18="Moderado"),CONCATENATE("R4C",'Mapa final'!$R$18),"")</f>
        <v/>
      </c>
      <c r="S97" s="195" t="str">
        <f>IF(AND('Mapa final'!$AB$16="Media",'Mapa final'!$AD$16="Mayor"),CONCATENATE("R4C",'Mapa final'!$R$16),"")</f>
        <v/>
      </c>
      <c r="T97" s="196" t="str">
        <f>IF(AND('Mapa final'!$AB$17="Media",'Mapa final'!$AD$17="Mayor"),CONCATENATE("R4C",'Mapa final'!$R$17),"")</f>
        <v/>
      </c>
      <c r="U97" s="197" t="str">
        <f>IF(AND('Mapa final'!$AB$18="Media",'Mapa final'!$AD$18="Mayor"),CONCATENATE("R4C",'Mapa final'!$R$18),"")</f>
        <v/>
      </c>
      <c r="V97" s="158" t="str">
        <f>IF(AND('Mapa final'!$AB$16="Media",'Mapa final'!$AD$16="Catastrófico"),CONCATENATE("R4C",'Mapa final'!$R$16),"")</f>
        <v/>
      </c>
      <c r="W97" s="189" t="str">
        <f>IF(AND('Mapa final'!$AB$17="Media",'Mapa final'!$AD$17="Catastrófico"),CONCATENATE("R4C",'Mapa final'!$R$17),"")</f>
        <v/>
      </c>
      <c r="X97" s="159" t="str">
        <f>IF(AND('Mapa final'!$AB$18="Media",'Mapa final'!$AD$18="Catastrófico"),CONCATENATE("R4C",'Mapa final'!$R$18),"")</f>
        <v/>
      </c>
      <c r="Y97" s="38"/>
      <c r="Z97" s="308"/>
      <c r="AA97" s="309"/>
      <c r="AB97" s="309"/>
      <c r="AC97" s="309"/>
      <c r="AD97" s="309"/>
      <c r="AE97" s="310"/>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row>
    <row r="98" spans="1:61" ht="15" customHeight="1" x14ac:dyDescent="0.25">
      <c r="A98" s="38"/>
      <c r="B98" s="291"/>
      <c r="C98" s="292"/>
      <c r="D98" s="293"/>
      <c r="E98" s="275"/>
      <c r="F98" s="274"/>
      <c r="G98" s="274"/>
      <c r="H98" s="274"/>
      <c r="I98" s="274"/>
      <c r="J98" s="163" t="str">
        <f>IF(AND('Mapa final'!$AB$19="Media",'Mapa final'!$AD$19="Leve"),CONCATENATE("R5C",'Mapa final'!$R$19),"")</f>
        <v/>
      </c>
      <c r="K98" s="190" t="str">
        <f>IF(AND('Mapa final'!$AB$20="Media",'Mapa final'!$AD$20="Leve"),CONCATENATE("R5C",'Mapa final'!$R$20),"")</f>
        <v/>
      </c>
      <c r="L98" s="164" t="str">
        <f>IF(AND('Mapa final'!$AB$21="Media",'Mapa final'!$AD$21="Leve"),CONCATENATE("R5C",'Mapa final'!$R$21),"")</f>
        <v/>
      </c>
      <c r="M98" s="163" t="str">
        <f>IF(AND('Mapa final'!$AB$19="Media",'Mapa final'!$AD$19="Menor"),CONCATENATE("R5C",'Mapa final'!$R$19),"")</f>
        <v/>
      </c>
      <c r="N98" s="190" t="str">
        <f>IF(AND('Mapa final'!$AB$20="Media",'Mapa final'!$AD$20="Menor"),CONCATENATE("R5C",'Mapa final'!$R$20),"")</f>
        <v/>
      </c>
      <c r="O98" s="164" t="str">
        <f>IF(AND('Mapa final'!$AB$21="Media",'Mapa final'!$AD$21="Menor"),CONCATENATE("R5C",'Mapa final'!$R$21),"")</f>
        <v/>
      </c>
      <c r="P98" s="163" t="str">
        <f>IF(AND('Mapa final'!$AB$19="Media",'Mapa final'!$AD$19="Moderado"),CONCATENATE("R5C",'Mapa final'!$R$19),"")</f>
        <v/>
      </c>
      <c r="Q98" s="190" t="str">
        <f>IF(AND('Mapa final'!$AB$20="Media",'Mapa final'!$AD$20="Moderado"),CONCATENATE("R5C",'Mapa final'!$R$20),"")</f>
        <v/>
      </c>
      <c r="R98" s="164" t="str">
        <f>IF(AND('Mapa final'!$AB$21="Media",'Mapa final'!$AD$21="Moderado"),CONCATENATE("R5C",'Mapa final'!$R$21),"")</f>
        <v/>
      </c>
      <c r="S98" s="195" t="str">
        <f>IF(AND('Mapa final'!$AB$19="Media",'Mapa final'!$AD$19="Mayor"),CONCATENATE("R5C",'Mapa final'!$R$19),"")</f>
        <v/>
      </c>
      <c r="T98" s="196" t="str">
        <f>IF(AND('Mapa final'!$AB$20="Media",'Mapa final'!$AD$20="Mayor"),CONCATENATE("R5C",'Mapa final'!$R$20),"")</f>
        <v/>
      </c>
      <c r="U98" s="197" t="str">
        <f>IF(AND('Mapa final'!$AB$21="Media",'Mapa final'!$AD$21="Mayor"),CONCATENATE("R5C",'Mapa final'!$R$21),"")</f>
        <v/>
      </c>
      <c r="V98" s="158" t="str">
        <f>IF(AND('Mapa final'!$AB$19="Media",'Mapa final'!$AD$19="Catastrófico"),CONCATENATE("R5C",'Mapa final'!$R$19),"")</f>
        <v/>
      </c>
      <c r="W98" s="189" t="str">
        <f>IF(AND('Mapa final'!$AB$20="Media",'Mapa final'!$AD$20="Catastrófico"),CONCATENATE("R5C",'Mapa final'!$R$20),"")</f>
        <v/>
      </c>
      <c r="X98" s="159" t="str">
        <f>IF(AND('Mapa final'!$AB$21="Media",'Mapa final'!$AD$21="Catastrófico"),CONCATENATE("R5C",'Mapa final'!$R$21),"")</f>
        <v/>
      </c>
      <c r="Y98" s="38"/>
      <c r="Z98" s="308"/>
      <c r="AA98" s="309"/>
      <c r="AB98" s="309"/>
      <c r="AC98" s="309"/>
      <c r="AD98" s="309"/>
      <c r="AE98" s="310"/>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row>
    <row r="99" spans="1:61" ht="15" customHeight="1" x14ac:dyDescent="0.25">
      <c r="A99" s="38"/>
      <c r="B99" s="291"/>
      <c r="C99" s="292"/>
      <c r="D99" s="293"/>
      <c r="E99" s="275"/>
      <c r="F99" s="274"/>
      <c r="G99" s="274"/>
      <c r="H99" s="274"/>
      <c r="I99" s="274"/>
      <c r="J99" s="163" t="str">
        <f>IF(AND('Mapa final'!$AB$22="Media",'Mapa final'!$AD$22="Leve"),CONCATENATE("R6C",'Mapa final'!$R$22),"")</f>
        <v/>
      </c>
      <c r="K99" s="190" t="str">
        <f>IF(AND('Mapa final'!$AB$23="Media",'Mapa final'!$AD$23="Leve"),CONCATENATE("R6C",'Mapa final'!$R$23),"")</f>
        <v/>
      </c>
      <c r="L99" s="164" t="str">
        <f>IF(AND('Mapa final'!$AB$24="Media",'Mapa final'!$AD$24="Leve"),CONCATENATE("R6C",'Mapa final'!$R$24),"")</f>
        <v/>
      </c>
      <c r="M99" s="163" t="str">
        <f>IF(AND('Mapa final'!$AB$22="Media",'Mapa final'!$AD$22="Menor"),CONCATENATE("R6C",'Mapa final'!$R$22),"")</f>
        <v/>
      </c>
      <c r="N99" s="190" t="str">
        <f>IF(AND('Mapa final'!$AB$23="Media",'Mapa final'!$AD$23="Menor"),CONCATENATE("R6C",'Mapa final'!$R$23),"")</f>
        <v/>
      </c>
      <c r="O99" s="164" t="str">
        <f>IF(AND('Mapa final'!$AB$24="Media",'Mapa final'!$AD$24="Menor"),CONCATENATE("R6C",'Mapa final'!$R$24),"")</f>
        <v/>
      </c>
      <c r="P99" s="163" t="str">
        <f>IF(AND('Mapa final'!$AB$22="Media",'Mapa final'!$AD$22="Moderado"),CONCATENATE("R6C",'Mapa final'!$R$22),"")</f>
        <v>R6C1</v>
      </c>
      <c r="Q99" s="190" t="str">
        <f>IF(AND('Mapa final'!$AB$23="Media",'Mapa final'!$AD$23="Moderado"),CONCATENATE("R6C",'Mapa final'!$R$23),"")</f>
        <v/>
      </c>
      <c r="R99" s="164" t="str">
        <f>IF(AND('Mapa final'!$AB$24="Media",'Mapa final'!$AD$24="Moderado"),CONCATENATE("R6C",'Mapa final'!$R$24),"")</f>
        <v/>
      </c>
      <c r="S99" s="195" t="str">
        <f>IF(AND('Mapa final'!$AB$22="Media",'Mapa final'!$AD$22="Mayor"),CONCATENATE("R6C",'Mapa final'!$R$22),"")</f>
        <v/>
      </c>
      <c r="T99" s="196" t="str">
        <f>IF(AND('Mapa final'!$AB$23="Media",'Mapa final'!$AD$23="Mayor"),CONCATENATE("R6C",'Mapa final'!$R$23),"")</f>
        <v/>
      </c>
      <c r="U99" s="197" t="str">
        <f>IF(AND('Mapa final'!$AB$24="Media",'Mapa final'!$AD$24="Mayor"),CONCATENATE("R6C",'Mapa final'!$R$24),"")</f>
        <v/>
      </c>
      <c r="V99" s="158" t="str">
        <f>IF(AND('Mapa final'!$AB$22="Media",'Mapa final'!$AD$22="Catastrófico"),CONCATENATE("R6C",'Mapa final'!$R$22),"")</f>
        <v/>
      </c>
      <c r="W99" s="189" t="str">
        <f>IF(AND('Mapa final'!$AB$23="Media",'Mapa final'!$AD$23="Catastrófico"),CONCATENATE("R6C",'Mapa final'!$R$23),"")</f>
        <v/>
      </c>
      <c r="X99" s="159" t="str">
        <f>IF(AND('Mapa final'!$AB$24="Media",'Mapa final'!$AD$24="Catastrófico"),CONCATENATE("R6C",'Mapa final'!$R$24),"")</f>
        <v/>
      </c>
      <c r="Y99" s="38"/>
      <c r="Z99" s="308"/>
      <c r="AA99" s="309"/>
      <c r="AB99" s="309"/>
      <c r="AC99" s="309"/>
      <c r="AD99" s="309"/>
      <c r="AE99" s="310"/>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row>
    <row r="100" spans="1:61" ht="15" customHeight="1" x14ac:dyDescent="0.25">
      <c r="A100" s="38"/>
      <c r="B100" s="291"/>
      <c r="C100" s="292"/>
      <c r="D100" s="293"/>
      <c r="E100" s="275"/>
      <c r="F100" s="274"/>
      <c r="G100" s="274"/>
      <c r="H100" s="274"/>
      <c r="I100" s="274"/>
      <c r="J100" s="163" t="str">
        <f>IF(AND('Mapa final'!$AB$25="Media",'Mapa final'!$AD$25="Leve"),CONCATENATE("R7C",'Mapa final'!$R$25),"")</f>
        <v/>
      </c>
      <c r="K100" s="190" t="str">
        <f>IF(AND('Mapa final'!$AB$26="Media",'Mapa final'!$AD$26="Leve"),CONCATENATE("R7C",'Mapa final'!$R$26),"")</f>
        <v/>
      </c>
      <c r="L100" s="164" t="str">
        <f>IF(AND('Mapa final'!$AB$27="Media",'Mapa final'!$AD$27="Leve"),CONCATENATE("R7C",'Mapa final'!$R$27),"")</f>
        <v/>
      </c>
      <c r="M100" s="163" t="str">
        <f>IF(AND('Mapa final'!$AB$25="Media",'Mapa final'!$AD$25="Menor"),CONCATENATE("R7C",'Mapa final'!$R$25),"")</f>
        <v/>
      </c>
      <c r="N100" s="190" t="str">
        <f>IF(AND('Mapa final'!$AB$26="Media",'Mapa final'!$AD$26="Menor"),CONCATENATE("R7C",'Mapa final'!$R$26),"")</f>
        <v/>
      </c>
      <c r="O100" s="164" t="str">
        <f>IF(AND('Mapa final'!$AB$27="Media",'Mapa final'!$AD$27="Menor"),CONCATENATE("R7C",'Mapa final'!$R$27),"")</f>
        <v/>
      </c>
      <c r="P100" s="163" t="str">
        <f>IF(AND('Mapa final'!$AB$25="Media",'Mapa final'!$AD$25="Moderado"),CONCATENATE("R7C",'Mapa final'!$R$25),"")</f>
        <v/>
      </c>
      <c r="Q100" s="190" t="str">
        <f>IF(AND('Mapa final'!$AB$26="Media",'Mapa final'!$AD$26="Moderado"),CONCATENATE("R7C",'Mapa final'!$R$26),"")</f>
        <v/>
      </c>
      <c r="R100" s="164" t="str">
        <f>IF(AND('Mapa final'!$AB$27="Media",'Mapa final'!$AD$27="Moderado"),CONCATENATE("R7C",'Mapa final'!$R$27),"")</f>
        <v/>
      </c>
      <c r="S100" s="195" t="str">
        <f>IF(AND('Mapa final'!$AB$25="Media",'Mapa final'!$AD$25="Mayor"),CONCATENATE("R7C",'Mapa final'!$R$25),"")</f>
        <v>R7C1</v>
      </c>
      <c r="T100" s="196" t="str">
        <f>IF(AND('Mapa final'!$AB$26="Media",'Mapa final'!$AD$26="Mayor"),CONCATENATE("R7C",'Mapa final'!$R$26),"")</f>
        <v/>
      </c>
      <c r="U100" s="197" t="str">
        <f>IF(AND('Mapa final'!$AB$27="Media",'Mapa final'!$AD$27="Mayor"),CONCATENATE("R7C",'Mapa final'!$R$27),"")</f>
        <v/>
      </c>
      <c r="V100" s="158" t="str">
        <f>IF(AND('Mapa final'!$AB$25="Media",'Mapa final'!$AD$25="Catastrófico"),CONCATENATE("R7C",'Mapa final'!$R$25),"")</f>
        <v/>
      </c>
      <c r="W100" s="189" t="str">
        <f>IF(AND('Mapa final'!$AB$26="Media",'Mapa final'!$AD$26="Catastrófico"),CONCATENATE("R7C",'Mapa final'!$R$26),"")</f>
        <v/>
      </c>
      <c r="X100" s="159" t="str">
        <f>IF(AND('Mapa final'!$AB$27="Media",'Mapa final'!$AD$27="Catastrófico"),CONCATENATE("R7C",'Mapa final'!$R$27),"")</f>
        <v/>
      </c>
      <c r="Y100" s="38"/>
      <c r="Z100" s="308"/>
      <c r="AA100" s="309"/>
      <c r="AB100" s="309"/>
      <c r="AC100" s="309"/>
      <c r="AD100" s="309"/>
      <c r="AE100" s="310"/>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row>
    <row r="101" spans="1:61" ht="15" customHeight="1" x14ac:dyDescent="0.25">
      <c r="A101" s="38"/>
      <c r="B101" s="291"/>
      <c r="C101" s="292"/>
      <c r="D101" s="293"/>
      <c r="E101" s="275"/>
      <c r="F101" s="274"/>
      <c r="G101" s="274"/>
      <c r="H101" s="274"/>
      <c r="I101" s="274"/>
      <c r="J101" s="163" t="str">
        <f>IF(AND('Mapa final'!$AB$28="Media",'Mapa final'!$AD$28="Leve"),CONCATENATE("R8C",'Mapa final'!$R$28),"")</f>
        <v/>
      </c>
      <c r="K101" s="190" t="str">
        <f>IF(AND('Mapa final'!$AB$29="Media",'Mapa final'!$AD$29="Leve"),CONCATENATE("R8C",'Mapa final'!$R$29),"")</f>
        <v/>
      </c>
      <c r="L101" s="164" t="str">
        <f>IF(AND('Mapa final'!$AB$30="Media",'Mapa final'!$AD$30="Leve"),CONCATENATE("R8C",'Mapa final'!$R$30),"")</f>
        <v/>
      </c>
      <c r="M101" s="163" t="str">
        <f>IF(AND('Mapa final'!$AB$28="Media",'Mapa final'!$AD$28="Menor"),CONCATENATE("R8C",'Mapa final'!$R$28),"")</f>
        <v/>
      </c>
      <c r="N101" s="190" t="str">
        <f>IF(AND('Mapa final'!$AB$29="Media",'Mapa final'!$AD$29="Menor"),CONCATENATE("R8C",'Mapa final'!$R$29),"")</f>
        <v/>
      </c>
      <c r="O101" s="164" t="str">
        <f>IF(AND('Mapa final'!$AB$30="Media",'Mapa final'!$AD$30="Menor"),CONCATENATE("R8C",'Mapa final'!$R$30),"")</f>
        <v/>
      </c>
      <c r="P101" s="163" t="str">
        <f>IF(AND('Mapa final'!$AB$28="Media",'Mapa final'!$AD$28="Moderado"),CONCATENATE("R8C",'Mapa final'!$R$28),"")</f>
        <v/>
      </c>
      <c r="Q101" s="190" t="str">
        <f>IF(AND('Mapa final'!$AB$29="Media",'Mapa final'!$AD$29="Moderado"),CONCATENATE("R8C",'Mapa final'!$R$29),"")</f>
        <v/>
      </c>
      <c r="R101" s="164" t="str">
        <f>IF(AND('Mapa final'!$AB$30="Media",'Mapa final'!$AD$30="Moderado"),CONCATENATE("R8C",'Mapa final'!$R$30),"")</f>
        <v/>
      </c>
      <c r="S101" s="195" t="str">
        <f>IF(AND('Mapa final'!$AB$28="Media",'Mapa final'!$AD$28="Mayor"),CONCATENATE("R8C",'Mapa final'!$R$28),"")</f>
        <v/>
      </c>
      <c r="T101" s="196" t="str">
        <f>IF(AND('Mapa final'!$AB$29="Media",'Mapa final'!$AD$29="Mayor"),CONCATENATE("R8C",'Mapa final'!$R$29),"")</f>
        <v/>
      </c>
      <c r="U101" s="197" t="str">
        <f>IF(AND('Mapa final'!$AB$30="Media",'Mapa final'!$AD$30="Mayor"),CONCATENATE("R8C",'Mapa final'!$R$30),"")</f>
        <v/>
      </c>
      <c r="V101" s="158" t="str">
        <f>IF(AND('Mapa final'!$AB$28="Media",'Mapa final'!$AD$28="Catastrófico"),CONCATENATE("R8C",'Mapa final'!$R$28),"")</f>
        <v/>
      </c>
      <c r="W101" s="189" t="str">
        <f>IF(AND('Mapa final'!$AB$29="Media",'Mapa final'!$AD$29="Catastrófico"),CONCATENATE("R8C",'Mapa final'!$R$29),"")</f>
        <v/>
      </c>
      <c r="X101" s="159" t="str">
        <f>IF(AND('Mapa final'!$AB$30="Media",'Mapa final'!$AD$30="Catastrófico"),CONCATENATE("R8C",'Mapa final'!$R$30),"")</f>
        <v/>
      </c>
      <c r="Y101" s="38"/>
      <c r="Z101" s="308"/>
      <c r="AA101" s="309"/>
      <c r="AB101" s="309"/>
      <c r="AC101" s="309"/>
      <c r="AD101" s="309"/>
      <c r="AE101" s="310"/>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row>
    <row r="102" spans="1:61" ht="15" customHeight="1" x14ac:dyDescent="0.25">
      <c r="A102" s="38"/>
      <c r="B102" s="291"/>
      <c r="C102" s="292"/>
      <c r="D102" s="293"/>
      <c r="E102" s="275"/>
      <c r="F102" s="274"/>
      <c r="G102" s="274"/>
      <c r="H102" s="274"/>
      <c r="I102" s="274"/>
      <c r="J102" s="163" t="str">
        <f>IF(AND('Mapa final'!$AB$31="Media",'Mapa final'!$AD$31="Leve"),CONCATENATE("R9C",'Mapa final'!$R$31),"")</f>
        <v/>
      </c>
      <c r="K102" s="190" t="str">
        <f>IF(AND('Mapa final'!$AB$32="Media",'Mapa final'!$AD$32="Leve"),CONCATENATE("R9C",'Mapa final'!$R$32),"")</f>
        <v/>
      </c>
      <c r="L102" s="164" t="str">
        <f>IF(AND('Mapa final'!$AB$33="Media",'Mapa final'!$AD$33="Leve"),CONCATENATE("R9C",'Mapa final'!$R$33),"")</f>
        <v/>
      </c>
      <c r="M102" s="163" t="str">
        <f>IF(AND('Mapa final'!$AB$31="Media",'Mapa final'!$AD$31="Menor"),CONCATENATE("R9C",'Mapa final'!$R$31),"")</f>
        <v/>
      </c>
      <c r="N102" s="190" t="str">
        <f>IF(AND('Mapa final'!$AB$32="Media",'Mapa final'!$AD$32="Menor"),CONCATENATE("R9C",'Mapa final'!$R$32),"")</f>
        <v/>
      </c>
      <c r="O102" s="164" t="str">
        <f>IF(AND('Mapa final'!$AB$33="Media",'Mapa final'!$AD$33="Menor"),CONCATENATE("R9C",'Mapa final'!$R$33),"")</f>
        <v/>
      </c>
      <c r="P102" s="163" t="str">
        <f>IF(AND('Mapa final'!$AB$31="Media",'Mapa final'!$AD$31="Moderado"),CONCATENATE("R9C",'Mapa final'!$R$31),"")</f>
        <v/>
      </c>
      <c r="Q102" s="190" t="str">
        <f>IF(AND('Mapa final'!$AB$32="Media",'Mapa final'!$AD$32="Moderado"),CONCATENATE("R9C",'Mapa final'!$R$32),"")</f>
        <v/>
      </c>
      <c r="R102" s="164" t="str">
        <f>IF(AND('Mapa final'!$AB$33="Media",'Mapa final'!$AD$33="Moderado"),CONCATENATE("R9C",'Mapa final'!$R$33),"")</f>
        <v/>
      </c>
      <c r="S102" s="195" t="str">
        <f>IF(AND('Mapa final'!$AB$31="Media",'Mapa final'!$AD$31="Mayor"),CONCATENATE("R9C",'Mapa final'!$R$31),"")</f>
        <v/>
      </c>
      <c r="T102" s="196" t="str">
        <f>IF(AND('Mapa final'!$AB$32="Media",'Mapa final'!$AD$32="Mayor"),CONCATENATE("R9C",'Mapa final'!$R$32),"")</f>
        <v/>
      </c>
      <c r="U102" s="197" t="str">
        <f>IF(AND('Mapa final'!$AB$33="Media",'Mapa final'!$AD$33="Mayor"),CONCATENATE("R9C",'Mapa final'!$R$33),"")</f>
        <v/>
      </c>
      <c r="V102" s="158" t="str">
        <f>IF(AND('Mapa final'!$AB$31="Media",'Mapa final'!$AD$31="Catastrófico"),CONCATENATE("R9C",'Mapa final'!$R$31),"")</f>
        <v/>
      </c>
      <c r="W102" s="189" t="str">
        <f>IF(AND('Mapa final'!$AB$32="Media",'Mapa final'!$AD$32="Catastrófico"),CONCATENATE("R9C",'Mapa final'!$R$32),"")</f>
        <v/>
      </c>
      <c r="X102" s="159" t="str">
        <f>IF(AND('Mapa final'!$AB$33="Media",'Mapa final'!$AD$33="Catastrófico"),CONCATENATE("R9C",'Mapa final'!$R$33),"")</f>
        <v/>
      </c>
      <c r="Y102" s="38"/>
      <c r="Z102" s="308"/>
      <c r="AA102" s="309"/>
      <c r="AB102" s="309"/>
      <c r="AC102" s="309"/>
      <c r="AD102" s="309"/>
      <c r="AE102" s="310"/>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row>
    <row r="103" spans="1:61" ht="15" customHeight="1" x14ac:dyDescent="0.25">
      <c r="A103" s="38"/>
      <c r="B103" s="291"/>
      <c r="C103" s="292"/>
      <c r="D103" s="293"/>
      <c r="E103" s="275"/>
      <c r="F103" s="274"/>
      <c r="G103" s="274"/>
      <c r="H103" s="274"/>
      <c r="I103" s="274"/>
      <c r="J103" s="163" t="str">
        <f>IF(AND('Mapa final'!$AB$34="Media",'Mapa final'!$AD$34="Leve"),CONCATENATE("R10C",'Mapa final'!$R$34),"")</f>
        <v/>
      </c>
      <c r="K103" s="190" t="str">
        <f>IF(AND('Mapa final'!$AB$35="Media",'Mapa final'!$AD$35="Leve"),CONCATENATE("R10C",'Mapa final'!$R$35),"")</f>
        <v/>
      </c>
      <c r="L103" s="164" t="str">
        <f>IF(AND('Mapa final'!$AB$36="Media",'Mapa final'!$AD$36="Leve"),CONCATENATE("R10C",'Mapa final'!$R$36),"")</f>
        <v/>
      </c>
      <c r="M103" s="163" t="str">
        <f>IF(AND('Mapa final'!$AB$34="Media",'Mapa final'!$AD$34="Menor"),CONCATENATE("R10C",'Mapa final'!$R$34),"")</f>
        <v/>
      </c>
      <c r="N103" s="190" t="str">
        <f>IF(AND('Mapa final'!$AB$35="Media",'Mapa final'!$AD$35="Menor"),CONCATENATE("R10C",'Mapa final'!$R$35),"")</f>
        <v/>
      </c>
      <c r="O103" s="164" t="str">
        <f>IF(AND('Mapa final'!$AB$36="Media",'Mapa final'!$AD$36="Menor"),CONCATENATE("R10C",'Mapa final'!$R$36),"")</f>
        <v/>
      </c>
      <c r="P103" s="163" t="str">
        <f>IF(AND('Mapa final'!$AB$34="Media",'Mapa final'!$AD$34="Moderado"),CONCATENATE("R10C",'Mapa final'!$R$34),"")</f>
        <v/>
      </c>
      <c r="Q103" s="190" t="str">
        <f>IF(AND('Mapa final'!$AB$35="Media",'Mapa final'!$AD$35="Moderado"),CONCATENATE("R10C",'Mapa final'!$R$35),"")</f>
        <v/>
      </c>
      <c r="R103" s="164" t="str">
        <f>IF(AND('Mapa final'!$AB$36="Media",'Mapa final'!$AD$36="Moderado"),CONCATENATE("R10C",'Mapa final'!$R$36),"")</f>
        <v/>
      </c>
      <c r="S103" s="195" t="str">
        <f>IF(AND('Mapa final'!$AB$34="Media",'Mapa final'!$AD$34="Mayor"),CONCATENATE("R10C",'Mapa final'!$R$34),"")</f>
        <v/>
      </c>
      <c r="T103" s="196" t="str">
        <f>IF(AND('Mapa final'!$AB$35="Media",'Mapa final'!$AD$35="Mayor"),CONCATENATE("R10C",'Mapa final'!$R$35),"")</f>
        <v/>
      </c>
      <c r="U103" s="197" t="str">
        <f>IF(AND('Mapa final'!$AB$36="Media",'Mapa final'!$AD$36="Mayor"),CONCATENATE("R10C",'Mapa final'!$R$36),"")</f>
        <v/>
      </c>
      <c r="V103" s="158" t="str">
        <f>IF(AND('Mapa final'!$AB$34="Media",'Mapa final'!$AD$34="Catastrófico"),CONCATENATE("R10C",'Mapa final'!$R$34),"")</f>
        <v/>
      </c>
      <c r="W103" s="189" t="str">
        <f>IF(AND('Mapa final'!$AB$35="Media",'Mapa final'!$AD$35="Catastrófico"),CONCATENATE("R10C",'Mapa final'!$R$35),"")</f>
        <v/>
      </c>
      <c r="X103" s="159" t="str">
        <f>IF(AND('Mapa final'!$AB$36="Media",'Mapa final'!$AD$36="Catastrófico"),CONCATENATE("R10C",'Mapa final'!$R$36),"")</f>
        <v/>
      </c>
      <c r="Y103" s="38"/>
      <c r="Z103" s="308"/>
      <c r="AA103" s="309"/>
      <c r="AB103" s="309"/>
      <c r="AC103" s="309"/>
      <c r="AD103" s="309"/>
      <c r="AE103" s="310"/>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row>
    <row r="104" spans="1:61" ht="15" customHeight="1" x14ac:dyDescent="0.25">
      <c r="A104" s="38"/>
      <c r="B104" s="291"/>
      <c r="C104" s="292"/>
      <c r="D104" s="293"/>
      <c r="E104" s="275"/>
      <c r="F104" s="274"/>
      <c r="G104" s="274"/>
      <c r="H104" s="274"/>
      <c r="I104" s="274"/>
      <c r="J104" s="163" t="str">
        <f>IF(AND('Mapa final'!$AB$37="Media",'Mapa final'!$AD$37="Leve"),CONCATENATE("R11C",'Mapa final'!$R$37),"")</f>
        <v/>
      </c>
      <c r="K104" s="190" t="str">
        <f>IF(AND('Mapa final'!$AB$38="Media",'Mapa final'!$AD$38="Leve"),CONCATENATE("R11C",'Mapa final'!$R$38),"")</f>
        <v/>
      </c>
      <c r="L104" s="164" t="str">
        <f>IF(AND('Mapa final'!$AB$39="Media",'Mapa final'!$AD$39="Leve"),CONCATENATE("R11C",'Mapa final'!$R$39),"")</f>
        <v/>
      </c>
      <c r="M104" s="163" t="str">
        <f>IF(AND('Mapa final'!$AB$37="Media",'Mapa final'!$AD$37="Menor"),CONCATENATE("R11C",'Mapa final'!$R$37),"")</f>
        <v/>
      </c>
      <c r="N104" s="190" t="str">
        <f>IF(AND('Mapa final'!$AB$38="Media",'Mapa final'!$AD$38="Menor"),CONCATENATE("R11C",'Mapa final'!$R$38),"")</f>
        <v/>
      </c>
      <c r="O104" s="164" t="str">
        <f>IF(AND('Mapa final'!$AB$39="Media",'Mapa final'!$AD$39="Menor"),CONCATENATE("R11C",'Mapa final'!$R$39),"")</f>
        <v/>
      </c>
      <c r="P104" s="163" t="str">
        <f>IF(AND('Mapa final'!$AB$37="Media",'Mapa final'!$AD$37="Moderado"),CONCATENATE("R11C",'Mapa final'!$R$37),"")</f>
        <v>R11C1</v>
      </c>
      <c r="Q104" s="190" t="str">
        <f>IF(AND('Mapa final'!$AB$38="Media",'Mapa final'!$AD$38="Moderado"),CONCATENATE("R11C",'Mapa final'!$R$38),"")</f>
        <v/>
      </c>
      <c r="R104" s="164" t="str">
        <f>IF(AND('Mapa final'!$AB$39="Media",'Mapa final'!$AD$39="Moderado"),CONCATENATE("R11C",'Mapa final'!$R$39),"")</f>
        <v/>
      </c>
      <c r="S104" s="195" t="str">
        <f>IF(AND('Mapa final'!$AB$37="Media",'Mapa final'!$AD$37="Mayor"),CONCATENATE("R11C",'Mapa final'!$R$37),"")</f>
        <v/>
      </c>
      <c r="T104" s="196" t="str">
        <f>IF(AND('Mapa final'!$AB$38="Media",'Mapa final'!$AD$38="Mayor"),CONCATENATE("R11C",'Mapa final'!$R$38),"")</f>
        <v/>
      </c>
      <c r="U104" s="197" t="str">
        <f>IF(AND('Mapa final'!$AB$39="Media",'Mapa final'!$AD$39="Mayor"),CONCATENATE("R11C",'Mapa final'!$R$39),"")</f>
        <v/>
      </c>
      <c r="V104" s="158" t="str">
        <f>IF(AND('Mapa final'!$AB$37="Media",'Mapa final'!$AD$37="Catastrófico"),CONCATENATE("R11C",'Mapa final'!$R$37),"")</f>
        <v/>
      </c>
      <c r="W104" s="189" t="str">
        <f>IF(AND('Mapa final'!$AB$38="Media",'Mapa final'!$AD$38="Catastrófico"),CONCATENATE("R11C",'Mapa final'!$R$38),"")</f>
        <v/>
      </c>
      <c r="X104" s="159" t="str">
        <f>IF(AND('Mapa final'!$AB$39="Media",'Mapa final'!$AD$39="Catastrófico"),CONCATENATE("R11C",'Mapa final'!$R$39),"")</f>
        <v/>
      </c>
      <c r="Y104" s="38"/>
      <c r="Z104" s="308"/>
      <c r="AA104" s="309"/>
      <c r="AB104" s="309"/>
      <c r="AC104" s="309"/>
      <c r="AD104" s="309"/>
      <c r="AE104" s="310"/>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row>
    <row r="105" spans="1:61" ht="15" customHeight="1" x14ac:dyDescent="0.25">
      <c r="A105" s="38"/>
      <c r="B105" s="291"/>
      <c r="C105" s="292"/>
      <c r="D105" s="293"/>
      <c r="E105" s="275"/>
      <c r="F105" s="274"/>
      <c r="G105" s="274"/>
      <c r="H105" s="274"/>
      <c r="I105" s="274"/>
      <c r="J105" s="163" t="str">
        <f>IF(AND('Mapa final'!$AB$40="Media",'Mapa final'!$AD$40="Leve"),CONCATENATE("R12C",'Mapa final'!$R$40),"")</f>
        <v/>
      </c>
      <c r="K105" s="190" t="str">
        <f>IF(AND('Mapa final'!$AB$41="Media",'Mapa final'!$AD$41="Leve"),CONCATENATE("R12C",'Mapa final'!$R$41),"")</f>
        <v/>
      </c>
      <c r="L105" s="164" t="str">
        <f>IF(AND('Mapa final'!$AB$42="Media",'Mapa final'!$AD$42="Leve"),CONCATENATE("R12C",'Mapa final'!$R$42),"")</f>
        <v/>
      </c>
      <c r="M105" s="163" t="str">
        <f>IF(AND('Mapa final'!$AB$40="Media",'Mapa final'!$AD$40="Menor"),CONCATENATE("R12C",'Mapa final'!$R$40),"")</f>
        <v/>
      </c>
      <c r="N105" s="190" t="str">
        <f>IF(AND('Mapa final'!$AB$41="Media",'Mapa final'!$AD$41="Menor"),CONCATENATE("R12C",'Mapa final'!$R$41),"")</f>
        <v/>
      </c>
      <c r="O105" s="164" t="str">
        <f>IF(AND('Mapa final'!$AB$42="Media",'Mapa final'!$AD$42="Menor"),CONCATENATE("R12C",'Mapa final'!$R$42),"")</f>
        <v/>
      </c>
      <c r="P105" s="163" t="str">
        <f>IF(AND('Mapa final'!$AB$40="Media",'Mapa final'!$AD$40="Moderado"),CONCATENATE("R12C",'Mapa final'!$R$40),"")</f>
        <v/>
      </c>
      <c r="Q105" s="190" t="str">
        <f>IF(AND('Mapa final'!$AB$41="Media",'Mapa final'!$AD$41="Moderado"),CONCATENATE("R12C",'Mapa final'!$R$41),"")</f>
        <v/>
      </c>
      <c r="R105" s="164" t="str">
        <f>IF(AND('Mapa final'!$AB$42="Media",'Mapa final'!$AD$42="Moderado"),CONCATENATE("R12C",'Mapa final'!$R$42),"")</f>
        <v/>
      </c>
      <c r="S105" s="195" t="str">
        <f>IF(AND('Mapa final'!$AB$40="Media",'Mapa final'!$AD$40="Mayor"),CONCATENATE("R12C",'Mapa final'!$R$40),"")</f>
        <v/>
      </c>
      <c r="T105" s="196" t="str">
        <f>IF(AND('Mapa final'!$AB$41="Media",'Mapa final'!$AD$41="Mayor"),CONCATENATE("R12C",'Mapa final'!$R$41),"")</f>
        <v/>
      </c>
      <c r="U105" s="197" t="str">
        <f>IF(AND('Mapa final'!$AB$42="Media",'Mapa final'!$AD$42="Mayor"),CONCATENATE("R12C",'Mapa final'!$R$42),"")</f>
        <v/>
      </c>
      <c r="V105" s="158" t="str">
        <f>IF(AND('Mapa final'!$AB$40="Media",'Mapa final'!$AD$40="Catastrófico"),CONCATENATE("R12C",'Mapa final'!$R$40),"")</f>
        <v/>
      </c>
      <c r="W105" s="189" t="str">
        <f>IF(AND('Mapa final'!$AB$41="Media",'Mapa final'!$AD$41="Catastrófico"),CONCATENATE("R12C",'Mapa final'!$R$41),"")</f>
        <v/>
      </c>
      <c r="X105" s="159" t="str">
        <f>IF(AND('Mapa final'!$AB$42="Media",'Mapa final'!$AD$42="Catastrófico"),CONCATENATE("R12C",'Mapa final'!$R$42),"")</f>
        <v/>
      </c>
      <c r="Y105" s="38"/>
      <c r="Z105" s="308"/>
      <c r="AA105" s="309"/>
      <c r="AB105" s="309"/>
      <c r="AC105" s="309"/>
      <c r="AD105" s="309"/>
      <c r="AE105" s="310"/>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row>
    <row r="106" spans="1:61" ht="15" customHeight="1" x14ac:dyDescent="0.25">
      <c r="A106" s="38"/>
      <c r="B106" s="291"/>
      <c r="C106" s="292"/>
      <c r="D106" s="293"/>
      <c r="E106" s="275"/>
      <c r="F106" s="274"/>
      <c r="G106" s="274"/>
      <c r="H106" s="274"/>
      <c r="I106" s="274"/>
      <c r="J106" s="163" t="str">
        <f>IF(AND('Mapa final'!$AB$43="Media",'Mapa final'!$AD$43="Leve"),CONCATENATE("R12C",'Mapa final'!$R$43),"")</f>
        <v/>
      </c>
      <c r="K106" s="190" t="str">
        <f>IF(AND('Mapa final'!$AB$44="Media",'Mapa final'!$AD$44="Leve"),CONCATENATE("R13C",'Mapa final'!$R$44),"")</f>
        <v/>
      </c>
      <c r="L106" s="164" t="str">
        <f>IF(AND('Mapa final'!$AB$45="Media",'Mapa final'!$AD$45="Leve"),CONCATENATE("R13C",'Mapa final'!$R$45),"")</f>
        <v/>
      </c>
      <c r="M106" s="163" t="str">
        <f>IF(AND('Mapa final'!$AB$43="Media",'Mapa final'!$AD$43="Menor"),CONCATENATE("R12C",'Mapa final'!$R$43),"")</f>
        <v/>
      </c>
      <c r="N106" s="190" t="str">
        <f>IF(AND('Mapa final'!$AB$44="Media",'Mapa final'!$AD$44="Menor"),CONCATENATE("R13C",'Mapa final'!$R$44),"")</f>
        <v/>
      </c>
      <c r="O106" s="164" t="str">
        <f>IF(AND('Mapa final'!$AB$45="Media",'Mapa final'!$AD$45="Menor"),CONCATENATE("R13C",'Mapa final'!$R$45),"")</f>
        <v/>
      </c>
      <c r="P106" s="163" t="str">
        <f>IF(AND('Mapa final'!$AB$43="Media",'Mapa final'!$AD$43="Moderado"),CONCATENATE("R12C",'Mapa final'!$R$43),"")</f>
        <v/>
      </c>
      <c r="Q106" s="190" t="str">
        <f>IF(AND('Mapa final'!$AB$44="Media",'Mapa final'!$AD$44="Moderado"),CONCATENATE("R13C",'Mapa final'!$R$44),"")</f>
        <v/>
      </c>
      <c r="R106" s="164" t="str">
        <f>IF(AND('Mapa final'!$AB$45="Media",'Mapa final'!$AD$45="Moderado"),CONCATENATE("R13C",'Mapa final'!$R$45),"")</f>
        <v/>
      </c>
      <c r="S106" s="195" t="str">
        <f>IF(AND('Mapa final'!$AB$43="Media",'Mapa final'!$AD$43="Mayor"),CONCATENATE("R12C",'Mapa final'!$R$43),"")</f>
        <v/>
      </c>
      <c r="T106" s="196" t="str">
        <f>IF(AND('Mapa final'!$AB$44="Media",'Mapa final'!$AD$44="Mayor"),CONCATENATE("R13C",'Mapa final'!$R$44),"")</f>
        <v/>
      </c>
      <c r="U106" s="197" t="str">
        <f>IF(AND('Mapa final'!$AB$45="Media",'Mapa final'!$AD$45="Mayor"),CONCATENATE("R13C",'Mapa final'!$R$45),"")</f>
        <v/>
      </c>
      <c r="V106" s="158" t="str">
        <f>IF(AND('Mapa final'!$AB$43="Media",'Mapa final'!$AD$43="Catastrófico"),CONCATENATE("R12C",'Mapa final'!$R$43),"")</f>
        <v/>
      </c>
      <c r="W106" s="189" t="str">
        <f>IF(AND('Mapa final'!$AB$44="Media",'Mapa final'!$AD$44="Catastrófico"),CONCATENATE("R13C",'Mapa final'!$R$44),"")</f>
        <v/>
      </c>
      <c r="X106" s="159" t="str">
        <f>IF(AND('Mapa final'!$AB$45="Media",'Mapa final'!$AD$45="Catastrófico"),CONCATENATE("R13C",'Mapa final'!$R$45),"")</f>
        <v/>
      </c>
      <c r="Y106" s="38"/>
      <c r="Z106" s="308"/>
      <c r="AA106" s="309"/>
      <c r="AB106" s="309"/>
      <c r="AC106" s="309"/>
      <c r="AD106" s="309"/>
      <c r="AE106" s="310"/>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row>
    <row r="107" spans="1:61" ht="15" customHeight="1" x14ac:dyDescent="0.25">
      <c r="A107" s="38"/>
      <c r="B107" s="291"/>
      <c r="C107" s="292"/>
      <c r="D107" s="293"/>
      <c r="E107" s="275"/>
      <c r="F107" s="274"/>
      <c r="G107" s="274"/>
      <c r="H107" s="274"/>
      <c r="I107" s="274"/>
      <c r="J107" s="163" t="str">
        <f>IF(AND('Mapa final'!$AB$46="Media",'Mapa final'!$AD$46="Leve"),CONCATENATE("R13C",'Mapa final'!$R$46),"")</f>
        <v/>
      </c>
      <c r="K107" s="190" t="str">
        <f>IF(AND('Mapa final'!$AB$47="Media",'Mapa final'!$AD$47="Leve"),CONCATENATE("R14C",'Mapa final'!$R$47),"")</f>
        <v/>
      </c>
      <c r="L107" s="164" t="str">
        <f>IF(AND('Mapa final'!$AB$48="Media",'Mapa final'!$AD$48="Leve"),CONCATENATE("R14C",'Mapa final'!$R$48),"")</f>
        <v/>
      </c>
      <c r="M107" s="163" t="str">
        <f>IF(AND('Mapa final'!$AB$46="Media",'Mapa final'!$AD$46="Menor"),CONCATENATE("R13C",'Mapa final'!$R$46),"")</f>
        <v/>
      </c>
      <c r="N107" s="190" t="str">
        <f>IF(AND('Mapa final'!$AB$47="Media",'Mapa final'!$AD$47="Menor"),CONCATENATE("R14C",'Mapa final'!$R$47),"")</f>
        <v/>
      </c>
      <c r="O107" s="164" t="str">
        <f>IF(AND('Mapa final'!$AB$48="Media",'Mapa final'!$AD$48="Menor"),CONCATENATE("R14C",'Mapa final'!$R$48),"")</f>
        <v/>
      </c>
      <c r="P107" s="163" t="str">
        <f>IF(AND('Mapa final'!$AB$46="Media",'Mapa final'!$AD$46="Moderado"),CONCATENATE("R13C",'Mapa final'!$R$46),"")</f>
        <v/>
      </c>
      <c r="Q107" s="190" t="str">
        <f>IF(AND('Mapa final'!$AB$47="Media",'Mapa final'!$AD$47="Moderado"),CONCATENATE("R14C",'Mapa final'!$R$47),"")</f>
        <v/>
      </c>
      <c r="R107" s="164" t="str">
        <f>IF(AND('Mapa final'!$AB$48="Media",'Mapa final'!$AD$48="Moderado"),CONCATENATE("R14C",'Mapa final'!$R$48),"")</f>
        <v/>
      </c>
      <c r="S107" s="195" t="str">
        <f>IF(AND('Mapa final'!$AB$46="Media",'Mapa final'!$AD$46="Mayor"),CONCATENATE("R13C",'Mapa final'!$R$46),"")</f>
        <v/>
      </c>
      <c r="T107" s="196" t="str">
        <f>IF(AND('Mapa final'!$AB$47="Media",'Mapa final'!$AD$47="Mayor"),CONCATENATE("R14C",'Mapa final'!$R$47),"")</f>
        <v/>
      </c>
      <c r="U107" s="197" t="str">
        <f>IF(AND('Mapa final'!$AB$48="Media",'Mapa final'!$AD$48="Mayor"),CONCATENATE("R14C",'Mapa final'!$R$48),"")</f>
        <v/>
      </c>
      <c r="V107" s="158" t="str">
        <f>IF(AND('Mapa final'!$AB$46="Media",'Mapa final'!$AD$46="Catastrófico"),CONCATENATE("R13C",'Mapa final'!$R$46),"")</f>
        <v/>
      </c>
      <c r="W107" s="189" t="str">
        <f>IF(AND('Mapa final'!$AB$47="Media",'Mapa final'!$AD$47="Catastrófico"),CONCATENATE("R14C",'Mapa final'!$R$47),"")</f>
        <v/>
      </c>
      <c r="X107" s="159" t="str">
        <f>IF(AND('Mapa final'!$AB$48="Media",'Mapa final'!$AD$48="Catastrófico"),CONCATENATE("R14C",'Mapa final'!$R$48),"")</f>
        <v/>
      </c>
      <c r="Y107" s="38"/>
      <c r="Z107" s="308"/>
      <c r="AA107" s="309"/>
      <c r="AB107" s="309"/>
      <c r="AC107" s="309"/>
      <c r="AD107" s="309"/>
      <c r="AE107" s="310"/>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row>
    <row r="108" spans="1:61" ht="15" customHeight="1" x14ac:dyDescent="0.25">
      <c r="A108" s="38"/>
      <c r="B108" s="291"/>
      <c r="C108" s="292"/>
      <c r="D108" s="293"/>
      <c r="E108" s="275"/>
      <c r="F108" s="274"/>
      <c r="G108" s="274"/>
      <c r="H108" s="274"/>
      <c r="I108" s="274"/>
      <c r="J108" s="163" t="str">
        <f>IF(AND('Mapa final'!$AB$49="Media",'Mapa final'!$AD$49="Leve"),CONCATENATE("R14C",'Mapa final'!$R$49),"")</f>
        <v/>
      </c>
      <c r="K108" s="190" t="str">
        <f>IF(AND('Mapa final'!$AB$50="Media",'Mapa final'!$AD$50="Leve"),CONCATENATE("R14C",'Mapa final'!$R$50),"")</f>
        <v/>
      </c>
      <c r="L108" s="164" t="str">
        <f>IF(AND('Mapa final'!$AB$51="Media",'Mapa final'!$AD$51="Leve"),CONCATENATE("R14C",'Mapa final'!$R$51),"")</f>
        <v/>
      </c>
      <c r="M108" s="163" t="str">
        <f>IF(AND('Mapa final'!$AB$49="Media",'Mapa final'!$AD$49="Menor"),CONCATENATE("R14C",'Mapa final'!$R$49),"")</f>
        <v/>
      </c>
      <c r="N108" s="190" t="str">
        <f>IF(AND('Mapa final'!$AB$50="Media",'Mapa final'!$AD$50="Menor"),CONCATENATE("R14C",'Mapa final'!$R$50),"")</f>
        <v/>
      </c>
      <c r="O108" s="164" t="str">
        <f>IF(AND('Mapa final'!$AB$51="Media",'Mapa final'!$AD$51="Menor"),CONCATENATE("R14C",'Mapa final'!$R$51),"")</f>
        <v/>
      </c>
      <c r="P108" s="163" t="str">
        <f>IF(AND('Mapa final'!$AB$49="Media",'Mapa final'!$AD$49="Moderado"),CONCATENATE("R14C",'Mapa final'!$R$49),"")</f>
        <v/>
      </c>
      <c r="Q108" s="190" t="str">
        <f>IF(AND('Mapa final'!$AB$50="Media",'Mapa final'!$AD$50="Moderado"),CONCATENATE("R14C",'Mapa final'!$R$50),"")</f>
        <v/>
      </c>
      <c r="R108" s="164" t="str">
        <f>IF(AND('Mapa final'!$AB$51="Media",'Mapa final'!$AD$51="Moderado"),CONCATENATE("R14C",'Mapa final'!$R$51),"")</f>
        <v/>
      </c>
      <c r="S108" s="195" t="str">
        <f>IF(AND('Mapa final'!$AB$49="Media",'Mapa final'!$AD$49="Mayor"),CONCATENATE("R14C",'Mapa final'!$R$49),"")</f>
        <v/>
      </c>
      <c r="T108" s="196" t="str">
        <f>IF(AND('Mapa final'!$AB$50="Media",'Mapa final'!$AD$50="Mayor"),CONCATENATE("R14C",'Mapa final'!$R$50),"")</f>
        <v/>
      </c>
      <c r="U108" s="197" t="str">
        <f>IF(AND('Mapa final'!$AB$51="Media",'Mapa final'!$AD$51="Mayor"),CONCATENATE("R14C",'Mapa final'!$R$51),"")</f>
        <v/>
      </c>
      <c r="V108" s="158" t="str">
        <f>IF(AND('Mapa final'!$AB$49="Media",'Mapa final'!$AD$49="Catastrófico"),CONCATENATE("R14C",'Mapa final'!$R$49),"")</f>
        <v/>
      </c>
      <c r="W108" s="189" t="str">
        <f>IF(AND('Mapa final'!$AB$50="Media",'Mapa final'!$AD$50="Catastrófico"),CONCATENATE("R14C",'Mapa final'!$R$50),"")</f>
        <v/>
      </c>
      <c r="X108" s="159" t="str">
        <f>IF(AND('Mapa final'!$AB$51="Media",'Mapa final'!$AD$51="Catastrófico"),CONCATENATE("R14C",'Mapa final'!$R$51),"")</f>
        <v/>
      </c>
      <c r="Y108" s="38"/>
      <c r="Z108" s="308"/>
      <c r="AA108" s="309"/>
      <c r="AB108" s="309"/>
      <c r="AC108" s="309"/>
      <c r="AD108" s="309"/>
      <c r="AE108" s="310"/>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row>
    <row r="109" spans="1:61" ht="15" customHeight="1" x14ac:dyDescent="0.25">
      <c r="A109" s="38"/>
      <c r="B109" s="291"/>
      <c r="C109" s="292"/>
      <c r="D109" s="293"/>
      <c r="E109" s="275"/>
      <c r="F109" s="274"/>
      <c r="G109" s="274"/>
      <c r="H109" s="274"/>
      <c r="I109" s="274"/>
      <c r="J109" s="163" t="str">
        <f>IF(AND('Mapa final'!$AB$52="Media",'Mapa final'!$AD$52="Leve"),CONCATENATE("R15C",'Mapa final'!$R$52),"")</f>
        <v/>
      </c>
      <c r="K109" s="190" t="str">
        <f>IF(AND('Mapa final'!$AB$53="Media",'Mapa final'!$AD$53="Leve"),CONCATENATE("R15C",'Mapa final'!$R$53),"")</f>
        <v/>
      </c>
      <c r="L109" s="164" t="str">
        <f>IF(AND('Mapa final'!$AB$54="Media",'Mapa final'!$AD$54="Leve"),CONCATENATE("R15C",'Mapa final'!$R$54),"")</f>
        <v/>
      </c>
      <c r="M109" s="163" t="str">
        <f>IF(AND('Mapa final'!$AB$52="Media",'Mapa final'!$AD$52="Menor"),CONCATENATE("R15C",'Mapa final'!$R$52),"")</f>
        <v/>
      </c>
      <c r="N109" s="190" t="str">
        <f>IF(AND('Mapa final'!$AB$53="Media",'Mapa final'!$AD$53="Menor"),CONCATENATE("R15C",'Mapa final'!$R$53),"")</f>
        <v/>
      </c>
      <c r="O109" s="164" t="str">
        <f>IF(AND('Mapa final'!$AB$54="Media",'Mapa final'!$AD$54="Menor"),CONCATENATE("R15C",'Mapa final'!$R$54),"")</f>
        <v/>
      </c>
      <c r="P109" s="163" t="str">
        <f>IF(AND('Mapa final'!$AB$52="Media",'Mapa final'!$AD$52="Moderado"),CONCATENATE("R15C",'Mapa final'!$R$52),"")</f>
        <v/>
      </c>
      <c r="Q109" s="190" t="str">
        <f>IF(AND('Mapa final'!$AB$53="Media",'Mapa final'!$AD$53="Moderado"),CONCATENATE("R15C",'Mapa final'!$R$53),"")</f>
        <v/>
      </c>
      <c r="R109" s="164" t="str">
        <f>IF(AND('Mapa final'!$AB$54="Media",'Mapa final'!$AD$54="Moderado"),CONCATENATE("R15C",'Mapa final'!$R$54),"")</f>
        <v/>
      </c>
      <c r="S109" s="195" t="str">
        <f>IF(AND('Mapa final'!$AB$52="Media",'Mapa final'!$AD$52="Mayor"),CONCATENATE("R15C",'Mapa final'!$R$52),"")</f>
        <v/>
      </c>
      <c r="T109" s="196" t="str">
        <f>IF(AND('Mapa final'!$AB$53="Media",'Mapa final'!$AD$53="Mayor"),CONCATENATE("R15C",'Mapa final'!$R$53),"")</f>
        <v/>
      </c>
      <c r="U109" s="197" t="str">
        <f>IF(AND('Mapa final'!$AB$54="Media",'Mapa final'!$AD$54="Mayor"),CONCATENATE("R15C",'Mapa final'!$R$54),"")</f>
        <v/>
      </c>
      <c r="V109" s="158" t="str">
        <f>IF(AND('Mapa final'!$AB$52="Media",'Mapa final'!$AD$52="Catastrófico"),CONCATENATE("R15C",'Mapa final'!$R$52),"")</f>
        <v/>
      </c>
      <c r="W109" s="189" t="str">
        <f>IF(AND('Mapa final'!$AB$53="Media",'Mapa final'!$AD$53="Catastrófico"),CONCATENATE("R15C",'Mapa final'!$R$53),"")</f>
        <v/>
      </c>
      <c r="X109" s="159" t="str">
        <f>IF(AND('Mapa final'!$AB$54="Media",'Mapa final'!$AD$54="Catastrófico"),CONCATENATE("R15C",'Mapa final'!$R$54),"")</f>
        <v/>
      </c>
      <c r="Y109" s="38"/>
      <c r="Z109" s="308"/>
      <c r="AA109" s="309"/>
      <c r="AB109" s="309"/>
      <c r="AC109" s="309"/>
      <c r="AD109" s="309"/>
      <c r="AE109" s="310"/>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row>
    <row r="110" spans="1:61" ht="15" customHeight="1" x14ac:dyDescent="0.25">
      <c r="A110" s="38"/>
      <c r="B110" s="291"/>
      <c r="C110" s="292"/>
      <c r="D110" s="293"/>
      <c r="E110" s="275"/>
      <c r="F110" s="274"/>
      <c r="G110" s="274"/>
      <c r="H110" s="274"/>
      <c r="I110" s="274"/>
      <c r="J110" s="163" t="str">
        <f>IF(AND('Mapa final'!$AB$55="Media",'Mapa final'!$AD$55="Leve"),CONCATENATE("R16C",'Mapa final'!$R$55),"")</f>
        <v/>
      </c>
      <c r="K110" s="190" t="str">
        <f>IF(AND('Mapa final'!$AB$56="Media",'Mapa final'!$AD$56="Leve"),CONCATENATE("R16C",'Mapa final'!$R$56),"")</f>
        <v/>
      </c>
      <c r="L110" s="164" t="str">
        <f>IF(AND('Mapa final'!$AB$57="Media",'Mapa final'!$AD$57="Leve"),CONCATENATE("R16C",'Mapa final'!$R$57),"")</f>
        <v/>
      </c>
      <c r="M110" s="163" t="str">
        <f>IF(AND('Mapa final'!$AB$55="Media",'Mapa final'!$AD$55="Menor"),CONCATENATE("R16C",'Mapa final'!$R$55),"")</f>
        <v/>
      </c>
      <c r="N110" s="190" t="str">
        <f>IF(AND('Mapa final'!$AB$56="Media",'Mapa final'!$AD$56="Menor"),CONCATENATE("R16C",'Mapa final'!$R$56),"")</f>
        <v/>
      </c>
      <c r="O110" s="164" t="str">
        <f>IF(AND('Mapa final'!$AB$57="Media",'Mapa final'!$AD$57="Menor"),CONCATENATE("R16C",'Mapa final'!$R$57),"")</f>
        <v/>
      </c>
      <c r="P110" s="163" t="str">
        <f>IF(AND('Mapa final'!$AB$55="Media",'Mapa final'!$AD$55="Moderado"),CONCATENATE("R16C",'Mapa final'!$R$55),"")</f>
        <v/>
      </c>
      <c r="Q110" s="190" t="str">
        <f>IF(AND('Mapa final'!$AB$56="Media",'Mapa final'!$AD$56="Moderado"),CONCATENATE("R16C",'Mapa final'!$R$56),"")</f>
        <v/>
      </c>
      <c r="R110" s="164" t="str">
        <f>IF(AND('Mapa final'!$AB$57="Media",'Mapa final'!$AD$57="Moderado"),CONCATENATE("R16C",'Mapa final'!$R$57),"")</f>
        <v/>
      </c>
      <c r="S110" s="195" t="str">
        <f>IF(AND('Mapa final'!$AB$55="Media",'Mapa final'!$AD$55="Mayor"),CONCATENATE("R16C",'Mapa final'!$R$55),"")</f>
        <v/>
      </c>
      <c r="T110" s="196" t="str">
        <f>IF(AND('Mapa final'!$AB$56="Media",'Mapa final'!$AD$56="Mayor"),CONCATENATE("R16C",'Mapa final'!$R$56),"")</f>
        <v/>
      </c>
      <c r="U110" s="197" t="str">
        <f>IF(AND('Mapa final'!$AB$57="Media",'Mapa final'!$AD$57="Mayor"),CONCATENATE("R16C",'Mapa final'!$R$57),"")</f>
        <v/>
      </c>
      <c r="V110" s="158" t="str">
        <f>IF(AND('Mapa final'!$AB$55="Media",'Mapa final'!$AD$55="Catastrófico"),CONCATENATE("R16C",'Mapa final'!$R$55),"")</f>
        <v/>
      </c>
      <c r="W110" s="189" t="str">
        <f>IF(AND('Mapa final'!$AB$56="Media",'Mapa final'!$AD$56="Catastrófico"),CONCATENATE("R16C",'Mapa final'!$R$56),"")</f>
        <v/>
      </c>
      <c r="X110" s="159" t="str">
        <f>IF(AND('Mapa final'!$AB$57="Media",'Mapa final'!$AD$57="Catastrófico"),CONCATENATE("R16C",'Mapa final'!$R$57),"")</f>
        <v/>
      </c>
      <c r="Y110" s="38"/>
      <c r="Z110" s="308"/>
      <c r="AA110" s="309"/>
      <c r="AB110" s="309"/>
      <c r="AC110" s="309"/>
      <c r="AD110" s="309"/>
      <c r="AE110" s="310"/>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row>
    <row r="111" spans="1:61" ht="15" customHeight="1" x14ac:dyDescent="0.25">
      <c r="A111" s="38"/>
      <c r="B111" s="291"/>
      <c r="C111" s="292"/>
      <c r="D111" s="293"/>
      <c r="E111" s="275"/>
      <c r="F111" s="274"/>
      <c r="G111" s="274"/>
      <c r="H111" s="274"/>
      <c r="I111" s="274"/>
      <c r="J111" s="163" t="str">
        <f>IF(AND('Mapa final'!$AB$58="Media",'Mapa final'!$AD$58="Leve"),CONCATENATE("R17C",'Mapa final'!$R$58),"")</f>
        <v/>
      </c>
      <c r="K111" s="190" t="str">
        <f>IF(AND('Mapa final'!$AB$59="Media",'Mapa final'!$AD$59="Leve"),CONCATENATE("R17C",'Mapa final'!$R$59),"")</f>
        <v/>
      </c>
      <c r="L111" s="164" t="str">
        <f>IF(AND('Mapa final'!$AB$60="Media",'Mapa final'!$AD$60="Leve"),CONCATENATE("R17C",'Mapa final'!$R$60),"")</f>
        <v/>
      </c>
      <c r="M111" s="163" t="str">
        <f>IF(AND('Mapa final'!$AB$58="Media",'Mapa final'!$AD$58="Menor"),CONCATENATE("R17C",'Mapa final'!$R$58),"")</f>
        <v/>
      </c>
      <c r="N111" s="190" t="str">
        <f>IF(AND('Mapa final'!$AB$59="Media",'Mapa final'!$AD$59="Menor"),CONCATENATE("R17C",'Mapa final'!$R$59),"")</f>
        <v/>
      </c>
      <c r="O111" s="164" t="str">
        <f>IF(AND('Mapa final'!$AB$60="Media",'Mapa final'!$AD$60="Menor"),CONCATENATE("R17C",'Mapa final'!$R$60),"")</f>
        <v/>
      </c>
      <c r="P111" s="163" t="str">
        <f>IF(AND('Mapa final'!$AB$58="Media",'Mapa final'!$AD$58="Moderado"),CONCATENATE("R17C",'Mapa final'!$R$58),"")</f>
        <v/>
      </c>
      <c r="Q111" s="190" t="str">
        <f>IF(AND('Mapa final'!$AB$59="Media",'Mapa final'!$AD$59="Moderado"),CONCATENATE("R17C",'Mapa final'!$R$59),"")</f>
        <v/>
      </c>
      <c r="R111" s="164" t="str">
        <f>IF(AND('Mapa final'!$AB$60="Media",'Mapa final'!$AD$60="Moderado"),CONCATENATE("R17C",'Mapa final'!$R$60),"")</f>
        <v/>
      </c>
      <c r="S111" s="195" t="str">
        <f>IF(AND('Mapa final'!$AB$58="Media",'Mapa final'!$AD$58="Mayor"),CONCATENATE("R17C",'Mapa final'!$R$58),"")</f>
        <v/>
      </c>
      <c r="T111" s="196" t="str">
        <f>IF(AND('Mapa final'!$AB$59="Media",'Mapa final'!$AD$59="Mayor"),CONCATENATE("R17C",'Mapa final'!$R$59),"")</f>
        <v/>
      </c>
      <c r="U111" s="197" t="str">
        <f>IF(AND('Mapa final'!$AB$60="Media",'Mapa final'!$AD$60="Mayor"),CONCATENATE("R17C",'Mapa final'!$R$60),"")</f>
        <v/>
      </c>
      <c r="V111" s="158" t="str">
        <f>IF(AND('Mapa final'!$AB$58="Media",'Mapa final'!$AD$58="Catastrófico"),CONCATENATE("R17C",'Mapa final'!$R$58),"")</f>
        <v/>
      </c>
      <c r="W111" s="189" t="str">
        <f>IF(AND('Mapa final'!$AB$59="Media",'Mapa final'!$AD$59="Catastrófico"),CONCATENATE("R17C",'Mapa final'!$R$59),"")</f>
        <v/>
      </c>
      <c r="X111" s="159" t="str">
        <f>IF(AND('Mapa final'!$AB$60="Media",'Mapa final'!$AD$60="Catastrófico"),CONCATENATE("R17C",'Mapa final'!$R$60),"")</f>
        <v/>
      </c>
      <c r="Y111" s="38"/>
      <c r="Z111" s="308"/>
      <c r="AA111" s="309"/>
      <c r="AB111" s="309"/>
      <c r="AC111" s="309"/>
      <c r="AD111" s="309"/>
      <c r="AE111" s="310"/>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row>
    <row r="112" spans="1:61" ht="15" customHeight="1" x14ac:dyDescent="0.25">
      <c r="A112" s="38"/>
      <c r="B112" s="291"/>
      <c r="C112" s="292"/>
      <c r="D112" s="293"/>
      <c r="E112" s="275"/>
      <c r="F112" s="274"/>
      <c r="G112" s="274"/>
      <c r="H112" s="274"/>
      <c r="I112" s="274"/>
      <c r="J112" s="163" t="str">
        <f>IF(AND('Mapa final'!$AB$61="Media",'Mapa final'!$AD$61="Leve"),CONCATENATE("R18C",'Mapa final'!$R$61),"")</f>
        <v/>
      </c>
      <c r="K112" s="190" t="str">
        <f>IF(AND('Mapa final'!$AB$62="Media",'Mapa final'!$AD$62="Leve"),CONCATENATE("R18C",'Mapa final'!$R$62),"")</f>
        <v/>
      </c>
      <c r="L112" s="164" t="str">
        <f>IF(AND('Mapa final'!$AB$63="Media",'Mapa final'!$AD$63="Leve"),CONCATENATE("R18C",'Mapa final'!$R$63),"")</f>
        <v/>
      </c>
      <c r="M112" s="163" t="str">
        <f>IF(AND('Mapa final'!$AB$61="Media",'Mapa final'!$AD$61="Menor"),CONCATENATE("R18C",'Mapa final'!$R$61),"")</f>
        <v/>
      </c>
      <c r="N112" s="190" t="str">
        <f>IF(AND('Mapa final'!$AB$62="Media",'Mapa final'!$AD$62="Menor"),CONCATENATE("R18C",'Mapa final'!$R$62),"")</f>
        <v/>
      </c>
      <c r="O112" s="164" t="str">
        <f>IF(AND('Mapa final'!$AB$63="Media",'Mapa final'!$AD$63="Menor"),CONCATENATE("R18C",'Mapa final'!$R$63),"")</f>
        <v/>
      </c>
      <c r="P112" s="163" t="str">
        <f>IF(AND('Mapa final'!$AB$61="Media",'Mapa final'!$AD$61="Moderado"),CONCATENATE("R18C",'Mapa final'!$R$61),"")</f>
        <v/>
      </c>
      <c r="Q112" s="190" t="str">
        <f>IF(AND('Mapa final'!$AB$62="Media",'Mapa final'!$AD$62="Moderado"),CONCATENATE("R18C",'Mapa final'!$R$62),"")</f>
        <v/>
      </c>
      <c r="R112" s="164" t="str">
        <f>IF(AND('Mapa final'!$AB$63="Media",'Mapa final'!$AD$63="Moderado"),CONCATENATE("R18C",'Mapa final'!$R$63),"")</f>
        <v/>
      </c>
      <c r="S112" s="195" t="str">
        <f>IF(AND('Mapa final'!$AB$61="Media",'Mapa final'!$AD$61="Mayor"),CONCATENATE("R18C",'Mapa final'!$R$61),"")</f>
        <v/>
      </c>
      <c r="T112" s="196" t="str">
        <f>IF(AND('Mapa final'!$AB$62="Media",'Mapa final'!$AD$62="Mayor"),CONCATENATE("R18C",'Mapa final'!$R$62),"")</f>
        <v/>
      </c>
      <c r="U112" s="197" t="str">
        <f>IF(AND('Mapa final'!$AB$63="Media",'Mapa final'!$AD$63="Mayor"),CONCATENATE("R18C",'Mapa final'!$R$63),"")</f>
        <v/>
      </c>
      <c r="V112" s="158" t="str">
        <f>IF(AND('Mapa final'!$AB$61="Media",'Mapa final'!$AD$61="Catastrófico"),CONCATENATE("R18C",'Mapa final'!$R$61),"")</f>
        <v/>
      </c>
      <c r="W112" s="189" t="str">
        <f>IF(AND('Mapa final'!$AB$62="Media",'Mapa final'!$AD$62="Catastrófico"),CONCATENATE("R18C",'Mapa final'!$R$62),"")</f>
        <v/>
      </c>
      <c r="X112" s="159" t="str">
        <f>IF(AND('Mapa final'!$AB$63="Media",'Mapa final'!$AD$63="Catastrófico"),CONCATENATE("R18C",'Mapa final'!$R$63),"")</f>
        <v/>
      </c>
      <c r="Y112" s="38"/>
      <c r="Z112" s="308"/>
      <c r="AA112" s="309"/>
      <c r="AB112" s="309"/>
      <c r="AC112" s="309"/>
      <c r="AD112" s="309"/>
      <c r="AE112" s="310"/>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row>
    <row r="113" spans="1:61" ht="15" customHeight="1" x14ac:dyDescent="0.25">
      <c r="A113" s="38"/>
      <c r="B113" s="291"/>
      <c r="C113" s="292"/>
      <c r="D113" s="293"/>
      <c r="E113" s="275"/>
      <c r="F113" s="274"/>
      <c r="G113" s="274"/>
      <c r="H113" s="274"/>
      <c r="I113" s="274"/>
      <c r="J113" s="163" t="str">
        <f>IF(AND('Mapa final'!$AB$64="Media",'Mapa final'!$AD$64="Leve"),CONCATENATE("R19C",'Mapa final'!$R$64),"")</f>
        <v/>
      </c>
      <c r="K113" s="190" t="str">
        <f>IF(AND('Mapa final'!$AB$65="Media",'Mapa final'!$AD$65="Leve"),CONCATENATE("R19C",'Mapa final'!$R$65),"")</f>
        <v/>
      </c>
      <c r="L113" s="164" t="str">
        <f>IF(AND('Mapa final'!$AB$66="Media",'Mapa final'!$AD$66="Leve"),CONCATENATE("R19C",'Mapa final'!$R$66),"")</f>
        <v/>
      </c>
      <c r="M113" s="163" t="str">
        <f>IF(AND('Mapa final'!$AB$64="Media",'Mapa final'!$AD$64="Menor"),CONCATENATE("R19C",'Mapa final'!$R$64),"")</f>
        <v/>
      </c>
      <c r="N113" s="190" t="str">
        <f>IF(AND('Mapa final'!$AB$65="Media",'Mapa final'!$AD$65="Menor"),CONCATENATE("R19C",'Mapa final'!$R$65),"")</f>
        <v/>
      </c>
      <c r="O113" s="164" t="str">
        <f>IF(AND('Mapa final'!$AB$66="Media",'Mapa final'!$AD$66="Menor"),CONCATENATE("R19C",'Mapa final'!$R$66),"")</f>
        <v/>
      </c>
      <c r="P113" s="163" t="str">
        <f>IF(AND('Mapa final'!$AB$64="Media",'Mapa final'!$AD$64="Moderado"),CONCATENATE("R19C",'Mapa final'!$R$64),"")</f>
        <v/>
      </c>
      <c r="Q113" s="190" t="str">
        <f>IF(AND('Mapa final'!$AB$65="Media",'Mapa final'!$AD$65="Moderado"),CONCATENATE("R19C",'Mapa final'!$R$65),"")</f>
        <v/>
      </c>
      <c r="R113" s="164" t="str">
        <f>IF(AND('Mapa final'!$AB$66="Media",'Mapa final'!$AD$66="Moderado"),CONCATENATE("R19C",'Mapa final'!$R$66),"")</f>
        <v/>
      </c>
      <c r="S113" s="195" t="str">
        <f>IF(AND('Mapa final'!$AB$64="Media",'Mapa final'!$AD$64="Mayor"),CONCATENATE("R19C",'Mapa final'!$R$64),"")</f>
        <v/>
      </c>
      <c r="T113" s="196" t="str">
        <f>IF(AND('Mapa final'!$AB$65="Media",'Mapa final'!$AD$65="Mayor"),CONCATENATE("R19C",'Mapa final'!$R$65),"")</f>
        <v/>
      </c>
      <c r="U113" s="197" t="str">
        <f>IF(AND('Mapa final'!$AB$66="Media",'Mapa final'!$AD$66="Mayor"),CONCATENATE("R19C",'Mapa final'!$R$66),"")</f>
        <v/>
      </c>
      <c r="V113" s="158" t="str">
        <f>IF(AND('Mapa final'!$AB$64="Media",'Mapa final'!$AD$64="Catastrófico"),CONCATENATE("R19C",'Mapa final'!$R$64),"")</f>
        <v/>
      </c>
      <c r="W113" s="189" t="str">
        <f>IF(AND('Mapa final'!$AB$65="Media",'Mapa final'!$AD$65="Catastrófico"),CONCATENATE("R19C",'Mapa final'!$R$65),"")</f>
        <v/>
      </c>
      <c r="X113" s="159" t="str">
        <f>IF(AND('Mapa final'!$AB$66="Media",'Mapa final'!$AD$66="Catastrófico"),CONCATENATE("R19C",'Mapa final'!$R$66),"")</f>
        <v/>
      </c>
      <c r="Y113" s="38"/>
      <c r="Z113" s="308"/>
      <c r="AA113" s="309"/>
      <c r="AB113" s="309"/>
      <c r="AC113" s="309"/>
      <c r="AD113" s="309"/>
      <c r="AE113" s="310"/>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row>
    <row r="114" spans="1:61" ht="15" customHeight="1" x14ac:dyDescent="0.25">
      <c r="A114" s="38"/>
      <c r="B114" s="291"/>
      <c r="C114" s="292"/>
      <c r="D114" s="293"/>
      <c r="E114" s="275"/>
      <c r="F114" s="274"/>
      <c r="G114" s="274"/>
      <c r="H114" s="274"/>
      <c r="I114" s="274"/>
      <c r="J114" s="163" t="str">
        <f>IF(AND('Mapa final'!$AB$67="Media",'Mapa final'!$AD$67="Leve"),CONCATENATE("R20",'Mapa final'!$R$67),"")</f>
        <v/>
      </c>
      <c r="K114" s="190" t="str">
        <f>IF(AND('Mapa final'!$AB$68="Media",'Mapa final'!$AD$68="Leve"),CONCATENATE("R20C",'Mapa final'!$R$68),"")</f>
        <v/>
      </c>
      <c r="L114" s="164" t="str">
        <f>IF(AND('Mapa final'!$AB$69="Media",'Mapa final'!$AD$69="Leve"),CONCATENATE("R20C",'Mapa final'!$R$69),"")</f>
        <v/>
      </c>
      <c r="M114" s="163" t="str">
        <f>IF(AND('Mapa final'!$AB$67="Media",'Mapa final'!$AD$67="Menor"),CONCATENATE("R20",'Mapa final'!$R$67),"")</f>
        <v/>
      </c>
      <c r="N114" s="190" t="str">
        <f>IF(AND('Mapa final'!$AB$68="Media",'Mapa final'!$AD$68="Menor"),CONCATENATE("R20C",'Mapa final'!$R$68),"")</f>
        <v/>
      </c>
      <c r="O114" s="164" t="str">
        <f>IF(AND('Mapa final'!$AB$69="Media",'Mapa final'!$AD$69="Menor"),CONCATENATE("R20C",'Mapa final'!$R$69),"")</f>
        <v/>
      </c>
      <c r="P114" s="163" t="str">
        <f>IF(AND('Mapa final'!$AB$67="Media",'Mapa final'!$AD$67="Moderado"),CONCATENATE("R20",'Mapa final'!$R$67),"")</f>
        <v/>
      </c>
      <c r="Q114" s="190" t="str">
        <f>IF(AND('Mapa final'!$AB$68="Media",'Mapa final'!$AD$68="Moderado"),CONCATENATE("R20C",'Mapa final'!$R$68),"")</f>
        <v/>
      </c>
      <c r="R114" s="164" t="str">
        <f>IF(AND('Mapa final'!$AB$69="Media",'Mapa final'!$AD$69="Moderado"),CONCATENATE("R20C",'Mapa final'!$R$69),"")</f>
        <v/>
      </c>
      <c r="S114" s="195" t="str">
        <f>IF(AND('Mapa final'!$AB$67="Media",'Mapa final'!$AD$67="Mayor"),CONCATENATE("R20",'Mapa final'!$R$67),"")</f>
        <v/>
      </c>
      <c r="T114" s="196" t="str">
        <f>IF(AND('Mapa final'!$AB$68="Media",'Mapa final'!$AD$68="Mayor"),CONCATENATE("R20C",'Mapa final'!$R$68),"")</f>
        <v/>
      </c>
      <c r="U114" s="197" t="str">
        <f>IF(AND('Mapa final'!$AB$69="Media",'Mapa final'!$AD$69="Mayor"),CONCATENATE("R20C",'Mapa final'!$R$69),"")</f>
        <v/>
      </c>
      <c r="V114" s="158" t="str">
        <f>IF(AND('Mapa final'!$AB$67="Media",'Mapa final'!$AD$67="Catastrófico"),CONCATENATE("R20",'Mapa final'!$R$67),"")</f>
        <v/>
      </c>
      <c r="W114" s="189" t="str">
        <f>IF(AND('Mapa final'!$AB$68="Media",'Mapa final'!$AD$68="Catastrófico"),CONCATENATE("R20C",'Mapa final'!$R$68),"")</f>
        <v/>
      </c>
      <c r="X114" s="159" t="str">
        <f>IF(AND('Mapa final'!$AB$69="Media",'Mapa final'!$AD$69="Catastrófico"),CONCATENATE("R20C",'Mapa final'!$R$69),"")</f>
        <v/>
      </c>
      <c r="Y114" s="38"/>
      <c r="Z114" s="308"/>
      <c r="AA114" s="309"/>
      <c r="AB114" s="309"/>
      <c r="AC114" s="309"/>
      <c r="AD114" s="309"/>
      <c r="AE114" s="310"/>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row>
    <row r="115" spans="1:61" ht="15" customHeight="1" x14ac:dyDescent="0.25">
      <c r="A115" s="38"/>
      <c r="B115" s="291"/>
      <c r="C115" s="292"/>
      <c r="D115" s="293"/>
      <c r="E115" s="275"/>
      <c r="F115" s="274"/>
      <c r="G115" s="274"/>
      <c r="H115" s="274"/>
      <c r="I115" s="274"/>
      <c r="J115" s="163" t="str">
        <f>IF(AND('Mapa final'!$AB$70="Media",'Mapa final'!$AD$70="Leve"),CONCATENATE("R21C",'Mapa final'!$R$70),"")</f>
        <v/>
      </c>
      <c r="K115" s="190" t="str">
        <f>IF(AND('Mapa final'!$AB$71="Media",'Mapa final'!$AD$71="Leve"),CONCATENATE("R21C",'Mapa final'!$R$71),"")</f>
        <v/>
      </c>
      <c r="L115" s="164" t="str">
        <f>IF(AND('Mapa final'!$AB$72="Media",'Mapa final'!$AD$72="Leve"),CONCATENATE("R21C",'Mapa final'!$R$72),"")</f>
        <v/>
      </c>
      <c r="M115" s="163" t="str">
        <f>IF(AND('Mapa final'!$AB$70="Media",'Mapa final'!$AD$70="Menor"),CONCATENATE("R21C",'Mapa final'!$R$70),"")</f>
        <v/>
      </c>
      <c r="N115" s="190" t="str">
        <f>IF(AND('Mapa final'!$AB$71="Media",'Mapa final'!$AD$71="Menor"),CONCATENATE("R21C",'Mapa final'!$R$71),"")</f>
        <v/>
      </c>
      <c r="O115" s="164" t="str">
        <f>IF(AND('Mapa final'!$AB$72="Media",'Mapa final'!$AD$72="Menor"),CONCATENATE("R21C",'Mapa final'!$R$72),"")</f>
        <v/>
      </c>
      <c r="P115" s="163" t="str">
        <f>IF(AND('Mapa final'!$AB$70="Media",'Mapa final'!$AD$70="Moderado"),CONCATENATE("R21C",'Mapa final'!$R$70),"")</f>
        <v>R21C1</v>
      </c>
      <c r="Q115" s="190" t="str">
        <f>IF(AND('Mapa final'!$AB$71="Media",'Mapa final'!$AD$71="Moderado"),CONCATENATE("R21C",'Mapa final'!$R$71),"")</f>
        <v/>
      </c>
      <c r="R115" s="164" t="str">
        <f>IF(AND('Mapa final'!$AB$72="Media",'Mapa final'!$AD$72="Moderado"),CONCATENATE("R21C",'Mapa final'!$R$72),"")</f>
        <v/>
      </c>
      <c r="S115" s="195" t="str">
        <f>IF(AND('Mapa final'!$AB$70="Media",'Mapa final'!$AD$70="Mayor"),CONCATENATE("R21C",'Mapa final'!$R$70),"")</f>
        <v/>
      </c>
      <c r="T115" s="196" t="str">
        <f>IF(AND('Mapa final'!$AB$71="Media",'Mapa final'!$AD$71="Mayor"),CONCATENATE("R21C",'Mapa final'!$R$71),"")</f>
        <v/>
      </c>
      <c r="U115" s="197" t="str">
        <f>IF(AND('Mapa final'!$AB$72="Media",'Mapa final'!$AD$72="Mayor"),CONCATENATE("R21C",'Mapa final'!$R$72),"")</f>
        <v/>
      </c>
      <c r="V115" s="158" t="str">
        <f>IF(AND('Mapa final'!$AB$70="Media",'Mapa final'!$AD$70="Catastrófico"),CONCATENATE("R21C",'Mapa final'!$R$70),"")</f>
        <v/>
      </c>
      <c r="W115" s="189" t="str">
        <f>IF(AND('Mapa final'!$AB$71="Media",'Mapa final'!$AD$71="Catastrófico"),CONCATENATE("R21C",'Mapa final'!$R$71),"")</f>
        <v/>
      </c>
      <c r="X115" s="159" t="str">
        <f>IF(AND('Mapa final'!$AB$72="Media",'Mapa final'!$AD$72="Catastrófico"),CONCATENATE("R21C",'Mapa final'!$R$72),"")</f>
        <v/>
      </c>
      <c r="Y115" s="38"/>
      <c r="Z115" s="308"/>
      <c r="AA115" s="309"/>
      <c r="AB115" s="309"/>
      <c r="AC115" s="309"/>
      <c r="AD115" s="309"/>
      <c r="AE115" s="310"/>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row>
    <row r="116" spans="1:61" ht="15" customHeight="1" x14ac:dyDescent="0.25">
      <c r="A116" s="38"/>
      <c r="B116" s="291"/>
      <c r="C116" s="292"/>
      <c r="D116" s="293"/>
      <c r="E116" s="275"/>
      <c r="F116" s="274"/>
      <c r="G116" s="274"/>
      <c r="H116" s="274"/>
      <c r="I116" s="274"/>
      <c r="J116" s="163" t="str">
        <f>IF(AND('Mapa final'!$AB$73="Media",'Mapa final'!$AD$73="Leve"),CONCATENATE("R22C",'Mapa final'!$R$73),"")</f>
        <v/>
      </c>
      <c r="K116" s="190" t="str">
        <f>IF(AND('Mapa final'!$AB$74="Media",'Mapa final'!$AD$74="Leve"),CONCATENATE("R22C",'Mapa final'!$R$74),"")</f>
        <v/>
      </c>
      <c r="L116" s="164" t="str">
        <f>IF(AND('Mapa final'!$AB$75="Media",'Mapa final'!$AD$75="Leve"),CONCATENATE("R2C",'Mapa final'!$R$75),"")</f>
        <v/>
      </c>
      <c r="M116" s="163" t="str">
        <f>IF(AND('Mapa final'!$AB$73="Media",'Mapa final'!$AD$73="Menor"),CONCATENATE("R22C",'Mapa final'!$R$73),"")</f>
        <v/>
      </c>
      <c r="N116" s="190" t="str">
        <f>IF(AND('Mapa final'!$AB$74="Media",'Mapa final'!$AD$74="Menor"),CONCATENATE("R22C",'Mapa final'!$R$74),"")</f>
        <v/>
      </c>
      <c r="O116" s="164" t="str">
        <f>IF(AND('Mapa final'!$AB$75="Media",'Mapa final'!$AD$75="Menor"),CONCATENATE("R2C",'Mapa final'!$R$75),"")</f>
        <v/>
      </c>
      <c r="P116" s="163" t="str">
        <f>IF(AND('Mapa final'!$AB$73="Media",'Mapa final'!$AD$73="Moderado"),CONCATENATE("R22C",'Mapa final'!$R$73),"")</f>
        <v/>
      </c>
      <c r="Q116" s="190" t="str">
        <f>IF(AND('Mapa final'!$AB$74="Media",'Mapa final'!$AD$74="Moderado"),CONCATENATE("R22C",'Mapa final'!$R$74),"")</f>
        <v/>
      </c>
      <c r="R116" s="164" t="str">
        <f>IF(AND('Mapa final'!$AB$75="Media",'Mapa final'!$AD$75="Moderado"),CONCATENATE("R2C",'Mapa final'!$R$75),"")</f>
        <v/>
      </c>
      <c r="S116" s="195" t="str">
        <f>IF(AND('Mapa final'!$AB$73="Media",'Mapa final'!$AD$73="Mayor"),CONCATENATE("R22C",'Mapa final'!$R$73),"")</f>
        <v/>
      </c>
      <c r="T116" s="196" t="str">
        <f>IF(AND('Mapa final'!$AB$74="Media",'Mapa final'!$AD$74="Mayor"),CONCATENATE("R22C",'Mapa final'!$R$74),"")</f>
        <v/>
      </c>
      <c r="U116" s="197" t="str">
        <f>IF(AND('Mapa final'!$AB$75="Media",'Mapa final'!$AD$75="Mayor"),CONCATENATE("R2C",'Mapa final'!$R$75),"")</f>
        <v/>
      </c>
      <c r="V116" s="158" t="str">
        <f>IF(AND('Mapa final'!$AB$73="Media",'Mapa final'!$AD$73="Catastrófico"),CONCATENATE("R22C",'Mapa final'!$R$73),"")</f>
        <v/>
      </c>
      <c r="W116" s="189" t="str">
        <f>IF(AND('Mapa final'!$AB$74="Media",'Mapa final'!$AD$74="Catastrófico"),CONCATENATE("R22C",'Mapa final'!$R$74),"")</f>
        <v/>
      </c>
      <c r="X116" s="159" t="str">
        <f>IF(AND('Mapa final'!$AB$75="Media",'Mapa final'!$AD$75="Catastrófico"),CONCATENATE("R2C",'Mapa final'!$R$75),"")</f>
        <v/>
      </c>
      <c r="Y116" s="38"/>
      <c r="Z116" s="308"/>
      <c r="AA116" s="309"/>
      <c r="AB116" s="309"/>
      <c r="AC116" s="309"/>
      <c r="AD116" s="309"/>
      <c r="AE116" s="310"/>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row>
    <row r="117" spans="1:61" ht="15" customHeight="1" x14ac:dyDescent="0.25">
      <c r="A117" s="38"/>
      <c r="B117" s="291"/>
      <c r="C117" s="292"/>
      <c r="D117" s="293"/>
      <c r="E117" s="275"/>
      <c r="F117" s="274"/>
      <c r="G117" s="274"/>
      <c r="H117" s="274"/>
      <c r="I117" s="274"/>
      <c r="J117" s="163" t="str">
        <f>IF(AND('Mapa final'!$AB$76="Media",'Mapa final'!$AD$76="Leve"),CONCATENATE("R23C",'Mapa final'!$R$76),"")</f>
        <v/>
      </c>
      <c r="K117" s="190" t="str">
        <f>IF(AND('Mapa final'!$AB$77="Media",'Mapa final'!$AD$77="Leve"),CONCATENATE("R23C",'Mapa final'!$R$77),"")</f>
        <v/>
      </c>
      <c r="L117" s="164" t="str">
        <f>IF(AND('Mapa final'!$AB$78="Media",'Mapa final'!$AD$78="Leve"),CONCATENATE("R23C",'Mapa final'!$R$78),"")</f>
        <v/>
      </c>
      <c r="M117" s="163" t="str">
        <f>IF(AND('Mapa final'!$AB$76="Media",'Mapa final'!$AD$76="Menor"),CONCATENATE("R23C",'Mapa final'!$R$76),"")</f>
        <v/>
      </c>
      <c r="N117" s="190" t="str">
        <f>IF(AND('Mapa final'!$AB$77="Media",'Mapa final'!$AD$77="Menor"),CONCATENATE("R23C",'Mapa final'!$R$77),"")</f>
        <v/>
      </c>
      <c r="O117" s="164" t="str">
        <f>IF(AND('Mapa final'!$AB$78="Media",'Mapa final'!$AD$78="Menor"),CONCATENATE("R23C",'Mapa final'!$R$78),"")</f>
        <v/>
      </c>
      <c r="P117" s="163" t="str">
        <f>IF(AND('Mapa final'!$AB$76="Media",'Mapa final'!$AD$76="Moderado"),CONCATENATE("R23C",'Mapa final'!$R$76),"")</f>
        <v/>
      </c>
      <c r="Q117" s="190" t="str">
        <f>IF(AND('Mapa final'!$AB$77="Media",'Mapa final'!$AD$77="Moderado"),CONCATENATE("R23C",'Mapa final'!$R$77),"")</f>
        <v/>
      </c>
      <c r="R117" s="164" t="str">
        <f>IF(AND('Mapa final'!$AB$78="Media",'Mapa final'!$AD$78="Moderado"),CONCATENATE("R23C",'Mapa final'!$R$78),"")</f>
        <v/>
      </c>
      <c r="S117" s="195" t="str">
        <f>IF(AND('Mapa final'!$AB$76="Media",'Mapa final'!$AD$76="Mayor"),CONCATENATE("R23C",'Mapa final'!$R$76),"")</f>
        <v/>
      </c>
      <c r="T117" s="196" t="str">
        <f>IF(AND('Mapa final'!$AB$77="Media",'Mapa final'!$AD$77="Mayor"),CONCATENATE("R23C",'Mapa final'!$R$77),"")</f>
        <v/>
      </c>
      <c r="U117" s="197" t="str">
        <f>IF(AND('Mapa final'!$AB$78="Media",'Mapa final'!$AD$78="Mayor"),CONCATENATE("R23C",'Mapa final'!$R$78),"")</f>
        <v/>
      </c>
      <c r="V117" s="158" t="str">
        <f>IF(AND('Mapa final'!$AB$76="Media",'Mapa final'!$AD$76="Catastrófico"),CONCATENATE("R23C",'Mapa final'!$R$76),"")</f>
        <v/>
      </c>
      <c r="W117" s="189" t="str">
        <f>IF(AND('Mapa final'!$AB$77="Media",'Mapa final'!$AD$77="Catastrófico"),CONCATENATE("R23C",'Mapa final'!$R$77),"")</f>
        <v/>
      </c>
      <c r="X117" s="159" t="str">
        <f>IF(AND('Mapa final'!$AB$78="Media",'Mapa final'!$AD$78="Catastrófico"),CONCATENATE("R23C",'Mapa final'!$R$78),"")</f>
        <v/>
      </c>
      <c r="Y117" s="38"/>
      <c r="Z117" s="308"/>
      <c r="AA117" s="309"/>
      <c r="AB117" s="309"/>
      <c r="AC117" s="309"/>
      <c r="AD117" s="309"/>
      <c r="AE117" s="310"/>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row>
    <row r="118" spans="1:61" ht="15" customHeight="1" x14ac:dyDescent="0.25">
      <c r="A118" s="38"/>
      <c r="B118" s="291"/>
      <c r="C118" s="292"/>
      <c r="D118" s="293"/>
      <c r="E118" s="275"/>
      <c r="F118" s="274"/>
      <c r="G118" s="274"/>
      <c r="H118" s="274"/>
      <c r="I118" s="274"/>
      <c r="J118" s="163" t="str">
        <f>IF(AND('Mapa final'!$AB$79="Media",'Mapa final'!$AD$79="Leve"),CONCATENATE("R24C",'Mapa final'!$R$79),"")</f>
        <v/>
      </c>
      <c r="K118" s="190" t="str">
        <f>IF(AND('Mapa final'!$AB$80="Media",'Mapa final'!$AD$80="Leve"),CONCATENATE("R24C",'Mapa final'!$R$80),"")</f>
        <v/>
      </c>
      <c r="L118" s="164" t="str">
        <f>IF(AND('Mapa final'!$AB$81="Media",'Mapa final'!$AD$81="Leve"),CONCATENATE("R24C",'Mapa final'!$R$81),"")</f>
        <v/>
      </c>
      <c r="M118" s="163" t="str">
        <f>IF(AND('Mapa final'!$AB$79="Media",'Mapa final'!$AD$79="Menor"),CONCATENATE("R24C",'Mapa final'!$R$79),"")</f>
        <v/>
      </c>
      <c r="N118" s="190" t="str">
        <f>IF(AND('Mapa final'!$AB$80="Media",'Mapa final'!$AD$80="Menor"),CONCATENATE("R24C",'Mapa final'!$R$80),"")</f>
        <v/>
      </c>
      <c r="O118" s="164" t="str">
        <f>IF(AND('Mapa final'!$AB$81="Media",'Mapa final'!$AD$81="Menor"),CONCATENATE("R24C",'Mapa final'!$R$81),"")</f>
        <v/>
      </c>
      <c r="P118" s="163" t="str">
        <f>IF(AND('Mapa final'!$AB$79="Media",'Mapa final'!$AD$79="Moderado"),CONCATENATE("R24C",'Mapa final'!$R$79),"")</f>
        <v/>
      </c>
      <c r="Q118" s="190" t="str">
        <f>IF(AND('Mapa final'!$AB$80="Media",'Mapa final'!$AD$80="Moderado"),CONCATENATE("R24C",'Mapa final'!$R$80),"")</f>
        <v/>
      </c>
      <c r="R118" s="164" t="str">
        <f>IF(AND('Mapa final'!$AB$81="Media",'Mapa final'!$AD$81="Moderado"),CONCATENATE("R24C",'Mapa final'!$R$81),"")</f>
        <v/>
      </c>
      <c r="S118" s="195" t="str">
        <f>IF(AND('Mapa final'!$AB$79="Media",'Mapa final'!$AD$79="Mayor"),CONCATENATE("R24C",'Mapa final'!$R$79),"")</f>
        <v/>
      </c>
      <c r="T118" s="196" t="str">
        <f>IF(AND('Mapa final'!$AB$80="Media",'Mapa final'!$AD$80="Mayor"),CONCATENATE("R24C",'Mapa final'!$R$80),"")</f>
        <v/>
      </c>
      <c r="U118" s="197" t="str">
        <f>IF(AND('Mapa final'!$AB$81="Media",'Mapa final'!$AD$81="Mayor"),CONCATENATE("R24C",'Mapa final'!$R$81),"")</f>
        <v/>
      </c>
      <c r="V118" s="158" t="str">
        <f>IF(AND('Mapa final'!$AB$79="Media",'Mapa final'!$AD$79="Catastrófico"),CONCATENATE("R24C",'Mapa final'!$R$79),"")</f>
        <v/>
      </c>
      <c r="W118" s="189" t="str">
        <f>IF(AND('Mapa final'!$AB$80="Media",'Mapa final'!$AD$80="Catastrófico"),CONCATENATE("R24C",'Mapa final'!$R$80),"")</f>
        <v/>
      </c>
      <c r="X118" s="159" t="str">
        <f>IF(AND('Mapa final'!$AB$81="Media",'Mapa final'!$AD$81="Catastrófico"),CONCATENATE("R24C",'Mapa final'!$R$81),"")</f>
        <v/>
      </c>
      <c r="Y118" s="38"/>
      <c r="Z118" s="308"/>
      <c r="AA118" s="309"/>
      <c r="AB118" s="309"/>
      <c r="AC118" s="309"/>
      <c r="AD118" s="309"/>
      <c r="AE118" s="310"/>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row>
    <row r="119" spans="1:61" ht="15" customHeight="1" x14ac:dyDescent="0.25">
      <c r="A119" s="38"/>
      <c r="B119" s="291"/>
      <c r="C119" s="292"/>
      <c r="D119" s="293"/>
      <c r="E119" s="275"/>
      <c r="F119" s="274"/>
      <c r="G119" s="274"/>
      <c r="H119" s="274"/>
      <c r="I119" s="274"/>
      <c r="J119" s="163" t="str">
        <f>IF(AND('Mapa final'!$AB$82="Media",'Mapa final'!$AD$82="Leve"),CONCATENATE("R25C",'Mapa final'!$R$82),"")</f>
        <v/>
      </c>
      <c r="K119" s="190" t="str">
        <f>IF(AND('Mapa final'!$AB$83="Media",'Mapa final'!$AD$83="Leve"),CONCATENATE("R25C",'Mapa final'!$R$83),"")</f>
        <v/>
      </c>
      <c r="L119" s="164" t="str">
        <f>IF(AND('Mapa final'!$AB$84="Media",'Mapa final'!$AD$84="Leve"),CONCATENATE("R25C",'Mapa final'!$R$84),"")</f>
        <v/>
      </c>
      <c r="M119" s="163" t="str">
        <f>IF(AND('Mapa final'!$AB$82="Media",'Mapa final'!$AD$82="Menor"),CONCATENATE("R25C",'Mapa final'!$R$82),"")</f>
        <v/>
      </c>
      <c r="N119" s="190" t="str">
        <f>IF(AND('Mapa final'!$AB$83="Media",'Mapa final'!$AD$83="Menor"),CONCATENATE("R25C",'Mapa final'!$R$83),"")</f>
        <v/>
      </c>
      <c r="O119" s="164" t="str">
        <f>IF(AND('Mapa final'!$AB$84="Media",'Mapa final'!$AD$84="Menor"),CONCATENATE("R25C",'Mapa final'!$R$84),"")</f>
        <v/>
      </c>
      <c r="P119" s="163" t="str">
        <f>IF(AND('Mapa final'!$AB$82="Media",'Mapa final'!$AD$82="Moderado"),CONCATENATE("R25C",'Mapa final'!$R$82),"")</f>
        <v>R25C1</v>
      </c>
      <c r="Q119" s="190" t="str">
        <f>IF(AND('Mapa final'!$AB$83="Media",'Mapa final'!$AD$83="Moderado"),CONCATENATE("R25C",'Mapa final'!$R$83),"")</f>
        <v/>
      </c>
      <c r="R119" s="164" t="str">
        <f>IF(AND('Mapa final'!$AB$84="Media",'Mapa final'!$AD$84="Moderado"),CONCATENATE("R25C",'Mapa final'!$R$84),"")</f>
        <v/>
      </c>
      <c r="S119" s="195" t="str">
        <f>IF(AND('Mapa final'!$AB$82="Media",'Mapa final'!$AD$82="Mayor"),CONCATENATE("R25C",'Mapa final'!$R$82),"")</f>
        <v/>
      </c>
      <c r="T119" s="196" t="str">
        <f>IF(AND('Mapa final'!$AB$83="Media",'Mapa final'!$AD$83="Mayor"),CONCATENATE("R25C",'Mapa final'!$R$83),"")</f>
        <v/>
      </c>
      <c r="U119" s="197" t="str">
        <f>IF(AND('Mapa final'!$AB$84="Media",'Mapa final'!$AD$84="Mayor"),CONCATENATE("R25C",'Mapa final'!$R$84),"")</f>
        <v/>
      </c>
      <c r="V119" s="158" t="str">
        <f>IF(AND('Mapa final'!$AB$82="Media",'Mapa final'!$AD$82="Catastrófico"),CONCATENATE("R25C",'Mapa final'!$R$82),"")</f>
        <v/>
      </c>
      <c r="W119" s="189" t="str">
        <f>IF(AND('Mapa final'!$AB$83="Media",'Mapa final'!$AD$83="Catastrófico"),CONCATENATE("R25C",'Mapa final'!$R$83),"")</f>
        <v/>
      </c>
      <c r="X119" s="159" t="str">
        <f>IF(AND('Mapa final'!$AB$84="Media",'Mapa final'!$AD$84="Catastrófico"),CONCATENATE("R25C",'Mapa final'!$R$84),"")</f>
        <v/>
      </c>
      <c r="Y119" s="38"/>
      <c r="Z119" s="308"/>
      <c r="AA119" s="309"/>
      <c r="AB119" s="309"/>
      <c r="AC119" s="309"/>
      <c r="AD119" s="309"/>
      <c r="AE119" s="310"/>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row>
    <row r="120" spans="1:61" ht="15" customHeight="1" x14ac:dyDescent="0.25">
      <c r="A120" s="38"/>
      <c r="B120" s="291"/>
      <c r="C120" s="292"/>
      <c r="D120" s="293"/>
      <c r="E120" s="275"/>
      <c r="F120" s="274"/>
      <c r="G120" s="274"/>
      <c r="H120" s="274"/>
      <c r="I120" s="274"/>
      <c r="J120" s="163" t="str">
        <f>IF(AND('Mapa final'!$AB$85="Media",'Mapa final'!$AD$85="Leve"),CONCATENATE("R26C",'Mapa final'!$R$85),"")</f>
        <v/>
      </c>
      <c r="K120" s="190" t="str">
        <f>IF(AND('Mapa final'!$AB$86="Media",'Mapa final'!$AD$86="Leve"),CONCATENATE("R26C",'Mapa final'!$R$86),"")</f>
        <v/>
      </c>
      <c r="L120" s="164" t="str">
        <f>IF(AND('Mapa final'!$AB$87="Media",'Mapa final'!$AD$87="Leve"),CONCATENATE("R26C",'Mapa final'!$R$87),"")</f>
        <v/>
      </c>
      <c r="M120" s="163" t="str">
        <f>IF(AND('Mapa final'!$AB$85="Media",'Mapa final'!$AD$85="Menor"),CONCATENATE("R26C",'Mapa final'!$R$85),"")</f>
        <v/>
      </c>
      <c r="N120" s="190" t="str">
        <f>IF(AND('Mapa final'!$AB$86="Media",'Mapa final'!$AD$86="Menor"),CONCATENATE("R26C",'Mapa final'!$R$86),"")</f>
        <v/>
      </c>
      <c r="O120" s="164" t="str">
        <f>IF(AND('Mapa final'!$AB$87="Media",'Mapa final'!$AD$87="Menor"),CONCATENATE("R26C",'Mapa final'!$R$87),"")</f>
        <v/>
      </c>
      <c r="P120" s="163" t="str">
        <f>IF(AND('Mapa final'!$AB$85="Media",'Mapa final'!$AD$85="Moderado"),CONCATENATE("R26C",'Mapa final'!$R$85),"")</f>
        <v/>
      </c>
      <c r="Q120" s="190" t="str">
        <f>IF(AND('Mapa final'!$AB$86="Media",'Mapa final'!$AD$86="Moderado"),CONCATENATE("R26C",'Mapa final'!$R$86),"")</f>
        <v/>
      </c>
      <c r="R120" s="164" t="str">
        <f>IF(AND('Mapa final'!$AB$87="Media",'Mapa final'!$AD$87="Moderado"),CONCATENATE("R26C",'Mapa final'!$R$87),"")</f>
        <v/>
      </c>
      <c r="S120" s="195" t="str">
        <f>IF(AND('Mapa final'!$AB$85="Media",'Mapa final'!$AD$85="Mayor"),CONCATENATE("R26C",'Mapa final'!$R$85),"")</f>
        <v/>
      </c>
      <c r="T120" s="196" t="str">
        <f>IF(AND('Mapa final'!$AB$86="Media",'Mapa final'!$AD$86="Mayor"),CONCATENATE("R26C",'Mapa final'!$R$86),"")</f>
        <v/>
      </c>
      <c r="U120" s="197" t="str">
        <f>IF(AND('Mapa final'!$AB$87="Media",'Mapa final'!$AD$87="Mayor"),CONCATENATE("R26C",'Mapa final'!$R$87),"")</f>
        <v/>
      </c>
      <c r="V120" s="158" t="str">
        <f>IF(AND('Mapa final'!$AB$85="Media",'Mapa final'!$AD$85="Catastrófico"),CONCATENATE("R26C",'Mapa final'!$R$85),"")</f>
        <v/>
      </c>
      <c r="W120" s="189" t="str">
        <f>IF(AND('Mapa final'!$AB$86="Media",'Mapa final'!$AD$86="Catastrófico"),CONCATENATE("R26C",'Mapa final'!$R$86),"")</f>
        <v/>
      </c>
      <c r="X120" s="159" t="str">
        <f>IF(AND('Mapa final'!$AB$87="Media",'Mapa final'!$AD$87="Catastrófico"),CONCATENATE("R26C",'Mapa final'!$R$87),"")</f>
        <v/>
      </c>
      <c r="Y120" s="38"/>
      <c r="Z120" s="308"/>
      <c r="AA120" s="309"/>
      <c r="AB120" s="309"/>
      <c r="AC120" s="309"/>
      <c r="AD120" s="309"/>
      <c r="AE120" s="310"/>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row>
    <row r="121" spans="1:61" ht="15" customHeight="1" x14ac:dyDescent="0.25">
      <c r="A121" s="38"/>
      <c r="B121" s="291"/>
      <c r="C121" s="292"/>
      <c r="D121" s="293"/>
      <c r="E121" s="275"/>
      <c r="F121" s="274"/>
      <c r="G121" s="274"/>
      <c r="H121" s="274"/>
      <c r="I121" s="274"/>
      <c r="J121" s="163" t="str">
        <f>IF(AND('Mapa final'!$AB$88="Media",'Mapa final'!$AD$88="Leve"),CONCATENATE("R27C",'Mapa final'!$R$88),"")</f>
        <v/>
      </c>
      <c r="K121" s="190" t="str">
        <f>IF(AND('Mapa final'!$AB$89="Media",'Mapa final'!$AD$89="Leve"),CONCATENATE("R27C",'Mapa final'!$R$89),"")</f>
        <v/>
      </c>
      <c r="L121" s="164" t="str">
        <f>IF(AND('Mapa final'!$AB$90="Media",'Mapa final'!$AD$90="Leve"),CONCATENATE("R27C",'Mapa final'!$R$90),"")</f>
        <v/>
      </c>
      <c r="M121" s="163" t="str">
        <f>IF(AND('Mapa final'!$AB$88="Media",'Mapa final'!$AD$88="Menor"),CONCATENATE("R27C",'Mapa final'!$R$88),"")</f>
        <v/>
      </c>
      <c r="N121" s="190" t="str">
        <f>IF(AND('Mapa final'!$AB$89="Media",'Mapa final'!$AD$89="Menor"),CONCATENATE("R27C",'Mapa final'!$R$89),"")</f>
        <v/>
      </c>
      <c r="O121" s="164" t="str">
        <f>IF(AND('Mapa final'!$AB$90="Media",'Mapa final'!$AD$90="Menor"),CONCATENATE("R27C",'Mapa final'!$R$90),"")</f>
        <v/>
      </c>
      <c r="P121" s="163" t="str">
        <f>IF(AND('Mapa final'!$AB$88="Media",'Mapa final'!$AD$88="Moderado"),CONCATENATE("R27C",'Mapa final'!$R$88),"")</f>
        <v/>
      </c>
      <c r="Q121" s="190" t="str">
        <f>IF(AND('Mapa final'!$AB$89="Media",'Mapa final'!$AD$89="Moderado"),CONCATENATE("R27C",'Mapa final'!$R$89),"")</f>
        <v/>
      </c>
      <c r="R121" s="164" t="str">
        <f>IF(AND('Mapa final'!$AB$90="Media",'Mapa final'!$AD$90="Moderado"),CONCATENATE("R27C",'Mapa final'!$R$90),"")</f>
        <v/>
      </c>
      <c r="S121" s="195" t="str">
        <f>IF(AND('Mapa final'!$AB$88="Media",'Mapa final'!$AD$88="Mayor"),CONCATENATE("R27C",'Mapa final'!$R$88),"")</f>
        <v>R27C1</v>
      </c>
      <c r="T121" s="196" t="str">
        <f>IF(AND('Mapa final'!$AB$89="Media",'Mapa final'!$AD$89="Mayor"),CONCATENATE("R27C",'Mapa final'!$R$89),"")</f>
        <v/>
      </c>
      <c r="U121" s="197" t="str">
        <f>IF(AND('Mapa final'!$AB$90="Media",'Mapa final'!$AD$90="Mayor"),CONCATENATE("R27C",'Mapa final'!$R$90),"")</f>
        <v/>
      </c>
      <c r="V121" s="158" t="str">
        <f>IF(AND('Mapa final'!$AB$88="Media",'Mapa final'!$AD$88="Catastrófico"),CONCATENATE("R27C",'Mapa final'!$R$88),"")</f>
        <v/>
      </c>
      <c r="W121" s="189" t="str">
        <f>IF(AND('Mapa final'!$AB$89="Media",'Mapa final'!$AD$89="Catastrófico"),CONCATENATE("R27C",'Mapa final'!$R$89),"")</f>
        <v/>
      </c>
      <c r="X121" s="159" t="str">
        <f>IF(AND('Mapa final'!$AB$90="Media",'Mapa final'!$AD$90="Catastrófico"),CONCATENATE("R27C",'Mapa final'!$R$90),"")</f>
        <v/>
      </c>
      <c r="Y121" s="38"/>
      <c r="Z121" s="308"/>
      <c r="AA121" s="309"/>
      <c r="AB121" s="309"/>
      <c r="AC121" s="309"/>
      <c r="AD121" s="309"/>
      <c r="AE121" s="310"/>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row>
    <row r="122" spans="1:61" ht="15" customHeight="1" x14ac:dyDescent="0.25">
      <c r="A122" s="38"/>
      <c r="B122" s="291"/>
      <c r="C122" s="292"/>
      <c r="D122" s="293"/>
      <c r="E122" s="275"/>
      <c r="F122" s="274"/>
      <c r="G122" s="274"/>
      <c r="H122" s="274"/>
      <c r="I122" s="274"/>
      <c r="J122" s="163" t="str">
        <f>IF(AND('Mapa final'!$AB$91="Media",'Mapa final'!$AD$91="Leve"),CONCATENATE("R28C",'Mapa final'!$R$91),"")</f>
        <v/>
      </c>
      <c r="K122" s="190" t="str">
        <f>IF(AND('Mapa final'!$AB$92="Media",'Mapa final'!$AD$92="Leve"),CONCATENATE("R28C",'Mapa final'!$R$92),"")</f>
        <v/>
      </c>
      <c r="L122" s="164" t="str">
        <f>IF(AND('Mapa final'!$AB$93="Media",'Mapa final'!$AD$93="Leve"),CONCATENATE("R28C",'Mapa final'!$R$93),"")</f>
        <v/>
      </c>
      <c r="M122" s="163" t="str">
        <f>IF(AND('Mapa final'!$AB$91="Media",'Mapa final'!$AD$91="Menor"),CONCATENATE("R28C",'Mapa final'!$R$91),"")</f>
        <v/>
      </c>
      <c r="N122" s="190" t="str">
        <f>IF(AND('Mapa final'!$AB$92="Media",'Mapa final'!$AD$92="Menor"),CONCATENATE("R28C",'Mapa final'!$R$92),"")</f>
        <v/>
      </c>
      <c r="O122" s="164" t="str">
        <f>IF(AND('Mapa final'!$AB$93="Media",'Mapa final'!$AD$93="Menor"),CONCATENATE("R28C",'Mapa final'!$R$93),"")</f>
        <v/>
      </c>
      <c r="P122" s="163" t="str">
        <f>IF(AND('Mapa final'!$AB$91="Media",'Mapa final'!$AD$91="Moderado"),CONCATENATE("R28C",'Mapa final'!$R$91),"")</f>
        <v/>
      </c>
      <c r="Q122" s="190" t="str">
        <f>IF(AND('Mapa final'!$AB$92="Media",'Mapa final'!$AD$92="Moderado"),CONCATENATE("R28C",'Mapa final'!$R$92),"")</f>
        <v/>
      </c>
      <c r="R122" s="164" t="str">
        <f>IF(AND('Mapa final'!$AB$93="Media",'Mapa final'!$AD$93="Moderado"),CONCATENATE("R28C",'Mapa final'!$R$93),"")</f>
        <v/>
      </c>
      <c r="S122" s="195" t="str">
        <f>IF(AND('Mapa final'!$AB$91="Media",'Mapa final'!$AD$91="Mayor"),CONCATENATE("R28C",'Mapa final'!$R$91),"")</f>
        <v/>
      </c>
      <c r="T122" s="196" t="str">
        <f>IF(AND('Mapa final'!$AB$92="Media",'Mapa final'!$AD$92="Mayor"),CONCATENATE("R28C",'Mapa final'!$R$92),"")</f>
        <v/>
      </c>
      <c r="U122" s="197" t="str">
        <f>IF(AND('Mapa final'!$AB$93="Media",'Mapa final'!$AD$93="Mayor"),CONCATENATE("R28C",'Mapa final'!$R$93),"")</f>
        <v/>
      </c>
      <c r="V122" s="158" t="str">
        <f>IF(AND('Mapa final'!$AB$91="Media",'Mapa final'!$AD$91="Catastrófico"),CONCATENATE("R28C",'Mapa final'!$R$91),"")</f>
        <v/>
      </c>
      <c r="W122" s="189" t="str">
        <f>IF(AND('Mapa final'!$AB$92="Media",'Mapa final'!$AD$92="Catastrófico"),CONCATENATE("R28C",'Mapa final'!$R$92),"")</f>
        <v/>
      </c>
      <c r="X122" s="159" t="str">
        <f>IF(AND('Mapa final'!$AB$93="Media",'Mapa final'!$AD$93="Catastrófico"),CONCATENATE("R28C",'Mapa final'!$R$93),"")</f>
        <v/>
      </c>
      <c r="Y122" s="38"/>
      <c r="Z122" s="308"/>
      <c r="AA122" s="309"/>
      <c r="AB122" s="309"/>
      <c r="AC122" s="309"/>
      <c r="AD122" s="309"/>
      <c r="AE122" s="310"/>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row>
    <row r="123" spans="1:61" ht="15" customHeight="1" x14ac:dyDescent="0.25">
      <c r="A123" s="38"/>
      <c r="B123" s="291"/>
      <c r="C123" s="292"/>
      <c r="D123" s="293"/>
      <c r="E123" s="275"/>
      <c r="F123" s="274"/>
      <c r="G123" s="274"/>
      <c r="H123" s="274"/>
      <c r="I123" s="274"/>
      <c r="J123" s="163" t="str">
        <f>IF(AND('Mapa final'!$AB$94="Media",'Mapa final'!$AD$94="Leve"),CONCATENATE("R29C",'Mapa final'!$R$94),"")</f>
        <v/>
      </c>
      <c r="K123" s="190" t="str">
        <f>IF(AND('Mapa final'!$AB$95="Media",'Mapa final'!$AD$95="Leve"),CONCATENATE("R29C",'Mapa final'!$R$95),"")</f>
        <v/>
      </c>
      <c r="L123" s="164" t="str">
        <f>IF(AND('Mapa final'!$AB$96="Media",'Mapa final'!$AD$96="Leve"),CONCATENATE("R29C",'Mapa final'!$R$96),"")</f>
        <v/>
      </c>
      <c r="M123" s="163" t="str">
        <f>IF(AND('Mapa final'!$AB$94="Media",'Mapa final'!$AD$94="Menor"),CONCATENATE("R29C",'Mapa final'!$R$94),"")</f>
        <v/>
      </c>
      <c r="N123" s="190" t="str">
        <f>IF(AND('Mapa final'!$AB$95="Media",'Mapa final'!$AD$95="Menor"),CONCATENATE("R29C",'Mapa final'!$R$95),"")</f>
        <v/>
      </c>
      <c r="O123" s="164" t="str">
        <f>IF(AND('Mapa final'!$AB$96="Media",'Mapa final'!$AD$96="Menor"),CONCATENATE("R29C",'Mapa final'!$R$96),"")</f>
        <v/>
      </c>
      <c r="P123" s="163" t="str">
        <f>IF(AND('Mapa final'!$AB$94="Media",'Mapa final'!$AD$94="Moderado"),CONCATENATE("R29C",'Mapa final'!$R$94),"")</f>
        <v/>
      </c>
      <c r="Q123" s="190" t="str">
        <f>IF(AND('Mapa final'!$AB$95="Media",'Mapa final'!$AD$95="Moderado"),CONCATENATE("R29C",'Mapa final'!$R$95),"")</f>
        <v/>
      </c>
      <c r="R123" s="164" t="str">
        <f>IF(AND('Mapa final'!$AB$96="Media",'Mapa final'!$AD$96="Moderado"),CONCATENATE("R29C",'Mapa final'!$R$96),"")</f>
        <v/>
      </c>
      <c r="S123" s="195" t="str">
        <f>IF(AND('Mapa final'!$AB$94="Media",'Mapa final'!$AD$94="Mayor"),CONCATENATE("R29C",'Mapa final'!$R$94),"")</f>
        <v/>
      </c>
      <c r="T123" s="196" t="str">
        <f>IF(AND('Mapa final'!$AB$95="Media",'Mapa final'!$AD$95="Mayor"),CONCATENATE("R29C",'Mapa final'!$R$95),"")</f>
        <v/>
      </c>
      <c r="U123" s="197" t="str">
        <f>IF(AND('Mapa final'!$AB$96="Media",'Mapa final'!$AD$96="Mayor"),CONCATENATE("R29C",'Mapa final'!$R$96),"")</f>
        <v/>
      </c>
      <c r="V123" s="158" t="str">
        <f>IF(AND('Mapa final'!$AB$94="Media",'Mapa final'!$AD$94="Catastrófico"),CONCATENATE("R29C",'Mapa final'!$R$94),"")</f>
        <v/>
      </c>
      <c r="W123" s="189" t="str">
        <f>IF(AND('Mapa final'!$AB$95="Media",'Mapa final'!$AD$95="Catastrófico"),CONCATENATE("R29C",'Mapa final'!$R$95),"")</f>
        <v/>
      </c>
      <c r="X123" s="159" t="str">
        <f>IF(AND('Mapa final'!$AB$96="Media",'Mapa final'!$AD$96="Catastrófico"),CONCATENATE("R29C",'Mapa final'!$R$96),"")</f>
        <v/>
      </c>
      <c r="Y123" s="38"/>
      <c r="Z123" s="308"/>
      <c r="AA123" s="309"/>
      <c r="AB123" s="309"/>
      <c r="AC123" s="309"/>
      <c r="AD123" s="309"/>
      <c r="AE123" s="310"/>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row>
    <row r="124" spans="1:61" ht="15" customHeight="1" x14ac:dyDescent="0.25">
      <c r="A124" s="38"/>
      <c r="B124" s="291"/>
      <c r="C124" s="292"/>
      <c r="D124" s="293"/>
      <c r="E124" s="275"/>
      <c r="F124" s="274"/>
      <c r="G124" s="274"/>
      <c r="H124" s="274"/>
      <c r="I124" s="274"/>
      <c r="J124" s="163" t="str">
        <f>IF(AND('Mapa final'!$AB$97="Media",'Mapa final'!$AD$97="Leve"),CONCATENATE("R30C",'Mapa final'!$R$97),"")</f>
        <v/>
      </c>
      <c r="K124" s="190" t="str">
        <f>IF(AND('Mapa final'!$AB$98="Media",'Mapa final'!$AD$98="Leve"),CONCATENATE("R30C",'Mapa final'!$R$98),"")</f>
        <v/>
      </c>
      <c r="L124" s="164" t="str">
        <f>IF(AND('Mapa final'!$AB$99="Media",'Mapa final'!$AD$99="Leve"),CONCATENATE("R30C",'Mapa final'!$R$99),"")</f>
        <v/>
      </c>
      <c r="M124" s="163" t="str">
        <f>IF(AND('Mapa final'!$AB$97="Media",'Mapa final'!$AD$97="Menor"),CONCATENATE("R30C",'Mapa final'!$R$97),"")</f>
        <v/>
      </c>
      <c r="N124" s="190" t="str">
        <f>IF(AND('Mapa final'!$AB$98="Media",'Mapa final'!$AD$98="Menor"),CONCATENATE("R30C",'Mapa final'!$R$98),"")</f>
        <v/>
      </c>
      <c r="O124" s="164" t="str">
        <f>IF(AND('Mapa final'!$AB$99="Media",'Mapa final'!$AD$99="Menor"),CONCATENATE("R30C",'Mapa final'!$R$99),"")</f>
        <v/>
      </c>
      <c r="P124" s="163" t="str">
        <f>IF(AND('Mapa final'!$AB$97="Media",'Mapa final'!$AD$97="Moderado"),CONCATENATE("R30C",'Mapa final'!$R$97),"")</f>
        <v/>
      </c>
      <c r="Q124" s="190" t="str">
        <f>IF(AND('Mapa final'!$AB$98="Media",'Mapa final'!$AD$98="Moderado"),CONCATENATE("R30C",'Mapa final'!$R$98),"")</f>
        <v/>
      </c>
      <c r="R124" s="164" t="str">
        <f>IF(AND('Mapa final'!$AB$99="Media",'Mapa final'!$AD$99="Moderado"),CONCATENATE("R30C",'Mapa final'!$R$99),"")</f>
        <v/>
      </c>
      <c r="S124" s="195" t="str">
        <f>IF(AND('Mapa final'!$AB$97="Media",'Mapa final'!$AD$97="Mayor"),CONCATENATE("R30C",'Mapa final'!$R$97),"")</f>
        <v/>
      </c>
      <c r="T124" s="196" t="str">
        <f>IF(AND('Mapa final'!$AB$98="Media",'Mapa final'!$AD$98="Mayor"),CONCATENATE("R30C",'Mapa final'!$R$98),"")</f>
        <v/>
      </c>
      <c r="U124" s="197" t="str">
        <f>IF(AND('Mapa final'!$AB$99="Media",'Mapa final'!$AD$99="Mayor"),CONCATENATE("R30C",'Mapa final'!$R$99),"")</f>
        <v/>
      </c>
      <c r="V124" s="158" t="str">
        <f>IF(AND('Mapa final'!$AB$97="Media",'Mapa final'!$AD$97="Catastrófico"),CONCATENATE("R30C",'Mapa final'!$R$97),"")</f>
        <v/>
      </c>
      <c r="W124" s="189" t="str">
        <f>IF(AND('Mapa final'!$AB$98="Media",'Mapa final'!$AD$98="Catastrófico"),CONCATENATE("R30C",'Mapa final'!$R$98),"")</f>
        <v/>
      </c>
      <c r="X124" s="159" t="str">
        <f>IF(AND('Mapa final'!$AB$99="Media",'Mapa final'!$AD$99="Catastrófico"),CONCATENATE("R30C",'Mapa final'!$R$99),"")</f>
        <v/>
      </c>
      <c r="Y124" s="38"/>
      <c r="Z124" s="308"/>
      <c r="AA124" s="309"/>
      <c r="AB124" s="309"/>
      <c r="AC124" s="309"/>
      <c r="AD124" s="309"/>
      <c r="AE124" s="310"/>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row>
    <row r="125" spans="1:61" ht="15" customHeight="1" x14ac:dyDescent="0.25">
      <c r="A125" s="38"/>
      <c r="B125" s="291"/>
      <c r="C125" s="292"/>
      <c r="D125" s="293"/>
      <c r="E125" s="275"/>
      <c r="F125" s="274"/>
      <c r="G125" s="274"/>
      <c r="H125" s="274"/>
      <c r="I125" s="274"/>
      <c r="J125" s="163" t="str">
        <f>IF(AND('Mapa final'!$AB$100="Media",'Mapa final'!$AD$100="Leve"),CONCATENATE("R31C",'Mapa final'!$R$100),"")</f>
        <v/>
      </c>
      <c r="K125" s="190" t="str">
        <f>IF(AND('Mapa final'!$AB$101="Media",'Mapa final'!$AD$101="Leve"),CONCATENATE("R31C",'Mapa final'!$R$101),"")</f>
        <v/>
      </c>
      <c r="L125" s="164" t="str">
        <f>IF(AND('Mapa final'!$AB$102="Media",'Mapa final'!$AD$102="Leve"),CONCATENATE("R31C",'Mapa final'!$R$102),"")</f>
        <v/>
      </c>
      <c r="M125" s="163" t="str">
        <f>IF(AND('Mapa final'!$AB$100="Media",'Mapa final'!$AD$100="Menor"),CONCATENATE("R31C",'Mapa final'!$R$100),"")</f>
        <v/>
      </c>
      <c r="N125" s="190" t="str">
        <f>IF(AND('Mapa final'!$AB$101="Media",'Mapa final'!$AD$101="Menor"),CONCATENATE("R31C",'Mapa final'!$R$101),"")</f>
        <v/>
      </c>
      <c r="O125" s="164" t="str">
        <f>IF(AND('Mapa final'!$AB$102="Media",'Mapa final'!$AD$102="Menor"),CONCATENATE("R31C",'Mapa final'!$R$102),"")</f>
        <v/>
      </c>
      <c r="P125" s="163" t="str">
        <f>IF(AND('Mapa final'!$AB$100="Media",'Mapa final'!$AD$100="Moderado"),CONCATENATE("R31C",'Mapa final'!$R$100),"")</f>
        <v/>
      </c>
      <c r="Q125" s="190" t="str">
        <f>IF(AND('Mapa final'!$AB$101="Media",'Mapa final'!$AD$101="Moderado"),CONCATENATE("R31C",'Mapa final'!$R$101),"")</f>
        <v/>
      </c>
      <c r="R125" s="164" t="str">
        <f>IF(AND('Mapa final'!$AB$102="Media",'Mapa final'!$AD$102="Moderado"),CONCATENATE("R31C",'Mapa final'!$R$102),"")</f>
        <v/>
      </c>
      <c r="S125" s="195" t="str">
        <f>IF(AND('Mapa final'!$AB$100="Media",'Mapa final'!$AD$100="Mayor"),CONCATENATE("R31C",'Mapa final'!$R$100),"")</f>
        <v/>
      </c>
      <c r="T125" s="196" t="str">
        <f>IF(AND('Mapa final'!$AB$101="Media",'Mapa final'!$AD$101="Mayor"),CONCATENATE("R31C",'Mapa final'!$R$101),"")</f>
        <v/>
      </c>
      <c r="U125" s="197" t="str">
        <f>IF(AND('Mapa final'!$AB$102="Media",'Mapa final'!$AD$102="Mayor"),CONCATENATE("R31C",'Mapa final'!$R$102),"")</f>
        <v/>
      </c>
      <c r="V125" s="158" t="str">
        <f>IF(AND('Mapa final'!$AB$100="Media",'Mapa final'!$AD$100="Catastrófico"),CONCATENATE("R31C",'Mapa final'!$R$100),"")</f>
        <v/>
      </c>
      <c r="W125" s="189" t="str">
        <f>IF(AND('Mapa final'!$AB$101="Media",'Mapa final'!$AD$101="Catastrófico"),CONCATENATE("R31C",'Mapa final'!$R$101),"")</f>
        <v/>
      </c>
      <c r="X125" s="159" t="str">
        <f>IF(AND('Mapa final'!$AB$102="Media",'Mapa final'!$AD$102="Catastrófico"),CONCATENATE("R31C",'Mapa final'!$R$102),"")</f>
        <v/>
      </c>
      <c r="Y125" s="38"/>
      <c r="Z125" s="308"/>
      <c r="AA125" s="309"/>
      <c r="AB125" s="309"/>
      <c r="AC125" s="309"/>
      <c r="AD125" s="309"/>
      <c r="AE125" s="310"/>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row>
    <row r="126" spans="1:61" ht="15" customHeight="1" x14ac:dyDescent="0.25">
      <c r="A126" s="38"/>
      <c r="B126" s="291"/>
      <c r="C126" s="292"/>
      <c r="D126" s="293"/>
      <c r="E126" s="275"/>
      <c r="F126" s="274"/>
      <c r="G126" s="274"/>
      <c r="H126" s="274"/>
      <c r="I126" s="274"/>
      <c r="J126" s="163" t="str">
        <f>IF(AND('Mapa final'!$AB$103="Media",'Mapa final'!$AD$103="Leve"),CONCATENATE("R32C",'Mapa final'!$R$103),"")</f>
        <v/>
      </c>
      <c r="K126" s="190" t="str">
        <f>IF(AND('Mapa final'!$AB$104="Media",'Mapa final'!$AD$104="Leve"),CONCATENATE("R32C",'Mapa final'!$R$104),"")</f>
        <v/>
      </c>
      <c r="L126" s="164" t="str">
        <f>IF(AND('Mapa final'!$AB$105="Media",'Mapa final'!$AD$105="Leve"),CONCATENATE("R32C",'Mapa final'!$R$105),"")</f>
        <v/>
      </c>
      <c r="M126" s="163" t="str">
        <f>IF(AND('Mapa final'!$AB$103="Media",'Mapa final'!$AD$103="Menor"),CONCATENATE("R32C",'Mapa final'!$R$103),"")</f>
        <v/>
      </c>
      <c r="N126" s="190" t="str">
        <f>IF(AND('Mapa final'!$AB$104="Media",'Mapa final'!$AD$104="Menor"),CONCATENATE("R32C",'Mapa final'!$R$104),"")</f>
        <v/>
      </c>
      <c r="O126" s="164" t="str">
        <f>IF(AND('Mapa final'!$AB$105="Media",'Mapa final'!$AD$105="Menor"),CONCATENATE("R32C",'Mapa final'!$R$105),"")</f>
        <v/>
      </c>
      <c r="P126" s="163" t="str">
        <f>IF(AND('Mapa final'!$AB$103="Media",'Mapa final'!$AD$103="Moderado"),CONCATENATE("R32C",'Mapa final'!$R$103),"")</f>
        <v/>
      </c>
      <c r="Q126" s="190" t="str">
        <f>IF(AND('Mapa final'!$AB$104="Media",'Mapa final'!$AD$104="Moderado"),CONCATENATE("R32C",'Mapa final'!$R$104),"")</f>
        <v/>
      </c>
      <c r="R126" s="164" t="str">
        <f>IF(AND('Mapa final'!$AB$105="Media",'Mapa final'!$AD$105="Moderado"),CONCATENATE("R32C",'Mapa final'!$R$105),"")</f>
        <v/>
      </c>
      <c r="S126" s="195" t="str">
        <f>IF(AND('Mapa final'!$AB$103="Media",'Mapa final'!$AD$103="Mayor"),CONCATENATE("R32C",'Mapa final'!$R$103),"")</f>
        <v/>
      </c>
      <c r="T126" s="196" t="str">
        <f>IF(AND('Mapa final'!$AB$104="Media",'Mapa final'!$AD$104="Mayor"),CONCATENATE("R32C",'Mapa final'!$R$104),"")</f>
        <v/>
      </c>
      <c r="U126" s="197" t="str">
        <f>IF(AND('Mapa final'!$AB$105="Media",'Mapa final'!$AD$105="Mayor"),CONCATENATE("R32C",'Mapa final'!$R$105),"")</f>
        <v/>
      </c>
      <c r="V126" s="158" t="str">
        <f>IF(AND('Mapa final'!$AB$103="Media",'Mapa final'!$AD$103="Catastrófico"),CONCATENATE("R32C",'Mapa final'!$R$103),"")</f>
        <v/>
      </c>
      <c r="W126" s="189" t="str">
        <f>IF(AND('Mapa final'!$AB$104="Media",'Mapa final'!$AD$104="Catastrófico"),CONCATENATE("R32C",'Mapa final'!$R$104),"")</f>
        <v/>
      </c>
      <c r="X126" s="159" t="str">
        <f>IF(AND('Mapa final'!$AB$105="Media",'Mapa final'!$AD$105="Catastrófico"),CONCATENATE("R32C",'Mapa final'!$R$105),"")</f>
        <v/>
      </c>
      <c r="Y126" s="38"/>
      <c r="Z126" s="308"/>
      <c r="AA126" s="309"/>
      <c r="AB126" s="309"/>
      <c r="AC126" s="309"/>
      <c r="AD126" s="309"/>
      <c r="AE126" s="310"/>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row>
    <row r="127" spans="1:61" ht="15" customHeight="1" x14ac:dyDescent="0.25">
      <c r="A127" s="38"/>
      <c r="B127" s="291"/>
      <c r="C127" s="292"/>
      <c r="D127" s="293"/>
      <c r="E127" s="275"/>
      <c r="F127" s="274"/>
      <c r="G127" s="274"/>
      <c r="H127" s="274"/>
      <c r="I127" s="274"/>
      <c r="J127" s="163" t="str">
        <f>IF(AND('Mapa final'!$AB$106="Media",'Mapa final'!$AD$106="Leve"),CONCATENATE("R33C",'Mapa final'!$R$106),"")</f>
        <v/>
      </c>
      <c r="K127" s="190" t="str">
        <f>IF(AND('Mapa final'!$AB$107="Media",'Mapa final'!$AD$107="Leve"),CONCATENATE("R33C",'Mapa final'!$R$107),"")</f>
        <v/>
      </c>
      <c r="L127" s="164" t="str">
        <f>IF(AND('Mapa final'!$AB$108="Media",'Mapa final'!$AD$108="Leve"),CONCATENATE("R33C",'Mapa final'!$R$108),"")</f>
        <v/>
      </c>
      <c r="M127" s="163" t="str">
        <f>IF(AND('Mapa final'!$AB$106="Media",'Mapa final'!$AD$106="Menor"),CONCATENATE("R33C",'Mapa final'!$R$106),"")</f>
        <v/>
      </c>
      <c r="N127" s="190" t="str">
        <f>IF(AND('Mapa final'!$AB$107="Media",'Mapa final'!$AD$107="Menor"),CONCATENATE("R33C",'Mapa final'!$R$107),"")</f>
        <v/>
      </c>
      <c r="O127" s="164" t="str">
        <f>IF(AND('Mapa final'!$AB$108="Media",'Mapa final'!$AD$108="Menor"),CONCATENATE("R33C",'Mapa final'!$R$108),"")</f>
        <v/>
      </c>
      <c r="P127" s="163" t="str">
        <f>IF(AND('Mapa final'!$AB$106="Media",'Mapa final'!$AD$106="Moderado"),CONCATENATE("R33C",'Mapa final'!$R$106),"")</f>
        <v/>
      </c>
      <c r="Q127" s="190" t="str">
        <f>IF(AND('Mapa final'!$AB$107="Media",'Mapa final'!$AD$107="Moderado"),CONCATENATE("R33C",'Mapa final'!$R$107),"")</f>
        <v/>
      </c>
      <c r="R127" s="164" t="str">
        <f>IF(AND('Mapa final'!$AB$108="Media",'Mapa final'!$AD$108="Moderado"),CONCATENATE("R33C",'Mapa final'!$R$108),"")</f>
        <v/>
      </c>
      <c r="S127" s="195" t="str">
        <f>IF(AND('Mapa final'!$AB$106="Media",'Mapa final'!$AD$106="Mayor"),CONCATENATE("R33C",'Mapa final'!$R$106),"")</f>
        <v/>
      </c>
      <c r="T127" s="196" t="str">
        <f>IF(AND('Mapa final'!$AB$107="Media",'Mapa final'!$AD$107="Mayor"),CONCATENATE("R33C",'Mapa final'!$R$107),"")</f>
        <v/>
      </c>
      <c r="U127" s="197" t="str">
        <f>IF(AND('Mapa final'!$AB$108="Media",'Mapa final'!$AD$108="Mayor"),CONCATENATE("R33C",'Mapa final'!$R$108),"")</f>
        <v/>
      </c>
      <c r="V127" s="158" t="str">
        <f>IF(AND('Mapa final'!$AB$106="Media",'Mapa final'!$AD$106="Catastrófico"),CONCATENATE("R33C",'Mapa final'!$R$106),"")</f>
        <v/>
      </c>
      <c r="W127" s="189" t="str">
        <f>IF(AND('Mapa final'!$AB$107="Media",'Mapa final'!$AD$107="Catastrófico"),CONCATENATE("R33C",'Mapa final'!$R$107),"")</f>
        <v/>
      </c>
      <c r="X127" s="159" t="str">
        <f>IF(AND('Mapa final'!$AB$108="Media",'Mapa final'!$AD$108="Catastrófico"),CONCATENATE("R33C",'Mapa final'!$R$108),"")</f>
        <v/>
      </c>
      <c r="Y127" s="38"/>
      <c r="Z127" s="308"/>
      <c r="AA127" s="309"/>
      <c r="AB127" s="309"/>
      <c r="AC127" s="309"/>
      <c r="AD127" s="309"/>
      <c r="AE127" s="310"/>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row>
    <row r="128" spans="1:61" ht="15" customHeight="1" x14ac:dyDescent="0.25">
      <c r="A128" s="38"/>
      <c r="B128" s="291"/>
      <c r="C128" s="292"/>
      <c r="D128" s="293"/>
      <c r="E128" s="275"/>
      <c r="F128" s="274"/>
      <c r="G128" s="274"/>
      <c r="H128" s="274"/>
      <c r="I128" s="274"/>
      <c r="J128" s="163" t="str">
        <f>IF(AND('Mapa final'!$AB$109="Media",'Mapa final'!$AD$109="Leve"),CONCATENATE("R34C",'Mapa final'!$R$109),"")</f>
        <v/>
      </c>
      <c r="K128" s="190" t="str">
        <f>IF(AND('Mapa final'!$AB$110="Media",'Mapa final'!$AD$110="Leve"),CONCATENATE("R34C",'Mapa final'!$R$110),"")</f>
        <v/>
      </c>
      <c r="L128" s="164" t="str">
        <f>IF(AND('Mapa final'!$AB$111="Media",'Mapa final'!$AD$111="Leve"),CONCATENATE("R34C",'Mapa final'!$R$111),"")</f>
        <v/>
      </c>
      <c r="M128" s="163" t="str">
        <f>IF(AND('Mapa final'!$AB$109="Media",'Mapa final'!$AD$109="Menor"),CONCATENATE("R34C",'Mapa final'!$R$109),"")</f>
        <v/>
      </c>
      <c r="N128" s="190" t="str">
        <f>IF(AND('Mapa final'!$AB$110="Media",'Mapa final'!$AD$110="Menor"),CONCATENATE("R34C",'Mapa final'!$R$110),"")</f>
        <v/>
      </c>
      <c r="O128" s="164" t="str">
        <f>IF(AND('Mapa final'!$AB$111="Media",'Mapa final'!$AD$111="Menor"),CONCATENATE("R34C",'Mapa final'!$R$111),"")</f>
        <v/>
      </c>
      <c r="P128" s="163" t="str">
        <f>IF(AND('Mapa final'!$AB$109="Media",'Mapa final'!$AD$109="Moderado"),CONCATENATE("R34C",'Mapa final'!$R$109),"")</f>
        <v>R34C1</v>
      </c>
      <c r="Q128" s="190" t="str">
        <f>IF(AND('Mapa final'!$AB$110="Media",'Mapa final'!$AD$110="Moderado"),CONCATENATE("R34C",'Mapa final'!$R$110),"")</f>
        <v/>
      </c>
      <c r="R128" s="164" t="str">
        <f>IF(AND('Mapa final'!$AB$111="Media",'Mapa final'!$AD$111="Moderado"),CONCATENATE("R34C",'Mapa final'!$R$111),"")</f>
        <v/>
      </c>
      <c r="S128" s="195" t="str">
        <f>IF(AND('Mapa final'!$AB$109="Media",'Mapa final'!$AD$109="Mayor"),CONCATENATE("R34C",'Mapa final'!$R$109),"")</f>
        <v/>
      </c>
      <c r="T128" s="196" t="str">
        <f>IF(AND('Mapa final'!$AB$110="Media",'Mapa final'!$AD$110="Mayor"),CONCATENATE("R34C",'Mapa final'!$R$110),"")</f>
        <v/>
      </c>
      <c r="U128" s="197" t="str">
        <f>IF(AND('Mapa final'!$AB$111="Media",'Mapa final'!$AD$111="Mayor"),CONCATENATE("R34C",'Mapa final'!$R$111),"")</f>
        <v/>
      </c>
      <c r="V128" s="158" t="str">
        <f>IF(AND('Mapa final'!$AB$109="Media",'Mapa final'!$AD$109="Catastrófico"),CONCATENATE("R34C",'Mapa final'!$R$109),"")</f>
        <v/>
      </c>
      <c r="W128" s="189" t="str">
        <f>IF(AND('Mapa final'!$AB$110="Media",'Mapa final'!$AD$110="Catastrófico"),CONCATENATE("R34C",'Mapa final'!$R$110),"")</f>
        <v/>
      </c>
      <c r="X128" s="159" t="str">
        <f>IF(AND('Mapa final'!$AB$111="Media",'Mapa final'!$AD$111="Catastrófico"),CONCATENATE("R34C",'Mapa final'!$R$111),"")</f>
        <v/>
      </c>
      <c r="Y128" s="38"/>
      <c r="Z128" s="308"/>
      <c r="AA128" s="309"/>
      <c r="AB128" s="309"/>
      <c r="AC128" s="309"/>
      <c r="AD128" s="309"/>
      <c r="AE128" s="310"/>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row>
    <row r="129" spans="1:61" ht="15" customHeight="1" x14ac:dyDescent="0.25">
      <c r="A129" s="38"/>
      <c r="B129" s="291"/>
      <c r="C129" s="292"/>
      <c r="D129" s="293"/>
      <c r="E129" s="275"/>
      <c r="F129" s="274"/>
      <c r="G129" s="274"/>
      <c r="H129" s="274"/>
      <c r="I129" s="274"/>
      <c r="J129" s="163" t="str">
        <f>IF(AND('Mapa final'!$AB$112="Media",'Mapa final'!$AD$112="Leve"),CONCATENATE("R35C",'Mapa final'!$R$112),"")</f>
        <v/>
      </c>
      <c r="K129" s="190" t="str">
        <f>IF(AND('Mapa final'!$AB$113="Media",'Mapa final'!$AD$113="Leve"),CONCATENATE("R35C",'Mapa final'!$R$113),"")</f>
        <v/>
      </c>
      <c r="L129" s="164" t="str">
        <f>IF(AND('Mapa final'!$AB$114="Media",'Mapa final'!$AD$114="Leve"),CONCATENATE("R35C",'Mapa final'!$R$114),"")</f>
        <v/>
      </c>
      <c r="M129" s="163" t="str">
        <f>IF(AND('Mapa final'!$AB$112="Media",'Mapa final'!$AD$112="Menor"),CONCATENATE("R35C",'Mapa final'!$R$112),"")</f>
        <v/>
      </c>
      <c r="N129" s="190" t="str">
        <f>IF(AND('Mapa final'!$AB$113="Media",'Mapa final'!$AD$113="Menor"),CONCATENATE("R35C",'Mapa final'!$R$113),"")</f>
        <v/>
      </c>
      <c r="O129" s="164" t="str">
        <f>IF(AND('Mapa final'!$AB$114="Media",'Mapa final'!$AD$114="Menor"),CONCATENATE("R35C",'Mapa final'!$R$114),"")</f>
        <v/>
      </c>
      <c r="P129" s="163" t="str">
        <f>IF(AND('Mapa final'!$AB$112="Media",'Mapa final'!$AD$112="Moderado"),CONCATENATE("R35C",'Mapa final'!$R$112),"")</f>
        <v/>
      </c>
      <c r="Q129" s="190" t="str">
        <f>IF(AND('Mapa final'!$AB$113="Media",'Mapa final'!$AD$113="Moderado"),CONCATENATE("R35C",'Mapa final'!$R$113),"")</f>
        <v/>
      </c>
      <c r="R129" s="164" t="str">
        <f>IF(AND('Mapa final'!$AB$114="Media",'Mapa final'!$AD$114="Moderado"),CONCATENATE("R35C",'Mapa final'!$R$114),"")</f>
        <v/>
      </c>
      <c r="S129" s="195" t="str">
        <f>IF(AND('Mapa final'!$AB$112="Media",'Mapa final'!$AD$112="Mayor"),CONCATENATE("R35C",'Mapa final'!$R$112),"")</f>
        <v/>
      </c>
      <c r="T129" s="196" t="str">
        <f>IF(AND('Mapa final'!$AB$113="Media",'Mapa final'!$AD$113="Mayor"),CONCATENATE("R35C",'Mapa final'!$R$113),"")</f>
        <v/>
      </c>
      <c r="U129" s="197" t="str">
        <f>IF(AND('Mapa final'!$AB$114="Media",'Mapa final'!$AD$114="Mayor"),CONCATENATE("R35C",'Mapa final'!$R$114),"")</f>
        <v/>
      </c>
      <c r="V129" s="158" t="str">
        <f>IF(AND('Mapa final'!$AB$112="Media",'Mapa final'!$AD$112="Catastrófico"),CONCATENATE("R35C",'Mapa final'!$R$112),"")</f>
        <v/>
      </c>
      <c r="W129" s="189" t="str">
        <f>IF(AND('Mapa final'!$AB$113="Media",'Mapa final'!$AD$113="Catastrófico"),CONCATENATE("R35C",'Mapa final'!$R$113),"")</f>
        <v/>
      </c>
      <c r="X129" s="159" t="str">
        <f>IF(AND('Mapa final'!$AB$114="Media",'Mapa final'!$AD$114="Catastrófico"),CONCATENATE("R35C",'Mapa final'!$R$114),"")</f>
        <v/>
      </c>
      <c r="Y129" s="38"/>
      <c r="Z129" s="308"/>
      <c r="AA129" s="309"/>
      <c r="AB129" s="309"/>
      <c r="AC129" s="309"/>
      <c r="AD129" s="309"/>
      <c r="AE129" s="310"/>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row>
    <row r="130" spans="1:61" ht="15" customHeight="1" x14ac:dyDescent="0.25">
      <c r="A130" s="38"/>
      <c r="B130" s="291"/>
      <c r="C130" s="292"/>
      <c r="D130" s="293"/>
      <c r="E130" s="275"/>
      <c r="F130" s="274"/>
      <c r="G130" s="274"/>
      <c r="H130" s="274"/>
      <c r="I130" s="274"/>
      <c r="J130" s="163" t="str">
        <f>IF(AND('Mapa final'!$AB$115="Media",'Mapa final'!$AD$115="Leve"),CONCATENATE("R36C",'Mapa final'!$R$115),"")</f>
        <v/>
      </c>
      <c r="K130" s="190" t="str">
        <f>IF(AND('Mapa final'!$AB$116="Media",'Mapa final'!$AD$116="Leve"),CONCATENATE("R36C",'Mapa final'!$R$116),"")</f>
        <v/>
      </c>
      <c r="L130" s="164" t="str">
        <f>IF(AND('Mapa final'!$AB$117="Media",'Mapa final'!$AD$117="Leve"),CONCATENATE("R36C",'Mapa final'!$R$117),"")</f>
        <v/>
      </c>
      <c r="M130" s="163" t="str">
        <f>IF(AND('Mapa final'!$AB$115="Media",'Mapa final'!$AD$115="Menor"),CONCATENATE("R36C",'Mapa final'!$R$115),"")</f>
        <v/>
      </c>
      <c r="N130" s="190" t="str">
        <f>IF(AND('Mapa final'!$AB$116="Media",'Mapa final'!$AD$116="Menor"),CONCATENATE("R36C",'Mapa final'!$R$116),"")</f>
        <v/>
      </c>
      <c r="O130" s="164" t="str">
        <f>IF(AND('Mapa final'!$AB$117="Media",'Mapa final'!$AD$117="Menor"),CONCATENATE("R36C",'Mapa final'!$R$117),"")</f>
        <v/>
      </c>
      <c r="P130" s="163" t="str">
        <f>IF(AND('Mapa final'!$AB$115="Media",'Mapa final'!$AD$115="Moderado"),CONCATENATE("R36C",'Mapa final'!$R$115),"")</f>
        <v/>
      </c>
      <c r="Q130" s="190" t="str">
        <f>IF(AND('Mapa final'!$AB$116="Media",'Mapa final'!$AD$116="Moderado"),CONCATENATE("R36C",'Mapa final'!$R$116),"")</f>
        <v/>
      </c>
      <c r="R130" s="164" t="str">
        <f>IF(AND('Mapa final'!$AB$117="Media",'Mapa final'!$AD$117="Moderado"),CONCATENATE("R36C",'Mapa final'!$R$117),"")</f>
        <v/>
      </c>
      <c r="S130" s="195" t="str">
        <f>IF(AND('Mapa final'!$AB$115="Media",'Mapa final'!$AD$115="Mayor"),CONCATENATE("R36C",'Mapa final'!$R$115),"")</f>
        <v/>
      </c>
      <c r="T130" s="196" t="str">
        <f>IF(AND('Mapa final'!$AB$116="Media",'Mapa final'!$AD$116="Mayor"),CONCATENATE("R36C",'Mapa final'!$R$116),"")</f>
        <v/>
      </c>
      <c r="U130" s="197" t="str">
        <f>IF(AND('Mapa final'!$AB$117="Media",'Mapa final'!$AD$117="Mayor"),CONCATENATE("R36C",'Mapa final'!$R$117),"")</f>
        <v/>
      </c>
      <c r="V130" s="158" t="str">
        <f>IF(AND('Mapa final'!$AB$115="Media",'Mapa final'!$AD$115="Catastrófico"),CONCATENATE("R36C",'Mapa final'!$R$115),"")</f>
        <v/>
      </c>
      <c r="W130" s="189" t="str">
        <f>IF(AND('Mapa final'!$AB$116="Media",'Mapa final'!$AD$116="Catastrófico"),CONCATENATE("R36C",'Mapa final'!$R$116),"")</f>
        <v/>
      </c>
      <c r="X130" s="159" t="str">
        <f>IF(AND('Mapa final'!$AB$117="Media",'Mapa final'!$AD$117="Catastrófico"),CONCATENATE("R36C",'Mapa final'!$R$117),"")</f>
        <v/>
      </c>
      <c r="Y130" s="38"/>
      <c r="Z130" s="308"/>
      <c r="AA130" s="309"/>
      <c r="AB130" s="309"/>
      <c r="AC130" s="309"/>
      <c r="AD130" s="309"/>
      <c r="AE130" s="310"/>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row>
    <row r="131" spans="1:61" ht="15" customHeight="1" x14ac:dyDescent="0.25">
      <c r="A131" s="38"/>
      <c r="B131" s="291"/>
      <c r="C131" s="292"/>
      <c r="D131" s="293"/>
      <c r="E131" s="275"/>
      <c r="F131" s="274"/>
      <c r="G131" s="274"/>
      <c r="H131" s="274"/>
      <c r="I131" s="274"/>
      <c r="J131" s="163" t="str">
        <f>IF(AND('Mapa final'!$AB$118="Media",'Mapa final'!$AD$118="Leve"),CONCATENATE("R37C",'Mapa final'!$R$118),"")</f>
        <v/>
      </c>
      <c r="K131" s="190" t="str">
        <f>IF(AND('Mapa final'!$AB$119="Media",'Mapa final'!$AD$119="Leve"),CONCATENATE("R37C",'Mapa final'!$R$119),"")</f>
        <v/>
      </c>
      <c r="L131" s="164" t="str">
        <f>IF(AND('Mapa final'!$AB$120="Media",'Mapa final'!$AD$120="Leve"),CONCATENATE("R37C",'Mapa final'!$R$120),"")</f>
        <v/>
      </c>
      <c r="M131" s="163" t="str">
        <f>IF(AND('Mapa final'!$AB$118="Media",'Mapa final'!$AD$118="Menor"),CONCATENATE("R37C",'Mapa final'!$R$118),"")</f>
        <v/>
      </c>
      <c r="N131" s="190" t="str">
        <f>IF(AND('Mapa final'!$AB$119="Media",'Mapa final'!$AD$119="Menor"),CONCATENATE("R37C",'Mapa final'!$R$119),"")</f>
        <v/>
      </c>
      <c r="O131" s="164" t="str">
        <f>IF(AND('Mapa final'!$AB$120="Media",'Mapa final'!$AD$120="Menor"),CONCATENATE("R37C",'Mapa final'!$R$120),"")</f>
        <v/>
      </c>
      <c r="P131" s="163" t="str">
        <f>IF(AND('Mapa final'!$AB$118="Media",'Mapa final'!$AD$118="Moderado"),CONCATENATE("R37C",'Mapa final'!$R$118),"")</f>
        <v>R37C1</v>
      </c>
      <c r="Q131" s="190" t="str">
        <f>IF(AND('Mapa final'!$AB$119="Media",'Mapa final'!$AD$119="Moderado"),CONCATENATE("R37C",'Mapa final'!$R$119),"")</f>
        <v/>
      </c>
      <c r="R131" s="164" t="str">
        <f>IF(AND('Mapa final'!$AB$120="Media",'Mapa final'!$AD$120="Moderado"),CONCATENATE("R37C",'Mapa final'!$R$120),"")</f>
        <v/>
      </c>
      <c r="S131" s="195" t="str">
        <f>IF(AND('Mapa final'!$AB$118="Media",'Mapa final'!$AD$118="Mayor"),CONCATENATE("R37C",'Mapa final'!$R$118),"")</f>
        <v/>
      </c>
      <c r="T131" s="196" t="str">
        <f>IF(AND('Mapa final'!$AB$119="Media",'Mapa final'!$AD$119="Mayor"),CONCATENATE("R37C",'Mapa final'!$R$119),"")</f>
        <v/>
      </c>
      <c r="U131" s="197" t="str">
        <f>IF(AND('Mapa final'!$AB$120="Media",'Mapa final'!$AD$120="Mayor"),CONCATENATE("R37C",'Mapa final'!$R$120),"")</f>
        <v/>
      </c>
      <c r="V131" s="158" t="str">
        <f>IF(AND('Mapa final'!$AB$118="Media",'Mapa final'!$AD$118="Catastrófico"),CONCATENATE("R37C",'Mapa final'!$R$118),"")</f>
        <v/>
      </c>
      <c r="W131" s="189" t="str">
        <f>IF(AND('Mapa final'!$AB$119="Media",'Mapa final'!$AD$119="Catastrófico"),CONCATENATE("R37C",'Mapa final'!$R$119),"")</f>
        <v/>
      </c>
      <c r="X131" s="159" t="str">
        <f>IF(AND('Mapa final'!$AB$120="Media",'Mapa final'!$AD$120="Catastrófico"),CONCATENATE("R37C",'Mapa final'!$R$120),"")</f>
        <v/>
      </c>
      <c r="Y131" s="38"/>
      <c r="Z131" s="308"/>
      <c r="AA131" s="309"/>
      <c r="AB131" s="309"/>
      <c r="AC131" s="309"/>
      <c r="AD131" s="309"/>
      <c r="AE131" s="310"/>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row>
    <row r="132" spans="1:61" ht="15" customHeight="1" x14ac:dyDescent="0.25">
      <c r="A132" s="38"/>
      <c r="B132" s="291"/>
      <c r="C132" s="292"/>
      <c r="D132" s="293"/>
      <c r="E132" s="275"/>
      <c r="F132" s="274"/>
      <c r="G132" s="274"/>
      <c r="H132" s="274"/>
      <c r="I132" s="274"/>
      <c r="J132" s="163" t="str">
        <f>IF(AND('Mapa final'!$AB$121="Media",'Mapa final'!$AD$121="Leve"),CONCATENATE("R38C",'Mapa final'!$R$121),"")</f>
        <v/>
      </c>
      <c r="K132" s="190" t="str">
        <f>IF(AND('Mapa final'!$AB$122="Media",'Mapa final'!$AD$122="Leve"),CONCATENATE("R38C",'Mapa final'!$R$122),"")</f>
        <v/>
      </c>
      <c r="L132" s="164" t="str">
        <f>IF(AND('Mapa final'!$AB$123="Media",'Mapa final'!$AD$123="Leve"),CONCATENATE("R38C",'Mapa final'!$R$123),"")</f>
        <v/>
      </c>
      <c r="M132" s="163" t="str">
        <f>IF(AND('Mapa final'!$AB$121="Media",'Mapa final'!$AD$121="Menor"),CONCATENATE("R38C",'Mapa final'!$R$121),"")</f>
        <v/>
      </c>
      <c r="N132" s="190" t="str">
        <f>IF(AND('Mapa final'!$AB$122="Media",'Mapa final'!$AD$122="Menor"),CONCATENATE("R38C",'Mapa final'!$R$122),"")</f>
        <v/>
      </c>
      <c r="O132" s="164" t="str">
        <f>IF(AND('Mapa final'!$AB$123="Media",'Mapa final'!$AD$123="Menor"),CONCATENATE("R38C",'Mapa final'!$R$123),"")</f>
        <v/>
      </c>
      <c r="P132" s="163" t="str">
        <f>IF(AND('Mapa final'!$AB$121="Media",'Mapa final'!$AD$121="Moderado"),CONCATENATE("R38C",'Mapa final'!$R$121),"")</f>
        <v>R38C1</v>
      </c>
      <c r="Q132" s="190" t="str">
        <f>IF(AND('Mapa final'!$AB$122="Media",'Mapa final'!$AD$122="Moderado"),CONCATENATE("R38C",'Mapa final'!$R$122),"")</f>
        <v/>
      </c>
      <c r="R132" s="164" t="str">
        <f>IF(AND('Mapa final'!$AB$123="Media",'Mapa final'!$AD$123="Moderado"),CONCATENATE("R38C",'Mapa final'!$R$123),"")</f>
        <v/>
      </c>
      <c r="S132" s="195" t="str">
        <f>IF(AND('Mapa final'!$AB$121="Media",'Mapa final'!$AD$121="Mayor"),CONCATENATE("R38C",'Mapa final'!$R$121),"")</f>
        <v/>
      </c>
      <c r="T132" s="196" t="str">
        <f>IF(AND('Mapa final'!$AB$122="Media",'Mapa final'!$AD$122="Mayor"),CONCATENATE("R38C",'Mapa final'!$R$122),"")</f>
        <v/>
      </c>
      <c r="U132" s="197" t="str">
        <f>IF(AND('Mapa final'!$AB$123="Media",'Mapa final'!$AD$123="Mayor"),CONCATENATE("R38C",'Mapa final'!$R$123),"")</f>
        <v/>
      </c>
      <c r="V132" s="158" t="str">
        <f>IF(AND('Mapa final'!$AB$121="Media",'Mapa final'!$AD$121="Catastrófico"),CONCATENATE("R38C",'Mapa final'!$R$121),"")</f>
        <v/>
      </c>
      <c r="W132" s="189" t="str">
        <f>IF(AND('Mapa final'!$AB$122="Media",'Mapa final'!$AD$122="Catastrófico"),CONCATENATE("R38C",'Mapa final'!$R$122),"")</f>
        <v/>
      </c>
      <c r="X132" s="159" t="str">
        <f>IF(AND('Mapa final'!$AB$123="Media",'Mapa final'!$AD$123="Catastrófico"),CONCATENATE("R38C",'Mapa final'!$R$123),"")</f>
        <v/>
      </c>
      <c r="Y132" s="38"/>
      <c r="Z132" s="308"/>
      <c r="AA132" s="309"/>
      <c r="AB132" s="309"/>
      <c r="AC132" s="309"/>
      <c r="AD132" s="309"/>
      <c r="AE132" s="310"/>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row>
    <row r="133" spans="1:61" ht="15" customHeight="1" x14ac:dyDescent="0.25">
      <c r="A133" s="38"/>
      <c r="B133" s="291"/>
      <c r="C133" s="292"/>
      <c r="D133" s="293"/>
      <c r="E133" s="275"/>
      <c r="F133" s="274"/>
      <c r="G133" s="274"/>
      <c r="H133" s="274"/>
      <c r="I133" s="274"/>
      <c r="J133" s="163" t="str">
        <f>IF(AND('Mapa final'!$AB$124="Media",'Mapa final'!$AD$124="Leve"),CONCATENATE("R39C",'Mapa final'!$R$124),"")</f>
        <v/>
      </c>
      <c r="K133" s="190" t="str">
        <f>IF(AND('Mapa final'!$AB$125="Media",'Mapa final'!$AD$125="Leve"),CONCATENATE("R39C",'Mapa final'!$R$125),"")</f>
        <v/>
      </c>
      <c r="L133" s="164" t="str">
        <f>IF(AND('Mapa final'!$AB$126="Media",'Mapa final'!$AD$126="Leve"),CONCATENATE("R39C",'Mapa final'!$R$126),"")</f>
        <v/>
      </c>
      <c r="M133" s="163" t="str">
        <f>IF(AND('Mapa final'!$AB$124="Media",'Mapa final'!$AD$124="Menor"),CONCATENATE("R39C",'Mapa final'!$R$124),"")</f>
        <v/>
      </c>
      <c r="N133" s="190" t="str">
        <f>IF(AND('Mapa final'!$AB$125="Media",'Mapa final'!$AD$125="Menor"),CONCATENATE("R39C",'Mapa final'!$R$125),"")</f>
        <v/>
      </c>
      <c r="O133" s="164" t="str">
        <f>IF(AND('Mapa final'!$AB$126="Media",'Mapa final'!$AD$126="Menor"),CONCATENATE("R39C",'Mapa final'!$R$126),"")</f>
        <v/>
      </c>
      <c r="P133" s="163" t="str">
        <f>IF(AND('Mapa final'!$AB$124="Media",'Mapa final'!$AD$124="Moderado"),CONCATENATE("R39C",'Mapa final'!$R$124),"")</f>
        <v/>
      </c>
      <c r="Q133" s="190" t="str">
        <f>IF(AND('Mapa final'!$AB$125="Media",'Mapa final'!$AD$125="Moderado"),CONCATENATE("R39C",'Mapa final'!$R$125),"")</f>
        <v/>
      </c>
      <c r="R133" s="164" t="str">
        <f>IF(AND('Mapa final'!$AB$126="Media",'Mapa final'!$AD$126="Moderado"),CONCATENATE("R39C",'Mapa final'!$R$126),"")</f>
        <v/>
      </c>
      <c r="S133" s="195" t="str">
        <f>IF(AND('Mapa final'!$AB$124="Media",'Mapa final'!$AD$124="Mayor"),CONCATENATE("R39C",'Mapa final'!$R$124),"")</f>
        <v/>
      </c>
      <c r="T133" s="196" t="str">
        <f>IF(AND('Mapa final'!$AB$125="Media",'Mapa final'!$AD$125="Mayor"),CONCATENATE("R39C",'Mapa final'!$R$125),"")</f>
        <v/>
      </c>
      <c r="U133" s="197" t="str">
        <f>IF(AND('Mapa final'!$AB$126="Media",'Mapa final'!$AD$126="Mayor"),CONCATENATE("R39C",'Mapa final'!$R$126),"")</f>
        <v/>
      </c>
      <c r="V133" s="158" t="str">
        <f>IF(AND('Mapa final'!$AB$124="Media",'Mapa final'!$AD$124="Catastrófico"),CONCATENATE("R39C",'Mapa final'!$R$124),"")</f>
        <v/>
      </c>
      <c r="W133" s="189" t="str">
        <f>IF(AND('Mapa final'!$AB$125="Media",'Mapa final'!$AD$125="Catastrófico"),CONCATENATE("R39C",'Mapa final'!$R$125),"")</f>
        <v/>
      </c>
      <c r="X133" s="159" t="str">
        <f>IF(AND('Mapa final'!$AB$126="Media",'Mapa final'!$AD$126="Catastrófico"),CONCATENATE("R39C",'Mapa final'!$R$126),"")</f>
        <v/>
      </c>
      <c r="Y133" s="38"/>
      <c r="Z133" s="308"/>
      <c r="AA133" s="309"/>
      <c r="AB133" s="309"/>
      <c r="AC133" s="309"/>
      <c r="AD133" s="309"/>
      <c r="AE133" s="310"/>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row>
    <row r="134" spans="1:61" ht="15" customHeight="1" x14ac:dyDescent="0.25">
      <c r="A134" s="38"/>
      <c r="B134" s="291"/>
      <c r="C134" s="292"/>
      <c r="D134" s="293"/>
      <c r="E134" s="275"/>
      <c r="F134" s="274"/>
      <c r="G134" s="274"/>
      <c r="H134" s="274"/>
      <c r="I134" s="274"/>
      <c r="J134" s="163" t="str">
        <f>IF(AND('Mapa final'!$AB$127="Media",'Mapa final'!$AD$127="Leve"),CONCATENATE("R40C",'Mapa final'!$R$127),"")</f>
        <v/>
      </c>
      <c r="K134" s="190" t="str">
        <f>IF(AND('Mapa final'!$AB$128="Media",'Mapa final'!$AD$128="Leve"),CONCATENATE("R40C",'Mapa final'!$R$128),"")</f>
        <v/>
      </c>
      <c r="L134" s="164" t="str">
        <f>IF(AND('Mapa final'!$AB$129="Media",'Mapa final'!$AD$129="Leve"),CONCATENATE("R40C",'Mapa final'!$R$129),"")</f>
        <v/>
      </c>
      <c r="M134" s="163" t="str">
        <f>IF(AND('Mapa final'!$AB$127="Media",'Mapa final'!$AD$127="Menor"),CONCATENATE("R40C",'Mapa final'!$R$127),"")</f>
        <v/>
      </c>
      <c r="N134" s="190" t="str">
        <f>IF(AND('Mapa final'!$AB$128="Media",'Mapa final'!$AD$128="Menor"),CONCATENATE("R40C",'Mapa final'!$R$128),"")</f>
        <v/>
      </c>
      <c r="O134" s="164" t="str">
        <f>IF(AND('Mapa final'!$AB$129="Media",'Mapa final'!$AD$129="Menor"),CONCATENATE("R40C",'Mapa final'!$R$129),"")</f>
        <v/>
      </c>
      <c r="P134" s="163" t="str">
        <f>IF(AND('Mapa final'!$AB$127="Media",'Mapa final'!$AD$127="Moderado"),CONCATENATE("R40C",'Mapa final'!$R$127),"")</f>
        <v/>
      </c>
      <c r="Q134" s="190" t="str">
        <f>IF(AND('Mapa final'!$AB$128="Media",'Mapa final'!$AD$128="Moderado"),CONCATENATE("R40C",'Mapa final'!$R$128),"")</f>
        <v/>
      </c>
      <c r="R134" s="164" t="str">
        <f>IF(AND('Mapa final'!$AB$129="Media",'Mapa final'!$AD$129="Moderado"),CONCATENATE("R40C",'Mapa final'!$R$129),"")</f>
        <v/>
      </c>
      <c r="S134" s="195" t="str">
        <f>IF(AND('Mapa final'!$AB$127="Media",'Mapa final'!$AD$127="Mayor"),CONCATENATE("R40C",'Mapa final'!$R$127),"")</f>
        <v/>
      </c>
      <c r="T134" s="196" t="str">
        <f>IF(AND('Mapa final'!$AB$128="Media",'Mapa final'!$AD$128="Mayor"),CONCATENATE("R40C",'Mapa final'!$R$128),"")</f>
        <v/>
      </c>
      <c r="U134" s="197" t="str">
        <f>IF(AND('Mapa final'!$AB$129="Media",'Mapa final'!$AD$129="Mayor"),CONCATENATE("R40C",'Mapa final'!$R$129),"")</f>
        <v/>
      </c>
      <c r="V134" s="158" t="str">
        <f>IF(AND('Mapa final'!$AB$127="Media",'Mapa final'!$AD$127="Catastrófico"),CONCATENATE("R40C",'Mapa final'!$R$127),"")</f>
        <v/>
      </c>
      <c r="W134" s="189" t="str">
        <f>IF(AND('Mapa final'!$AB$128="Media",'Mapa final'!$AD$128="Catastrófico"),CONCATENATE("R40C",'Mapa final'!$R$128),"")</f>
        <v/>
      </c>
      <c r="X134" s="159" t="str">
        <f>IF(AND('Mapa final'!$AB$129="Media",'Mapa final'!$AD$129="Catastrófico"),CONCATENATE("R40C",'Mapa final'!$R$129),"")</f>
        <v/>
      </c>
      <c r="Y134" s="38"/>
      <c r="Z134" s="308"/>
      <c r="AA134" s="309"/>
      <c r="AB134" s="309"/>
      <c r="AC134" s="309"/>
      <c r="AD134" s="309"/>
      <c r="AE134" s="310"/>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row>
    <row r="135" spans="1:61" ht="15" customHeight="1" x14ac:dyDescent="0.25">
      <c r="A135" s="38"/>
      <c r="B135" s="291"/>
      <c r="C135" s="292"/>
      <c r="D135" s="293"/>
      <c r="E135" s="275"/>
      <c r="F135" s="274"/>
      <c r="G135" s="274"/>
      <c r="H135" s="274"/>
      <c r="I135" s="274"/>
      <c r="J135" s="163" t="str">
        <f>IF(AND('Mapa final'!$AB$130="Media",'Mapa final'!$AD$130="Leve"),CONCATENATE("R41C",'Mapa final'!$R$130),"")</f>
        <v/>
      </c>
      <c r="K135" s="190" t="str">
        <f>IF(AND('Mapa final'!$AB$131="Media",'Mapa final'!$AD$131="Leve"),CONCATENATE("R41C",'Mapa final'!$R$131),"")</f>
        <v/>
      </c>
      <c r="L135" s="164" t="str">
        <f>IF(AND('Mapa final'!$AB$132="Media",'Mapa final'!$AD$132="Leve"),CONCATENATE("R41C",'Mapa final'!$R$132),"")</f>
        <v/>
      </c>
      <c r="M135" s="163" t="str">
        <f>IF(AND('Mapa final'!$AB$130="Media",'Mapa final'!$AD$130="Menor"),CONCATENATE("R41C",'Mapa final'!$R$130),"")</f>
        <v/>
      </c>
      <c r="N135" s="190" t="str">
        <f>IF(AND('Mapa final'!$AB$131="Media",'Mapa final'!$AD$131="Menor"),CONCATENATE("R41C",'Mapa final'!$R$131),"")</f>
        <v/>
      </c>
      <c r="O135" s="164" t="str">
        <f>IF(AND('Mapa final'!$AB$132="Media",'Mapa final'!$AD$132="Menor"),CONCATENATE("R41C",'Mapa final'!$R$132),"")</f>
        <v/>
      </c>
      <c r="P135" s="163" t="str">
        <f>IF(AND('Mapa final'!$AB$130="Media",'Mapa final'!$AD$130="Moderado"),CONCATENATE("R41C",'Mapa final'!$R$130),"")</f>
        <v/>
      </c>
      <c r="Q135" s="190" t="str">
        <f>IF(AND('Mapa final'!$AB$131="Media",'Mapa final'!$AD$131="Moderado"),CONCATENATE("R41C",'Mapa final'!$R$131),"")</f>
        <v/>
      </c>
      <c r="R135" s="164" t="str">
        <f>IF(AND('Mapa final'!$AB$132="Media",'Mapa final'!$AD$132="Moderado"),CONCATENATE("R41C",'Mapa final'!$R$132),"")</f>
        <v/>
      </c>
      <c r="S135" s="195" t="str">
        <f>IF(AND('Mapa final'!$AB$130="Media",'Mapa final'!$AD$130="Mayor"),CONCATENATE("R41C",'Mapa final'!$R$130),"")</f>
        <v/>
      </c>
      <c r="T135" s="196" t="str">
        <f>IF(AND('Mapa final'!$AB$131="Media",'Mapa final'!$AD$131="Mayor"),CONCATENATE("R41C",'Mapa final'!$R$131),"")</f>
        <v/>
      </c>
      <c r="U135" s="197" t="str">
        <f>IF(AND('Mapa final'!$AB$132="Media",'Mapa final'!$AD$132="Mayor"),CONCATENATE("R41C",'Mapa final'!$R$132),"")</f>
        <v/>
      </c>
      <c r="V135" s="158" t="str">
        <f>IF(AND('Mapa final'!$AB$130="Media",'Mapa final'!$AD$130="Catastrófico"),CONCATENATE("R41C",'Mapa final'!$R$130),"")</f>
        <v/>
      </c>
      <c r="W135" s="189" t="str">
        <f>IF(AND('Mapa final'!$AB$131="Media",'Mapa final'!$AD$131="Catastrófico"),CONCATENATE("R41C",'Mapa final'!$R$131),"")</f>
        <v/>
      </c>
      <c r="X135" s="159" t="str">
        <f>IF(AND('Mapa final'!$AB$132="Media",'Mapa final'!$AD$132="Catastrófico"),CONCATENATE("R41C",'Mapa final'!$R$132),"")</f>
        <v/>
      </c>
      <c r="Y135" s="38"/>
      <c r="Z135" s="308"/>
      <c r="AA135" s="309"/>
      <c r="AB135" s="309"/>
      <c r="AC135" s="309"/>
      <c r="AD135" s="309"/>
      <c r="AE135" s="310"/>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row>
    <row r="136" spans="1:61" ht="15" customHeight="1" x14ac:dyDescent="0.25">
      <c r="A136" s="38"/>
      <c r="B136" s="291"/>
      <c r="C136" s="292"/>
      <c r="D136" s="293"/>
      <c r="E136" s="275"/>
      <c r="F136" s="274"/>
      <c r="G136" s="274"/>
      <c r="H136" s="274"/>
      <c r="I136" s="274"/>
      <c r="J136" s="163" t="str">
        <f>IF(AND('Mapa final'!$AB$133="Media",'Mapa final'!$AD$133="Leve"),CONCATENATE("R42C",'Mapa final'!$R$133),"")</f>
        <v/>
      </c>
      <c r="K136" s="190" t="str">
        <f>IF(AND('Mapa final'!$AB$134="Media",'Mapa final'!$AD$134="Leve"),CONCATENATE("R42C",'Mapa final'!$R$134),"")</f>
        <v/>
      </c>
      <c r="L136" s="164" t="str">
        <f>IF(AND('Mapa final'!$AB$135="Media",'Mapa final'!$AD$135="Leve"),CONCATENATE("R42C",'Mapa final'!$R$135),"")</f>
        <v/>
      </c>
      <c r="M136" s="163" t="str">
        <f>IF(AND('Mapa final'!$AB$133="Media",'Mapa final'!$AD$133="Menor"),CONCATENATE("R42C",'Mapa final'!$R$133),"")</f>
        <v/>
      </c>
      <c r="N136" s="190" t="str">
        <f>IF(AND('Mapa final'!$AB$134="Media",'Mapa final'!$AD$134="Menor"),CONCATENATE("R42C",'Mapa final'!$R$134),"")</f>
        <v/>
      </c>
      <c r="O136" s="164" t="str">
        <f>IF(AND('Mapa final'!$AB$135="Media",'Mapa final'!$AD$135="Menor"),CONCATENATE("R42C",'Mapa final'!$R$135),"")</f>
        <v/>
      </c>
      <c r="P136" s="163" t="str">
        <f>IF(AND('Mapa final'!$AB$133="Media",'Mapa final'!$AD$133="Moderado"),CONCATENATE("R42C",'Mapa final'!$R$133),"")</f>
        <v/>
      </c>
      <c r="Q136" s="190" t="str">
        <f>IF(AND('Mapa final'!$AB$134="Media",'Mapa final'!$AD$134="Moderado"),CONCATENATE("R42C",'Mapa final'!$R$134),"")</f>
        <v/>
      </c>
      <c r="R136" s="164" t="str">
        <f>IF(AND('Mapa final'!$AB$135="Media",'Mapa final'!$AD$135="Moderado"),CONCATENATE("R42C",'Mapa final'!$R$135),"")</f>
        <v/>
      </c>
      <c r="S136" s="195" t="str">
        <f>IF(AND('Mapa final'!$AB$133="Media",'Mapa final'!$AD$133="Mayor"),CONCATENATE("R42C",'Mapa final'!$R$133),"")</f>
        <v/>
      </c>
      <c r="T136" s="196" t="str">
        <f>IF(AND('Mapa final'!$AB$134="Media",'Mapa final'!$AD$134="Mayor"),CONCATENATE("R42C",'Mapa final'!$R$134),"")</f>
        <v/>
      </c>
      <c r="U136" s="197" t="str">
        <f>IF(AND('Mapa final'!$AB$135="Media",'Mapa final'!$AD$135="Mayor"),CONCATENATE("R42C",'Mapa final'!$R$135),"")</f>
        <v/>
      </c>
      <c r="V136" s="158" t="str">
        <f>IF(AND('Mapa final'!$AB$133="Media",'Mapa final'!$AD$133="Catastrófico"),CONCATENATE("R42C",'Mapa final'!$R$133),"")</f>
        <v/>
      </c>
      <c r="W136" s="189" t="str">
        <f>IF(AND('Mapa final'!$AB$134="Media",'Mapa final'!$AD$134="Catastrófico"),CONCATENATE("R42C",'Mapa final'!$R$134),"")</f>
        <v/>
      </c>
      <c r="X136" s="159" t="str">
        <f>IF(AND('Mapa final'!$AB$135="Media",'Mapa final'!$AD$135="Catastrófico"),CONCATENATE("R42C",'Mapa final'!$R$135),"")</f>
        <v/>
      </c>
      <c r="Y136" s="38"/>
      <c r="Z136" s="308"/>
      <c r="AA136" s="309"/>
      <c r="AB136" s="309"/>
      <c r="AC136" s="309"/>
      <c r="AD136" s="309"/>
      <c r="AE136" s="310"/>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row>
    <row r="137" spans="1:61" ht="15" customHeight="1" thickBot="1" x14ac:dyDescent="0.3">
      <c r="A137" s="38"/>
      <c r="B137" s="291"/>
      <c r="C137" s="292"/>
      <c r="D137" s="293"/>
      <c r="E137" s="275"/>
      <c r="F137" s="274"/>
      <c r="G137" s="274"/>
      <c r="H137" s="274"/>
      <c r="I137" s="274"/>
      <c r="J137" s="163" t="str">
        <f>IF(AND('Mapa final'!$AB$136="Media",'Mapa final'!$AD$136="Leve"),CONCATENATE("R43C",'Mapa final'!$R$136),"")</f>
        <v/>
      </c>
      <c r="K137" s="190" t="str">
        <f>IF(AND('Mapa final'!$AB$137="Media",'Mapa final'!$AD$137="Leve"),CONCATENATE("R43C",'Mapa final'!$R$137),"")</f>
        <v/>
      </c>
      <c r="L137" s="164" t="str">
        <f>IF(AND('Mapa final'!$AB$138="Media",'Mapa final'!$AD$138="Leve"),CONCATENATE("R43C",'Mapa final'!$R$138),"")</f>
        <v/>
      </c>
      <c r="M137" s="163" t="str">
        <f>IF(AND('Mapa final'!$AB$136="Media",'Mapa final'!$AD$136="Menor"),CONCATENATE("R43C",'Mapa final'!$R$136),"")</f>
        <v/>
      </c>
      <c r="N137" s="190" t="str">
        <f>IF(AND('Mapa final'!$AB$137="Media",'Mapa final'!$AD$137="Menor"),CONCATENATE("R43C",'Mapa final'!$R$137),"")</f>
        <v/>
      </c>
      <c r="O137" s="164" t="str">
        <f>IF(AND('Mapa final'!$AB$138="Media",'Mapa final'!$AD$138="Menor"),CONCATENATE("R43C",'Mapa final'!$R$138),"")</f>
        <v/>
      </c>
      <c r="P137" s="163" t="str">
        <f>IF(AND('Mapa final'!$AB$136="Media",'Mapa final'!$AD$136="Moderado"),CONCATENATE("R43C",'Mapa final'!$R$136),"")</f>
        <v/>
      </c>
      <c r="Q137" s="190" t="str">
        <f>IF(AND('Mapa final'!$AB$137="Media",'Mapa final'!$AD$137="Moderado"),CONCATENATE("R43C",'Mapa final'!$R$137),"")</f>
        <v/>
      </c>
      <c r="R137" s="164" t="str">
        <f>IF(AND('Mapa final'!$AB$138="Media",'Mapa final'!$AD$138="Moderado"),CONCATENATE("R43C",'Mapa final'!$R$138),"")</f>
        <v/>
      </c>
      <c r="S137" s="195" t="str">
        <f>IF(AND('Mapa final'!$AB$136="Media",'Mapa final'!$AD$136="Mayor"),CONCATENATE("R43C",'Mapa final'!$R$136),"")</f>
        <v/>
      </c>
      <c r="T137" s="196" t="str">
        <f>IF(AND('Mapa final'!$AB$137="Media",'Mapa final'!$AD$137="Mayor"),CONCATENATE("R43C",'Mapa final'!$R$137),"")</f>
        <v/>
      </c>
      <c r="U137" s="197" t="str">
        <f>IF(AND('Mapa final'!$AB$138="Media",'Mapa final'!$AD$138="Mayor"),CONCATENATE("R43C",'Mapa final'!$R$138),"")</f>
        <v/>
      </c>
      <c r="V137" s="158" t="str">
        <f>IF(AND('Mapa final'!$AB$136="Media",'Mapa final'!$AD$136="Catastrófico"),CONCATENATE("R43C",'Mapa final'!$R$136),"")</f>
        <v/>
      </c>
      <c r="W137" s="189" t="str">
        <f>IF(AND('Mapa final'!$AB$137="Media",'Mapa final'!$AD$137="Catastrófico"),CONCATENATE("R43C",'Mapa final'!$R$137),"")</f>
        <v/>
      </c>
      <c r="X137" s="159" t="str">
        <f>IF(AND('Mapa final'!$AB$138="Media",'Mapa final'!$AD$138="Catastrófico"),CONCATENATE("R43C",'Mapa final'!$R$138),"")</f>
        <v/>
      </c>
      <c r="Y137" s="38"/>
      <c r="Z137" s="311"/>
      <c r="AA137" s="312"/>
      <c r="AB137" s="312"/>
      <c r="AC137" s="312"/>
      <c r="AD137" s="312"/>
      <c r="AE137" s="313"/>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row>
    <row r="138" spans="1:61" ht="15" customHeight="1" x14ac:dyDescent="0.25">
      <c r="A138" s="38"/>
      <c r="B138" s="291"/>
      <c r="C138" s="292"/>
      <c r="D138" s="293"/>
      <c r="E138" s="271" t="s">
        <v>105</v>
      </c>
      <c r="F138" s="272"/>
      <c r="G138" s="272"/>
      <c r="H138" s="272"/>
      <c r="I138" s="272"/>
      <c r="J138" s="168" t="str">
        <f>IF(AND('Mapa final'!$AB$7="Baja",'Mapa final'!$AD$7="Leve"),CONCATENATE("R1C",'Mapa final'!$R$7),"")</f>
        <v/>
      </c>
      <c r="K138" s="169" t="str">
        <f>IF(AND('Mapa final'!$AB$8="Baja",'Mapa final'!$AD$8="Leve"),CONCATENATE("R1C",'Mapa final'!$R$8),"")</f>
        <v/>
      </c>
      <c r="L138" s="170" t="str">
        <f>IF(AND('Mapa final'!$AB$9="Baja",'Mapa final'!$AD$9="Leve"),CONCATENATE("R1C",'Mapa final'!$R$9),"")</f>
        <v/>
      </c>
      <c r="M138" s="160" t="str">
        <f>IF(AND('Mapa final'!$AB$7="Baja",'Mapa final'!$AD$7="Menor"),CONCATENATE("R1C",'Mapa final'!$R$7),"")</f>
        <v/>
      </c>
      <c r="N138" s="161" t="str">
        <f>IF(AND('Mapa final'!$AB$8="Baja",'Mapa final'!$AD$8="Menor"),CONCATENATE("R1C",'Mapa final'!$R$8),"")</f>
        <v/>
      </c>
      <c r="O138" s="162" t="str">
        <f>IF(AND('Mapa final'!$AB$9="Baja",'Mapa final'!$AD$9="Menor"),CONCATENATE("R1C",'Mapa final'!$R$9),"")</f>
        <v/>
      </c>
      <c r="P138" s="160" t="str">
        <f>IF(AND('Mapa final'!$AB$7="Baja",'Mapa final'!$AD$7="Moderado"),CONCATENATE("R1C",'Mapa final'!$R$7),"")</f>
        <v>R1C1</v>
      </c>
      <c r="Q138" s="161" t="str">
        <f>IF(AND('Mapa final'!$AB$8="Baja",'Mapa final'!$AD$8="Moderado"),CONCATENATE("R1C",'Mapa final'!$R$8),"")</f>
        <v>R1C2</v>
      </c>
      <c r="R138" s="162" t="str">
        <f>IF(AND('Mapa final'!$AB$9="Baja",'Mapa final'!$AD$9="Moderado"),CONCATENATE("R1C",'Mapa final'!$R$9),"")</f>
        <v/>
      </c>
      <c r="S138" s="192" t="str">
        <f>IF(AND('Mapa final'!$AB$7="Baja",'Mapa final'!$AD$7="Mayor"),CONCATENATE("R1C",'Mapa final'!$R$7),"")</f>
        <v/>
      </c>
      <c r="T138" s="193" t="str">
        <f>IF(AND('Mapa final'!$AB$8="Baja",'Mapa final'!$AD$8="Mayor"),CONCATENATE("R1C",'Mapa final'!$R$8),"")</f>
        <v/>
      </c>
      <c r="U138" s="194" t="str">
        <f>IF(AND('Mapa final'!$AB$9="Baja",'Mapa final'!$AD$9="Mayor"),CONCATENATE("R1C",'Mapa final'!$R$9),"")</f>
        <v/>
      </c>
      <c r="V138" s="155" t="str">
        <f>IF(AND('Mapa final'!$AB$7="Baja",'Mapa final'!$AD$7="Catastrófico"),CONCATENATE("R1C",'Mapa final'!$R$7),"")</f>
        <v/>
      </c>
      <c r="W138" s="156" t="str">
        <f>IF(AND('Mapa final'!$AB$8="Baja",'Mapa final'!$AD$8="Catastrófico"),CONCATENATE("R1C",'Mapa final'!$R$8),"")</f>
        <v/>
      </c>
      <c r="X138" s="157" t="str">
        <f>IF(AND('Mapa final'!$AB$9="Baja",'Mapa final'!$AD$9="Catastrófico"),CONCATENATE("R1C",'Mapa final'!$R$9),"")</f>
        <v/>
      </c>
      <c r="Y138" s="38"/>
      <c r="Z138" s="302" t="s">
        <v>76</v>
      </c>
      <c r="AA138" s="303"/>
      <c r="AB138" s="303"/>
      <c r="AC138" s="303"/>
      <c r="AD138" s="303"/>
      <c r="AE138" s="304"/>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row>
    <row r="139" spans="1:61" ht="15" customHeight="1" x14ac:dyDescent="0.25">
      <c r="A139" s="38"/>
      <c r="B139" s="291"/>
      <c r="C139" s="292"/>
      <c r="D139" s="293"/>
      <c r="E139" s="273"/>
      <c r="F139" s="274"/>
      <c r="G139" s="274"/>
      <c r="H139" s="274"/>
      <c r="I139" s="274"/>
      <c r="J139" s="171" t="str">
        <f>IF(AND('Mapa final'!$AB$10="Baja",'Mapa final'!$AD$10="Leve"),CONCATENATE("R2C",'Mapa final'!$R$10),"")</f>
        <v/>
      </c>
      <c r="K139" s="191" t="str">
        <f>IF(AND('Mapa final'!$AB$11="Baja",'Mapa final'!$AD$11="Leve"),CONCATENATE("R2C",'Mapa final'!$R$11),"")</f>
        <v/>
      </c>
      <c r="L139" s="172" t="str">
        <f>IF(AND('Mapa final'!$AB$12="Baja",'Mapa final'!$AD$12="Leve"),CONCATENATE("R2C",'Mapa final'!$R$12),"")</f>
        <v/>
      </c>
      <c r="M139" s="163" t="str">
        <f>IF(AND('Mapa final'!$AB$10="Baja",'Mapa final'!$AD$10="Menor"),CONCATENATE("R2C",'Mapa final'!$R$10),"")</f>
        <v/>
      </c>
      <c r="N139" s="190" t="str">
        <f>IF(AND('Mapa final'!$AB$11="Baja",'Mapa final'!$AD$11="Menor"),CONCATENATE("R2C",'Mapa final'!$R$11),"")</f>
        <v/>
      </c>
      <c r="O139" s="164" t="str">
        <f>IF(AND('Mapa final'!$AB$12="Baja",'Mapa final'!$AD$12="Menor"),CONCATENATE("R2C",'Mapa final'!$R$12),"")</f>
        <v/>
      </c>
      <c r="P139" s="163" t="str">
        <f>IF(AND('Mapa final'!$AB$10="Baja",'Mapa final'!$AD$10="Moderado"),CONCATENATE("R2C",'Mapa final'!$R$10),"")</f>
        <v>R2C1</v>
      </c>
      <c r="Q139" s="190" t="str">
        <f>IF(AND('Mapa final'!$AB$11="Baja",'Mapa final'!$AD$11="Moderado"),CONCATENATE("R2C",'Mapa final'!$R$11),"")</f>
        <v/>
      </c>
      <c r="R139" s="164" t="str">
        <f>IF(AND('Mapa final'!$AB$12="Baja",'Mapa final'!$AD$12="Moderado"),CONCATENATE("R2C",'Mapa final'!$R$12),"")</f>
        <v/>
      </c>
      <c r="S139" s="195" t="str">
        <f>IF(AND('Mapa final'!$AB$10="Baja",'Mapa final'!$AD$10="Mayor"),CONCATENATE("R2C",'Mapa final'!$R$10),"")</f>
        <v/>
      </c>
      <c r="T139" s="196" t="str">
        <f>IF(AND('Mapa final'!$AB$11="Baja",'Mapa final'!$AD$11="Mayor"),CONCATENATE("R2C",'Mapa final'!$R$11),"")</f>
        <v/>
      </c>
      <c r="U139" s="197" t="str">
        <f>IF(AND('Mapa final'!$AB$12="Baja",'Mapa final'!$AD$12="Mayor"),CONCATENATE("R2C",'Mapa final'!$R$12),"")</f>
        <v/>
      </c>
      <c r="V139" s="158" t="str">
        <f>IF(AND('Mapa final'!$AB$10="Baja",'Mapa final'!$AD$10="Catastrófico"),CONCATENATE("R2C",'Mapa final'!$R$10),"")</f>
        <v/>
      </c>
      <c r="W139" s="189" t="str">
        <f>IF(AND('Mapa final'!$AB$11="Baja",'Mapa final'!$AD$11="Catastrófico"),CONCATENATE("R2C",'Mapa final'!$R$11),"")</f>
        <v/>
      </c>
      <c r="X139" s="159" t="str">
        <f>IF(AND('Mapa final'!$AB$12="Baja",'Mapa final'!$AD$12="Catastrófico"),CONCATENATE("R2C",'Mapa final'!$R$12),"")</f>
        <v/>
      </c>
      <c r="Y139" s="38"/>
      <c r="Z139" s="302"/>
      <c r="AA139" s="303"/>
      <c r="AB139" s="303"/>
      <c r="AC139" s="303"/>
      <c r="AD139" s="303"/>
      <c r="AE139" s="304"/>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row>
    <row r="140" spans="1:61" ht="15" customHeight="1" x14ac:dyDescent="0.25">
      <c r="A140" s="38"/>
      <c r="B140" s="291"/>
      <c r="C140" s="292"/>
      <c r="D140" s="293"/>
      <c r="E140" s="273"/>
      <c r="F140" s="274"/>
      <c r="G140" s="274"/>
      <c r="H140" s="274"/>
      <c r="I140" s="274"/>
      <c r="J140" s="171" t="str">
        <f>IF(AND('Mapa final'!$AB$13="Baja",'Mapa final'!$AD$13="Leve"),CONCATENATE("R3C",'Mapa final'!$R$13),"")</f>
        <v/>
      </c>
      <c r="K140" s="191" t="str">
        <f>IF(AND('Mapa final'!$AB$14="Baja",'Mapa final'!$AD$14="Leve"),CONCATENATE("R3C",'Mapa final'!$R$14),"")</f>
        <v/>
      </c>
      <c r="L140" s="172" t="str">
        <f>IF(AND('Mapa final'!$AB$15="Baja",'Mapa final'!$AD$15="Leve"),CONCATENATE("R3C",'Mapa final'!$R$15),"")</f>
        <v/>
      </c>
      <c r="M140" s="163" t="str">
        <f>IF(AND('Mapa final'!$AB$13="Baja",'Mapa final'!$AD$13="Menor"),CONCATENATE("R3C",'Mapa final'!$R$13),"")</f>
        <v/>
      </c>
      <c r="N140" s="190" t="str">
        <f>IF(AND('Mapa final'!$AB$14="Baja",'Mapa final'!$AD$14="Menor"),CONCATENATE("R3C",'Mapa final'!$R$14),"")</f>
        <v/>
      </c>
      <c r="O140" s="164" t="str">
        <f>IF(AND('Mapa final'!$AB$15="Baja",'Mapa final'!$AD$15="Menor"),CONCATENATE("R3C",'Mapa final'!$R$15),"")</f>
        <v/>
      </c>
      <c r="P140" s="163" t="str">
        <f>IF(AND('Mapa final'!$AB$13="Baja",'Mapa final'!$AD$13="Moderado"),CONCATENATE("R3C",'Mapa final'!$R$13),"")</f>
        <v>R3C1</v>
      </c>
      <c r="Q140" s="190" t="str">
        <f>IF(AND('Mapa final'!$AB$14="Baja",'Mapa final'!$AD$14="Moderado"),CONCATENATE("R3C",'Mapa final'!$R$14),"")</f>
        <v/>
      </c>
      <c r="R140" s="164" t="str">
        <f>IF(AND('Mapa final'!$AB$15="Baja",'Mapa final'!$AD$15="Moderado"),CONCATENATE("R3C",'Mapa final'!$R$15),"")</f>
        <v/>
      </c>
      <c r="S140" s="195" t="str">
        <f>IF(AND('Mapa final'!$AB$13="Baja",'Mapa final'!$AD$13="Mayor"),CONCATENATE("R3C",'Mapa final'!$R$13),"")</f>
        <v/>
      </c>
      <c r="T140" s="196" t="str">
        <f>IF(AND('Mapa final'!$AB$14="Baja",'Mapa final'!$AD$14="Mayor"),CONCATENATE("R3C",'Mapa final'!$R$14),"")</f>
        <v/>
      </c>
      <c r="U140" s="197" t="str">
        <f>IF(AND('Mapa final'!$AB$15="Baja",'Mapa final'!$AD$15="Mayor"),CONCATENATE("R3C",'Mapa final'!$R$15),"")</f>
        <v/>
      </c>
      <c r="V140" s="158" t="str">
        <f>IF(AND('Mapa final'!$AB$13="Baja",'Mapa final'!$AD$13="Catastrófico"),CONCATENATE("R3C",'Mapa final'!$R$13),"")</f>
        <v/>
      </c>
      <c r="W140" s="189" t="str">
        <f>IF(AND('Mapa final'!$AB$14="Baja",'Mapa final'!$AD$14="Catastrófico"),CONCATENATE("R3C",'Mapa final'!$R$14),"")</f>
        <v/>
      </c>
      <c r="X140" s="159" t="str">
        <f>IF(AND('Mapa final'!$AB$15="Baja",'Mapa final'!$AD$15="Catastrófico"),CONCATENATE("R3C",'Mapa final'!$R$15),"")</f>
        <v/>
      </c>
      <c r="Y140" s="38"/>
      <c r="Z140" s="302"/>
      <c r="AA140" s="303"/>
      <c r="AB140" s="303"/>
      <c r="AC140" s="303"/>
      <c r="AD140" s="303"/>
      <c r="AE140" s="304"/>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row>
    <row r="141" spans="1:61" ht="15" customHeight="1" x14ac:dyDescent="0.25">
      <c r="A141" s="38"/>
      <c r="B141" s="291"/>
      <c r="C141" s="292"/>
      <c r="D141" s="293"/>
      <c r="E141" s="273"/>
      <c r="F141" s="274"/>
      <c r="G141" s="274"/>
      <c r="H141" s="274"/>
      <c r="I141" s="274"/>
      <c r="J141" s="171" t="str">
        <f>IF(AND('Mapa final'!$AB$16="Baja",'Mapa final'!$AD$16="Leve"),CONCATENATE("R4C",'Mapa final'!$R$16),"")</f>
        <v/>
      </c>
      <c r="K141" s="191" t="str">
        <f>IF(AND('Mapa final'!$AB$17="Baja",'Mapa final'!$AD$17="Leve"),CONCATENATE("R4C",'Mapa final'!$R$17),"")</f>
        <v/>
      </c>
      <c r="L141" s="172" t="str">
        <f>IF(AND('Mapa final'!$AB$18="Baja",'Mapa final'!$AD$18="Leve"),CONCATENATE("R4C",'Mapa final'!$R$18),"")</f>
        <v/>
      </c>
      <c r="M141" s="163" t="str">
        <f>IF(AND('Mapa final'!$AB$16="Baja",'Mapa final'!$AD$16="Menor"),CONCATENATE("R4C",'Mapa final'!$R$16),"")</f>
        <v/>
      </c>
      <c r="N141" s="190" t="str">
        <f>IF(AND('Mapa final'!$AB$17="Baja",'Mapa final'!$AD$17="Menor"),CONCATENATE("R4C",'Mapa final'!$R$17),"")</f>
        <v/>
      </c>
      <c r="O141" s="164" t="str">
        <f>IF(AND('Mapa final'!$AB$18="Baja",'Mapa final'!$AD$18="Menor"),CONCATENATE("R4C",'Mapa final'!$R$18),"")</f>
        <v/>
      </c>
      <c r="P141" s="163" t="str">
        <f>IF(AND('Mapa final'!$AB$16="Baja",'Mapa final'!$AD$16="Moderado"),CONCATENATE("R4C",'Mapa final'!$R$16),"")</f>
        <v/>
      </c>
      <c r="Q141" s="190" t="str">
        <f>IF(AND('Mapa final'!$AB$17="Baja",'Mapa final'!$AD$17="Moderado"),CONCATENATE("R4C",'Mapa final'!$R$17),"")</f>
        <v/>
      </c>
      <c r="R141" s="164" t="str">
        <f>IF(AND('Mapa final'!$AB$18="Baja",'Mapa final'!$AD$18="Moderado"),CONCATENATE("R4C",'Mapa final'!$R$18),"")</f>
        <v/>
      </c>
      <c r="S141" s="195" t="str">
        <f>IF(AND('Mapa final'!$AB$16="Baja",'Mapa final'!$AD$16="Mayor"),CONCATENATE("R4C",'Mapa final'!$R$16),"")</f>
        <v/>
      </c>
      <c r="T141" s="196" t="str">
        <f>IF(AND('Mapa final'!$AB$17="Baja",'Mapa final'!$AD$17="Mayor"),CONCATENATE("R4C",'Mapa final'!$R$17),"")</f>
        <v/>
      </c>
      <c r="U141" s="197" t="str">
        <f>IF(AND('Mapa final'!$AB$18="Baja",'Mapa final'!$AD$18="Mayor"),CONCATENATE("R4C",'Mapa final'!$R$18),"")</f>
        <v/>
      </c>
      <c r="V141" s="158" t="str">
        <f>IF(AND('Mapa final'!$AB$16="Baja",'Mapa final'!$AD$16="Catastrófico"),CONCATENATE("R4C",'Mapa final'!$R$16),"")</f>
        <v/>
      </c>
      <c r="W141" s="189" t="str">
        <f>IF(AND('Mapa final'!$AB$17="Baja",'Mapa final'!$AD$17="Catastrófico"),CONCATENATE("R4C",'Mapa final'!$R$17),"")</f>
        <v/>
      </c>
      <c r="X141" s="159" t="str">
        <f>IF(AND('Mapa final'!$AB$18="Baja",'Mapa final'!$AD$18="Catastrófico"),CONCATENATE("R4C",'Mapa final'!$R$18),"")</f>
        <v/>
      </c>
      <c r="Y141" s="38"/>
      <c r="Z141" s="302"/>
      <c r="AA141" s="303"/>
      <c r="AB141" s="303"/>
      <c r="AC141" s="303"/>
      <c r="AD141" s="303"/>
      <c r="AE141" s="304"/>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row>
    <row r="142" spans="1:61" ht="15" customHeight="1" x14ac:dyDescent="0.25">
      <c r="A142" s="38"/>
      <c r="B142" s="291"/>
      <c r="C142" s="292"/>
      <c r="D142" s="293"/>
      <c r="E142" s="273"/>
      <c r="F142" s="274"/>
      <c r="G142" s="274"/>
      <c r="H142" s="274"/>
      <c r="I142" s="274"/>
      <c r="J142" s="171" t="str">
        <f>IF(AND('Mapa final'!$AB$19="Baja",'Mapa final'!$AD$19="Leve"),CONCATENATE("R5C",'Mapa final'!$R$19),"")</f>
        <v/>
      </c>
      <c r="K142" s="191" t="str">
        <f>IF(AND('Mapa final'!$AB$20="Baja",'Mapa final'!$AD$20="Leve"),CONCATENATE("R5C",'Mapa final'!$R$20),"")</f>
        <v/>
      </c>
      <c r="L142" s="172" t="str">
        <f>IF(AND('Mapa final'!$AB$21="Baja",'Mapa final'!$AD$21="Leve"),CONCATENATE("R5C",'Mapa final'!$R$21),"")</f>
        <v/>
      </c>
      <c r="M142" s="163" t="str">
        <f>IF(AND('Mapa final'!$AB$19="Baja",'Mapa final'!$AD$19="Menor"),CONCATENATE("R5C",'Mapa final'!$R$19),"")</f>
        <v/>
      </c>
      <c r="N142" s="190" t="str">
        <f>IF(AND('Mapa final'!$AB$20="Baja",'Mapa final'!$AD$20="Menor"),CONCATENATE("R5C",'Mapa final'!$R$20),"")</f>
        <v/>
      </c>
      <c r="O142" s="164" t="str">
        <f>IF(AND('Mapa final'!$AB$21="Baja",'Mapa final'!$AD$21="Menor"),CONCATENATE("R5C",'Mapa final'!$R$21),"")</f>
        <v/>
      </c>
      <c r="P142" s="163" t="str">
        <f>IF(AND('Mapa final'!$AB$19="Baja",'Mapa final'!$AD$19="Moderado"),CONCATENATE("R5C",'Mapa final'!$R$19),"")</f>
        <v/>
      </c>
      <c r="Q142" s="190" t="str">
        <f>IF(AND('Mapa final'!$AB$20="Baja",'Mapa final'!$AD$20="Moderado"),CONCATENATE("R5C",'Mapa final'!$R$20),"")</f>
        <v/>
      </c>
      <c r="R142" s="164" t="str">
        <f>IF(AND('Mapa final'!$AB$21="Baja",'Mapa final'!$AD$21="Moderado"),CONCATENATE("R5C",'Mapa final'!$R$21),"")</f>
        <v/>
      </c>
      <c r="S142" s="195" t="str">
        <f>IF(AND('Mapa final'!$AB$19="Baja",'Mapa final'!$AD$19="Mayor"),CONCATENATE("R5C",'Mapa final'!$R$19),"")</f>
        <v/>
      </c>
      <c r="T142" s="196" t="str">
        <f>IF(AND('Mapa final'!$AB$20="Baja",'Mapa final'!$AD$20="Mayor"),CONCATENATE("R5C",'Mapa final'!$R$20),"")</f>
        <v/>
      </c>
      <c r="U142" s="197" t="str">
        <f>IF(AND('Mapa final'!$AB$21="Baja",'Mapa final'!$AD$21="Mayor"),CONCATENATE("R5C",'Mapa final'!$R$21),"")</f>
        <v/>
      </c>
      <c r="V142" s="158" t="str">
        <f>IF(AND('Mapa final'!$AB$19="Baja",'Mapa final'!$AD$19="Catastrófico"),CONCATENATE("R5C",'Mapa final'!$R$19),"")</f>
        <v/>
      </c>
      <c r="W142" s="189" t="str">
        <f>IF(AND('Mapa final'!$AB$20="Baja",'Mapa final'!$AD$20="Catastrófico"),CONCATENATE("R5C",'Mapa final'!$R$20),"")</f>
        <v/>
      </c>
      <c r="X142" s="159" t="str">
        <f>IF(AND('Mapa final'!$AB$21="Baja",'Mapa final'!$AD$21="Catastrófico"),CONCATENATE("R5C",'Mapa final'!$R$21),"")</f>
        <v/>
      </c>
      <c r="Y142" s="38"/>
      <c r="Z142" s="302"/>
      <c r="AA142" s="303"/>
      <c r="AB142" s="303"/>
      <c r="AC142" s="303"/>
      <c r="AD142" s="303"/>
      <c r="AE142" s="304"/>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row>
    <row r="143" spans="1:61" ht="15" customHeight="1" x14ac:dyDescent="0.25">
      <c r="A143" s="38"/>
      <c r="B143" s="291"/>
      <c r="C143" s="292"/>
      <c r="D143" s="293"/>
      <c r="E143" s="273"/>
      <c r="F143" s="274"/>
      <c r="G143" s="274"/>
      <c r="H143" s="274"/>
      <c r="I143" s="274"/>
      <c r="J143" s="171" t="str">
        <f>IF(AND('Mapa final'!$AB$22="Baja",'Mapa final'!$AD$22="Leve"),CONCATENATE("R6C",'Mapa final'!$R$22),"")</f>
        <v/>
      </c>
      <c r="K143" s="191" t="str">
        <f>IF(AND('Mapa final'!$AB$23="Baja",'Mapa final'!$AD$23="Leve"),CONCATENATE("R6C",'Mapa final'!$R$23),"")</f>
        <v/>
      </c>
      <c r="L143" s="172" t="str">
        <f>IF(AND('Mapa final'!$AB$24="Baja",'Mapa final'!$AD$24="Leve"),CONCATENATE("R6C",'Mapa final'!$R$24),"")</f>
        <v/>
      </c>
      <c r="M143" s="163" t="str">
        <f>IF(AND('Mapa final'!$AB$22="Baja",'Mapa final'!$AD$22="Menor"),CONCATENATE("R6C",'Mapa final'!$R$22),"")</f>
        <v/>
      </c>
      <c r="N143" s="190" t="str">
        <f>IF(AND('Mapa final'!$AB$23="Baja",'Mapa final'!$AD$23="Menor"),CONCATENATE("R6C",'Mapa final'!$R$23),"")</f>
        <v/>
      </c>
      <c r="O143" s="164" t="str">
        <f>IF(AND('Mapa final'!$AB$24="Baja",'Mapa final'!$AD$24="Menor"),CONCATENATE("R6C",'Mapa final'!$R$24),"")</f>
        <v/>
      </c>
      <c r="P143" s="163" t="str">
        <f>IF(AND('Mapa final'!$AB$22="Baja",'Mapa final'!$AD$22="Moderado"),CONCATENATE("R6C",'Mapa final'!$R$22),"")</f>
        <v/>
      </c>
      <c r="Q143" s="190" t="str">
        <f>IF(AND('Mapa final'!$AB$23="Baja",'Mapa final'!$AD$23="Moderado"),CONCATENATE("R6C",'Mapa final'!$R$23),"")</f>
        <v/>
      </c>
      <c r="R143" s="164" t="str">
        <f>IF(AND('Mapa final'!$AB$24="Baja",'Mapa final'!$AD$24="Moderado"),CONCATENATE("R6C",'Mapa final'!$R$24),"")</f>
        <v/>
      </c>
      <c r="S143" s="195" t="str">
        <f>IF(AND('Mapa final'!$AB$22="Baja",'Mapa final'!$AD$22="Mayor"),CONCATENATE("R6C",'Mapa final'!$R$22),"")</f>
        <v/>
      </c>
      <c r="T143" s="196" t="str">
        <f>IF(AND('Mapa final'!$AB$23="Baja",'Mapa final'!$AD$23="Mayor"),CONCATENATE("R6C",'Mapa final'!$R$23),"")</f>
        <v/>
      </c>
      <c r="U143" s="197" t="str">
        <f>IF(AND('Mapa final'!$AB$24="Baja",'Mapa final'!$AD$24="Mayor"),CONCATENATE("R6C",'Mapa final'!$R$24),"")</f>
        <v/>
      </c>
      <c r="V143" s="158" t="str">
        <f>IF(AND('Mapa final'!$AB$22="Baja",'Mapa final'!$AD$22="Catastrófico"),CONCATENATE("R6C",'Mapa final'!$R$22),"")</f>
        <v/>
      </c>
      <c r="W143" s="189" t="str">
        <f>IF(AND('Mapa final'!$AB$23="Baja",'Mapa final'!$AD$23="Catastrófico"),CONCATENATE("R6C",'Mapa final'!$R$23),"")</f>
        <v/>
      </c>
      <c r="X143" s="159" t="str">
        <f>IF(AND('Mapa final'!$AB$24="Baja",'Mapa final'!$AD$24="Catastrófico"),CONCATENATE("R6C",'Mapa final'!$R$24),"")</f>
        <v/>
      </c>
      <c r="Y143" s="38"/>
      <c r="Z143" s="302"/>
      <c r="AA143" s="303"/>
      <c r="AB143" s="303"/>
      <c r="AC143" s="303"/>
      <c r="AD143" s="303"/>
      <c r="AE143" s="304"/>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row>
    <row r="144" spans="1:61" ht="15" customHeight="1" x14ac:dyDescent="0.25">
      <c r="A144" s="38"/>
      <c r="B144" s="291"/>
      <c r="C144" s="292"/>
      <c r="D144" s="293"/>
      <c r="E144" s="273"/>
      <c r="F144" s="274"/>
      <c r="G144" s="274"/>
      <c r="H144" s="274"/>
      <c r="I144" s="274"/>
      <c r="J144" s="171" t="str">
        <f>IF(AND('Mapa final'!$AB$25="Baja",'Mapa final'!$AD$25="Leve"),CONCATENATE("R7C",'Mapa final'!$R$25),"")</f>
        <v/>
      </c>
      <c r="K144" s="191" t="str">
        <f>IF(AND('Mapa final'!$AB$26="Baja",'Mapa final'!$AD$26="Leve"),CONCATENATE("R7C",'Mapa final'!$R$26),"")</f>
        <v/>
      </c>
      <c r="L144" s="172" t="str">
        <f>IF(AND('Mapa final'!$AB$27="Baja",'Mapa final'!$AD$27="Leve"),CONCATENATE("R7C",'Mapa final'!$R$27),"")</f>
        <v/>
      </c>
      <c r="M144" s="163" t="str">
        <f>IF(AND('Mapa final'!$AB$25="Baja",'Mapa final'!$AD$25="Menor"),CONCATENATE("R7C",'Mapa final'!$R$25),"")</f>
        <v/>
      </c>
      <c r="N144" s="190" t="str">
        <f>IF(AND('Mapa final'!$AB$26="Baja",'Mapa final'!$AD$26="Menor"),CONCATENATE("R7C",'Mapa final'!$R$26),"")</f>
        <v/>
      </c>
      <c r="O144" s="164" t="str">
        <f>IF(AND('Mapa final'!$AB$27="Baja",'Mapa final'!$AD$27="Menor"),CONCATENATE("R7C",'Mapa final'!$R$27),"")</f>
        <v/>
      </c>
      <c r="P144" s="163" t="str">
        <f>IF(AND('Mapa final'!$AB$25="Baja",'Mapa final'!$AD$25="Moderado"),CONCATENATE("R7C",'Mapa final'!$R$25),"")</f>
        <v/>
      </c>
      <c r="Q144" s="190" t="str">
        <f>IF(AND('Mapa final'!$AB$26="Baja",'Mapa final'!$AD$26="Moderado"),CONCATENATE("R7C",'Mapa final'!$R$26),"")</f>
        <v/>
      </c>
      <c r="R144" s="164" t="str">
        <f>IF(AND('Mapa final'!$AB$27="Baja",'Mapa final'!$AD$27="Moderado"),CONCATENATE("R7C",'Mapa final'!$R$27),"")</f>
        <v/>
      </c>
      <c r="S144" s="195" t="str">
        <f>IF(AND('Mapa final'!$AB$25="Baja",'Mapa final'!$AD$25="Mayor"),CONCATENATE("R7C",'Mapa final'!$R$25),"")</f>
        <v/>
      </c>
      <c r="T144" s="196" t="str">
        <f>IF(AND('Mapa final'!$AB$26="Baja",'Mapa final'!$AD$26="Mayor"),CONCATENATE("R7C",'Mapa final'!$R$26),"")</f>
        <v/>
      </c>
      <c r="U144" s="197" t="str">
        <f>IF(AND('Mapa final'!$AB$27="Baja",'Mapa final'!$AD$27="Mayor"),CONCATENATE("R7C",'Mapa final'!$R$27),"")</f>
        <v/>
      </c>
      <c r="V144" s="158" t="str">
        <f>IF(AND('Mapa final'!$AB$25="Baja",'Mapa final'!$AD$25="Catastrófico"),CONCATENATE("R7C",'Mapa final'!$R$25),"")</f>
        <v/>
      </c>
      <c r="W144" s="189" t="str">
        <f>IF(AND('Mapa final'!$AB$26="Baja",'Mapa final'!$AD$26="Catastrófico"),CONCATENATE("R7C",'Mapa final'!$R$26),"")</f>
        <v/>
      </c>
      <c r="X144" s="159" t="str">
        <f>IF(AND('Mapa final'!$AB$27="Baja",'Mapa final'!$AD$27="Catastrófico"),CONCATENATE("R7C",'Mapa final'!$R$27),"")</f>
        <v/>
      </c>
      <c r="Y144" s="38"/>
      <c r="Z144" s="302"/>
      <c r="AA144" s="303"/>
      <c r="AB144" s="303"/>
      <c r="AC144" s="303"/>
      <c r="AD144" s="303"/>
      <c r="AE144" s="304"/>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row>
    <row r="145" spans="1:61" ht="15" customHeight="1" x14ac:dyDescent="0.25">
      <c r="A145" s="38"/>
      <c r="B145" s="291"/>
      <c r="C145" s="292"/>
      <c r="D145" s="293"/>
      <c r="E145" s="273"/>
      <c r="F145" s="274"/>
      <c r="G145" s="274"/>
      <c r="H145" s="274"/>
      <c r="I145" s="274"/>
      <c r="J145" s="171" t="str">
        <f>IF(AND('Mapa final'!$AB$28="Baja",'Mapa final'!$AD$28="Leve"),CONCATENATE("R8C",'Mapa final'!$R$28),"")</f>
        <v/>
      </c>
      <c r="K145" s="191" t="str">
        <f>IF(AND('Mapa final'!$AB$29="Baja",'Mapa final'!$AD$29="Leve"),CONCATENATE("R8C",'Mapa final'!$R$29),"")</f>
        <v/>
      </c>
      <c r="L145" s="172" t="str">
        <f>IF(AND('Mapa final'!$AB$30="Baja",'Mapa final'!$AD$30="Leve"),CONCATENATE("R8C",'Mapa final'!$R$30),"")</f>
        <v/>
      </c>
      <c r="M145" s="163" t="str">
        <f>IF(AND('Mapa final'!$AB$28="Baja",'Mapa final'!$AD$28="Menor"),CONCATENATE("R8C",'Mapa final'!$R$28),"")</f>
        <v/>
      </c>
      <c r="N145" s="190" t="str">
        <f>IF(AND('Mapa final'!$AB$29="Baja",'Mapa final'!$AD$29="Menor"),CONCATENATE("R8C",'Mapa final'!$R$29),"")</f>
        <v/>
      </c>
      <c r="O145" s="164" t="str">
        <f>IF(AND('Mapa final'!$AB$30="Baja",'Mapa final'!$AD$30="Menor"),CONCATENATE("R8C",'Mapa final'!$R$30),"")</f>
        <v/>
      </c>
      <c r="P145" s="163" t="str">
        <f>IF(AND('Mapa final'!$AB$28="Baja",'Mapa final'!$AD$28="Moderado"),CONCATENATE("R8C",'Mapa final'!$R$28),"")</f>
        <v/>
      </c>
      <c r="Q145" s="190" t="str">
        <f>IF(AND('Mapa final'!$AB$29="Baja",'Mapa final'!$AD$29="Moderado"),CONCATENATE("R8C",'Mapa final'!$R$29),"")</f>
        <v/>
      </c>
      <c r="R145" s="164" t="str">
        <f>IF(AND('Mapa final'!$AB$30="Baja",'Mapa final'!$AD$30="Moderado"),CONCATENATE("R8C",'Mapa final'!$R$30),"")</f>
        <v/>
      </c>
      <c r="S145" s="195" t="str">
        <f>IF(AND('Mapa final'!$AB$28="Baja",'Mapa final'!$AD$28="Mayor"),CONCATENATE("R8C",'Mapa final'!$R$28),"")</f>
        <v>R8C1</v>
      </c>
      <c r="T145" s="196" t="str">
        <f>IF(AND('Mapa final'!$AB$29="Baja",'Mapa final'!$AD$29="Mayor"),CONCATENATE("R8C",'Mapa final'!$R$29),"")</f>
        <v/>
      </c>
      <c r="U145" s="197" t="str">
        <f>IF(AND('Mapa final'!$AB$30="Baja",'Mapa final'!$AD$30="Mayor"),CONCATENATE("R8C",'Mapa final'!$R$30),"")</f>
        <v/>
      </c>
      <c r="V145" s="158" t="str">
        <f>IF(AND('Mapa final'!$AB$28="Baja",'Mapa final'!$AD$28="Catastrófico"),CONCATENATE("R8C",'Mapa final'!$R$28),"")</f>
        <v/>
      </c>
      <c r="W145" s="189" t="str">
        <f>IF(AND('Mapa final'!$AB$29="Baja",'Mapa final'!$AD$29="Catastrófico"),CONCATENATE("R8C",'Mapa final'!$R$29),"")</f>
        <v/>
      </c>
      <c r="X145" s="159" t="str">
        <f>IF(AND('Mapa final'!$AB$30="Baja",'Mapa final'!$AD$30="Catastrófico"),CONCATENATE("R8C",'Mapa final'!$R$30),"")</f>
        <v/>
      </c>
      <c r="Y145" s="38"/>
      <c r="Z145" s="302"/>
      <c r="AA145" s="303"/>
      <c r="AB145" s="303"/>
      <c r="AC145" s="303"/>
      <c r="AD145" s="303"/>
      <c r="AE145" s="304"/>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row>
    <row r="146" spans="1:61" ht="15" customHeight="1" x14ac:dyDescent="0.25">
      <c r="A146" s="38"/>
      <c r="B146" s="291"/>
      <c r="C146" s="292"/>
      <c r="D146" s="293"/>
      <c r="E146" s="273"/>
      <c r="F146" s="274"/>
      <c r="G146" s="274"/>
      <c r="H146" s="274"/>
      <c r="I146" s="274"/>
      <c r="J146" s="171" t="str">
        <f>IF(AND('Mapa final'!$AB$31="Baja",'Mapa final'!$AD$31="Leve"),CONCATENATE("R9C",'Mapa final'!$R$31),"")</f>
        <v/>
      </c>
      <c r="K146" s="191" t="str">
        <f>IF(AND('Mapa final'!$AB$32="Baja",'Mapa final'!$AD$32="Leve"),CONCATENATE("R9C",'Mapa final'!$R$32),"")</f>
        <v/>
      </c>
      <c r="L146" s="172" t="str">
        <f>IF(AND('Mapa final'!$AB$33="Baja",'Mapa final'!$AD$33="Leve"),CONCATENATE("R9C",'Mapa final'!$R$33),"")</f>
        <v/>
      </c>
      <c r="M146" s="163" t="str">
        <f>IF(AND('Mapa final'!$AB$31="Baja",'Mapa final'!$AD$31="Menor"),CONCATENATE("R9C",'Mapa final'!$R$31),"")</f>
        <v/>
      </c>
      <c r="N146" s="190" t="str">
        <f>IF(AND('Mapa final'!$AB$32="Baja",'Mapa final'!$AD$32="Menor"),CONCATENATE("R9C",'Mapa final'!$R$32),"")</f>
        <v/>
      </c>
      <c r="O146" s="164" t="str">
        <f>IF(AND('Mapa final'!$AB$33="Baja",'Mapa final'!$AD$33="Menor"),CONCATENATE("R9C",'Mapa final'!$R$33),"")</f>
        <v/>
      </c>
      <c r="P146" s="163" t="str">
        <f>IF(AND('Mapa final'!$AB$31="Baja",'Mapa final'!$AD$31="Moderado"),CONCATENATE("R9C",'Mapa final'!$R$31),"")</f>
        <v>R9C1</v>
      </c>
      <c r="Q146" s="190" t="str">
        <f>IF(AND('Mapa final'!$AB$32="Baja",'Mapa final'!$AD$32="Moderado"),CONCATENATE("R9C",'Mapa final'!$R$32),"")</f>
        <v/>
      </c>
      <c r="R146" s="164" t="str">
        <f>IF(AND('Mapa final'!$AB$33="Baja",'Mapa final'!$AD$33="Moderado"),CONCATENATE("R9C",'Mapa final'!$R$33),"")</f>
        <v/>
      </c>
      <c r="S146" s="195" t="str">
        <f>IF(AND('Mapa final'!$AB$31="Baja",'Mapa final'!$AD$31="Mayor"),CONCATENATE("R9C",'Mapa final'!$R$31),"")</f>
        <v/>
      </c>
      <c r="T146" s="196" t="str">
        <f>IF(AND('Mapa final'!$AB$32="Baja",'Mapa final'!$AD$32="Mayor"),CONCATENATE("R9C",'Mapa final'!$R$32),"")</f>
        <v/>
      </c>
      <c r="U146" s="197" t="str">
        <f>IF(AND('Mapa final'!$AB$33="Baja",'Mapa final'!$AD$33="Mayor"),CONCATENATE("R9C",'Mapa final'!$R$33),"")</f>
        <v/>
      </c>
      <c r="V146" s="158" t="str">
        <f>IF(AND('Mapa final'!$AB$31="Baja",'Mapa final'!$AD$31="Catastrófico"),CONCATENATE("R9C",'Mapa final'!$R$31),"")</f>
        <v/>
      </c>
      <c r="W146" s="189" t="str">
        <f>IF(AND('Mapa final'!$AB$32="Baja",'Mapa final'!$AD$32="Catastrófico"),CONCATENATE("R9C",'Mapa final'!$R$32),"")</f>
        <v/>
      </c>
      <c r="X146" s="159" t="str">
        <f>IF(AND('Mapa final'!$AB$33="Baja",'Mapa final'!$AD$33="Catastrófico"),CONCATENATE("R9C",'Mapa final'!$R$33),"")</f>
        <v/>
      </c>
      <c r="Y146" s="38"/>
      <c r="Z146" s="302"/>
      <c r="AA146" s="303"/>
      <c r="AB146" s="303"/>
      <c r="AC146" s="303"/>
      <c r="AD146" s="303"/>
      <c r="AE146" s="304"/>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row>
    <row r="147" spans="1:61" ht="15" customHeight="1" x14ac:dyDescent="0.25">
      <c r="A147" s="38"/>
      <c r="B147" s="291"/>
      <c r="C147" s="292"/>
      <c r="D147" s="293"/>
      <c r="E147" s="273"/>
      <c r="F147" s="274"/>
      <c r="G147" s="274"/>
      <c r="H147" s="274"/>
      <c r="I147" s="274"/>
      <c r="J147" s="171" t="str">
        <f>IF(AND('Mapa final'!$AB$34="Baja",'Mapa final'!$AD$34="Leve"),CONCATENATE("R10C",'Mapa final'!$R$34),"")</f>
        <v/>
      </c>
      <c r="K147" s="191" t="str">
        <f>IF(AND('Mapa final'!$AB$35="Baja",'Mapa final'!$AD$35="Leve"),CONCATENATE("R10C",'Mapa final'!$R$35),"")</f>
        <v/>
      </c>
      <c r="L147" s="172" t="str">
        <f>IF(AND('Mapa final'!$AB$36="Baja",'Mapa final'!$AD$36="Leve"),CONCATENATE("R10C",'Mapa final'!$R$36),"")</f>
        <v/>
      </c>
      <c r="M147" s="163" t="str">
        <f>IF(AND('Mapa final'!$AB$34="Baja",'Mapa final'!$AD$34="Menor"),CONCATENATE("R10C",'Mapa final'!$R$34),"")</f>
        <v/>
      </c>
      <c r="N147" s="190" t="str">
        <f>IF(AND('Mapa final'!$AB$35="Baja",'Mapa final'!$AD$35="Menor"),CONCATENATE("R10C",'Mapa final'!$R$35),"")</f>
        <v/>
      </c>
      <c r="O147" s="164" t="str">
        <f>IF(AND('Mapa final'!$AB$36="Baja",'Mapa final'!$AD$36="Menor"),CONCATENATE("R10C",'Mapa final'!$R$36),"")</f>
        <v/>
      </c>
      <c r="P147" s="163" t="str">
        <f>IF(AND('Mapa final'!$AB$34="Baja",'Mapa final'!$AD$34="Moderado"),CONCATENATE("R10C",'Mapa final'!$R$34),"")</f>
        <v>R10C1</v>
      </c>
      <c r="Q147" s="190" t="str">
        <f>IF(AND('Mapa final'!$AB$35="Baja",'Mapa final'!$AD$35="Moderado"),CONCATENATE("R10C",'Mapa final'!$R$35),"")</f>
        <v/>
      </c>
      <c r="R147" s="164" t="str">
        <f>IF(AND('Mapa final'!$AB$36="Baja",'Mapa final'!$AD$36="Moderado"),CONCATENATE("R10C",'Mapa final'!$R$36),"")</f>
        <v/>
      </c>
      <c r="S147" s="195" t="str">
        <f>IF(AND('Mapa final'!$AB$34="Baja",'Mapa final'!$AD$34="Mayor"),CONCATENATE("R10C",'Mapa final'!$R$34),"")</f>
        <v/>
      </c>
      <c r="T147" s="196" t="str">
        <f>IF(AND('Mapa final'!$AB$35="Baja",'Mapa final'!$AD$35="Mayor"),CONCATENATE("R10C",'Mapa final'!$R$35),"")</f>
        <v/>
      </c>
      <c r="U147" s="197" t="str">
        <f>IF(AND('Mapa final'!$AB$36="Baja",'Mapa final'!$AD$36="Mayor"),CONCATENATE("R10C",'Mapa final'!$R$36),"")</f>
        <v/>
      </c>
      <c r="V147" s="158" t="str">
        <f>IF(AND('Mapa final'!$AB$34="Baja",'Mapa final'!$AD$34="Catastrófico"),CONCATENATE("R10C",'Mapa final'!$R$34),"")</f>
        <v/>
      </c>
      <c r="W147" s="189" t="str">
        <f>IF(AND('Mapa final'!$AB$35="Baja",'Mapa final'!$AD$35="Catastrófico"),CONCATENATE("R10C",'Mapa final'!$R$35),"")</f>
        <v/>
      </c>
      <c r="X147" s="159" t="str">
        <f>IF(AND('Mapa final'!$AB$36="Baja",'Mapa final'!$AD$36="Catastrófico"),CONCATENATE("R10C",'Mapa final'!$R$36),"")</f>
        <v/>
      </c>
      <c r="Y147" s="38"/>
      <c r="Z147" s="302"/>
      <c r="AA147" s="303"/>
      <c r="AB147" s="303"/>
      <c r="AC147" s="303"/>
      <c r="AD147" s="303"/>
      <c r="AE147" s="304"/>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row>
    <row r="148" spans="1:61" ht="15" customHeight="1" x14ac:dyDescent="0.25">
      <c r="A148" s="38"/>
      <c r="B148" s="291"/>
      <c r="C148" s="292"/>
      <c r="D148" s="293"/>
      <c r="E148" s="273"/>
      <c r="F148" s="274"/>
      <c r="G148" s="274"/>
      <c r="H148" s="274"/>
      <c r="I148" s="274"/>
      <c r="J148" s="171" t="str">
        <f>IF(AND('Mapa final'!$AB$37="Baja",'Mapa final'!$AD$37="Leve"),CONCATENATE("R11C",'Mapa final'!$R$37),"")</f>
        <v/>
      </c>
      <c r="K148" s="191" t="str">
        <f>IF(AND('Mapa final'!$AB$38="Baja",'Mapa final'!$AD$38="Leve"),CONCATENATE("R11C",'Mapa final'!$R$38),"")</f>
        <v/>
      </c>
      <c r="L148" s="172" t="str">
        <f>IF(AND('Mapa final'!$AB$39="Baja",'Mapa final'!$AD$39="Leve"),CONCATENATE("R11C",'Mapa final'!$R$39),"")</f>
        <v/>
      </c>
      <c r="M148" s="163" t="str">
        <f>IF(AND('Mapa final'!$AB$37="Baja",'Mapa final'!$AD$37="Menor"),CONCATENATE("R11C",'Mapa final'!$R$37),"")</f>
        <v/>
      </c>
      <c r="N148" s="190" t="str">
        <f>IF(AND('Mapa final'!$AB$38="Baja",'Mapa final'!$AD$38="Menor"),CONCATENATE("R11C",'Mapa final'!$R$38),"")</f>
        <v/>
      </c>
      <c r="O148" s="164" t="str">
        <f>IF(AND('Mapa final'!$AB$39="Baja",'Mapa final'!$AD$39="Menor"),CONCATENATE("R11C",'Mapa final'!$R$39),"")</f>
        <v/>
      </c>
      <c r="P148" s="163" t="str">
        <f>IF(AND('Mapa final'!$AB$37="Baja",'Mapa final'!$AD$37="Moderado"),CONCATENATE("R11C",'Mapa final'!$R$37),"")</f>
        <v/>
      </c>
      <c r="Q148" s="190" t="str">
        <f>IF(AND('Mapa final'!$AB$38="Baja",'Mapa final'!$AD$38="Moderado"),CONCATENATE("R11C",'Mapa final'!$R$38),"")</f>
        <v/>
      </c>
      <c r="R148" s="164" t="str">
        <f>IF(AND('Mapa final'!$AB$39="Baja",'Mapa final'!$AD$39="Moderado"),CONCATENATE("R11C",'Mapa final'!$R$39),"")</f>
        <v/>
      </c>
      <c r="S148" s="195" t="str">
        <f>IF(AND('Mapa final'!$AB$37="Baja",'Mapa final'!$AD$37="Mayor"),CONCATENATE("R11C",'Mapa final'!$R$37),"")</f>
        <v/>
      </c>
      <c r="T148" s="196" t="str">
        <f>IF(AND('Mapa final'!$AB$38="Baja",'Mapa final'!$AD$38="Mayor"),CONCATENATE("R11C",'Mapa final'!$R$38),"")</f>
        <v/>
      </c>
      <c r="U148" s="197" t="str">
        <f>IF(AND('Mapa final'!$AB$39="Baja",'Mapa final'!$AD$39="Mayor"),CONCATENATE("R11C",'Mapa final'!$R$39),"")</f>
        <v/>
      </c>
      <c r="V148" s="158" t="str">
        <f>IF(AND('Mapa final'!$AB$37="Baja",'Mapa final'!$AD$37="Catastrófico"),CONCATENATE("R11C",'Mapa final'!$R$37),"")</f>
        <v/>
      </c>
      <c r="W148" s="189" t="str">
        <f>IF(AND('Mapa final'!$AB$38="Baja",'Mapa final'!$AD$38="Catastrófico"),CONCATENATE("R11C",'Mapa final'!$R$38),"")</f>
        <v/>
      </c>
      <c r="X148" s="159" t="str">
        <f>IF(AND('Mapa final'!$AB$39="Baja",'Mapa final'!$AD$39="Catastrófico"),CONCATENATE("R11C",'Mapa final'!$R$39),"")</f>
        <v/>
      </c>
      <c r="Y148" s="38"/>
      <c r="Z148" s="302"/>
      <c r="AA148" s="303"/>
      <c r="AB148" s="303"/>
      <c r="AC148" s="303"/>
      <c r="AD148" s="303"/>
      <c r="AE148" s="304"/>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row>
    <row r="149" spans="1:61" ht="15" customHeight="1" x14ac:dyDescent="0.25">
      <c r="A149" s="38"/>
      <c r="B149" s="291"/>
      <c r="C149" s="292"/>
      <c r="D149" s="293"/>
      <c r="E149" s="273"/>
      <c r="F149" s="274"/>
      <c r="G149" s="274"/>
      <c r="H149" s="274"/>
      <c r="I149" s="274"/>
      <c r="J149" s="171" t="str">
        <f>IF(AND('Mapa final'!$AB$40="Baja",'Mapa final'!$AD$40="Leve"),CONCATENATE("R12C",'Mapa final'!$R$40),"")</f>
        <v/>
      </c>
      <c r="K149" s="191" t="str">
        <f>IF(AND('Mapa final'!$AB$41="Baja",'Mapa final'!$AD$41="Leve"),CONCATENATE("R12C",'Mapa final'!$R$41),"")</f>
        <v/>
      </c>
      <c r="L149" s="172" t="str">
        <f>IF(AND('Mapa final'!$AB$42="Baja",'Mapa final'!$AD$42="Leve"),CONCATENATE("R12C",'Mapa final'!$R$42),"")</f>
        <v/>
      </c>
      <c r="M149" s="163" t="str">
        <f>IF(AND('Mapa final'!$AB$40="Baja",'Mapa final'!$AD$40="Menor"),CONCATENATE("R12C",'Mapa final'!$R$40),"")</f>
        <v/>
      </c>
      <c r="N149" s="190" t="str">
        <f>IF(AND('Mapa final'!$AB$41="Baja",'Mapa final'!$AD$41="Menor"),CONCATENATE("R12C",'Mapa final'!$R$41),"")</f>
        <v/>
      </c>
      <c r="O149" s="164" t="str">
        <f>IF(AND('Mapa final'!$AB$42="Baja",'Mapa final'!$AD$42="Menor"),CONCATENATE("R12C",'Mapa final'!$R$42),"")</f>
        <v/>
      </c>
      <c r="P149" s="163" t="str">
        <f>IF(AND('Mapa final'!$AB$40="Baja",'Mapa final'!$AD$40="Moderado"),CONCATENATE("R12C",'Mapa final'!$R$40),"")</f>
        <v>R12C1</v>
      </c>
      <c r="Q149" s="190" t="str">
        <f>IF(AND('Mapa final'!$AB$41="Baja",'Mapa final'!$AD$41="Moderado"),CONCATENATE("R12C",'Mapa final'!$R$41),"")</f>
        <v/>
      </c>
      <c r="R149" s="164" t="str">
        <f>IF(AND('Mapa final'!$AB$42="Baja",'Mapa final'!$AD$42="Moderado"),CONCATENATE("R12C",'Mapa final'!$R$42),"")</f>
        <v/>
      </c>
      <c r="S149" s="195" t="str">
        <f>IF(AND('Mapa final'!$AB$40="Baja",'Mapa final'!$AD$40="Mayor"),CONCATENATE("R12C",'Mapa final'!$R$40),"")</f>
        <v/>
      </c>
      <c r="T149" s="196" t="str">
        <f>IF(AND('Mapa final'!$AB$41="Baja",'Mapa final'!$AD$41="Mayor"),CONCATENATE("R12C",'Mapa final'!$R$41),"")</f>
        <v/>
      </c>
      <c r="U149" s="197" t="str">
        <f>IF(AND('Mapa final'!$AB$42="Baja",'Mapa final'!$AD$42="Mayor"),CONCATENATE("R12C",'Mapa final'!$R$42),"")</f>
        <v/>
      </c>
      <c r="V149" s="158" t="str">
        <f>IF(AND('Mapa final'!$AB$40="Baja",'Mapa final'!$AD$40="Catastrófico"),CONCATENATE("R12C",'Mapa final'!$R$40),"")</f>
        <v/>
      </c>
      <c r="W149" s="189" t="str">
        <f>IF(AND('Mapa final'!$AB$41="Baja",'Mapa final'!$AD$41="Catastrófico"),CONCATENATE("R12C",'Mapa final'!$R$41),"")</f>
        <v/>
      </c>
      <c r="X149" s="159" t="str">
        <f>IF(AND('Mapa final'!$AB$42="Baja",'Mapa final'!$AD$42="Catastrófico"),CONCATENATE("R12C",'Mapa final'!$R$42),"")</f>
        <v/>
      </c>
      <c r="Y149" s="38"/>
      <c r="Z149" s="302"/>
      <c r="AA149" s="303"/>
      <c r="AB149" s="303"/>
      <c r="AC149" s="303"/>
      <c r="AD149" s="303"/>
      <c r="AE149" s="304"/>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row>
    <row r="150" spans="1:61" ht="15" customHeight="1" x14ac:dyDescent="0.25">
      <c r="A150" s="38"/>
      <c r="B150" s="291"/>
      <c r="C150" s="292"/>
      <c r="D150" s="293"/>
      <c r="E150" s="273"/>
      <c r="F150" s="274"/>
      <c r="G150" s="274"/>
      <c r="H150" s="274"/>
      <c r="I150" s="274"/>
      <c r="J150" s="171" t="str">
        <f>IF(AND('Mapa final'!$AB$43="Baja",'Mapa final'!$AD$43="Leve"),CONCATENATE("R12C",'Mapa final'!$R$43),"")</f>
        <v/>
      </c>
      <c r="K150" s="191" t="str">
        <f>IF(AND('Mapa final'!$AB$44="Baja",'Mapa final'!$AD$44="Leve"),CONCATENATE("R13C",'Mapa final'!$R$44),"")</f>
        <v/>
      </c>
      <c r="L150" s="172" t="str">
        <f>IF(AND('Mapa final'!$AB$45="Baja",'Mapa final'!$AD$45="Leve"),CONCATENATE("R13C",'Mapa final'!$R$45),"")</f>
        <v/>
      </c>
      <c r="M150" s="163" t="str">
        <f>IF(AND('Mapa final'!$AB$43="Baja",'Mapa final'!$AD$43="Menor"),CONCATENATE("R12C",'Mapa final'!$R$43),"")</f>
        <v/>
      </c>
      <c r="N150" s="190" t="str">
        <f>IF(AND('Mapa final'!$AB$44="Baja",'Mapa final'!$AD$44="Menor"),CONCATENATE("R13C",'Mapa final'!$R$44),"")</f>
        <v/>
      </c>
      <c r="O150" s="164" t="str">
        <f>IF(AND('Mapa final'!$AB$45="Baja",'Mapa final'!$AD$45="Menor"),CONCATENATE("R13C",'Mapa final'!$R$45),"")</f>
        <v/>
      </c>
      <c r="P150" s="163" t="str">
        <f>IF(AND('Mapa final'!$AB$43="Baja",'Mapa final'!$AD$43="Moderado"),CONCATENATE("R12C",'Mapa final'!$R$43),"")</f>
        <v/>
      </c>
      <c r="Q150" s="190" t="str">
        <f>IF(AND('Mapa final'!$AB$44="Baja",'Mapa final'!$AD$44="Moderado"),CONCATENATE("R13C",'Mapa final'!$R$44),"")</f>
        <v>R13C1</v>
      </c>
      <c r="R150" s="164" t="str">
        <f>IF(AND('Mapa final'!$AB$45="Baja",'Mapa final'!$AD$45="Moderado"),CONCATENATE("R13C",'Mapa final'!$R$45),"")</f>
        <v/>
      </c>
      <c r="S150" s="195" t="str">
        <f>IF(AND('Mapa final'!$AB$43="Baja",'Mapa final'!$AD$43="Mayor"),CONCATENATE("R12C",'Mapa final'!$R$43),"")</f>
        <v/>
      </c>
      <c r="T150" s="196" t="str">
        <f>IF(AND('Mapa final'!$AB$44="Baja",'Mapa final'!$AD$44="Mayor"),CONCATENATE("R13C",'Mapa final'!$R$44),"")</f>
        <v/>
      </c>
      <c r="U150" s="197" t="str">
        <f>IF(AND('Mapa final'!$AB$45="Baja",'Mapa final'!$AD$45="Mayor"),CONCATENATE("R13C",'Mapa final'!$R$45),"")</f>
        <v/>
      </c>
      <c r="V150" s="158" t="str">
        <f>IF(AND('Mapa final'!$AB$43="Baja",'Mapa final'!$AD$43="Catastrófico"),CONCATENATE("R12C",'Mapa final'!$R$43),"")</f>
        <v/>
      </c>
      <c r="W150" s="189" t="str">
        <f>IF(AND('Mapa final'!$AB$44="Baja",'Mapa final'!$AD$44="Catastrófico"),CONCATENATE("R13C",'Mapa final'!$R$44),"")</f>
        <v/>
      </c>
      <c r="X150" s="159" t="str">
        <f>IF(AND('Mapa final'!$AB$45="Baja",'Mapa final'!$AD$45="Catastrófico"),CONCATENATE("R13C",'Mapa final'!$R$45),"")</f>
        <v/>
      </c>
      <c r="Y150" s="38"/>
      <c r="Z150" s="302"/>
      <c r="AA150" s="303"/>
      <c r="AB150" s="303"/>
      <c r="AC150" s="303"/>
      <c r="AD150" s="303"/>
      <c r="AE150" s="304"/>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row>
    <row r="151" spans="1:61" ht="15" customHeight="1" x14ac:dyDescent="0.25">
      <c r="A151" s="38"/>
      <c r="B151" s="291"/>
      <c r="C151" s="292"/>
      <c r="D151" s="293"/>
      <c r="E151" s="273"/>
      <c r="F151" s="274"/>
      <c r="G151" s="274"/>
      <c r="H151" s="274"/>
      <c r="I151" s="274"/>
      <c r="J151" s="171" t="str">
        <f>IF(AND('Mapa final'!$AB$46="Baja",'Mapa final'!$AD$46="Leve"),CONCATENATE("R13C",'Mapa final'!$R$46),"")</f>
        <v/>
      </c>
      <c r="K151" s="191" t="str">
        <f>IF(AND('Mapa final'!$AB$47="Baja",'Mapa final'!$AD$47="Leve"),CONCATENATE("R14C",'Mapa final'!$R$47),"")</f>
        <v/>
      </c>
      <c r="L151" s="172" t="str">
        <f>IF(AND('Mapa final'!$AB$48="Baja",'Mapa final'!$AD$48="Leve"),CONCATENATE("R14C",'Mapa final'!$R$48),"")</f>
        <v/>
      </c>
      <c r="M151" s="163" t="str">
        <f>IF(AND('Mapa final'!$AB$46="Baja",'Mapa final'!$AD$46="Menor"),CONCATENATE("R13C",'Mapa final'!$R$46),"")</f>
        <v/>
      </c>
      <c r="N151" s="190" t="str">
        <f>IF(AND('Mapa final'!$AB$47="Baja",'Mapa final'!$AD$47="Menor"),CONCATENATE("R14C",'Mapa final'!$R$47),"")</f>
        <v/>
      </c>
      <c r="O151" s="164" t="str">
        <f>IF(AND('Mapa final'!$AB$48="Baja",'Mapa final'!$AD$48="Menor"),CONCATENATE("R14C",'Mapa final'!$R$48),"")</f>
        <v/>
      </c>
      <c r="P151" s="163" t="str">
        <f>IF(AND('Mapa final'!$AB$46="Baja",'Mapa final'!$AD$46="Moderado"),CONCATENATE("R13C",'Mapa final'!$R$46),"")</f>
        <v/>
      </c>
      <c r="Q151" s="190" t="str">
        <f>IF(AND('Mapa final'!$AB$47="Baja",'Mapa final'!$AD$47="Moderado"),CONCATENATE("R14C",'Mapa final'!$R$47),"")</f>
        <v>R14C1</v>
      </c>
      <c r="R151" s="164" t="str">
        <f>IF(AND('Mapa final'!$AB$48="Baja",'Mapa final'!$AD$48="Moderado"),CONCATENATE("R14C",'Mapa final'!$R$48),"")</f>
        <v/>
      </c>
      <c r="S151" s="195" t="str">
        <f>IF(AND('Mapa final'!$AB$46="Baja",'Mapa final'!$AD$46="Mayor"),CONCATENATE("R13C",'Mapa final'!$R$46),"")</f>
        <v/>
      </c>
      <c r="T151" s="196" t="str">
        <f>IF(AND('Mapa final'!$AB$47="Baja",'Mapa final'!$AD$47="Mayor"),CONCATENATE("R14C",'Mapa final'!$R$47),"")</f>
        <v/>
      </c>
      <c r="U151" s="197" t="str">
        <f>IF(AND('Mapa final'!$AB$48="Baja",'Mapa final'!$AD$48="Mayor"),CONCATENATE("R14C",'Mapa final'!$R$48),"")</f>
        <v/>
      </c>
      <c r="V151" s="158" t="str">
        <f>IF(AND('Mapa final'!$AB$46="Baja",'Mapa final'!$AD$46="Catastrófico"),CONCATENATE("R13C",'Mapa final'!$R$46),"")</f>
        <v/>
      </c>
      <c r="W151" s="189" t="str">
        <f>IF(AND('Mapa final'!$AB$47="Baja",'Mapa final'!$AD$47="Catastrófico"),CONCATENATE("R14C",'Mapa final'!$R$47),"")</f>
        <v/>
      </c>
      <c r="X151" s="159" t="str">
        <f>IF(AND('Mapa final'!$AB$48="Baja",'Mapa final'!$AD$48="Catastrófico"),CONCATENATE("R14C",'Mapa final'!$R$48),"")</f>
        <v/>
      </c>
      <c r="Y151" s="38"/>
      <c r="Z151" s="302"/>
      <c r="AA151" s="303"/>
      <c r="AB151" s="303"/>
      <c r="AC151" s="303"/>
      <c r="AD151" s="303"/>
      <c r="AE151" s="304"/>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row>
    <row r="152" spans="1:61" ht="15" customHeight="1" x14ac:dyDescent="0.25">
      <c r="A152" s="38"/>
      <c r="B152" s="291"/>
      <c r="C152" s="292"/>
      <c r="D152" s="293"/>
      <c r="E152" s="273"/>
      <c r="F152" s="274"/>
      <c r="G152" s="274"/>
      <c r="H152" s="274"/>
      <c r="I152" s="274"/>
      <c r="J152" s="171" t="str">
        <f>IF(AND('Mapa final'!$AB$49="Baja",'Mapa final'!$AD$49="Leve"),CONCATENATE("R14C",'Mapa final'!$R$49),"")</f>
        <v/>
      </c>
      <c r="K152" s="191" t="str">
        <f>IF(AND('Mapa final'!$AB$50="Baja",'Mapa final'!$AD$50="Leve"),CONCATENATE("R14C",'Mapa final'!$R$50),"")</f>
        <v/>
      </c>
      <c r="L152" s="172" t="str">
        <f>IF(AND('Mapa final'!$AB$51="Baja",'Mapa final'!$AD$51="Leve"),CONCATENATE("R14C",'Mapa final'!$R$51),"")</f>
        <v/>
      </c>
      <c r="M152" s="163" t="str">
        <f>IF(AND('Mapa final'!$AB$49="Baja",'Mapa final'!$AD$49="Menor"),CONCATENATE("R14C",'Mapa final'!$R$49),"")</f>
        <v/>
      </c>
      <c r="N152" s="190" t="str">
        <f>IF(AND('Mapa final'!$AB$50="Baja",'Mapa final'!$AD$50="Menor"),CONCATENATE("R14C",'Mapa final'!$R$50),"")</f>
        <v/>
      </c>
      <c r="O152" s="164" t="str">
        <f>IF(AND('Mapa final'!$AB$51="Baja",'Mapa final'!$AD$51="Menor"),CONCATENATE("R14C",'Mapa final'!$R$51),"")</f>
        <v/>
      </c>
      <c r="P152" s="163" t="str">
        <f>IF(AND('Mapa final'!$AB$49="Baja",'Mapa final'!$AD$49="Moderado"),CONCATENATE("R14C",'Mapa final'!$R$49),"")</f>
        <v/>
      </c>
      <c r="Q152" s="190" t="str">
        <f>IF(AND('Mapa final'!$AB$50="Baja",'Mapa final'!$AD$50="Moderado"),CONCATENATE("R14C",'Mapa final'!$R$50),"")</f>
        <v/>
      </c>
      <c r="R152" s="164" t="str">
        <f>IF(AND('Mapa final'!$AB$51="Baja",'Mapa final'!$AD$51="Moderado"),CONCATENATE("R14C",'Mapa final'!$R$51),"")</f>
        <v/>
      </c>
      <c r="S152" s="195" t="str">
        <f>IF(AND('Mapa final'!$AB$49="Baja",'Mapa final'!$AD$49="Mayor"),CONCATENATE("R14C",'Mapa final'!$R$49),"")</f>
        <v/>
      </c>
      <c r="T152" s="196" t="str">
        <f>IF(AND('Mapa final'!$AB$50="Baja",'Mapa final'!$AD$50="Mayor"),CONCATENATE("R14C",'Mapa final'!$R$50),"")</f>
        <v/>
      </c>
      <c r="U152" s="197" t="str">
        <f>IF(AND('Mapa final'!$AB$51="Baja",'Mapa final'!$AD$51="Mayor"),CONCATENATE("R14C",'Mapa final'!$R$51),"")</f>
        <v/>
      </c>
      <c r="V152" s="158" t="str">
        <f>IF(AND('Mapa final'!$AB$49="Baja",'Mapa final'!$AD$49="Catastrófico"),CONCATENATE("R14C",'Mapa final'!$R$49),"")</f>
        <v/>
      </c>
      <c r="W152" s="189" t="str">
        <f>IF(AND('Mapa final'!$AB$50="Baja",'Mapa final'!$AD$50="Catastrófico"),CONCATENATE("R14C",'Mapa final'!$R$50),"")</f>
        <v/>
      </c>
      <c r="X152" s="159" t="str">
        <f>IF(AND('Mapa final'!$AB$51="Baja",'Mapa final'!$AD$51="Catastrófico"),CONCATENATE("R14C",'Mapa final'!$R$51),"")</f>
        <v/>
      </c>
      <c r="Y152" s="38"/>
      <c r="Z152" s="302"/>
      <c r="AA152" s="303"/>
      <c r="AB152" s="303"/>
      <c r="AC152" s="303"/>
      <c r="AD152" s="303"/>
      <c r="AE152" s="304"/>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row>
    <row r="153" spans="1:61" ht="15" customHeight="1" x14ac:dyDescent="0.25">
      <c r="A153" s="38"/>
      <c r="B153" s="291"/>
      <c r="C153" s="292"/>
      <c r="D153" s="293"/>
      <c r="E153" s="273"/>
      <c r="F153" s="274"/>
      <c r="G153" s="274"/>
      <c r="H153" s="274"/>
      <c r="I153" s="274"/>
      <c r="J153" s="171" t="str">
        <f>IF(AND('Mapa final'!$AB$52="Baja",'Mapa final'!$AD$52="Leve"),CONCATENATE("R15C",'Mapa final'!$R$52),"")</f>
        <v/>
      </c>
      <c r="K153" s="191" t="str">
        <f>IF(AND('Mapa final'!$AB$53="Baja",'Mapa final'!$AD$53="Leve"),CONCATENATE("R15C",'Mapa final'!$R$53),"")</f>
        <v/>
      </c>
      <c r="L153" s="172" t="str">
        <f>IF(AND('Mapa final'!$AB$54="Baja",'Mapa final'!$AD$54="Leve"),CONCATENATE("R15C",'Mapa final'!$R$54),"")</f>
        <v/>
      </c>
      <c r="M153" s="163" t="str">
        <f>IF(AND('Mapa final'!$AB$52="Baja",'Mapa final'!$AD$52="Menor"),CONCATENATE("R15C",'Mapa final'!$R$52),"")</f>
        <v/>
      </c>
      <c r="N153" s="190" t="str">
        <f>IF(AND('Mapa final'!$AB$53="Baja",'Mapa final'!$AD$53="Menor"),CONCATENATE("R15C",'Mapa final'!$R$53),"")</f>
        <v/>
      </c>
      <c r="O153" s="164" t="str">
        <f>IF(AND('Mapa final'!$AB$54="Baja",'Mapa final'!$AD$54="Menor"),CONCATENATE("R15C",'Mapa final'!$R$54),"")</f>
        <v/>
      </c>
      <c r="P153" s="163" t="str">
        <f>IF(AND('Mapa final'!$AB$52="Baja",'Mapa final'!$AD$52="Moderado"),CONCATENATE("R15C",'Mapa final'!$R$52),"")</f>
        <v/>
      </c>
      <c r="Q153" s="190" t="str">
        <f>IF(AND('Mapa final'!$AB$53="Baja",'Mapa final'!$AD$53="Moderado"),CONCATENATE("R15C",'Mapa final'!$R$53),"")</f>
        <v/>
      </c>
      <c r="R153" s="164" t="str">
        <f>IF(AND('Mapa final'!$AB$54="Baja",'Mapa final'!$AD$54="Moderado"),CONCATENATE("R15C",'Mapa final'!$R$54),"")</f>
        <v/>
      </c>
      <c r="S153" s="195" t="str">
        <f>IF(AND('Mapa final'!$AB$52="Baja",'Mapa final'!$AD$52="Mayor"),CONCATENATE("R15C",'Mapa final'!$R$52),"")</f>
        <v/>
      </c>
      <c r="T153" s="196" t="str">
        <f>IF(AND('Mapa final'!$AB$53="Baja",'Mapa final'!$AD$53="Mayor"),CONCATENATE("R15C",'Mapa final'!$R$53),"")</f>
        <v/>
      </c>
      <c r="U153" s="197" t="str">
        <f>IF(AND('Mapa final'!$AB$54="Baja",'Mapa final'!$AD$54="Mayor"),CONCATENATE("R15C",'Mapa final'!$R$54),"")</f>
        <v/>
      </c>
      <c r="V153" s="158" t="str">
        <f>IF(AND('Mapa final'!$AB$52="Baja",'Mapa final'!$AD$52="Catastrófico"),CONCATENATE("R15C",'Mapa final'!$R$52),"")</f>
        <v/>
      </c>
      <c r="W153" s="189" t="str">
        <f>IF(AND('Mapa final'!$AB$53="Baja",'Mapa final'!$AD$53="Catastrófico"),CONCATENATE("R15C",'Mapa final'!$R$53),"")</f>
        <v/>
      </c>
      <c r="X153" s="159" t="str">
        <f>IF(AND('Mapa final'!$AB$54="Baja",'Mapa final'!$AD$54="Catastrófico"),CONCATENATE("R15C",'Mapa final'!$R$54),"")</f>
        <v/>
      </c>
      <c r="Y153" s="38"/>
      <c r="Z153" s="302"/>
      <c r="AA153" s="303"/>
      <c r="AB153" s="303"/>
      <c r="AC153" s="303"/>
      <c r="AD153" s="303"/>
      <c r="AE153" s="304"/>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row>
    <row r="154" spans="1:61" ht="15" customHeight="1" x14ac:dyDescent="0.25">
      <c r="A154" s="38"/>
      <c r="B154" s="291"/>
      <c r="C154" s="292"/>
      <c r="D154" s="293"/>
      <c r="E154" s="273"/>
      <c r="F154" s="274"/>
      <c r="G154" s="274"/>
      <c r="H154" s="274"/>
      <c r="I154" s="274"/>
      <c r="J154" s="171" t="str">
        <f>IF(AND('Mapa final'!$AB$55="Baja",'Mapa final'!$AD$55="Leve"),CONCATENATE("R16C",'Mapa final'!$R$55),"")</f>
        <v/>
      </c>
      <c r="K154" s="191" t="str">
        <f>IF(AND('Mapa final'!$AB$56="Baja",'Mapa final'!$AD$56="Leve"),CONCATENATE("R16C",'Mapa final'!$R$56),"")</f>
        <v/>
      </c>
      <c r="L154" s="172" t="str">
        <f>IF(AND('Mapa final'!$AB$57="Baja",'Mapa final'!$AD$57="Leve"),CONCATENATE("R16C",'Mapa final'!$R$57),"")</f>
        <v/>
      </c>
      <c r="M154" s="163" t="str">
        <f>IF(AND('Mapa final'!$AB$55="Baja",'Mapa final'!$AD$55="Menor"),CONCATENATE("R16C",'Mapa final'!$R$55),"")</f>
        <v/>
      </c>
      <c r="N154" s="190" t="str">
        <f>IF(AND('Mapa final'!$AB$56="Baja",'Mapa final'!$AD$56="Menor"),CONCATENATE("R16C",'Mapa final'!$R$56),"")</f>
        <v/>
      </c>
      <c r="O154" s="164" t="str">
        <f>IF(AND('Mapa final'!$AB$57="Baja",'Mapa final'!$AD$57="Menor"),CONCATENATE("R16C",'Mapa final'!$R$57),"")</f>
        <v/>
      </c>
      <c r="P154" s="163" t="str">
        <f>IF(AND('Mapa final'!$AB$55="Baja",'Mapa final'!$AD$55="Moderado"),CONCATENATE("R16C",'Mapa final'!$R$55),"")</f>
        <v>R16C1</v>
      </c>
      <c r="Q154" s="190" t="str">
        <f>IF(AND('Mapa final'!$AB$56="Baja",'Mapa final'!$AD$56="Moderado"),CONCATENATE("R16C",'Mapa final'!$R$56),"")</f>
        <v/>
      </c>
      <c r="R154" s="164" t="str">
        <f>IF(AND('Mapa final'!$AB$57="Baja",'Mapa final'!$AD$57="Moderado"),CONCATENATE("R16C",'Mapa final'!$R$57),"")</f>
        <v/>
      </c>
      <c r="S154" s="195" t="str">
        <f>IF(AND('Mapa final'!$AB$55="Baja",'Mapa final'!$AD$55="Mayor"),CONCATENATE("R16C",'Mapa final'!$R$55),"")</f>
        <v/>
      </c>
      <c r="T154" s="196" t="str">
        <f>IF(AND('Mapa final'!$AB$56="Baja",'Mapa final'!$AD$56="Mayor"),CONCATENATE("R16C",'Mapa final'!$R$56),"")</f>
        <v/>
      </c>
      <c r="U154" s="197" t="str">
        <f>IF(AND('Mapa final'!$AB$57="Baja",'Mapa final'!$AD$57="Mayor"),CONCATENATE("R16C",'Mapa final'!$R$57),"")</f>
        <v/>
      </c>
      <c r="V154" s="158" t="str">
        <f>IF(AND('Mapa final'!$AB$55="Baja",'Mapa final'!$AD$55="Catastrófico"),CONCATENATE("R16C",'Mapa final'!$R$55),"")</f>
        <v/>
      </c>
      <c r="W154" s="189" t="str">
        <f>IF(AND('Mapa final'!$AB$56="Baja",'Mapa final'!$AD$56="Catastrófico"),CONCATENATE("R16C",'Mapa final'!$R$56),"")</f>
        <v/>
      </c>
      <c r="X154" s="159" t="str">
        <f>IF(AND('Mapa final'!$AB$57="Baja",'Mapa final'!$AD$57="Catastrófico"),CONCATENATE("R16C",'Mapa final'!$R$57),"")</f>
        <v/>
      </c>
      <c r="Y154" s="38"/>
      <c r="Z154" s="302"/>
      <c r="AA154" s="303"/>
      <c r="AB154" s="303"/>
      <c r="AC154" s="303"/>
      <c r="AD154" s="303"/>
      <c r="AE154" s="304"/>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row>
    <row r="155" spans="1:61" ht="15" customHeight="1" x14ac:dyDescent="0.25">
      <c r="A155" s="38"/>
      <c r="B155" s="291"/>
      <c r="C155" s="292"/>
      <c r="D155" s="293"/>
      <c r="E155" s="273"/>
      <c r="F155" s="274"/>
      <c r="G155" s="274"/>
      <c r="H155" s="274"/>
      <c r="I155" s="274"/>
      <c r="J155" s="171" t="str">
        <f>IF(AND('Mapa final'!$AB$58="Baja",'Mapa final'!$AD$58="Leve"),CONCATENATE("R17C",'Mapa final'!$R$58),"")</f>
        <v/>
      </c>
      <c r="K155" s="191" t="str">
        <f>IF(AND('Mapa final'!$AB$59="Baja",'Mapa final'!$AD$59="Leve"),CONCATENATE("R17C",'Mapa final'!$R$59),"")</f>
        <v/>
      </c>
      <c r="L155" s="172" t="str">
        <f>IF(AND('Mapa final'!$AB$60="Baja",'Mapa final'!$AD$60="Leve"),CONCATENATE("R17C",'Mapa final'!$R$60),"")</f>
        <v/>
      </c>
      <c r="M155" s="163" t="str">
        <f>IF(AND('Mapa final'!$AB$58="Baja",'Mapa final'!$AD$58="Menor"),CONCATENATE("R17C",'Mapa final'!$R$58),"")</f>
        <v/>
      </c>
      <c r="N155" s="190" t="str">
        <f>IF(AND('Mapa final'!$AB$59="Baja",'Mapa final'!$AD$59="Menor"),CONCATENATE("R17C",'Mapa final'!$R$59),"")</f>
        <v/>
      </c>
      <c r="O155" s="164" t="str">
        <f>IF(AND('Mapa final'!$AB$60="Baja",'Mapa final'!$AD$60="Menor"),CONCATENATE("R17C",'Mapa final'!$R$60),"")</f>
        <v/>
      </c>
      <c r="P155" s="163" t="str">
        <f>IF(AND('Mapa final'!$AB$58="Baja",'Mapa final'!$AD$58="Moderado"),CONCATENATE("R17C",'Mapa final'!$R$58),"")</f>
        <v/>
      </c>
      <c r="Q155" s="190" t="str">
        <f>IF(AND('Mapa final'!$AB$59="Baja",'Mapa final'!$AD$59="Moderado"),CONCATENATE("R17C",'Mapa final'!$R$59),"")</f>
        <v/>
      </c>
      <c r="R155" s="164" t="str">
        <f>IF(AND('Mapa final'!$AB$60="Baja",'Mapa final'!$AD$60="Moderado"),CONCATENATE("R17C",'Mapa final'!$R$60),"")</f>
        <v/>
      </c>
      <c r="S155" s="195" t="str">
        <f>IF(AND('Mapa final'!$AB$58="Baja",'Mapa final'!$AD$58="Mayor"),CONCATENATE("R17C",'Mapa final'!$R$58),"")</f>
        <v/>
      </c>
      <c r="T155" s="196" t="str">
        <f>IF(AND('Mapa final'!$AB$59="Baja",'Mapa final'!$AD$59="Mayor"),CONCATENATE("R17C",'Mapa final'!$R$59),"")</f>
        <v/>
      </c>
      <c r="U155" s="197" t="str">
        <f>IF(AND('Mapa final'!$AB$60="Baja",'Mapa final'!$AD$60="Mayor"),CONCATENATE("R17C",'Mapa final'!$R$60),"")</f>
        <v/>
      </c>
      <c r="V155" s="158" t="str">
        <f>IF(AND('Mapa final'!$AB$58="Baja",'Mapa final'!$AD$58="Catastrófico"),CONCATENATE("R17C",'Mapa final'!$R$58),"")</f>
        <v/>
      </c>
      <c r="W155" s="189" t="str">
        <f>IF(AND('Mapa final'!$AB$59="Baja",'Mapa final'!$AD$59="Catastrófico"),CONCATENATE("R17C",'Mapa final'!$R$59),"")</f>
        <v/>
      </c>
      <c r="X155" s="159" t="str">
        <f>IF(AND('Mapa final'!$AB$60="Baja",'Mapa final'!$AD$60="Catastrófico"),CONCATENATE("R17C",'Mapa final'!$R$60),"")</f>
        <v/>
      </c>
      <c r="Y155" s="38"/>
      <c r="Z155" s="302"/>
      <c r="AA155" s="303"/>
      <c r="AB155" s="303"/>
      <c r="AC155" s="303"/>
      <c r="AD155" s="303"/>
      <c r="AE155" s="304"/>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row>
    <row r="156" spans="1:61" ht="15" customHeight="1" x14ac:dyDescent="0.25">
      <c r="A156" s="38"/>
      <c r="B156" s="291"/>
      <c r="C156" s="292"/>
      <c r="D156" s="293"/>
      <c r="E156" s="273"/>
      <c r="F156" s="274"/>
      <c r="G156" s="274"/>
      <c r="H156" s="274"/>
      <c r="I156" s="274"/>
      <c r="J156" s="171" t="str">
        <f>IF(AND('Mapa final'!$AB$61="Baja",'Mapa final'!$AD$61="Leve"),CONCATENATE("R18C",'Mapa final'!$R$61),"")</f>
        <v/>
      </c>
      <c r="K156" s="191" t="str">
        <f>IF(AND('Mapa final'!$AB$62="Baja",'Mapa final'!$AD$62="Leve"),CONCATENATE("R18C",'Mapa final'!$R$62),"")</f>
        <v/>
      </c>
      <c r="L156" s="172" t="str">
        <f>IF(AND('Mapa final'!$AB$63="Baja",'Mapa final'!$AD$63="Leve"),CONCATENATE("R18C",'Mapa final'!$R$63),"")</f>
        <v/>
      </c>
      <c r="M156" s="163" t="str">
        <f>IF(AND('Mapa final'!$AB$61="Baja",'Mapa final'!$AD$61="Menor"),CONCATENATE("R18C",'Mapa final'!$R$61),"")</f>
        <v/>
      </c>
      <c r="N156" s="190" t="str">
        <f>IF(AND('Mapa final'!$AB$62="Baja",'Mapa final'!$AD$62="Menor"),CONCATENATE("R18C",'Mapa final'!$R$62),"")</f>
        <v/>
      </c>
      <c r="O156" s="164" t="str">
        <f>IF(AND('Mapa final'!$AB$63="Baja",'Mapa final'!$AD$63="Menor"),CONCATENATE("R18C",'Mapa final'!$R$63),"")</f>
        <v/>
      </c>
      <c r="P156" s="163" t="str">
        <f>IF(AND('Mapa final'!$AB$61="Baja",'Mapa final'!$AD$61="Moderado"),CONCATENATE("R18C",'Mapa final'!$R$61),"")</f>
        <v>R18C1</v>
      </c>
      <c r="Q156" s="190" t="str">
        <f>IF(AND('Mapa final'!$AB$62="Baja",'Mapa final'!$AD$62="Moderado"),CONCATENATE("R18C",'Mapa final'!$R$62),"")</f>
        <v/>
      </c>
      <c r="R156" s="164" t="str">
        <f>IF(AND('Mapa final'!$AB$63="Baja",'Mapa final'!$AD$63="Moderado"),CONCATENATE("R18C",'Mapa final'!$R$63),"")</f>
        <v/>
      </c>
      <c r="S156" s="195" t="str">
        <f>IF(AND('Mapa final'!$AB$61="Baja",'Mapa final'!$AD$61="Mayor"),CONCATENATE("R18C",'Mapa final'!$R$61),"")</f>
        <v/>
      </c>
      <c r="T156" s="196" t="str">
        <f>IF(AND('Mapa final'!$AB$62="Baja",'Mapa final'!$AD$62="Mayor"),CONCATENATE("R18C",'Mapa final'!$R$62),"")</f>
        <v/>
      </c>
      <c r="U156" s="197" t="str">
        <f>IF(AND('Mapa final'!$AB$63="Baja",'Mapa final'!$AD$63="Mayor"),CONCATENATE("R18C",'Mapa final'!$R$63),"")</f>
        <v/>
      </c>
      <c r="V156" s="158" t="str">
        <f>IF(AND('Mapa final'!$AB$61="Baja",'Mapa final'!$AD$61="Catastrófico"),CONCATENATE("R18C",'Mapa final'!$R$61),"")</f>
        <v/>
      </c>
      <c r="W156" s="189" t="str">
        <f>IF(AND('Mapa final'!$AB$62="Baja",'Mapa final'!$AD$62="Catastrófico"),CONCATENATE("R18C",'Mapa final'!$R$62),"")</f>
        <v/>
      </c>
      <c r="X156" s="159" t="str">
        <f>IF(AND('Mapa final'!$AB$63="Baja",'Mapa final'!$AD$63="Catastrófico"),CONCATENATE("R18C",'Mapa final'!$R$63),"")</f>
        <v/>
      </c>
      <c r="Y156" s="38"/>
      <c r="Z156" s="302"/>
      <c r="AA156" s="303"/>
      <c r="AB156" s="303"/>
      <c r="AC156" s="303"/>
      <c r="AD156" s="303"/>
      <c r="AE156" s="304"/>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row>
    <row r="157" spans="1:61" ht="15" customHeight="1" x14ac:dyDescent="0.25">
      <c r="A157" s="38"/>
      <c r="B157" s="291"/>
      <c r="C157" s="292"/>
      <c r="D157" s="293"/>
      <c r="E157" s="273"/>
      <c r="F157" s="274"/>
      <c r="G157" s="274"/>
      <c r="H157" s="274"/>
      <c r="I157" s="274"/>
      <c r="J157" s="171" t="str">
        <f>IF(AND('Mapa final'!$AB$64="Baja",'Mapa final'!$AD$64="Leve"),CONCATENATE("R19C",'Mapa final'!$R$64),"")</f>
        <v/>
      </c>
      <c r="K157" s="191" t="str">
        <f>IF(AND('Mapa final'!$AB$65="Baja",'Mapa final'!$AD$65="Leve"),CONCATENATE("R19C",'Mapa final'!$R$65),"")</f>
        <v>R19C2</v>
      </c>
      <c r="L157" s="172" t="str">
        <f>IF(AND('Mapa final'!$AB$66="Baja",'Mapa final'!$AD$66="Leve"),CONCATENATE("R19C",'Mapa final'!$R$66),"")</f>
        <v/>
      </c>
      <c r="M157" s="163" t="str">
        <f>IF(AND('Mapa final'!$AB$64="Baja",'Mapa final'!$AD$64="Menor"),CONCATENATE("R19C",'Mapa final'!$R$64),"")</f>
        <v/>
      </c>
      <c r="N157" s="190" t="str">
        <f>IF(AND('Mapa final'!$AB$65="Baja",'Mapa final'!$AD$65="Menor"),CONCATENATE("R19C",'Mapa final'!$R$65),"")</f>
        <v/>
      </c>
      <c r="O157" s="164" t="str">
        <f>IF(AND('Mapa final'!$AB$66="Baja",'Mapa final'!$AD$66="Menor"),CONCATENATE("R19C",'Mapa final'!$R$66),"")</f>
        <v/>
      </c>
      <c r="P157" s="163" t="str">
        <f>IF(AND('Mapa final'!$AB$64="Baja",'Mapa final'!$AD$64="Moderado"),CONCATENATE("R19C",'Mapa final'!$R$64),"")</f>
        <v/>
      </c>
      <c r="Q157" s="190" t="str">
        <f>IF(AND('Mapa final'!$AB$65="Baja",'Mapa final'!$AD$65="Moderado"),CONCATENATE("R19C",'Mapa final'!$R$65),"")</f>
        <v/>
      </c>
      <c r="R157" s="164" t="str">
        <f>IF(AND('Mapa final'!$AB$66="Baja",'Mapa final'!$AD$66="Moderado"),CONCATENATE("R19C",'Mapa final'!$R$66),"")</f>
        <v/>
      </c>
      <c r="S157" s="195" t="str">
        <f>IF(AND('Mapa final'!$AB$64="Baja",'Mapa final'!$AD$64="Mayor"),CONCATENATE("R19C",'Mapa final'!$R$64),"")</f>
        <v>R19C1</v>
      </c>
      <c r="T157" s="196" t="str">
        <f>IF(AND('Mapa final'!$AB$65="Baja",'Mapa final'!$AD$65="Mayor"),CONCATENATE("R19C",'Mapa final'!$R$65),"")</f>
        <v/>
      </c>
      <c r="U157" s="197" t="str">
        <f>IF(AND('Mapa final'!$AB$66="Baja",'Mapa final'!$AD$66="Mayor"),CONCATENATE("R19C",'Mapa final'!$R$66),"")</f>
        <v/>
      </c>
      <c r="V157" s="158" t="str">
        <f>IF(AND('Mapa final'!$AB$64="Baja",'Mapa final'!$AD$64="Catastrófico"),CONCATENATE("R19C",'Mapa final'!$R$64),"")</f>
        <v/>
      </c>
      <c r="W157" s="189" t="str">
        <f>IF(AND('Mapa final'!$AB$65="Baja",'Mapa final'!$AD$65="Catastrófico"),CONCATENATE("R19C",'Mapa final'!$R$65),"")</f>
        <v/>
      </c>
      <c r="X157" s="159" t="str">
        <f>IF(AND('Mapa final'!$AB$66="Baja",'Mapa final'!$AD$66="Catastrófico"),CONCATENATE("R19C",'Mapa final'!$R$66),"")</f>
        <v/>
      </c>
      <c r="Y157" s="38"/>
      <c r="Z157" s="302"/>
      <c r="AA157" s="303"/>
      <c r="AB157" s="303"/>
      <c r="AC157" s="303"/>
      <c r="AD157" s="303"/>
      <c r="AE157" s="304"/>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row>
    <row r="158" spans="1:61" ht="15" customHeight="1" x14ac:dyDescent="0.25">
      <c r="A158" s="38"/>
      <c r="B158" s="291"/>
      <c r="C158" s="292"/>
      <c r="D158" s="293"/>
      <c r="E158" s="273"/>
      <c r="F158" s="274"/>
      <c r="G158" s="274"/>
      <c r="H158" s="274"/>
      <c r="I158" s="274"/>
      <c r="J158" s="171" t="str">
        <f>IF(AND('Mapa final'!$AB$67="Baja",'Mapa final'!$AD$67="Leve"),CONCATENATE("R20",'Mapa final'!$R$67),"")</f>
        <v/>
      </c>
      <c r="K158" s="191" t="str">
        <f>IF(AND('Mapa final'!$AB$68="Baja",'Mapa final'!$AD$68="Leve"),CONCATENATE("R20C",'Mapa final'!$R$68),"")</f>
        <v>R20C2</v>
      </c>
      <c r="L158" s="172" t="str">
        <f>IF(AND('Mapa final'!$AB$69="Baja",'Mapa final'!$AD$69="Leve"),CONCATENATE("R20C",'Mapa final'!$R$69),"")</f>
        <v/>
      </c>
      <c r="M158" s="163" t="str">
        <f>IF(AND('Mapa final'!$AB$67="Baja",'Mapa final'!$AD$67="Menor"),CONCATENATE("R20",'Mapa final'!$R$67),"")</f>
        <v/>
      </c>
      <c r="N158" s="190" t="str">
        <f>IF(AND('Mapa final'!$AB$68="Baja",'Mapa final'!$AD$68="Menor"),CONCATENATE("R20C",'Mapa final'!$R$68),"")</f>
        <v/>
      </c>
      <c r="O158" s="164" t="str">
        <f>IF(AND('Mapa final'!$AB$69="Baja",'Mapa final'!$AD$69="Menor"),CONCATENATE("R20C",'Mapa final'!$R$69),"")</f>
        <v/>
      </c>
      <c r="P158" s="163" t="str">
        <f>IF(AND('Mapa final'!$AB$67="Baja",'Mapa final'!$AD$67="Moderado"),CONCATENATE("R20",'Mapa final'!$R$67),"")</f>
        <v/>
      </c>
      <c r="Q158" s="190" t="str">
        <f>IF(AND('Mapa final'!$AB$68="Baja",'Mapa final'!$AD$68="Moderado"),CONCATENATE("R20C",'Mapa final'!$R$68),"")</f>
        <v/>
      </c>
      <c r="R158" s="164" t="str">
        <f>IF(AND('Mapa final'!$AB$69="Baja",'Mapa final'!$AD$69="Moderado"),CONCATENATE("R20C",'Mapa final'!$R$69),"")</f>
        <v/>
      </c>
      <c r="S158" s="195" t="str">
        <f>IF(AND('Mapa final'!$AB$67="Baja",'Mapa final'!$AD$67="Mayor"),CONCATENATE("R20",'Mapa final'!$R$67),"")</f>
        <v>R201</v>
      </c>
      <c r="T158" s="196" t="str">
        <f>IF(AND('Mapa final'!$AB$68="Baja",'Mapa final'!$AD$68="Mayor"),CONCATENATE("R20C",'Mapa final'!$R$68),"")</f>
        <v/>
      </c>
      <c r="U158" s="197" t="str">
        <f>IF(AND('Mapa final'!$AB$69="Baja",'Mapa final'!$AD$69="Mayor"),CONCATENATE("R20C",'Mapa final'!$R$69),"")</f>
        <v/>
      </c>
      <c r="V158" s="158" t="str">
        <f>IF(AND('Mapa final'!$AB$67="Baja",'Mapa final'!$AD$67="Catastrófico"),CONCATENATE("R20",'Mapa final'!$R$67),"")</f>
        <v/>
      </c>
      <c r="W158" s="189" t="str">
        <f>IF(AND('Mapa final'!$AB$68="Baja",'Mapa final'!$AD$68="Catastrófico"),CONCATENATE("R20C",'Mapa final'!$R$68),"")</f>
        <v/>
      </c>
      <c r="X158" s="159" t="str">
        <f>IF(AND('Mapa final'!$AB$69="Baja",'Mapa final'!$AD$69="Catastrófico"),CONCATENATE("R20C",'Mapa final'!$R$69),"")</f>
        <v/>
      </c>
      <c r="Y158" s="38"/>
      <c r="Z158" s="302"/>
      <c r="AA158" s="303"/>
      <c r="AB158" s="303"/>
      <c r="AC158" s="303"/>
      <c r="AD158" s="303"/>
      <c r="AE158" s="304"/>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row>
    <row r="159" spans="1:61" ht="15" customHeight="1" x14ac:dyDescent="0.25">
      <c r="A159" s="38"/>
      <c r="B159" s="291"/>
      <c r="C159" s="292"/>
      <c r="D159" s="293"/>
      <c r="E159" s="273"/>
      <c r="F159" s="274"/>
      <c r="G159" s="274"/>
      <c r="H159" s="274"/>
      <c r="I159" s="274"/>
      <c r="J159" s="171" t="str">
        <f>IF(AND('Mapa final'!$AB$70="Baja",'Mapa final'!$AD$70="Leve"),CONCATENATE("R21C",'Mapa final'!$R$70),"")</f>
        <v/>
      </c>
      <c r="K159" s="191" t="str">
        <f>IF(AND('Mapa final'!$AB$71="Baja",'Mapa final'!$AD$71="Leve"),CONCATENATE("R21C",'Mapa final'!$R$71),"")</f>
        <v/>
      </c>
      <c r="L159" s="172" t="str">
        <f>IF(AND('Mapa final'!$AB$72="Baja",'Mapa final'!$AD$72="Leve"),CONCATENATE("R21C",'Mapa final'!$R$72),"")</f>
        <v/>
      </c>
      <c r="M159" s="163" t="str">
        <f>IF(AND('Mapa final'!$AB$70="Baja",'Mapa final'!$AD$70="Menor"),CONCATENATE("R21C",'Mapa final'!$R$70),"")</f>
        <v/>
      </c>
      <c r="N159" s="190" t="str">
        <f>IF(AND('Mapa final'!$AB$71="Baja",'Mapa final'!$AD$71="Menor"),CONCATENATE("R21C",'Mapa final'!$R$71),"")</f>
        <v/>
      </c>
      <c r="O159" s="164" t="str">
        <f>IF(AND('Mapa final'!$AB$72="Baja",'Mapa final'!$AD$72="Menor"),CONCATENATE("R21C",'Mapa final'!$R$72),"")</f>
        <v/>
      </c>
      <c r="P159" s="163" t="str">
        <f>IF(AND('Mapa final'!$AB$70="Baja",'Mapa final'!$AD$70="Moderado"),CONCATENATE("R21C",'Mapa final'!$R$70),"")</f>
        <v/>
      </c>
      <c r="Q159" s="190" t="str">
        <f>IF(AND('Mapa final'!$AB$71="Baja",'Mapa final'!$AD$71="Moderado"),CONCATENATE("R21C",'Mapa final'!$R$71),"")</f>
        <v/>
      </c>
      <c r="R159" s="164" t="str">
        <f>IF(AND('Mapa final'!$AB$72="Baja",'Mapa final'!$AD$72="Moderado"),CONCATENATE("R21C",'Mapa final'!$R$72),"")</f>
        <v/>
      </c>
      <c r="S159" s="195" t="str">
        <f>IF(AND('Mapa final'!$AB$70="Baja",'Mapa final'!$AD$70="Mayor"),CONCATENATE("R21C",'Mapa final'!$R$70),"")</f>
        <v/>
      </c>
      <c r="T159" s="196" t="str">
        <f>IF(AND('Mapa final'!$AB$71="Baja",'Mapa final'!$AD$71="Mayor"),CONCATENATE("R21C",'Mapa final'!$R$71),"")</f>
        <v>R21C2</v>
      </c>
      <c r="U159" s="197" t="str">
        <f>IF(AND('Mapa final'!$AB$72="Baja",'Mapa final'!$AD$72="Mayor"),CONCATENATE("R21C",'Mapa final'!$R$72),"")</f>
        <v/>
      </c>
      <c r="V159" s="158" t="str">
        <f>IF(AND('Mapa final'!$AB$70="Baja",'Mapa final'!$AD$70="Catastrófico"),CONCATENATE("R21C",'Mapa final'!$R$70),"")</f>
        <v/>
      </c>
      <c r="W159" s="189" t="str">
        <f>IF(AND('Mapa final'!$AB$71="Baja",'Mapa final'!$AD$71="Catastrófico"),CONCATENATE("R21C",'Mapa final'!$R$71),"")</f>
        <v/>
      </c>
      <c r="X159" s="159" t="str">
        <f>IF(AND('Mapa final'!$AB$72="Baja",'Mapa final'!$AD$72="Catastrófico"),CONCATENATE("R21C",'Mapa final'!$R$72),"")</f>
        <v/>
      </c>
      <c r="Y159" s="38"/>
      <c r="Z159" s="302"/>
      <c r="AA159" s="303"/>
      <c r="AB159" s="303"/>
      <c r="AC159" s="303"/>
      <c r="AD159" s="303"/>
      <c r="AE159" s="304"/>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row>
    <row r="160" spans="1:61" ht="15" customHeight="1" x14ac:dyDescent="0.25">
      <c r="A160" s="38"/>
      <c r="B160" s="291"/>
      <c r="C160" s="292"/>
      <c r="D160" s="293"/>
      <c r="E160" s="273"/>
      <c r="F160" s="274"/>
      <c r="G160" s="274"/>
      <c r="H160" s="274"/>
      <c r="I160" s="274"/>
      <c r="J160" s="171" t="str">
        <f>IF(AND('Mapa final'!$AB$73="Baja",'Mapa final'!$AD$73="Leve"),CONCATENATE("R22C",'Mapa final'!$R$73),"")</f>
        <v/>
      </c>
      <c r="K160" s="191" t="str">
        <f>IF(AND('Mapa final'!$AB$74="Baja",'Mapa final'!$AD$74="Leve"),CONCATENATE("R22C",'Mapa final'!$R$74),"")</f>
        <v/>
      </c>
      <c r="L160" s="172" t="str">
        <f>IF(AND('Mapa final'!$AB$75="Baja",'Mapa final'!$AD$75="Leve"),CONCATENATE("R2C",'Mapa final'!$R$75),"")</f>
        <v/>
      </c>
      <c r="M160" s="163" t="str">
        <f>IF(AND('Mapa final'!$AB$73="Baja",'Mapa final'!$AD$73="Menor"),CONCATENATE("R22C",'Mapa final'!$R$73),"")</f>
        <v>R22C1</v>
      </c>
      <c r="N160" s="190" t="str">
        <f>IF(AND('Mapa final'!$AB$74="Baja",'Mapa final'!$AD$74="Menor"),CONCATENATE("R22C",'Mapa final'!$R$74),"")</f>
        <v/>
      </c>
      <c r="O160" s="164" t="str">
        <f>IF(AND('Mapa final'!$AB$75="Baja",'Mapa final'!$AD$75="Menor"),CONCATENATE("R2C",'Mapa final'!$R$75),"")</f>
        <v/>
      </c>
      <c r="P160" s="163" t="str">
        <f>IF(AND('Mapa final'!$AB$73="Baja",'Mapa final'!$AD$73="Moderado"),CONCATENATE("R22C",'Mapa final'!$R$73),"")</f>
        <v/>
      </c>
      <c r="Q160" s="190" t="str">
        <f>IF(AND('Mapa final'!$AB$74="Baja",'Mapa final'!$AD$74="Moderado"),CONCATENATE("R22C",'Mapa final'!$R$74),"")</f>
        <v/>
      </c>
      <c r="R160" s="164" t="str">
        <f>IF(AND('Mapa final'!$AB$75="Baja",'Mapa final'!$AD$75="Moderado"),CONCATENATE("R2C",'Mapa final'!$R$75),"")</f>
        <v/>
      </c>
      <c r="S160" s="195" t="str">
        <f>IF(AND('Mapa final'!$AB$73="Baja",'Mapa final'!$AD$73="Mayor"),CONCATENATE("R22C",'Mapa final'!$R$73),"")</f>
        <v/>
      </c>
      <c r="T160" s="196" t="str">
        <f>IF(AND('Mapa final'!$AB$74="Baja",'Mapa final'!$AD$74="Mayor"),CONCATENATE("R22C",'Mapa final'!$R$74),"")</f>
        <v/>
      </c>
      <c r="U160" s="197" t="str">
        <f>IF(AND('Mapa final'!$AB$75="Baja",'Mapa final'!$AD$75="Mayor"),CONCATENATE("R2C",'Mapa final'!$R$75),"")</f>
        <v/>
      </c>
      <c r="V160" s="158" t="str">
        <f>IF(AND('Mapa final'!$AB$73="Baja",'Mapa final'!$AD$73="Catastrófico"),CONCATENATE("R22C",'Mapa final'!$R$73),"")</f>
        <v/>
      </c>
      <c r="W160" s="189" t="str">
        <f>IF(AND('Mapa final'!$AB$74="Baja",'Mapa final'!$AD$74="Catastrófico"),CONCATENATE("R22C",'Mapa final'!$R$74),"")</f>
        <v/>
      </c>
      <c r="X160" s="159" t="str">
        <f>IF(AND('Mapa final'!$AB$75="Baja",'Mapa final'!$AD$75="Catastrófico"),CONCATENATE("R2C",'Mapa final'!$R$75),"")</f>
        <v/>
      </c>
      <c r="Y160" s="38"/>
      <c r="Z160" s="302"/>
      <c r="AA160" s="303"/>
      <c r="AB160" s="303"/>
      <c r="AC160" s="303"/>
      <c r="AD160" s="303"/>
      <c r="AE160" s="304"/>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row>
    <row r="161" spans="1:61" ht="15" customHeight="1" x14ac:dyDescent="0.25">
      <c r="A161" s="38"/>
      <c r="B161" s="291"/>
      <c r="C161" s="292"/>
      <c r="D161" s="293"/>
      <c r="E161" s="273"/>
      <c r="F161" s="274"/>
      <c r="G161" s="274"/>
      <c r="H161" s="274"/>
      <c r="I161" s="274"/>
      <c r="J161" s="171" t="str">
        <f>IF(AND('Mapa final'!$AB$76="Baja",'Mapa final'!$AD$76="Leve"),CONCATENATE("R23C",'Mapa final'!$R$76),"")</f>
        <v/>
      </c>
      <c r="K161" s="191" t="str">
        <f>IF(AND('Mapa final'!$AB$77="Baja",'Mapa final'!$AD$77="Leve"),CONCATENATE("R23C",'Mapa final'!$R$77),"")</f>
        <v/>
      </c>
      <c r="L161" s="172" t="str">
        <f>IF(AND('Mapa final'!$AB$78="Baja",'Mapa final'!$AD$78="Leve"),CONCATENATE("R23C",'Mapa final'!$R$78),"")</f>
        <v/>
      </c>
      <c r="M161" s="163" t="str">
        <f>IF(AND('Mapa final'!$AB$76="Baja",'Mapa final'!$AD$76="Menor"),CONCATENATE("R23C",'Mapa final'!$R$76),"")</f>
        <v>R23C1</v>
      </c>
      <c r="N161" s="190" t="str">
        <f>IF(AND('Mapa final'!$AB$77="Baja",'Mapa final'!$AD$77="Menor"),CONCATENATE("R23C",'Mapa final'!$R$77),"")</f>
        <v/>
      </c>
      <c r="O161" s="164" t="str">
        <f>IF(AND('Mapa final'!$AB$78="Baja",'Mapa final'!$AD$78="Menor"),CONCATENATE("R23C",'Mapa final'!$R$78),"")</f>
        <v/>
      </c>
      <c r="P161" s="163" t="str">
        <f>IF(AND('Mapa final'!$AB$76="Baja",'Mapa final'!$AD$76="Moderado"),CONCATENATE("R23C",'Mapa final'!$R$76),"")</f>
        <v/>
      </c>
      <c r="Q161" s="190" t="str">
        <f>IF(AND('Mapa final'!$AB$77="Baja",'Mapa final'!$AD$77="Moderado"),CONCATENATE("R23C",'Mapa final'!$R$77),"")</f>
        <v/>
      </c>
      <c r="R161" s="164" t="str">
        <f>IF(AND('Mapa final'!$AB$78="Baja",'Mapa final'!$AD$78="Moderado"),CONCATENATE("R23C",'Mapa final'!$R$78),"")</f>
        <v/>
      </c>
      <c r="S161" s="195" t="str">
        <f>IF(AND('Mapa final'!$AB$76="Baja",'Mapa final'!$AD$76="Mayor"),CONCATENATE("R23C",'Mapa final'!$R$76),"")</f>
        <v/>
      </c>
      <c r="T161" s="196" t="str">
        <f>IF(AND('Mapa final'!$AB$77="Baja",'Mapa final'!$AD$77="Mayor"),CONCATENATE("R23C",'Mapa final'!$R$77),"")</f>
        <v/>
      </c>
      <c r="U161" s="197" t="str">
        <f>IF(AND('Mapa final'!$AB$78="Baja",'Mapa final'!$AD$78="Mayor"),CONCATENATE("R23C",'Mapa final'!$R$78),"")</f>
        <v/>
      </c>
      <c r="V161" s="158" t="str">
        <f>IF(AND('Mapa final'!$AB$76="Baja",'Mapa final'!$AD$76="Catastrófico"),CONCATENATE("R23C",'Mapa final'!$R$76),"")</f>
        <v/>
      </c>
      <c r="W161" s="189" t="str">
        <f>IF(AND('Mapa final'!$AB$77="Baja",'Mapa final'!$AD$77="Catastrófico"),CONCATENATE("R23C",'Mapa final'!$R$77),"")</f>
        <v/>
      </c>
      <c r="X161" s="159" t="str">
        <f>IF(AND('Mapa final'!$AB$78="Baja",'Mapa final'!$AD$78="Catastrófico"),CONCATENATE("R23C",'Mapa final'!$R$78),"")</f>
        <v/>
      </c>
      <c r="Y161" s="38"/>
      <c r="Z161" s="302"/>
      <c r="AA161" s="303"/>
      <c r="AB161" s="303"/>
      <c r="AC161" s="303"/>
      <c r="AD161" s="303"/>
      <c r="AE161" s="304"/>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row>
    <row r="162" spans="1:61" ht="15" customHeight="1" x14ac:dyDescent="0.25">
      <c r="A162" s="38"/>
      <c r="B162" s="291"/>
      <c r="C162" s="292"/>
      <c r="D162" s="293"/>
      <c r="E162" s="273"/>
      <c r="F162" s="274"/>
      <c r="G162" s="274"/>
      <c r="H162" s="274"/>
      <c r="I162" s="274"/>
      <c r="J162" s="171" t="str">
        <f>IF(AND('Mapa final'!$AB$79="Baja",'Mapa final'!$AD$79="Leve"),CONCATENATE("R24C",'Mapa final'!$R$79),"")</f>
        <v/>
      </c>
      <c r="K162" s="191" t="str">
        <f>IF(AND('Mapa final'!$AB$80="Baja",'Mapa final'!$AD$80="Leve"),CONCATENATE("R24C",'Mapa final'!$R$80),"")</f>
        <v/>
      </c>
      <c r="L162" s="172" t="str">
        <f>IF(AND('Mapa final'!$AB$81="Baja",'Mapa final'!$AD$81="Leve"),CONCATENATE("R24C",'Mapa final'!$R$81),"")</f>
        <v/>
      </c>
      <c r="M162" s="163" t="str">
        <f>IF(AND('Mapa final'!$AB$79="Baja",'Mapa final'!$AD$79="Menor"),CONCATENATE("R24C",'Mapa final'!$R$79),"")</f>
        <v>R24C1</v>
      </c>
      <c r="N162" s="190" t="str">
        <f>IF(AND('Mapa final'!$AB$80="Baja",'Mapa final'!$AD$80="Menor"),CONCATENATE("R24C",'Mapa final'!$R$80),"")</f>
        <v/>
      </c>
      <c r="O162" s="164" t="str">
        <f>IF(AND('Mapa final'!$AB$81="Baja",'Mapa final'!$AD$81="Menor"),CONCATENATE("R24C",'Mapa final'!$R$81),"")</f>
        <v/>
      </c>
      <c r="P162" s="163" t="str">
        <f>IF(AND('Mapa final'!$AB$79="Baja",'Mapa final'!$AD$79="Moderado"),CONCATENATE("R24C",'Mapa final'!$R$79),"")</f>
        <v/>
      </c>
      <c r="Q162" s="190" t="str">
        <f>IF(AND('Mapa final'!$AB$80="Baja",'Mapa final'!$AD$80="Moderado"),CONCATENATE("R24C",'Mapa final'!$R$80),"")</f>
        <v/>
      </c>
      <c r="R162" s="164" t="str">
        <f>IF(AND('Mapa final'!$AB$81="Baja",'Mapa final'!$AD$81="Moderado"),CONCATENATE("R24C",'Mapa final'!$R$81),"")</f>
        <v/>
      </c>
      <c r="S162" s="195" t="str">
        <f>IF(AND('Mapa final'!$AB$79="Baja",'Mapa final'!$AD$79="Mayor"),CONCATENATE("R24C",'Mapa final'!$R$79),"")</f>
        <v/>
      </c>
      <c r="T162" s="196" t="str">
        <f>IF(AND('Mapa final'!$AB$80="Baja",'Mapa final'!$AD$80="Mayor"),CONCATENATE("R24C",'Mapa final'!$R$80),"")</f>
        <v/>
      </c>
      <c r="U162" s="197" t="str">
        <f>IF(AND('Mapa final'!$AB$81="Baja",'Mapa final'!$AD$81="Mayor"),CONCATENATE("R24C",'Mapa final'!$R$81),"")</f>
        <v/>
      </c>
      <c r="V162" s="158" t="str">
        <f>IF(AND('Mapa final'!$AB$79="Baja",'Mapa final'!$AD$79="Catastrófico"),CONCATENATE("R24C",'Mapa final'!$R$79),"")</f>
        <v/>
      </c>
      <c r="W162" s="189" t="str">
        <f>IF(AND('Mapa final'!$AB$80="Baja",'Mapa final'!$AD$80="Catastrófico"),CONCATENATE("R24C",'Mapa final'!$R$80),"")</f>
        <v/>
      </c>
      <c r="X162" s="159" t="str">
        <f>IF(AND('Mapa final'!$AB$81="Baja",'Mapa final'!$AD$81="Catastrófico"),CONCATENATE("R24C",'Mapa final'!$R$81),"")</f>
        <v/>
      </c>
      <c r="Y162" s="38"/>
      <c r="Z162" s="302"/>
      <c r="AA162" s="303"/>
      <c r="AB162" s="303"/>
      <c r="AC162" s="303"/>
      <c r="AD162" s="303"/>
      <c r="AE162" s="304"/>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row>
    <row r="163" spans="1:61" ht="15" customHeight="1" x14ac:dyDescent="0.25">
      <c r="A163" s="38"/>
      <c r="B163" s="291"/>
      <c r="C163" s="292"/>
      <c r="D163" s="293"/>
      <c r="E163" s="273"/>
      <c r="F163" s="274"/>
      <c r="G163" s="274"/>
      <c r="H163" s="274"/>
      <c r="I163" s="274"/>
      <c r="J163" s="171" t="str">
        <f>IF(AND('Mapa final'!$AB$82="Baja",'Mapa final'!$AD$82="Leve"),CONCATENATE("R25C",'Mapa final'!$R$82),"")</f>
        <v/>
      </c>
      <c r="K163" s="191" t="str">
        <f>IF(AND('Mapa final'!$AB$83="Baja",'Mapa final'!$AD$83="Leve"),CONCATENATE("R25C",'Mapa final'!$R$83),"")</f>
        <v/>
      </c>
      <c r="L163" s="172" t="str">
        <f>IF(AND('Mapa final'!$AB$84="Baja",'Mapa final'!$AD$84="Leve"),CONCATENATE("R25C",'Mapa final'!$R$84),"")</f>
        <v/>
      </c>
      <c r="M163" s="163" t="str">
        <f>IF(AND('Mapa final'!$AB$82="Baja",'Mapa final'!$AD$82="Menor"),CONCATENATE("R25C",'Mapa final'!$R$82),"")</f>
        <v/>
      </c>
      <c r="N163" s="190" t="str">
        <f>IF(AND('Mapa final'!$AB$83="Baja",'Mapa final'!$AD$83="Menor"),CONCATENATE("R25C",'Mapa final'!$R$83),"")</f>
        <v/>
      </c>
      <c r="O163" s="164" t="str">
        <f>IF(AND('Mapa final'!$AB$84="Baja",'Mapa final'!$AD$84="Menor"),CONCATENATE("R25C",'Mapa final'!$R$84),"")</f>
        <v/>
      </c>
      <c r="P163" s="163" t="str">
        <f>IF(AND('Mapa final'!$AB$82="Baja",'Mapa final'!$AD$82="Moderado"),CONCATENATE("R25C",'Mapa final'!$R$82),"")</f>
        <v/>
      </c>
      <c r="Q163" s="190" t="str">
        <f>IF(AND('Mapa final'!$AB$83="Baja",'Mapa final'!$AD$83="Moderado"),CONCATENATE("R25C",'Mapa final'!$R$83),"")</f>
        <v/>
      </c>
      <c r="R163" s="164" t="str">
        <f>IF(AND('Mapa final'!$AB$84="Baja",'Mapa final'!$AD$84="Moderado"),CONCATENATE("R25C",'Mapa final'!$R$84),"")</f>
        <v/>
      </c>
      <c r="S163" s="195" t="str">
        <f>IF(AND('Mapa final'!$AB$82="Baja",'Mapa final'!$AD$82="Mayor"),CONCATENATE("R25C",'Mapa final'!$R$82),"")</f>
        <v/>
      </c>
      <c r="T163" s="196" t="str">
        <f>IF(AND('Mapa final'!$AB$83="Baja",'Mapa final'!$AD$83="Mayor"),CONCATENATE("R25C",'Mapa final'!$R$83),"")</f>
        <v/>
      </c>
      <c r="U163" s="197" t="str">
        <f>IF(AND('Mapa final'!$AB$84="Baja",'Mapa final'!$AD$84="Mayor"),CONCATENATE("R25C",'Mapa final'!$R$84),"")</f>
        <v/>
      </c>
      <c r="V163" s="158" t="str">
        <f>IF(AND('Mapa final'!$AB$82="Baja",'Mapa final'!$AD$82="Catastrófico"),CONCATENATE("R25C",'Mapa final'!$R$82),"")</f>
        <v/>
      </c>
      <c r="W163" s="189" t="str">
        <f>IF(AND('Mapa final'!$AB$83="Baja",'Mapa final'!$AD$83="Catastrófico"),CONCATENATE("R25C",'Mapa final'!$R$83),"")</f>
        <v/>
      </c>
      <c r="X163" s="159" t="str">
        <f>IF(AND('Mapa final'!$AB$84="Baja",'Mapa final'!$AD$84="Catastrófico"),CONCATENATE("R25C",'Mapa final'!$R$84),"")</f>
        <v/>
      </c>
      <c r="Y163" s="38"/>
      <c r="Z163" s="302"/>
      <c r="AA163" s="303"/>
      <c r="AB163" s="303"/>
      <c r="AC163" s="303"/>
      <c r="AD163" s="303"/>
      <c r="AE163" s="304"/>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row>
    <row r="164" spans="1:61" ht="15" customHeight="1" x14ac:dyDescent="0.25">
      <c r="A164" s="38"/>
      <c r="B164" s="291"/>
      <c r="C164" s="292"/>
      <c r="D164" s="293"/>
      <c r="E164" s="273"/>
      <c r="F164" s="274"/>
      <c r="G164" s="274"/>
      <c r="H164" s="274"/>
      <c r="I164" s="274"/>
      <c r="J164" s="171" t="str">
        <f>IF(AND('Mapa final'!$AB$85="Baja",'Mapa final'!$AD$85="Leve"),CONCATENATE("R26C",'Mapa final'!$R$85),"")</f>
        <v/>
      </c>
      <c r="K164" s="191" t="str">
        <f>IF(AND('Mapa final'!$AB$86="Baja",'Mapa final'!$AD$86="Leve"),CONCATENATE("R26C",'Mapa final'!$R$86),"")</f>
        <v/>
      </c>
      <c r="L164" s="172" t="str">
        <f>IF(AND('Mapa final'!$AB$87="Baja",'Mapa final'!$AD$87="Leve"),CONCATENATE("R26C",'Mapa final'!$R$87),"")</f>
        <v/>
      </c>
      <c r="M164" s="163" t="str">
        <f>IF(AND('Mapa final'!$AB$85="Baja",'Mapa final'!$AD$85="Menor"),CONCATENATE("R26C",'Mapa final'!$R$85),"")</f>
        <v/>
      </c>
      <c r="N164" s="190" t="str">
        <f>IF(AND('Mapa final'!$AB$86="Baja",'Mapa final'!$AD$86="Menor"),CONCATENATE("R26C",'Mapa final'!$R$86),"")</f>
        <v/>
      </c>
      <c r="O164" s="164" t="str">
        <f>IF(AND('Mapa final'!$AB$87="Baja",'Mapa final'!$AD$87="Menor"),CONCATENATE("R26C",'Mapa final'!$R$87),"")</f>
        <v/>
      </c>
      <c r="P164" s="163" t="str">
        <f>IF(AND('Mapa final'!$AB$85="Baja",'Mapa final'!$AD$85="Moderado"),CONCATENATE("R26C",'Mapa final'!$R$85),"")</f>
        <v/>
      </c>
      <c r="Q164" s="190" t="str">
        <f>IF(AND('Mapa final'!$AB$86="Baja",'Mapa final'!$AD$86="Moderado"),CONCATENATE("R26C",'Mapa final'!$R$86),"")</f>
        <v/>
      </c>
      <c r="R164" s="164" t="str">
        <f>IF(AND('Mapa final'!$AB$87="Baja",'Mapa final'!$AD$87="Moderado"),CONCATENATE("R26C",'Mapa final'!$R$87),"")</f>
        <v/>
      </c>
      <c r="S164" s="195" t="str">
        <f>IF(AND('Mapa final'!$AB$85="Baja",'Mapa final'!$AD$85="Mayor"),CONCATENATE("R26C",'Mapa final'!$R$85),"")</f>
        <v/>
      </c>
      <c r="T164" s="196" t="str">
        <f>IF(AND('Mapa final'!$AB$86="Baja",'Mapa final'!$AD$86="Mayor"),CONCATENATE("R26C",'Mapa final'!$R$86),"")</f>
        <v/>
      </c>
      <c r="U164" s="197" t="str">
        <f>IF(AND('Mapa final'!$AB$87="Baja",'Mapa final'!$AD$87="Mayor"),CONCATENATE("R26C",'Mapa final'!$R$87),"")</f>
        <v/>
      </c>
      <c r="V164" s="158" t="str">
        <f>IF(AND('Mapa final'!$AB$85="Baja",'Mapa final'!$AD$85="Catastrófico"),CONCATENATE("R26C",'Mapa final'!$R$85),"")</f>
        <v/>
      </c>
      <c r="W164" s="189" t="str">
        <f>IF(AND('Mapa final'!$AB$86="Baja",'Mapa final'!$AD$86="Catastrófico"),CONCATENATE("R26C",'Mapa final'!$R$86),"")</f>
        <v/>
      </c>
      <c r="X164" s="159" t="str">
        <f>IF(AND('Mapa final'!$AB$87="Baja",'Mapa final'!$AD$87="Catastrófico"),CONCATENATE("R26C",'Mapa final'!$R$87),"")</f>
        <v/>
      </c>
      <c r="Y164" s="38"/>
      <c r="Z164" s="302"/>
      <c r="AA164" s="303"/>
      <c r="AB164" s="303"/>
      <c r="AC164" s="303"/>
      <c r="AD164" s="303"/>
      <c r="AE164" s="304"/>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row>
    <row r="165" spans="1:61" ht="15" customHeight="1" x14ac:dyDescent="0.25">
      <c r="A165" s="38"/>
      <c r="B165" s="291"/>
      <c r="C165" s="292"/>
      <c r="D165" s="293"/>
      <c r="E165" s="273"/>
      <c r="F165" s="274"/>
      <c r="G165" s="274"/>
      <c r="H165" s="274"/>
      <c r="I165" s="274"/>
      <c r="J165" s="171" t="str">
        <f>IF(AND('Mapa final'!$AB$88="Baja",'Mapa final'!$AD$88="Leve"),CONCATENATE("R27C",'Mapa final'!$R$88),"")</f>
        <v/>
      </c>
      <c r="K165" s="191" t="str">
        <f>IF(AND('Mapa final'!$AB$89="Baja",'Mapa final'!$AD$89="Leve"),CONCATENATE("R27C",'Mapa final'!$R$89),"")</f>
        <v>R27C2</v>
      </c>
      <c r="L165" s="172" t="str">
        <f>IF(AND('Mapa final'!$AB$90="Baja",'Mapa final'!$AD$90="Leve"),CONCATENATE("R27C",'Mapa final'!$R$90),"")</f>
        <v/>
      </c>
      <c r="M165" s="163" t="str">
        <f>IF(AND('Mapa final'!$AB$88="Baja",'Mapa final'!$AD$88="Menor"),CONCATENATE("R27C",'Mapa final'!$R$88),"")</f>
        <v/>
      </c>
      <c r="N165" s="190" t="str">
        <f>IF(AND('Mapa final'!$AB$89="Baja",'Mapa final'!$AD$89="Menor"),CONCATENATE("R27C",'Mapa final'!$R$89),"")</f>
        <v/>
      </c>
      <c r="O165" s="164" t="str">
        <f>IF(AND('Mapa final'!$AB$90="Baja",'Mapa final'!$AD$90="Menor"),CONCATENATE("R27C",'Mapa final'!$R$90),"")</f>
        <v/>
      </c>
      <c r="P165" s="163" t="str">
        <f>IF(AND('Mapa final'!$AB$88="Baja",'Mapa final'!$AD$88="Moderado"),CONCATENATE("R27C",'Mapa final'!$R$88),"")</f>
        <v/>
      </c>
      <c r="Q165" s="190" t="str">
        <f>IF(AND('Mapa final'!$AB$89="Baja",'Mapa final'!$AD$89="Moderado"),CONCATENATE("R27C",'Mapa final'!$R$89),"")</f>
        <v/>
      </c>
      <c r="R165" s="164" t="str">
        <f>IF(AND('Mapa final'!$AB$90="Baja",'Mapa final'!$AD$90="Moderado"),CONCATENATE("R27C",'Mapa final'!$R$90),"")</f>
        <v/>
      </c>
      <c r="S165" s="195" t="str">
        <f>IF(AND('Mapa final'!$AB$88="Baja",'Mapa final'!$AD$88="Mayor"),CONCATENATE("R27C",'Mapa final'!$R$88),"")</f>
        <v/>
      </c>
      <c r="T165" s="196" t="str">
        <f>IF(AND('Mapa final'!$AB$89="Baja",'Mapa final'!$AD$89="Mayor"),CONCATENATE("R27C",'Mapa final'!$R$89),"")</f>
        <v/>
      </c>
      <c r="U165" s="197" t="str">
        <f>IF(AND('Mapa final'!$AB$90="Baja",'Mapa final'!$AD$90="Mayor"),CONCATENATE("R27C",'Mapa final'!$R$90),"")</f>
        <v/>
      </c>
      <c r="V165" s="158" t="str">
        <f>IF(AND('Mapa final'!$AB$88="Baja",'Mapa final'!$AD$88="Catastrófico"),CONCATENATE("R27C",'Mapa final'!$R$88),"")</f>
        <v/>
      </c>
      <c r="W165" s="189" t="str">
        <f>IF(AND('Mapa final'!$AB$89="Baja",'Mapa final'!$AD$89="Catastrófico"),CONCATENATE("R27C",'Mapa final'!$R$89),"")</f>
        <v/>
      </c>
      <c r="X165" s="159" t="str">
        <f>IF(AND('Mapa final'!$AB$90="Baja",'Mapa final'!$AD$90="Catastrófico"),CONCATENATE("R27C",'Mapa final'!$R$90),"")</f>
        <v/>
      </c>
      <c r="Y165" s="38"/>
      <c r="Z165" s="302"/>
      <c r="AA165" s="303"/>
      <c r="AB165" s="303"/>
      <c r="AC165" s="303"/>
      <c r="AD165" s="303"/>
      <c r="AE165" s="304"/>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row>
    <row r="166" spans="1:61" ht="15" customHeight="1" x14ac:dyDescent="0.25">
      <c r="A166" s="38"/>
      <c r="B166" s="291"/>
      <c r="C166" s="292"/>
      <c r="D166" s="293"/>
      <c r="E166" s="275"/>
      <c r="F166" s="274"/>
      <c r="G166" s="274"/>
      <c r="H166" s="274"/>
      <c r="I166" s="274"/>
      <c r="J166" s="171" t="str">
        <f>IF(AND('Mapa final'!$AB$91="Baja",'Mapa final'!$AD$91="Leve"),CONCATENATE("R28C",'Mapa final'!$R$91),"")</f>
        <v>R28C1</v>
      </c>
      <c r="K166" s="191" t="str">
        <f>IF(AND('Mapa final'!$AB$92="Baja",'Mapa final'!$AD$92="Leve"),CONCATENATE("R28C",'Mapa final'!$R$92),"")</f>
        <v/>
      </c>
      <c r="L166" s="172" t="str">
        <f>IF(AND('Mapa final'!$AB$93="Baja",'Mapa final'!$AD$93="Leve"),CONCATENATE("R28C",'Mapa final'!$R$93),"")</f>
        <v/>
      </c>
      <c r="M166" s="163" t="str">
        <f>IF(AND('Mapa final'!$AB$91="Baja",'Mapa final'!$AD$91="Menor"),CONCATENATE("R28C",'Mapa final'!$R$91),"")</f>
        <v/>
      </c>
      <c r="N166" s="190" t="str">
        <f>IF(AND('Mapa final'!$AB$92="Baja",'Mapa final'!$AD$92="Menor"),CONCATENATE("R28C",'Mapa final'!$R$92),"")</f>
        <v/>
      </c>
      <c r="O166" s="164" t="str">
        <f>IF(AND('Mapa final'!$AB$93="Baja",'Mapa final'!$AD$93="Menor"),CONCATENATE("R28C",'Mapa final'!$R$93),"")</f>
        <v/>
      </c>
      <c r="P166" s="163" t="str">
        <f>IF(AND('Mapa final'!$AB$91="Baja",'Mapa final'!$AD$91="Moderado"),CONCATENATE("R28C",'Mapa final'!$R$91),"")</f>
        <v/>
      </c>
      <c r="Q166" s="190" t="str">
        <f>IF(AND('Mapa final'!$AB$92="Baja",'Mapa final'!$AD$92="Moderado"),CONCATENATE("R28C",'Mapa final'!$R$92),"")</f>
        <v/>
      </c>
      <c r="R166" s="164" t="str">
        <f>IF(AND('Mapa final'!$AB$93="Baja",'Mapa final'!$AD$93="Moderado"),CONCATENATE("R28C",'Mapa final'!$R$93),"")</f>
        <v/>
      </c>
      <c r="S166" s="195" t="str">
        <f>IF(AND('Mapa final'!$AB$91="Baja",'Mapa final'!$AD$91="Mayor"),CONCATENATE("R28C",'Mapa final'!$R$91),"")</f>
        <v/>
      </c>
      <c r="T166" s="196" t="str">
        <f>IF(AND('Mapa final'!$AB$92="Baja",'Mapa final'!$AD$92="Mayor"),CONCATENATE("R28C",'Mapa final'!$R$92),"")</f>
        <v/>
      </c>
      <c r="U166" s="197" t="str">
        <f>IF(AND('Mapa final'!$AB$93="Baja",'Mapa final'!$AD$93="Mayor"),CONCATENATE("R28C",'Mapa final'!$R$93),"")</f>
        <v/>
      </c>
      <c r="V166" s="158" t="str">
        <f>IF(AND('Mapa final'!$AB$91="Baja",'Mapa final'!$AD$91="Catastrófico"),CONCATENATE("R28C",'Mapa final'!$R$91),"")</f>
        <v/>
      </c>
      <c r="W166" s="189" t="str">
        <f>IF(AND('Mapa final'!$AB$92="Baja",'Mapa final'!$AD$92="Catastrófico"),CONCATENATE("R28C",'Mapa final'!$R$92),"")</f>
        <v/>
      </c>
      <c r="X166" s="159" t="str">
        <f>IF(AND('Mapa final'!$AB$93="Baja",'Mapa final'!$AD$93="Catastrófico"),CONCATENATE("R28C",'Mapa final'!$R$93),"")</f>
        <v/>
      </c>
      <c r="Y166" s="38"/>
      <c r="Z166" s="302"/>
      <c r="AA166" s="303"/>
      <c r="AB166" s="303"/>
      <c r="AC166" s="303"/>
      <c r="AD166" s="303"/>
      <c r="AE166" s="304"/>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row>
    <row r="167" spans="1:61" ht="15" customHeight="1" x14ac:dyDescent="0.25">
      <c r="A167" s="38"/>
      <c r="B167" s="291"/>
      <c r="C167" s="292"/>
      <c r="D167" s="293"/>
      <c r="E167" s="275"/>
      <c r="F167" s="274"/>
      <c r="G167" s="274"/>
      <c r="H167" s="274"/>
      <c r="I167" s="274"/>
      <c r="J167" s="171" t="str">
        <f>IF(AND('Mapa final'!$AB$94="Baja",'Mapa final'!$AD$94="Leve"),CONCATENATE("R29C",'Mapa final'!$R$94),"")</f>
        <v/>
      </c>
      <c r="K167" s="191" t="str">
        <f>IF(AND('Mapa final'!$AB$95="Baja",'Mapa final'!$AD$95="Leve"),CONCATENATE("R29C",'Mapa final'!$R$95),"")</f>
        <v/>
      </c>
      <c r="L167" s="172" t="str">
        <f>IF(AND('Mapa final'!$AB$96="Baja",'Mapa final'!$AD$96="Leve"),CONCATENATE("R29C",'Mapa final'!$R$96),"")</f>
        <v/>
      </c>
      <c r="M167" s="163" t="str">
        <f>IF(AND('Mapa final'!$AB$94="Baja",'Mapa final'!$AD$94="Menor"),CONCATENATE("R29C",'Mapa final'!$R$94),"")</f>
        <v/>
      </c>
      <c r="N167" s="190" t="str">
        <f>IF(AND('Mapa final'!$AB$95="Baja",'Mapa final'!$AD$95="Menor"),CONCATENATE("R29C",'Mapa final'!$R$95),"")</f>
        <v/>
      </c>
      <c r="O167" s="164" t="str">
        <f>IF(AND('Mapa final'!$AB$96="Baja",'Mapa final'!$AD$96="Menor"),CONCATENATE("R29C",'Mapa final'!$R$96),"")</f>
        <v/>
      </c>
      <c r="P167" s="163" t="str">
        <f>IF(AND('Mapa final'!$AB$94="Baja",'Mapa final'!$AD$94="Moderado"),CONCATENATE("R29C",'Mapa final'!$R$94),"")</f>
        <v/>
      </c>
      <c r="Q167" s="190" t="str">
        <f>IF(AND('Mapa final'!$AB$95="Baja",'Mapa final'!$AD$95="Moderado"),CONCATENATE("R29C",'Mapa final'!$R$95),"")</f>
        <v/>
      </c>
      <c r="R167" s="164" t="str">
        <f>IF(AND('Mapa final'!$AB$96="Baja",'Mapa final'!$AD$96="Moderado"),CONCATENATE("R29C",'Mapa final'!$R$96),"")</f>
        <v/>
      </c>
      <c r="S167" s="195" t="str">
        <f>IF(AND('Mapa final'!$AB$94="Baja",'Mapa final'!$AD$94="Mayor"),CONCATENATE("R29C",'Mapa final'!$R$94),"")</f>
        <v/>
      </c>
      <c r="T167" s="196" t="str">
        <f>IF(AND('Mapa final'!$AB$95="Baja",'Mapa final'!$AD$95="Mayor"),CONCATENATE("R29C",'Mapa final'!$R$95),"")</f>
        <v/>
      </c>
      <c r="U167" s="197" t="str">
        <f>IF(AND('Mapa final'!$AB$96="Baja",'Mapa final'!$AD$96="Mayor"),CONCATENATE("R29C",'Mapa final'!$R$96),"")</f>
        <v/>
      </c>
      <c r="V167" s="158" t="str">
        <f>IF(AND('Mapa final'!$AB$94="Baja",'Mapa final'!$AD$94="Catastrófico"),CONCATENATE("R29C",'Mapa final'!$R$94),"")</f>
        <v/>
      </c>
      <c r="W167" s="189" t="str">
        <f>IF(AND('Mapa final'!$AB$95="Baja",'Mapa final'!$AD$95="Catastrófico"),CONCATENATE("R29C",'Mapa final'!$R$95),"")</f>
        <v/>
      </c>
      <c r="X167" s="159" t="str">
        <f>IF(AND('Mapa final'!$AB$96="Baja",'Mapa final'!$AD$96="Catastrófico"),CONCATENATE("R29C",'Mapa final'!$R$96),"")</f>
        <v/>
      </c>
      <c r="Y167" s="38"/>
      <c r="Z167" s="302"/>
      <c r="AA167" s="303"/>
      <c r="AB167" s="303"/>
      <c r="AC167" s="303"/>
      <c r="AD167" s="303"/>
      <c r="AE167" s="304"/>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row>
    <row r="168" spans="1:61" ht="15" customHeight="1" x14ac:dyDescent="0.25">
      <c r="A168" s="38"/>
      <c r="B168" s="291"/>
      <c r="C168" s="292"/>
      <c r="D168" s="293"/>
      <c r="E168" s="275"/>
      <c r="F168" s="274"/>
      <c r="G168" s="274"/>
      <c r="H168" s="274"/>
      <c r="I168" s="274"/>
      <c r="J168" s="171" t="str">
        <f>IF(AND('Mapa final'!$AB$97="Baja",'Mapa final'!$AD$97="Leve"),CONCATENATE("R30C",'Mapa final'!$R$97),"")</f>
        <v/>
      </c>
      <c r="K168" s="191" t="str">
        <f>IF(AND('Mapa final'!$AB$98="Baja",'Mapa final'!$AD$98="Leve"),CONCATENATE("R30C",'Mapa final'!$R$98),"")</f>
        <v/>
      </c>
      <c r="L168" s="172" t="str">
        <f>IF(AND('Mapa final'!$AB$99="Baja",'Mapa final'!$AD$99="Leve"),CONCATENATE("R30C",'Mapa final'!$R$99),"")</f>
        <v/>
      </c>
      <c r="M168" s="163" t="str">
        <f>IF(AND('Mapa final'!$AB$97="Baja",'Mapa final'!$AD$97="Menor"),CONCATENATE("R30C",'Mapa final'!$R$97),"")</f>
        <v/>
      </c>
      <c r="N168" s="190" t="str">
        <f>IF(AND('Mapa final'!$AB$98="Baja",'Mapa final'!$AD$98="Menor"),CONCATENATE("R30C",'Mapa final'!$R$98),"")</f>
        <v/>
      </c>
      <c r="O168" s="164" t="str">
        <f>IF(AND('Mapa final'!$AB$99="Baja",'Mapa final'!$AD$99="Menor"),CONCATENATE("R30C",'Mapa final'!$R$99),"")</f>
        <v/>
      </c>
      <c r="P168" s="163" t="str">
        <f>IF(AND('Mapa final'!$AB$97="Baja",'Mapa final'!$AD$97="Moderado"),CONCATENATE("R30C",'Mapa final'!$R$97),"")</f>
        <v/>
      </c>
      <c r="Q168" s="190" t="str">
        <f>IF(AND('Mapa final'!$AB$98="Baja",'Mapa final'!$AD$98="Moderado"),CONCATENATE("R30C",'Mapa final'!$R$98),"")</f>
        <v/>
      </c>
      <c r="R168" s="164" t="str">
        <f>IF(AND('Mapa final'!$AB$99="Baja",'Mapa final'!$AD$99="Moderado"),CONCATENATE("R30C",'Mapa final'!$R$99),"")</f>
        <v/>
      </c>
      <c r="S168" s="195" t="str">
        <f>IF(AND('Mapa final'!$AB$97="Baja",'Mapa final'!$AD$97="Mayor"),CONCATENATE("R30C",'Mapa final'!$R$97),"")</f>
        <v/>
      </c>
      <c r="T168" s="196" t="str">
        <f>IF(AND('Mapa final'!$AB$98="Baja",'Mapa final'!$AD$98="Mayor"),CONCATENATE("R30C",'Mapa final'!$R$98),"")</f>
        <v/>
      </c>
      <c r="U168" s="197" t="str">
        <f>IF(AND('Mapa final'!$AB$99="Baja",'Mapa final'!$AD$99="Mayor"),CONCATENATE("R30C",'Mapa final'!$R$99),"")</f>
        <v/>
      </c>
      <c r="V168" s="158" t="str">
        <f>IF(AND('Mapa final'!$AB$97="Baja",'Mapa final'!$AD$97="Catastrófico"),CONCATENATE("R30C",'Mapa final'!$R$97),"")</f>
        <v/>
      </c>
      <c r="W168" s="189" t="str">
        <f>IF(AND('Mapa final'!$AB$98="Baja",'Mapa final'!$AD$98="Catastrófico"),CONCATENATE("R30C",'Mapa final'!$R$98),"")</f>
        <v/>
      </c>
      <c r="X168" s="159" t="str">
        <f>IF(AND('Mapa final'!$AB$99="Baja",'Mapa final'!$AD$99="Catastrófico"),CONCATENATE("R30C",'Mapa final'!$R$99),"")</f>
        <v/>
      </c>
      <c r="Y168" s="38"/>
      <c r="Z168" s="302"/>
      <c r="AA168" s="303"/>
      <c r="AB168" s="303"/>
      <c r="AC168" s="303"/>
      <c r="AD168" s="303"/>
      <c r="AE168" s="304"/>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row>
    <row r="169" spans="1:61" ht="15" customHeight="1" x14ac:dyDescent="0.25">
      <c r="A169" s="38"/>
      <c r="B169" s="291"/>
      <c r="C169" s="292"/>
      <c r="D169" s="293"/>
      <c r="E169" s="275"/>
      <c r="F169" s="274"/>
      <c r="G169" s="274"/>
      <c r="H169" s="274"/>
      <c r="I169" s="274"/>
      <c r="J169" s="171" t="str">
        <f>IF(AND('Mapa final'!$AB$100="Baja",'Mapa final'!$AD$100="Leve"),CONCATENATE("R31C",'Mapa final'!$R$100),"")</f>
        <v/>
      </c>
      <c r="K169" s="191" t="str">
        <f>IF(AND('Mapa final'!$AB$101="Baja",'Mapa final'!$AD$101="Leve"),CONCATENATE("R31C",'Mapa final'!$R$101),"")</f>
        <v/>
      </c>
      <c r="L169" s="172" t="str">
        <f>IF(AND('Mapa final'!$AB$102="Baja",'Mapa final'!$AD$102="Leve"),CONCATENATE("R31C",'Mapa final'!$R$102),"")</f>
        <v/>
      </c>
      <c r="M169" s="163" t="str">
        <f>IF(AND('Mapa final'!$AB$100="Baja",'Mapa final'!$AD$100="Menor"),CONCATENATE("R31C",'Mapa final'!$R$100),"")</f>
        <v/>
      </c>
      <c r="N169" s="190" t="str">
        <f>IF(AND('Mapa final'!$AB$101="Baja",'Mapa final'!$AD$101="Menor"),CONCATENATE("R31C",'Mapa final'!$R$101),"")</f>
        <v/>
      </c>
      <c r="O169" s="164" t="str">
        <f>IF(AND('Mapa final'!$AB$102="Baja",'Mapa final'!$AD$102="Menor"),CONCATENATE("R31C",'Mapa final'!$R$102),"")</f>
        <v/>
      </c>
      <c r="P169" s="163" t="str">
        <f>IF(AND('Mapa final'!$AB$100="Baja",'Mapa final'!$AD$100="Moderado"),CONCATENATE("R31C",'Mapa final'!$R$100),"")</f>
        <v/>
      </c>
      <c r="Q169" s="190" t="str">
        <f>IF(AND('Mapa final'!$AB$101="Baja",'Mapa final'!$AD$101="Moderado"),CONCATENATE("R31C",'Mapa final'!$R$101),"")</f>
        <v/>
      </c>
      <c r="R169" s="164" t="str">
        <f>IF(AND('Mapa final'!$AB$102="Baja",'Mapa final'!$AD$102="Moderado"),CONCATENATE("R31C",'Mapa final'!$R$102),"")</f>
        <v/>
      </c>
      <c r="S169" s="195" t="str">
        <f>IF(AND('Mapa final'!$AB$100="Baja",'Mapa final'!$AD$100="Mayor"),CONCATENATE("R31C",'Mapa final'!$R$100),"")</f>
        <v>R31C1</v>
      </c>
      <c r="T169" s="196" t="str">
        <f>IF(AND('Mapa final'!$AB$101="Baja",'Mapa final'!$AD$101="Mayor"),CONCATENATE("R31C",'Mapa final'!$R$101),"")</f>
        <v/>
      </c>
      <c r="U169" s="197" t="str">
        <f>IF(AND('Mapa final'!$AB$102="Baja",'Mapa final'!$AD$102="Mayor"),CONCATENATE("R31C",'Mapa final'!$R$102),"")</f>
        <v/>
      </c>
      <c r="V169" s="158" t="str">
        <f>IF(AND('Mapa final'!$AB$100="Baja",'Mapa final'!$AD$100="Catastrófico"),CONCATENATE("R31C",'Mapa final'!$R$100),"")</f>
        <v/>
      </c>
      <c r="W169" s="189" t="str">
        <f>IF(AND('Mapa final'!$AB$101="Baja",'Mapa final'!$AD$101="Catastrófico"),CONCATENATE("R31C",'Mapa final'!$R$101),"")</f>
        <v/>
      </c>
      <c r="X169" s="159" t="str">
        <f>IF(AND('Mapa final'!$AB$102="Baja",'Mapa final'!$AD$102="Catastrófico"),CONCATENATE("R31C",'Mapa final'!$R$102),"")</f>
        <v/>
      </c>
      <c r="Y169" s="38"/>
      <c r="Z169" s="302"/>
      <c r="AA169" s="303"/>
      <c r="AB169" s="303"/>
      <c r="AC169" s="303"/>
      <c r="AD169" s="303"/>
      <c r="AE169" s="304"/>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row>
    <row r="170" spans="1:61" ht="15" customHeight="1" x14ac:dyDescent="0.25">
      <c r="A170" s="38"/>
      <c r="B170" s="291"/>
      <c r="C170" s="292"/>
      <c r="D170" s="293"/>
      <c r="E170" s="275"/>
      <c r="F170" s="274"/>
      <c r="G170" s="274"/>
      <c r="H170" s="274"/>
      <c r="I170" s="274"/>
      <c r="J170" s="171" t="str">
        <f>IF(AND('Mapa final'!$AB$103="Baja",'Mapa final'!$AD$103="Leve"),CONCATENATE("R32C",'Mapa final'!$R$103),"")</f>
        <v/>
      </c>
      <c r="K170" s="191" t="str">
        <f>IF(AND('Mapa final'!$AB$104="Baja",'Mapa final'!$AD$104="Leve"),CONCATENATE("R32C",'Mapa final'!$R$104),"")</f>
        <v/>
      </c>
      <c r="L170" s="172" t="str">
        <f>IF(AND('Mapa final'!$AB$105="Baja",'Mapa final'!$AD$105="Leve"),CONCATENATE("R32C",'Mapa final'!$R$105),"")</f>
        <v/>
      </c>
      <c r="M170" s="163" t="str">
        <f>IF(AND('Mapa final'!$AB$103="Baja",'Mapa final'!$AD$103="Menor"),CONCATENATE("R32C",'Mapa final'!$R$103),"")</f>
        <v/>
      </c>
      <c r="N170" s="190" t="str">
        <f>IF(AND('Mapa final'!$AB$104="Baja",'Mapa final'!$AD$104="Menor"),CONCATENATE("R32C",'Mapa final'!$R$104),"")</f>
        <v/>
      </c>
      <c r="O170" s="164" t="str">
        <f>IF(AND('Mapa final'!$AB$105="Baja",'Mapa final'!$AD$105="Menor"),CONCATENATE("R32C",'Mapa final'!$R$105),"")</f>
        <v/>
      </c>
      <c r="P170" s="163" t="str">
        <f>IF(AND('Mapa final'!$AB$103="Baja",'Mapa final'!$AD$103="Moderado"),CONCATENATE("R32C",'Mapa final'!$R$103),"")</f>
        <v>R32C1</v>
      </c>
      <c r="Q170" s="190" t="str">
        <f>IF(AND('Mapa final'!$AB$104="Baja",'Mapa final'!$AD$104="Moderado"),CONCATENATE("R32C",'Mapa final'!$R$104),"")</f>
        <v/>
      </c>
      <c r="R170" s="164" t="str">
        <f>IF(AND('Mapa final'!$AB$105="Baja",'Mapa final'!$AD$105="Moderado"),CONCATENATE("R32C",'Mapa final'!$R$105),"")</f>
        <v/>
      </c>
      <c r="S170" s="195" t="str">
        <f>IF(AND('Mapa final'!$AB$103="Baja",'Mapa final'!$AD$103="Mayor"),CONCATENATE("R32C",'Mapa final'!$R$103),"")</f>
        <v/>
      </c>
      <c r="T170" s="196" t="str">
        <f>IF(AND('Mapa final'!$AB$104="Baja",'Mapa final'!$AD$104="Mayor"),CONCATENATE("R32C",'Mapa final'!$R$104),"")</f>
        <v/>
      </c>
      <c r="U170" s="197" t="str">
        <f>IF(AND('Mapa final'!$AB$105="Baja",'Mapa final'!$AD$105="Mayor"),CONCATENATE("R32C",'Mapa final'!$R$105),"")</f>
        <v/>
      </c>
      <c r="V170" s="158" t="str">
        <f>IF(AND('Mapa final'!$AB$103="Baja",'Mapa final'!$AD$103="Catastrófico"),CONCATENATE("R32C",'Mapa final'!$R$103),"")</f>
        <v/>
      </c>
      <c r="W170" s="189" t="str">
        <f>IF(AND('Mapa final'!$AB$104="Baja",'Mapa final'!$AD$104="Catastrófico"),CONCATENATE("R32C",'Mapa final'!$R$104),"")</f>
        <v/>
      </c>
      <c r="X170" s="159" t="str">
        <f>IF(AND('Mapa final'!$AB$105="Baja",'Mapa final'!$AD$105="Catastrófico"),CONCATENATE("R32C",'Mapa final'!$R$105),"")</f>
        <v/>
      </c>
      <c r="Y170" s="38"/>
      <c r="Z170" s="302"/>
      <c r="AA170" s="303"/>
      <c r="AB170" s="303"/>
      <c r="AC170" s="303"/>
      <c r="AD170" s="303"/>
      <c r="AE170" s="304"/>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row>
    <row r="171" spans="1:61" ht="15" customHeight="1" x14ac:dyDescent="0.25">
      <c r="A171" s="38"/>
      <c r="B171" s="291"/>
      <c r="C171" s="292"/>
      <c r="D171" s="293"/>
      <c r="E171" s="275"/>
      <c r="F171" s="274"/>
      <c r="G171" s="274"/>
      <c r="H171" s="274"/>
      <c r="I171" s="274"/>
      <c r="J171" s="171" t="str">
        <f>IF(AND('Mapa final'!$AB$106="Baja",'Mapa final'!$AD$106="Leve"),CONCATENATE("R33C",'Mapa final'!$R$106),"")</f>
        <v/>
      </c>
      <c r="K171" s="191" t="str">
        <f>IF(AND('Mapa final'!$AB$107="Baja",'Mapa final'!$AD$107="Leve"),CONCATENATE("R33C",'Mapa final'!$R$107),"")</f>
        <v/>
      </c>
      <c r="L171" s="172" t="str">
        <f>IF(AND('Mapa final'!$AB$108="Baja",'Mapa final'!$AD$108="Leve"),CONCATENATE("R33C",'Mapa final'!$R$108),"")</f>
        <v/>
      </c>
      <c r="M171" s="163" t="str">
        <f>IF(AND('Mapa final'!$AB$106="Baja",'Mapa final'!$AD$106="Menor"),CONCATENATE("R33C",'Mapa final'!$R$106),"")</f>
        <v/>
      </c>
      <c r="N171" s="190" t="str">
        <f>IF(AND('Mapa final'!$AB$107="Baja",'Mapa final'!$AD$107="Menor"),CONCATENATE("R33C",'Mapa final'!$R$107),"")</f>
        <v/>
      </c>
      <c r="O171" s="164" t="str">
        <f>IF(AND('Mapa final'!$AB$108="Baja",'Mapa final'!$AD$108="Menor"),CONCATENATE("R33C",'Mapa final'!$R$108),"")</f>
        <v/>
      </c>
      <c r="P171" s="163" t="str">
        <f>IF(AND('Mapa final'!$AB$106="Baja",'Mapa final'!$AD$106="Moderado"),CONCATENATE("R33C",'Mapa final'!$R$106),"")</f>
        <v>R33C1</v>
      </c>
      <c r="Q171" s="190" t="str">
        <f>IF(AND('Mapa final'!$AB$107="Baja",'Mapa final'!$AD$107="Moderado"),CONCATENATE("R33C",'Mapa final'!$R$107),"")</f>
        <v/>
      </c>
      <c r="R171" s="164" t="str">
        <f>IF(AND('Mapa final'!$AB$108="Baja",'Mapa final'!$AD$108="Moderado"),CONCATENATE("R33C",'Mapa final'!$R$108),"")</f>
        <v/>
      </c>
      <c r="S171" s="195" t="str">
        <f>IF(AND('Mapa final'!$AB$106="Baja",'Mapa final'!$AD$106="Mayor"),CONCATENATE("R33C",'Mapa final'!$R$106),"")</f>
        <v/>
      </c>
      <c r="T171" s="196" t="str">
        <f>IF(AND('Mapa final'!$AB$107="Baja",'Mapa final'!$AD$107="Mayor"),CONCATENATE("R33C",'Mapa final'!$R$107),"")</f>
        <v/>
      </c>
      <c r="U171" s="197" t="str">
        <f>IF(AND('Mapa final'!$AB$108="Baja",'Mapa final'!$AD$108="Mayor"),CONCATENATE("R33C",'Mapa final'!$R$108),"")</f>
        <v/>
      </c>
      <c r="V171" s="158" t="str">
        <f>IF(AND('Mapa final'!$AB$106="Baja",'Mapa final'!$AD$106="Catastrófico"),CONCATENATE("R33C",'Mapa final'!$R$106),"")</f>
        <v/>
      </c>
      <c r="W171" s="189" t="str">
        <f>IF(AND('Mapa final'!$AB$107="Baja",'Mapa final'!$AD$107="Catastrófico"),CONCATENATE("R33C",'Mapa final'!$R$107),"")</f>
        <v/>
      </c>
      <c r="X171" s="159" t="str">
        <f>IF(AND('Mapa final'!$AB$108="Baja",'Mapa final'!$AD$108="Catastrófico"),CONCATENATE("R33C",'Mapa final'!$R$108),"")</f>
        <v/>
      </c>
      <c r="Y171" s="38"/>
      <c r="Z171" s="302"/>
      <c r="AA171" s="303"/>
      <c r="AB171" s="303"/>
      <c r="AC171" s="303"/>
      <c r="AD171" s="303"/>
      <c r="AE171" s="304"/>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row>
    <row r="172" spans="1:61" ht="15" customHeight="1" x14ac:dyDescent="0.25">
      <c r="A172" s="38"/>
      <c r="B172" s="291"/>
      <c r="C172" s="292"/>
      <c r="D172" s="293"/>
      <c r="E172" s="275"/>
      <c r="F172" s="274"/>
      <c r="G172" s="274"/>
      <c r="H172" s="274"/>
      <c r="I172" s="274"/>
      <c r="J172" s="171" t="str">
        <f>IF(AND('Mapa final'!$AB$109="Baja",'Mapa final'!$AD$109="Leve"),CONCATENATE("R34C",'Mapa final'!$R$109),"")</f>
        <v/>
      </c>
      <c r="K172" s="191" t="str">
        <f>IF(AND('Mapa final'!$AB$110="Baja",'Mapa final'!$AD$110="Leve"),CONCATENATE("R34C",'Mapa final'!$R$110),"")</f>
        <v/>
      </c>
      <c r="L172" s="172" t="str">
        <f>IF(AND('Mapa final'!$AB$111="Baja",'Mapa final'!$AD$111="Leve"),CONCATENATE("R34C",'Mapa final'!$R$111),"")</f>
        <v/>
      </c>
      <c r="M172" s="163" t="str">
        <f>IF(AND('Mapa final'!$AB$109="Baja",'Mapa final'!$AD$109="Menor"),CONCATENATE("R34C",'Mapa final'!$R$109),"")</f>
        <v/>
      </c>
      <c r="N172" s="190" t="str">
        <f>IF(AND('Mapa final'!$AB$110="Baja",'Mapa final'!$AD$110="Menor"),CONCATENATE("R34C",'Mapa final'!$R$110),"")</f>
        <v/>
      </c>
      <c r="O172" s="164" t="str">
        <f>IF(AND('Mapa final'!$AB$111="Baja",'Mapa final'!$AD$111="Menor"),CONCATENATE("R34C",'Mapa final'!$R$111),"")</f>
        <v/>
      </c>
      <c r="P172" s="163" t="str">
        <f>IF(AND('Mapa final'!$AB$109="Baja",'Mapa final'!$AD$109="Moderado"),CONCATENATE("R34C",'Mapa final'!$R$109),"")</f>
        <v/>
      </c>
      <c r="Q172" s="190" t="str">
        <f>IF(AND('Mapa final'!$AB$110="Baja",'Mapa final'!$AD$110="Moderado"),CONCATENATE("R34C",'Mapa final'!$R$110),"")</f>
        <v>R34C2</v>
      </c>
      <c r="R172" s="164" t="str">
        <f>IF(AND('Mapa final'!$AB$111="Baja",'Mapa final'!$AD$111="Moderado"),CONCATENATE("R34C",'Mapa final'!$R$111),"")</f>
        <v/>
      </c>
      <c r="S172" s="195" t="str">
        <f>IF(AND('Mapa final'!$AB$109="Baja",'Mapa final'!$AD$109="Mayor"),CONCATENATE("R34C",'Mapa final'!$R$109),"")</f>
        <v/>
      </c>
      <c r="T172" s="196" t="str">
        <f>IF(AND('Mapa final'!$AB$110="Baja",'Mapa final'!$AD$110="Mayor"),CONCATENATE("R34C",'Mapa final'!$R$110),"")</f>
        <v/>
      </c>
      <c r="U172" s="197" t="str">
        <f>IF(AND('Mapa final'!$AB$111="Baja",'Mapa final'!$AD$111="Mayor"),CONCATENATE("R34C",'Mapa final'!$R$111),"")</f>
        <v/>
      </c>
      <c r="V172" s="158" t="str">
        <f>IF(AND('Mapa final'!$AB$109="Baja",'Mapa final'!$AD$109="Catastrófico"),CONCATENATE("R34C",'Mapa final'!$R$109),"")</f>
        <v/>
      </c>
      <c r="W172" s="189" t="str">
        <f>IF(AND('Mapa final'!$AB$110="Baja",'Mapa final'!$AD$110="Catastrófico"),CONCATENATE("R34C",'Mapa final'!$R$110),"")</f>
        <v/>
      </c>
      <c r="X172" s="159" t="str">
        <f>IF(AND('Mapa final'!$AB$111="Baja",'Mapa final'!$AD$111="Catastrófico"),CONCATENATE("R34C",'Mapa final'!$R$111),"")</f>
        <v/>
      </c>
      <c r="Y172" s="38"/>
      <c r="Z172" s="302"/>
      <c r="AA172" s="303"/>
      <c r="AB172" s="303"/>
      <c r="AC172" s="303"/>
      <c r="AD172" s="303"/>
      <c r="AE172" s="304"/>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row>
    <row r="173" spans="1:61" ht="15" customHeight="1" x14ac:dyDescent="0.25">
      <c r="A173" s="38"/>
      <c r="B173" s="291"/>
      <c r="C173" s="292"/>
      <c r="D173" s="293"/>
      <c r="E173" s="275"/>
      <c r="F173" s="274"/>
      <c r="G173" s="274"/>
      <c r="H173" s="274"/>
      <c r="I173" s="274"/>
      <c r="J173" s="171" t="str">
        <f>IF(AND('Mapa final'!$AB$112="Baja",'Mapa final'!$AD$112="Leve"),CONCATENATE("R35C",'Mapa final'!$R$112),"")</f>
        <v/>
      </c>
      <c r="K173" s="191" t="str">
        <f>IF(AND('Mapa final'!$AB$113="Baja",'Mapa final'!$AD$113="Leve"),CONCATENATE("R35C",'Mapa final'!$R$113),"")</f>
        <v/>
      </c>
      <c r="L173" s="172" t="str">
        <f>IF(AND('Mapa final'!$AB$114="Baja",'Mapa final'!$AD$114="Leve"),CONCATENATE("R35C",'Mapa final'!$R$114),"")</f>
        <v/>
      </c>
      <c r="M173" s="163" t="str">
        <f>IF(AND('Mapa final'!$AB$112="Baja",'Mapa final'!$AD$112="Menor"),CONCATENATE("R35C",'Mapa final'!$R$112),"")</f>
        <v/>
      </c>
      <c r="N173" s="190" t="str">
        <f>IF(AND('Mapa final'!$AB$113="Baja",'Mapa final'!$AD$113="Menor"),CONCATENATE("R35C",'Mapa final'!$R$113),"")</f>
        <v/>
      </c>
      <c r="O173" s="164" t="str">
        <f>IF(AND('Mapa final'!$AB$114="Baja",'Mapa final'!$AD$114="Menor"),CONCATENATE("R35C",'Mapa final'!$R$114),"")</f>
        <v/>
      </c>
      <c r="P173" s="163" t="str">
        <f>IF(AND('Mapa final'!$AB$112="Baja",'Mapa final'!$AD$112="Moderado"),CONCATENATE("R35C",'Mapa final'!$R$112),"")</f>
        <v>R35C1</v>
      </c>
      <c r="Q173" s="190" t="str">
        <f>IF(AND('Mapa final'!$AB$113="Baja",'Mapa final'!$AD$113="Moderado"),CONCATENATE("R35C",'Mapa final'!$R$113),"")</f>
        <v>R35C2</v>
      </c>
      <c r="R173" s="164" t="str">
        <f>IF(AND('Mapa final'!$AB$114="Baja",'Mapa final'!$AD$114="Moderado"),CONCATENATE("R35C",'Mapa final'!$R$114),"")</f>
        <v/>
      </c>
      <c r="S173" s="195" t="str">
        <f>IF(AND('Mapa final'!$AB$112="Baja",'Mapa final'!$AD$112="Mayor"),CONCATENATE("R35C",'Mapa final'!$R$112),"")</f>
        <v/>
      </c>
      <c r="T173" s="196" t="str">
        <f>IF(AND('Mapa final'!$AB$113="Baja",'Mapa final'!$AD$113="Mayor"),CONCATENATE("R35C",'Mapa final'!$R$113),"")</f>
        <v/>
      </c>
      <c r="U173" s="197" t="str">
        <f>IF(AND('Mapa final'!$AB$114="Baja",'Mapa final'!$AD$114="Mayor"),CONCATENATE("R35C",'Mapa final'!$R$114),"")</f>
        <v/>
      </c>
      <c r="V173" s="158" t="str">
        <f>IF(AND('Mapa final'!$AB$112="Baja",'Mapa final'!$AD$112="Catastrófico"),CONCATENATE("R35C",'Mapa final'!$R$112),"")</f>
        <v/>
      </c>
      <c r="W173" s="189" t="str">
        <f>IF(AND('Mapa final'!$AB$113="Baja",'Mapa final'!$AD$113="Catastrófico"),CONCATENATE("R35C",'Mapa final'!$R$113),"")</f>
        <v/>
      </c>
      <c r="X173" s="159" t="str">
        <f>IF(AND('Mapa final'!$AB$114="Baja",'Mapa final'!$AD$114="Catastrófico"),CONCATENATE("R35C",'Mapa final'!$R$114),"")</f>
        <v/>
      </c>
      <c r="Y173" s="38"/>
      <c r="Z173" s="302"/>
      <c r="AA173" s="303"/>
      <c r="AB173" s="303"/>
      <c r="AC173" s="303"/>
      <c r="AD173" s="303"/>
      <c r="AE173" s="304"/>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row>
    <row r="174" spans="1:61" ht="15" customHeight="1" x14ac:dyDescent="0.25">
      <c r="A174" s="38"/>
      <c r="B174" s="291"/>
      <c r="C174" s="292"/>
      <c r="D174" s="293"/>
      <c r="E174" s="275"/>
      <c r="F174" s="274"/>
      <c r="G174" s="274"/>
      <c r="H174" s="274"/>
      <c r="I174" s="274"/>
      <c r="J174" s="171" t="str">
        <f>IF(AND('Mapa final'!$AB$115="Baja",'Mapa final'!$AD$115="Leve"),CONCATENATE("R36C",'Mapa final'!$R$115),"")</f>
        <v/>
      </c>
      <c r="K174" s="191" t="str">
        <f>IF(AND('Mapa final'!$AB$116="Baja",'Mapa final'!$AD$116="Leve"),CONCATENATE("R36C",'Mapa final'!$R$116),"")</f>
        <v/>
      </c>
      <c r="L174" s="172" t="str">
        <f>IF(AND('Mapa final'!$AB$117="Baja",'Mapa final'!$AD$117="Leve"),CONCATENATE("R36C",'Mapa final'!$R$117),"")</f>
        <v/>
      </c>
      <c r="M174" s="163" t="str">
        <f>IF(AND('Mapa final'!$AB$115="Baja",'Mapa final'!$AD$115="Menor"),CONCATENATE("R36C",'Mapa final'!$R$115),"")</f>
        <v/>
      </c>
      <c r="N174" s="190" t="str">
        <f>IF(AND('Mapa final'!$AB$116="Baja",'Mapa final'!$AD$116="Menor"),CONCATENATE("R36C",'Mapa final'!$R$116),"")</f>
        <v/>
      </c>
      <c r="O174" s="164" t="str">
        <f>IF(AND('Mapa final'!$AB$117="Baja",'Mapa final'!$AD$117="Menor"),CONCATENATE("R36C",'Mapa final'!$R$117),"")</f>
        <v/>
      </c>
      <c r="P174" s="163" t="str">
        <f>IF(AND('Mapa final'!$AB$115="Baja",'Mapa final'!$AD$115="Moderado"),CONCATENATE("R36C",'Mapa final'!$R$115),"")</f>
        <v/>
      </c>
      <c r="Q174" s="190" t="str">
        <f>IF(AND('Mapa final'!$AB$116="Baja",'Mapa final'!$AD$116="Moderado"),CONCATENATE("R36C",'Mapa final'!$R$116),"")</f>
        <v/>
      </c>
      <c r="R174" s="164" t="str">
        <f>IF(AND('Mapa final'!$AB$117="Baja",'Mapa final'!$AD$117="Moderado"),CONCATENATE("R36C",'Mapa final'!$R$117),"")</f>
        <v/>
      </c>
      <c r="S174" s="195" t="str">
        <f>IF(AND('Mapa final'!$AB$115="Baja",'Mapa final'!$AD$115="Mayor"),CONCATENATE("R36C",'Mapa final'!$R$115),"")</f>
        <v>R36C1</v>
      </c>
      <c r="T174" s="196" t="str">
        <f>IF(AND('Mapa final'!$AB$116="Baja",'Mapa final'!$AD$116="Mayor"),CONCATENATE("R36C",'Mapa final'!$R$116),"")</f>
        <v>R36C2</v>
      </c>
      <c r="U174" s="197" t="str">
        <f>IF(AND('Mapa final'!$AB$117="Baja",'Mapa final'!$AD$117="Mayor"),CONCATENATE("R36C",'Mapa final'!$R$117),"")</f>
        <v/>
      </c>
      <c r="V174" s="158" t="str">
        <f>IF(AND('Mapa final'!$AB$115="Baja",'Mapa final'!$AD$115="Catastrófico"),CONCATENATE("R36C",'Mapa final'!$R$115),"")</f>
        <v/>
      </c>
      <c r="W174" s="189" t="str">
        <f>IF(AND('Mapa final'!$AB$116="Baja",'Mapa final'!$AD$116="Catastrófico"),CONCATENATE("R36C",'Mapa final'!$R$116),"")</f>
        <v/>
      </c>
      <c r="X174" s="159" t="str">
        <f>IF(AND('Mapa final'!$AB$117="Baja",'Mapa final'!$AD$117="Catastrófico"),CONCATENATE("R36C",'Mapa final'!$R$117),"")</f>
        <v/>
      </c>
      <c r="Y174" s="38"/>
      <c r="Z174" s="302"/>
      <c r="AA174" s="303"/>
      <c r="AB174" s="303"/>
      <c r="AC174" s="303"/>
      <c r="AD174" s="303"/>
      <c r="AE174" s="304"/>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row>
    <row r="175" spans="1:61" ht="15" customHeight="1" x14ac:dyDescent="0.25">
      <c r="A175" s="38"/>
      <c r="B175" s="291"/>
      <c r="C175" s="292"/>
      <c r="D175" s="293"/>
      <c r="E175" s="275"/>
      <c r="F175" s="274"/>
      <c r="G175" s="274"/>
      <c r="H175" s="274"/>
      <c r="I175" s="274"/>
      <c r="J175" s="171" t="str">
        <f>IF(AND('Mapa final'!$AB$118="Baja",'Mapa final'!$AD$118="Leve"),CONCATENATE("R37C",'Mapa final'!$R$118),"")</f>
        <v/>
      </c>
      <c r="K175" s="191" t="str">
        <f>IF(AND('Mapa final'!$AB$119="Baja",'Mapa final'!$AD$119="Leve"),CONCATENATE("R37C",'Mapa final'!$R$119),"")</f>
        <v/>
      </c>
      <c r="L175" s="172" t="str">
        <f>IF(AND('Mapa final'!$AB$120="Baja",'Mapa final'!$AD$120="Leve"),CONCATENATE("R37C",'Mapa final'!$R$120),"")</f>
        <v/>
      </c>
      <c r="M175" s="163" t="str">
        <f>IF(AND('Mapa final'!$AB$118="Baja",'Mapa final'!$AD$118="Menor"),CONCATENATE("R37C",'Mapa final'!$R$118),"")</f>
        <v/>
      </c>
      <c r="N175" s="190" t="str">
        <f>IF(AND('Mapa final'!$AB$119="Baja",'Mapa final'!$AD$119="Menor"),CONCATENATE("R37C",'Mapa final'!$R$119),"")</f>
        <v/>
      </c>
      <c r="O175" s="164" t="str">
        <f>IF(AND('Mapa final'!$AB$120="Baja",'Mapa final'!$AD$120="Menor"),CONCATENATE("R37C",'Mapa final'!$R$120),"")</f>
        <v/>
      </c>
      <c r="P175" s="163" t="str">
        <f>IF(AND('Mapa final'!$AB$118="Baja",'Mapa final'!$AD$118="Moderado"),CONCATENATE("R37C",'Mapa final'!$R$118),"")</f>
        <v/>
      </c>
      <c r="Q175" s="190" t="str">
        <f>IF(AND('Mapa final'!$AB$119="Baja",'Mapa final'!$AD$119="Moderado"),CONCATENATE("R37C",'Mapa final'!$R$119),"")</f>
        <v/>
      </c>
      <c r="R175" s="164" t="str">
        <f>IF(AND('Mapa final'!$AB$120="Baja",'Mapa final'!$AD$120="Moderado"),CONCATENATE("R37C",'Mapa final'!$R$120),"")</f>
        <v/>
      </c>
      <c r="S175" s="195" t="str">
        <f>IF(AND('Mapa final'!$AB$118="Baja",'Mapa final'!$AD$118="Mayor"),CONCATENATE("R37C",'Mapa final'!$R$118),"")</f>
        <v/>
      </c>
      <c r="T175" s="196" t="str">
        <f>IF(AND('Mapa final'!$AB$119="Baja",'Mapa final'!$AD$119="Mayor"),CONCATENATE("R37C",'Mapa final'!$R$119),"")</f>
        <v/>
      </c>
      <c r="U175" s="197" t="str">
        <f>IF(AND('Mapa final'!$AB$120="Baja",'Mapa final'!$AD$120="Mayor"),CONCATENATE("R37C",'Mapa final'!$R$120),"")</f>
        <v/>
      </c>
      <c r="V175" s="158" t="str">
        <f>IF(AND('Mapa final'!$AB$118="Baja",'Mapa final'!$AD$118="Catastrófico"),CONCATENATE("R37C",'Mapa final'!$R$118),"")</f>
        <v/>
      </c>
      <c r="W175" s="189" t="str">
        <f>IF(AND('Mapa final'!$AB$119="Baja",'Mapa final'!$AD$119="Catastrófico"),CONCATENATE("R37C",'Mapa final'!$R$119),"")</f>
        <v/>
      </c>
      <c r="X175" s="159" t="str">
        <f>IF(AND('Mapa final'!$AB$120="Baja",'Mapa final'!$AD$120="Catastrófico"),CONCATENATE("R37C",'Mapa final'!$R$120),"")</f>
        <v/>
      </c>
      <c r="Y175" s="38"/>
      <c r="Z175" s="302"/>
      <c r="AA175" s="303"/>
      <c r="AB175" s="303"/>
      <c r="AC175" s="303"/>
      <c r="AD175" s="303"/>
      <c r="AE175" s="304"/>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row>
    <row r="176" spans="1:61" ht="15" customHeight="1" x14ac:dyDescent="0.25">
      <c r="A176" s="38"/>
      <c r="B176" s="291"/>
      <c r="C176" s="292"/>
      <c r="D176" s="293"/>
      <c r="E176" s="275"/>
      <c r="F176" s="274"/>
      <c r="G176" s="274"/>
      <c r="H176" s="274"/>
      <c r="I176" s="274"/>
      <c r="J176" s="171" t="str">
        <f>IF(AND('Mapa final'!$AB$121="Baja",'Mapa final'!$AD$121="Leve"),CONCATENATE("R38C",'Mapa final'!$R$121),"")</f>
        <v/>
      </c>
      <c r="K176" s="191" t="str">
        <f>IF(AND('Mapa final'!$AB$122="Baja",'Mapa final'!$AD$122="Leve"),CONCATENATE("R38C",'Mapa final'!$R$122),"")</f>
        <v/>
      </c>
      <c r="L176" s="172" t="str">
        <f>IF(AND('Mapa final'!$AB$123="Baja",'Mapa final'!$AD$123="Leve"),CONCATENATE("R38C",'Mapa final'!$R$123),"")</f>
        <v/>
      </c>
      <c r="M176" s="163" t="str">
        <f>IF(AND('Mapa final'!$AB$121="Baja",'Mapa final'!$AD$121="Menor"),CONCATENATE("R38C",'Mapa final'!$R$121),"")</f>
        <v/>
      </c>
      <c r="N176" s="190" t="str">
        <f>IF(AND('Mapa final'!$AB$122="Baja",'Mapa final'!$AD$122="Menor"),CONCATENATE("R38C",'Mapa final'!$R$122),"")</f>
        <v/>
      </c>
      <c r="O176" s="164" t="str">
        <f>IF(AND('Mapa final'!$AB$123="Baja",'Mapa final'!$AD$123="Menor"),CONCATENATE("R38C",'Mapa final'!$R$123),"")</f>
        <v/>
      </c>
      <c r="P176" s="163" t="str">
        <f>IF(AND('Mapa final'!$AB$121="Baja",'Mapa final'!$AD$121="Moderado"),CONCATENATE("R38C",'Mapa final'!$R$121),"")</f>
        <v/>
      </c>
      <c r="Q176" s="190" t="str">
        <f>IF(AND('Mapa final'!$AB$122="Baja",'Mapa final'!$AD$122="Moderado"),CONCATENATE("R38C",'Mapa final'!$R$122),"")</f>
        <v/>
      </c>
      <c r="R176" s="164" t="str">
        <f>IF(AND('Mapa final'!$AB$123="Baja",'Mapa final'!$AD$123="Moderado"),CONCATENATE("R38C",'Mapa final'!$R$123),"")</f>
        <v/>
      </c>
      <c r="S176" s="195" t="str">
        <f>IF(AND('Mapa final'!$AB$121="Baja",'Mapa final'!$AD$121="Mayor"),CONCATENATE("R38C",'Mapa final'!$R$121),"")</f>
        <v/>
      </c>
      <c r="T176" s="196" t="str">
        <f>IF(AND('Mapa final'!$AB$122="Baja",'Mapa final'!$AD$122="Mayor"),CONCATENATE("R38C",'Mapa final'!$R$122),"")</f>
        <v/>
      </c>
      <c r="U176" s="197" t="str">
        <f>IF(AND('Mapa final'!$AB$123="Baja",'Mapa final'!$AD$123="Mayor"),CONCATENATE("R38C",'Mapa final'!$R$123),"")</f>
        <v/>
      </c>
      <c r="V176" s="158" t="str">
        <f>IF(AND('Mapa final'!$AB$121="Baja",'Mapa final'!$AD$121="Catastrófico"),CONCATENATE("R38C",'Mapa final'!$R$121),"")</f>
        <v/>
      </c>
      <c r="W176" s="189" t="str">
        <f>IF(AND('Mapa final'!$AB$122="Baja",'Mapa final'!$AD$122="Catastrófico"),CONCATENATE("R38C",'Mapa final'!$R$122),"")</f>
        <v/>
      </c>
      <c r="X176" s="159" t="str">
        <f>IF(AND('Mapa final'!$AB$123="Baja",'Mapa final'!$AD$123="Catastrófico"),CONCATENATE("R38C",'Mapa final'!$R$123),"")</f>
        <v/>
      </c>
      <c r="Y176" s="38"/>
      <c r="Z176" s="302"/>
      <c r="AA176" s="303"/>
      <c r="AB176" s="303"/>
      <c r="AC176" s="303"/>
      <c r="AD176" s="303"/>
      <c r="AE176" s="304"/>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row>
    <row r="177" spans="1:65" ht="15" customHeight="1" x14ac:dyDescent="0.25">
      <c r="A177" s="38"/>
      <c r="B177" s="291"/>
      <c r="C177" s="292"/>
      <c r="D177" s="293"/>
      <c r="E177" s="275"/>
      <c r="F177" s="274"/>
      <c r="G177" s="274"/>
      <c r="H177" s="274"/>
      <c r="I177" s="274"/>
      <c r="J177" s="171" t="str">
        <f>IF(AND('Mapa final'!$AB$124="Baja",'Mapa final'!$AD$124="Leve"),CONCATENATE("R39C",'Mapa final'!$R$124),"")</f>
        <v/>
      </c>
      <c r="K177" s="191" t="str">
        <f>IF(AND('Mapa final'!$AB$125="Baja",'Mapa final'!$AD$125="Leve"),CONCATENATE("R39C",'Mapa final'!$R$125),"")</f>
        <v/>
      </c>
      <c r="L177" s="172" t="str">
        <f>IF(AND('Mapa final'!$AB$126="Baja",'Mapa final'!$AD$126="Leve"),CONCATENATE("R39C",'Mapa final'!$R$126),"")</f>
        <v/>
      </c>
      <c r="M177" s="163" t="str">
        <f>IF(AND('Mapa final'!$AB$124="Baja",'Mapa final'!$AD$124="Menor"),CONCATENATE("R39C",'Mapa final'!$R$124),"")</f>
        <v/>
      </c>
      <c r="N177" s="190" t="str">
        <f>IF(AND('Mapa final'!$AB$125="Baja",'Mapa final'!$AD$125="Menor"),CONCATENATE("R39C",'Mapa final'!$R$125),"")</f>
        <v/>
      </c>
      <c r="O177" s="164" t="str">
        <f>IF(AND('Mapa final'!$AB$126="Baja",'Mapa final'!$AD$126="Menor"),CONCATENATE("R39C",'Mapa final'!$R$126),"")</f>
        <v/>
      </c>
      <c r="P177" s="163" t="str">
        <f>IF(AND('Mapa final'!$AB$124="Baja",'Mapa final'!$AD$124="Moderado"),CONCATENATE("R39C",'Mapa final'!$R$124),"")</f>
        <v/>
      </c>
      <c r="Q177" s="190" t="str">
        <f>IF(AND('Mapa final'!$AB$125="Baja",'Mapa final'!$AD$125="Moderado"),CONCATENATE("R39C",'Mapa final'!$R$125),"")</f>
        <v/>
      </c>
      <c r="R177" s="164" t="str">
        <f>IF(AND('Mapa final'!$AB$126="Baja",'Mapa final'!$AD$126="Moderado"),CONCATENATE("R39C",'Mapa final'!$R$126),"")</f>
        <v/>
      </c>
      <c r="S177" s="195" t="str">
        <f>IF(AND('Mapa final'!$AB$124="Baja",'Mapa final'!$AD$124="Mayor"),CONCATENATE("R39C",'Mapa final'!$R$124),"")</f>
        <v>R39C1</v>
      </c>
      <c r="T177" s="196" t="str">
        <f>IF(AND('Mapa final'!$AB$125="Baja",'Mapa final'!$AD$125="Mayor"),CONCATENATE("R39C",'Mapa final'!$R$125),"")</f>
        <v/>
      </c>
      <c r="U177" s="197" t="str">
        <f>IF(AND('Mapa final'!$AB$126="Baja",'Mapa final'!$AD$126="Mayor"),CONCATENATE("R39C",'Mapa final'!$R$126),"")</f>
        <v/>
      </c>
      <c r="V177" s="158" t="str">
        <f>IF(AND('Mapa final'!$AB$124="Baja",'Mapa final'!$AD$124="Catastrófico"),CONCATENATE("R39C",'Mapa final'!$R$124),"")</f>
        <v/>
      </c>
      <c r="W177" s="189" t="str">
        <f>IF(AND('Mapa final'!$AB$125="Baja",'Mapa final'!$AD$125="Catastrófico"),CONCATENATE("R39C",'Mapa final'!$R$125),"")</f>
        <v/>
      </c>
      <c r="X177" s="159" t="str">
        <f>IF(AND('Mapa final'!$AB$126="Baja",'Mapa final'!$AD$126="Catastrófico"),CONCATENATE("R39C",'Mapa final'!$R$126),"")</f>
        <v/>
      </c>
      <c r="Y177" s="38"/>
      <c r="Z177" s="302"/>
      <c r="AA177" s="303"/>
      <c r="AB177" s="303"/>
      <c r="AC177" s="303"/>
      <c r="AD177" s="303"/>
      <c r="AE177" s="304"/>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row>
    <row r="178" spans="1:65" ht="15" customHeight="1" x14ac:dyDescent="0.25">
      <c r="A178" s="38"/>
      <c r="B178" s="291"/>
      <c r="C178" s="292"/>
      <c r="D178" s="293"/>
      <c r="E178" s="275"/>
      <c r="F178" s="274"/>
      <c r="G178" s="274"/>
      <c r="H178" s="274"/>
      <c r="I178" s="274"/>
      <c r="J178" s="171" t="str">
        <f>IF(AND('Mapa final'!$AB$127="Baja",'Mapa final'!$AD$127="Leve"),CONCATENATE("R40C",'Mapa final'!$R$127),"")</f>
        <v/>
      </c>
      <c r="K178" s="191" t="str">
        <f>IF(AND('Mapa final'!$AB$128="Baja",'Mapa final'!$AD$128="Leve"),CONCATENATE("R40C",'Mapa final'!$R$128),"")</f>
        <v>R40C2</v>
      </c>
      <c r="L178" s="172" t="str">
        <f>IF(AND('Mapa final'!$AB$129="Baja",'Mapa final'!$AD$129="Leve"),CONCATENATE("R40C",'Mapa final'!$R$129),"")</f>
        <v/>
      </c>
      <c r="M178" s="163" t="str">
        <f>IF(AND('Mapa final'!$AB$127="Baja",'Mapa final'!$AD$127="Menor"),CONCATENATE("R40C",'Mapa final'!$R$127),"")</f>
        <v/>
      </c>
      <c r="N178" s="190" t="str">
        <f>IF(AND('Mapa final'!$AB$128="Baja",'Mapa final'!$AD$128="Menor"),CONCATENATE("R40C",'Mapa final'!$R$128),"")</f>
        <v/>
      </c>
      <c r="O178" s="164" t="str">
        <f>IF(AND('Mapa final'!$AB$129="Baja",'Mapa final'!$AD$129="Menor"),CONCATENATE("R40C",'Mapa final'!$R$129),"")</f>
        <v/>
      </c>
      <c r="P178" s="163" t="str">
        <f>IF(AND('Mapa final'!$AB$127="Baja",'Mapa final'!$AD$127="Moderado"),CONCATENATE("R40C",'Mapa final'!$R$127),"")</f>
        <v/>
      </c>
      <c r="Q178" s="190" t="str">
        <f>IF(AND('Mapa final'!$AB$128="Baja",'Mapa final'!$AD$128="Moderado"),CONCATENATE("R40C",'Mapa final'!$R$128),"")</f>
        <v/>
      </c>
      <c r="R178" s="164" t="str">
        <f>IF(AND('Mapa final'!$AB$129="Baja",'Mapa final'!$AD$129="Moderado"),CONCATENATE("R40C",'Mapa final'!$R$129),"")</f>
        <v/>
      </c>
      <c r="S178" s="195" t="str">
        <f>IF(AND('Mapa final'!$AB$127="Baja",'Mapa final'!$AD$127="Mayor"),CONCATENATE("R40C",'Mapa final'!$R$127),"")</f>
        <v>R40C1</v>
      </c>
      <c r="T178" s="196" t="str">
        <f>IF(AND('Mapa final'!$AB$128="Baja",'Mapa final'!$AD$128="Mayor"),CONCATENATE("R40C",'Mapa final'!$R$128),"")</f>
        <v/>
      </c>
      <c r="U178" s="197" t="str">
        <f>IF(AND('Mapa final'!$AB$129="Baja",'Mapa final'!$AD$129="Mayor"),CONCATENATE("R40C",'Mapa final'!$R$129),"")</f>
        <v/>
      </c>
      <c r="V178" s="158" t="str">
        <f>IF(AND('Mapa final'!$AB$127="Baja",'Mapa final'!$AD$127="Catastrófico"),CONCATENATE("R40C",'Mapa final'!$R$127),"")</f>
        <v/>
      </c>
      <c r="W178" s="189" t="str">
        <f>IF(AND('Mapa final'!$AB$128="Baja",'Mapa final'!$AD$128="Catastrófico"),CONCATENATE("R40C",'Mapa final'!$R$128),"")</f>
        <v/>
      </c>
      <c r="X178" s="159" t="str">
        <f>IF(AND('Mapa final'!$AB$129="Baja",'Mapa final'!$AD$129="Catastrófico"),CONCATENATE("R40C",'Mapa final'!$R$129),"")</f>
        <v/>
      </c>
      <c r="Y178" s="38"/>
      <c r="Z178" s="302"/>
      <c r="AA178" s="303"/>
      <c r="AB178" s="303"/>
      <c r="AC178" s="303"/>
      <c r="AD178" s="303"/>
      <c r="AE178" s="304"/>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row>
    <row r="179" spans="1:65" ht="15" customHeight="1" x14ac:dyDescent="0.25">
      <c r="A179" s="38"/>
      <c r="B179" s="291"/>
      <c r="C179" s="292"/>
      <c r="D179" s="293"/>
      <c r="E179" s="275"/>
      <c r="F179" s="274"/>
      <c r="G179" s="274"/>
      <c r="H179" s="274"/>
      <c r="I179" s="274"/>
      <c r="J179" s="171" t="str">
        <f>IF(AND('Mapa final'!$AB$130="Baja",'Mapa final'!$AD$130="Leve"),CONCATENATE("R41C",'Mapa final'!$R$130),"")</f>
        <v/>
      </c>
      <c r="K179" s="191" t="str">
        <f>IF(AND('Mapa final'!$AB$131="Baja",'Mapa final'!$AD$131="Leve"),CONCATENATE("R41C",'Mapa final'!$R$131),"")</f>
        <v/>
      </c>
      <c r="L179" s="172" t="str">
        <f>IF(AND('Mapa final'!$AB$132="Baja",'Mapa final'!$AD$132="Leve"),CONCATENATE("R41C",'Mapa final'!$R$132),"")</f>
        <v/>
      </c>
      <c r="M179" s="163" t="str">
        <f>IF(AND('Mapa final'!$AB$130="Baja",'Mapa final'!$AD$130="Menor"),CONCATENATE("R41C",'Mapa final'!$R$130),"")</f>
        <v/>
      </c>
      <c r="N179" s="190" t="str">
        <f>IF(AND('Mapa final'!$AB$131="Baja",'Mapa final'!$AD$131="Menor"),CONCATENATE("R41C",'Mapa final'!$R$131),"")</f>
        <v/>
      </c>
      <c r="O179" s="164" t="str">
        <f>IF(AND('Mapa final'!$AB$132="Baja",'Mapa final'!$AD$132="Menor"),CONCATENATE("R41C",'Mapa final'!$R$132),"")</f>
        <v/>
      </c>
      <c r="P179" s="163" t="str">
        <f>IF(AND('Mapa final'!$AB$130="Baja",'Mapa final'!$AD$130="Moderado"),CONCATENATE("R41C",'Mapa final'!$R$130),"")</f>
        <v/>
      </c>
      <c r="Q179" s="190" t="str">
        <f>IF(AND('Mapa final'!$AB$131="Baja",'Mapa final'!$AD$131="Moderado"),CONCATENATE("R41C",'Mapa final'!$R$131),"")</f>
        <v/>
      </c>
      <c r="R179" s="164" t="str">
        <f>IF(AND('Mapa final'!$AB$132="Baja",'Mapa final'!$AD$132="Moderado"),CONCATENATE("R41C",'Mapa final'!$R$132),"")</f>
        <v/>
      </c>
      <c r="S179" s="195" t="str">
        <f>IF(AND('Mapa final'!$AB$130="Baja",'Mapa final'!$AD$130="Mayor"),CONCATENATE("R41C",'Mapa final'!$R$130),"")</f>
        <v>R41C1</v>
      </c>
      <c r="T179" s="196" t="str">
        <f>IF(AND('Mapa final'!$AB$131="Baja",'Mapa final'!$AD$131="Mayor"),CONCATENATE("R41C",'Mapa final'!$R$131),"")</f>
        <v/>
      </c>
      <c r="U179" s="197" t="str">
        <f>IF(AND('Mapa final'!$AB$132="Baja",'Mapa final'!$AD$132="Mayor"),CONCATENATE("R41C",'Mapa final'!$R$132),"")</f>
        <v/>
      </c>
      <c r="V179" s="158" t="str">
        <f>IF(AND('Mapa final'!$AB$130="Baja",'Mapa final'!$AD$130="Catastrófico"),CONCATENATE("R41C",'Mapa final'!$R$130),"")</f>
        <v/>
      </c>
      <c r="W179" s="189" t="str">
        <f>IF(AND('Mapa final'!$AB$131="Baja",'Mapa final'!$AD$131="Catastrófico"),CONCATENATE("R41C",'Mapa final'!$R$131),"")</f>
        <v/>
      </c>
      <c r="X179" s="159" t="str">
        <f>IF(AND('Mapa final'!$AB$132="Baja",'Mapa final'!$AD$132="Catastrófico"),CONCATENATE("R41C",'Mapa final'!$R$132),"")</f>
        <v/>
      </c>
      <c r="Y179" s="38"/>
      <c r="Z179" s="302"/>
      <c r="AA179" s="303"/>
      <c r="AB179" s="303"/>
      <c r="AC179" s="303"/>
      <c r="AD179" s="303"/>
      <c r="AE179" s="304"/>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row>
    <row r="180" spans="1:65" ht="15" customHeight="1" x14ac:dyDescent="0.25">
      <c r="A180" s="38"/>
      <c r="B180" s="291"/>
      <c r="C180" s="292"/>
      <c r="D180" s="293"/>
      <c r="E180" s="275"/>
      <c r="F180" s="274"/>
      <c r="G180" s="274"/>
      <c r="H180" s="274"/>
      <c r="I180" s="274"/>
      <c r="J180" s="171" t="str">
        <f>IF(AND('Mapa final'!$AB$133="Baja",'Mapa final'!$AD$133="Leve"),CONCATENATE("R42C",'Mapa final'!$R$133),"")</f>
        <v/>
      </c>
      <c r="K180" s="191" t="str">
        <f>IF(AND('Mapa final'!$AB$134="Baja",'Mapa final'!$AD$134="Leve"),CONCATENATE("R42C",'Mapa final'!$R$134),"")</f>
        <v/>
      </c>
      <c r="L180" s="172" t="str">
        <f>IF(AND('Mapa final'!$AB$135="Baja",'Mapa final'!$AD$135="Leve"),CONCATENATE("R42C",'Mapa final'!$R$135),"")</f>
        <v/>
      </c>
      <c r="M180" s="163" t="str">
        <f>IF(AND('Mapa final'!$AB$133="Baja",'Mapa final'!$AD$133="Menor"),CONCATENATE("R42C",'Mapa final'!$R$133),"")</f>
        <v/>
      </c>
      <c r="N180" s="190" t="str">
        <f>IF(AND('Mapa final'!$AB$134="Baja",'Mapa final'!$AD$134="Menor"),CONCATENATE("R42C",'Mapa final'!$R$134),"")</f>
        <v/>
      </c>
      <c r="O180" s="164" t="str">
        <f>IF(AND('Mapa final'!$AB$135="Baja",'Mapa final'!$AD$135="Menor"),CONCATENATE("R42C",'Mapa final'!$R$135),"")</f>
        <v/>
      </c>
      <c r="P180" s="163" t="str">
        <f>IF(AND('Mapa final'!$AB$133="Baja",'Mapa final'!$AD$133="Moderado"),CONCATENATE("R42C",'Mapa final'!$R$133),"")</f>
        <v>R42C1</v>
      </c>
      <c r="Q180" s="190" t="str">
        <f>IF(AND('Mapa final'!$AB$134="Baja",'Mapa final'!$AD$134="Moderado"),CONCATENATE("R42C",'Mapa final'!$R$134),"")</f>
        <v/>
      </c>
      <c r="R180" s="164" t="str">
        <f>IF(AND('Mapa final'!$AB$135="Baja",'Mapa final'!$AD$135="Moderado"),CONCATENATE("R42C",'Mapa final'!$R$135),"")</f>
        <v/>
      </c>
      <c r="S180" s="195" t="str">
        <f>IF(AND('Mapa final'!$AB$133="Baja",'Mapa final'!$AD$133="Mayor"),CONCATENATE("R42C",'Mapa final'!$R$133),"")</f>
        <v/>
      </c>
      <c r="T180" s="196" t="str">
        <f>IF(AND('Mapa final'!$AB$134="Baja",'Mapa final'!$AD$134="Mayor"),CONCATENATE("R42C",'Mapa final'!$R$134),"")</f>
        <v/>
      </c>
      <c r="U180" s="197" t="str">
        <f>IF(AND('Mapa final'!$AB$135="Baja",'Mapa final'!$AD$135="Mayor"),CONCATENATE("R42C",'Mapa final'!$R$135),"")</f>
        <v/>
      </c>
      <c r="V180" s="158" t="str">
        <f>IF(AND('Mapa final'!$AB$133="Baja",'Mapa final'!$AD$133="Catastrófico"),CONCATENATE("R42C",'Mapa final'!$R$133),"")</f>
        <v/>
      </c>
      <c r="W180" s="189" t="str">
        <f>IF(AND('Mapa final'!$AB$134="Baja",'Mapa final'!$AD$134="Catastrófico"),CONCATENATE("R42C",'Mapa final'!$R$134),"")</f>
        <v/>
      </c>
      <c r="X180" s="159" t="str">
        <f>IF(AND('Mapa final'!$AB$135="Baja",'Mapa final'!$AD$135="Catastrófico"),CONCATENATE("R42C",'Mapa final'!$R$135),"")</f>
        <v/>
      </c>
      <c r="Y180" s="38"/>
      <c r="Z180" s="302"/>
      <c r="AA180" s="303"/>
      <c r="AB180" s="303"/>
      <c r="AC180" s="303"/>
      <c r="AD180" s="303"/>
      <c r="AE180" s="304"/>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row>
    <row r="181" spans="1:65" ht="15" customHeight="1" thickBot="1" x14ac:dyDescent="0.3">
      <c r="A181" s="38"/>
      <c r="B181" s="291"/>
      <c r="C181" s="292"/>
      <c r="D181" s="293"/>
      <c r="E181" s="275"/>
      <c r="F181" s="274"/>
      <c r="G181" s="274"/>
      <c r="H181" s="274"/>
      <c r="I181" s="274"/>
      <c r="J181" s="171" t="str">
        <f>IF(AND('Mapa final'!$AB$136="Baja",'Mapa final'!$AD$136="Leve"),CONCATENATE("R43C",'Mapa final'!$R$136),"")</f>
        <v/>
      </c>
      <c r="K181" s="191" t="str">
        <f>IF(AND('Mapa final'!$AB$137="Baja",'Mapa final'!$AD$137="Leve"),CONCATENATE("R43C",'Mapa final'!$R$137),"")</f>
        <v/>
      </c>
      <c r="L181" s="172" t="str">
        <f>IF(AND('Mapa final'!$AB$138="Baja",'Mapa final'!$AD$138="Leve"),CONCATENATE("R43C",'Mapa final'!$R$138),"")</f>
        <v/>
      </c>
      <c r="M181" s="163" t="str">
        <f>IF(AND('Mapa final'!$AB$136="Baja",'Mapa final'!$AD$136="Menor"),CONCATENATE("R43C",'Mapa final'!$R$136),"")</f>
        <v/>
      </c>
      <c r="N181" s="190" t="str">
        <f>IF(AND('Mapa final'!$AB$137="Baja",'Mapa final'!$AD$137="Menor"),CONCATENATE("R43C",'Mapa final'!$R$137),"")</f>
        <v/>
      </c>
      <c r="O181" s="164" t="str">
        <f>IF(AND('Mapa final'!$AB$138="Baja",'Mapa final'!$AD$138="Menor"),CONCATENATE("R43C",'Mapa final'!$R$138),"")</f>
        <v/>
      </c>
      <c r="P181" s="163" t="str">
        <f>IF(AND('Mapa final'!$AB$136="Baja",'Mapa final'!$AD$136="Moderado"),CONCATENATE("R43C",'Mapa final'!$R$136),"")</f>
        <v/>
      </c>
      <c r="Q181" s="190" t="str">
        <f>IF(AND('Mapa final'!$AB$137="Baja",'Mapa final'!$AD$137="Moderado"),CONCATENATE("R43C",'Mapa final'!$R$137),"")</f>
        <v/>
      </c>
      <c r="R181" s="164" t="str">
        <f>IF(AND('Mapa final'!$AB$138="Baja",'Mapa final'!$AD$138="Moderado"),CONCATENATE("R43C",'Mapa final'!$R$138),"")</f>
        <v/>
      </c>
      <c r="S181" s="195" t="str">
        <f>IF(AND('Mapa final'!$AB$136="Baja",'Mapa final'!$AD$136="Mayor"),CONCATENATE("R43C",'Mapa final'!$R$136),"")</f>
        <v/>
      </c>
      <c r="T181" s="196" t="str">
        <f>IF(AND('Mapa final'!$AB$137="Baja",'Mapa final'!$AD$137="Mayor"),CONCATENATE("R43C",'Mapa final'!$R$137),"")</f>
        <v/>
      </c>
      <c r="U181" s="197" t="str">
        <f>IF(AND('Mapa final'!$AB$138="Baja",'Mapa final'!$AD$138="Mayor"),CONCATENATE("R43C",'Mapa final'!$R$138),"")</f>
        <v/>
      </c>
      <c r="V181" s="158" t="str">
        <f>IF(AND('Mapa final'!$AB$136="Baja",'Mapa final'!$AD$136="Catastrófico"),CONCATENATE("R43C",'Mapa final'!$R$136),"")</f>
        <v/>
      </c>
      <c r="W181" s="189" t="str">
        <f>IF(AND('Mapa final'!$AB$137="Baja",'Mapa final'!$AD$137="Catastrófico"),CONCATENATE("R43C",'Mapa final'!$R$137),"")</f>
        <v/>
      </c>
      <c r="X181" s="159" t="str">
        <f>IF(AND('Mapa final'!$AB$138="Baja",'Mapa final'!$AD$138="Catastrófico"),CONCATENATE("R43C",'Mapa final'!$R$138),"")</f>
        <v/>
      </c>
      <c r="Y181" s="38"/>
      <c r="Z181" s="302"/>
      <c r="AA181" s="303"/>
      <c r="AB181" s="303"/>
      <c r="AC181" s="303"/>
      <c r="AD181" s="303"/>
      <c r="AE181" s="304"/>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row>
    <row r="182" spans="1:65" ht="16.5" customHeight="1" x14ac:dyDescent="0.25">
      <c r="A182" s="38"/>
      <c r="B182" s="291"/>
      <c r="C182" s="292"/>
      <c r="D182" s="293"/>
      <c r="E182" s="271" t="s">
        <v>104</v>
      </c>
      <c r="F182" s="272"/>
      <c r="G182" s="272"/>
      <c r="H182" s="272"/>
      <c r="I182" s="297"/>
      <c r="J182" s="168" t="str">
        <f>IF(AND('Mapa final'!$AB$7="Muy Baja",'Mapa final'!$AD$7="Leve"),CONCATENATE("R1C",'Mapa final'!$R$7),"")</f>
        <v/>
      </c>
      <c r="K182" s="169" t="str">
        <f>IF(AND('Mapa final'!$AB$8="Muy Baja",'Mapa final'!$AD$8="Leve"),CONCATENATE("R1C",'Mapa final'!$R$8),"")</f>
        <v/>
      </c>
      <c r="L182" s="170" t="str">
        <f>IF(AND('Mapa final'!$AB$9="Muy Baja",'Mapa final'!$AD$9="Leve"),CONCATENATE("R1C",'Mapa final'!$R$9),"")</f>
        <v/>
      </c>
      <c r="M182" s="168" t="str">
        <f>IF(AND('Mapa final'!$AB$7="Muy Baja",'Mapa final'!$AD$7="Menor"),CONCATENATE("R1C",'Mapa final'!$R$7),"")</f>
        <v/>
      </c>
      <c r="N182" s="169" t="str">
        <f>IF(AND('Mapa final'!$AB$8="Muy Baja",'Mapa final'!$AD$8="Menor"),CONCATENATE("R1C",'Mapa final'!$R$8),"")</f>
        <v/>
      </c>
      <c r="O182" s="170" t="str">
        <f>IF(AND('Mapa final'!$AB$9="Muy Baja",'Mapa final'!$AD$9="Menor"),CONCATENATE("R1C",'Mapa final'!$R$9),"")</f>
        <v/>
      </c>
      <c r="P182" s="160" t="str">
        <f>IF(AND('Mapa final'!$AB$7="Muy Baja",'Mapa final'!$AD$7="Moderado"),CONCATENATE("R1C",'Mapa final'!$R$7),"")</f>
        <v/>
      </c>
      <c r="Q182" s="161" t="str">
        <f>IF(AND('Mapa final'!$AB$8="Muy Baja",'Mapa final'!$AD$8="Moderado"),CONCATENATE("R1C",'Mapa final'!$R$8),"")</f>
        <v/>
      </c>
      <c r="R182" s="162" t="str">
        <f>IF(AND('Mapa final'!$AB$9="Muy Baja",'Mapa final'!$AD$9="Moderado"),CONCATENATE("R1C",'Mapa final'!$R$9),"")</f>
        <v/>
      </c>
      <c r="S182" s="192" t="str">
        <f>IF(AND('Mapa final'!$AB$7="Muy Baja",'Mapa final'!$AD$7="Mayor"),CONCATENATE("R1C",'Mapa final'!$R$7),"")</f>
        <v/>
      </c>
      <c r="T182" s="193" t="str">
        <f>IF(AND('Mapa final'!$AB$8="Muy Baja",'Mapa final'!$AD$8="Mayor"),CONCATENATE("R1C",'Mapa final'!$R$8),"")</f>
        <v/>
      </c>
      <c r="U182" s="194" t="str">
        <f>IF(AND('Mapa final'!$AB$9="Muy Baja",'Mapa final'!$AD$9="Mayor"),CONCATENATE("R1C",'Mapa final'!$R$9),"")</f>
        <v/>
      </c>
      <c r="V182" s="155" t="str">
        <f>IF(AND('Mapa final'!$AB$7="Muy Baja",'Mapa final'!$AD$7="Catastrófico"),CONCATENATE("R1C",'Mapa final'!$R$7),"")</f>
        <v/>
      </c>
      <c r="W182" s="156" t="str">
        <f>IF(AND('Mapa final'!$AB$8="Muy Baja",'Mapa final'!$AD$8="Catastrófico"),CONCATENATE("R1C",'Mapa final'!$R$8),"")</f>
        <v/>
      </c>
      <c r="X182" s="157" t="str">
        <f>IF(AND('Mapa final'!$AB$9="Muy Baja",'Mapa final'!$AD$9="Catastrófico"),CONCATENATE("R1C",'Mapa final'!$R$9),"")</f>
        <v/>
      </c>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row>
    <row r="183" spans="1:65" ht="15.75" x14ac:dyDescent="0.25">
      <c r="A183" s="38"/>
      <c r="B183" s="291"/>
      <c r="C183" s="292"/>
      <c r="D183" s="293"/>
      <c r="E183" s="273"/>
      <c r="F183" s="274"/>
      <c r="G183" s="274"/>
      <c r="H183" s="274"/>
      <c r="I183" s="298"/>
      <c r="J183" s="171" t="str">
        <f>IF(AND('Mapa final'!$AB$10="Muy Baja",'Mapa final'!$AD$10="Leve"),CONCATENATE("R2C",'Mapa final'!$R$10),"")</f>
        <v/>
      </c>
      <c r="K183" s="191" t="str">
        <f>IF(AND('Mapa final'!$AB$11="Muy Baja",'Mapa final'!$AD$11="Leve"),CONCATENATE("R2C",'Mapa final'!$R$11),"")</f>
        <v/>
      </c>
      <c r="L183" s="172" t="str">
        <f>IF(AND('Mapa final'!$AB$12="Muy Baja",'Mapa final'!$AD$12="Leve"),CONCATENATE("R2C",'Mapa final'!$R$12),"")</f>
        <v/>
      </c>
      <c r="M183" s="171" t="str">
        <f>IF(AND('Mapa final'!$AB$10="Muy Baja",'Mapa final'!$AD$10="Menor"),CONCATENATE("R2C",'Mapa final'!$R$10),"")</f>
        <v/>
      </c>
      <c r="N183" s="191" t="str">
        <f>IF(AND('Mapa final'!$AB$11="Muy Baja",'Mapa final'!$AD$11="Menor"),CONCATENATE("R2C",'Mapa final'!$R$11),"")</f>
        <v/>
      </c>
      <c r="O183" s="172" t="str">
        <f>IF(AND('Mapa final'!$AB$12="Muy Baja",'Mapa final'!$AD$12="Menor"),CONCATENATE("R2C",'Mapa final'!$R$12),"")</f>
        <v/>
      </c>
      <c r="P183" s="163" t="str">
        <f>IF(AND('Mapa final'!$AB$10="Muy Baja",'Mapa final'!$AD$10="Moderado"),CONCATENATE("R2C",'Mapa final'!$R$10),"")</f>
        <v/>
      </c>
      <c r="Q183" s="190" t="str">
        <f>IF(AND('Mapa final'!$AB$11="Muy Baja",'Mapa final'!$AD$11="Moderado"),CONCATENATE("R2C",'Mapa final'!$R$11),"")</f>
        <v/>
      </c>
      <c r="R183" s="164" t="str">
        <f>IF(AND('Mapa final'!$AB$12="Muy Baja",'Mapa final'!$AD$12="Moderado"),CONCATENATE("R2C",'Mapa final'!$R$12),"")</f>
        <v/>
      </c>
      <c r="S183" s="195" t="str">
        <f>IF(AND('Mapa final'!$AB$10="Muy Baja",'Mapa final'!$AD$10="Mayor"),CONCATENATE("R2C",'Mapa final'!$R$10),"")</f>
        <v/>
      </c>
      <c r="T183" s="196" t="str">
        <f>IF(AND('Mapa final'!$AB$11="Muy Baja",'Mapa final'!$AD$11="Mayor"),CONCATENATE("R2C",'Mapa final'!$R$11),"")</f>
        <v/>
      </c>
      <c r="U183" s="197" t="str">
        <f>IF(AND('Mapa final'!$AB$12="Muy Baja",'Mapa final'!$AD$12="Mayor"),CONCATENATE("R2C",'Mapa final'!$R$12),"")</f>
        <v/>
      </c>
      <c r="V183" s="158" t="str">
        <f>IF(AND('Mapa final'!$AB$10="Muy Baja",'Mapa final'!$AD$10="Catastrófico"),CONCATENATE("R2C",'Mapa final'!$R$10),"")</f>
        <v/>
      </c>
      <c r="W183" s="189" t="str">
        <f>IF(AND('Mapa final'!$AB$11="Muy Baja",'Mapa final'!$AD$11="Catastrófico"),CONCATENATE("R2C",'Mapa final'!$R$11),"")</f>
        <v/>
      </c>
      <c r="X183" s="159" t="str">
        <f>IF(AND('Mapa final'!$AB$12="Muy Baja",'Mapa final'!$AD$12="Catastrófico"),CONCATENATE("R2C",'Mapa final'!$R$12),"")</f>
        <v/>
      </c>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row>
    <row r="184" spans="1:65" ht="15.75" x14ac:dyDescent="0.25">
      <c r="A184" s="38"/>
      <c r="B184" s="291"/>
      <c r="C184" s="292"/>
      <c r="D184" s="293"/>
      <c r="E184" s="273"/>
      <c r="F184" s="274"/>
      <c r="G184" s="274"/>
      <c r="H184" s="274"/>
      <c r="I184" s="298"/>
      <c r="J184" s="171" t="str">
        <f>IF(AND('Mapa final'!$AB$13="Muy Baja",'Mapa final'!$AD$13="Leve"),CONCATENATE("R3C",'Mapa final'!$R$13),"")</f>
        <v/>
      </c>
      <c r="K184" s="191" t="str">
        <f>IF(AND('Mapa final'!$AB$14="Muy Baja",'Mapa final'!$AD$14="Leve"),CONCATENATE("R3C",'Mapa final'!$R$14),"")</f>
        <v/>
      </c>
      <c r="L184" s="172" t="str">
        <f>IF(AND('Mapa final'!$AB$15="Muy Baja",'Mapa final'!$AD$15="Leve"),CONCATENATE("R3C",'Mapa final'!$R$15),"")</f>
        <v/>
      </c>
      <c r="M184" s="171" t="str">
        <f>IF(AND('Mapa final'!$AB$13="Muy Baja",'Mapa final'!$AD$13="Menor"),CONCATENATE("R3C",'Mapa final'!$R$13),"")</f>
        <v/>
      </c>
      <c r="N184" s="191" t="str">
        <f>IF(AND('Mapa final'!$AB$14="Muy Baja",'Mapa final'!$AD$14="Menor"),CONCATENATE("R3C",'Mapa final'!$R$14),"")</f>
        <v/>
      </c>
      <c r="O184" s="172" t="str">
        <f>IF(AND('Mapa final'!$AB$15="Muy Baja",'Mapa final'!$AD$15="Menor"),CONCATENATE("R3C",'Mapa final'!$R$15),"")</f>
        <v/>
      </c>
      <c r="P184" s="163" t="str">
        <f>IF(AND('Mapa final'!$AB$13="Muy Baja",'Mapa final'!$AD$13="Moderado"),CONCATENATE("R3C",'Mapa final'!$R$13),"")</f>
        <v/>
      </c>
      <c r="Q184" s="190" t="str">
        <f>IF(AND('Mapa final'!$AB$14="Muy Baja",'Mapa final'!$AD$14="Moderado"),CONCATENATE("R3C",'Mapa final'!$R$14),"")</f>
        <v/>
      </c>
      <c r="R184" s="164" t="str">
        <f>IF(AND('Mapa final'!$AB$15="Muy Baja",'Mapa final'!$AD$15="Moderado"),CONCATENATE("R3C",'Mapa final'!$R$15),"")</f>
        <v/>
      </c>
      <c r="S184" s="195" t="str">
        <f>IF(AND('Mapa final'!$AB$13="Muy Baja",'Mapa final'!$AD$13="Mayor"),CONCATENATE("R3C",'Mapa final'!$R$13),"")</f>
        <v/>
      </c>
      <c r="T184" s="196" t="str">
        <f>IF(AND('Mapa final'!$AB$14="Muy Baja",'Mapa final'!$AD$14="Mayor"),CONCATENATE("R3C",'Mapa final'!$R$14),"")</f>
        <v/>
      </c>
      <c r="U184" s="197" t="str">
        <f>IF(AND('Mapa final'!$AB$15="Muy Baja",'Mapa final'!$AD$15="Mayor"),CONCATENATE("R3C",'Mapa final'!$R$15),"")</f>
        <v/>
      </c>
      <c r="V184" s="158" t="str">
        <f>IF(AND('Mapa final'!$AB$13="Muy Baja",'Mapa final'!$AD$13="Catastrófico"),CONCATENATE("R3C",'Mapa final'!$R$13),"")</f>
        <v/>
      </c>
      <c r="W184" s="189" t="str">
        <f>IF(AND('Mapa final'!$AB$14="Muy Baja",'Mapa final'!$AD$14="Catastrófico"),CONCATENATE("R3C",'Mapa final'!$R$14),"")</f>
        <v/>
      </c>
      <c r="X184" s="159" t="str">
        <f>IF(AND('Mapa final'!$AB$15="Muy Baja",'Mapa final'!$AD$15="Catastrófico"),CONCATENATE("R3C",'Mapa final'!$R$15),"")</f>
        <v/>
      </c>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row>
    <row r="185" spans="1:65" ht="15.75" x14ac:dyDescent="0.25">
      <c r="A185" s="38"/>
      <c r="B185" s="291"/>
      <c r="C185" s="292"/>
      <c r="D185" s="293"/>
      <c r="E185" s="273"/>
      <c r="F185" s="274"/>
      <c r="G185" s="274"/>
      <c r="H185" s="274"/>
      <c r="I185" s="298"/>
      <c r="J185" s="171" t="str">
        <f>IF(AND('Mapa final'!$AB$16="Muy Baja",'Mapa final'!$AD$16="Leve"),CONCATENATE("R4C",'Mapa final'!$R$16),"")</f>
        <v/>
      </c>
      <c r="K185" s="191" t="str">
        <f>IF(AND('Mapa final'!$AB$17="Muy Baja",'Mapa final'!$AD$17="Leve"),CONCATENATE("R4C",'Mapa final'!$R$17),"")</f>
        <v/>
      </c>
      <c r="L185" s="172" t="str">
        <f>IF(AND('Mapa final'!$AB$18="Muy Baja",'Mapa final'!$AD$18="Leve"),CONCATENATE("R4C",'Mapa final'!$R$18),"")</f>
        <v/>
      </c>
      <c r="M185" s="171" t="str">
        <f>IF(AND('Mapa final'!$AB$16="Muy Baja",'Mapa final'!$AD$16="Menor"),CONCATENATE("R4C",'Mapa final'!$R$16),"")</f>
        <v/>
      </c>
      <c r="N185" s="191" t="str">
        <f>IF(AND('Mapa final'!$AB$17="Muy Baja",'Mapa final'!$AD$17="Menor"),CONCATENATE("R4C",'Mapa final'!$R$17),"")</f>
        <v/>
      </c>
      <c r="O185" s="172" t="str">
        <f>IF(AND('Mapa final'!$AB$18="Muy Baja",'Mapa final'!$AD$18="Menor"),CONCATENATE("R4C",'Mapa final'!$R$18),"")</f>
        <v/>
      </c>
      <c r="P185" s="163" t="str">
        <f>IF(AND('Mapa final'!$AB$16="Muy Baja",'Mapa final'!$AD$16="Moderado"),CONCATENATE("R4C",'Mapa final'!$R$16),"")</f>
        <v/>
      </c>
      <c r="Q185" s="190" t="str">
        <f>IF(AND('Mapa final'!$AB$17="Muy Baja",'Mapa final'!$AD$17="Moderado"),CONCATENATE("R4C",'Mapa final'!$R$17),"")</f>
        <v/>
      </c>
      <c r="R185" s="164" t="str">
        <f>IF(AND('Mapa final'!$AB$18="Muy Baja",'Mapa final'!$AD$18="Moderado"),CONCATENATE("R4C",'Mapa final'!$R$18),"")</f>
        <v/>
      </c>
      <c r="S185" s="195" t="str">
        <f>IF(AND('Mapa final'!$AB$16="Muy Baja",'Mapa final'!$AD$16="Mayor"),CONCATENATE("R4C",'Mapa final'!$R$16),"")</f>
        <v/>
      </c>
      <c r="T185" s="196" t="str">
        <f>IF(AND('Mapa final'!$AB$17="Muy Baja",'Mapa final'!$AD$17="Mayor"),CONCATENATE("R4C",'Mapa final'!$R$17),"")</f>
        <v/>
      </c>
      <c r="U185" s="197" t="str">
        <f>IF(AND('Mapa final'!$AB$18="Muy Baja",'Mapa final'!$AD$18="Mayor"),CONCATENATE("R4C",'Mapa final'!$R$18),"")</f>
        <v/>
      </c>
      <c r="V185" s="158" t="str">
        <f>IF(AND('Mapa final'!$AB$16="Muy Baja",'Mapa final'!$AD$16="Catastrófico"),CONCATENATE("R4C",'Mapa final'!$R$16),"")</f>
        <v/>
      </c>
      <c r="W185" s="189" t="str">
        <f>IF(AND('Mapa final'!$AB$17="Muy Baja",'Mapa final'!$AD$17="Catastrófico"),CONCATENATE("R4C",'Mapa final'!$R$17),"")</f>
        <v/>
      </c>
      <c r="X185" s="159" t="str">
        <f>IF(AND('Mapa final'!$AB$18="Muy Baja",'Mapa final'!$AD$18="Catastrófico"),CONCATENATE("R4C",'Mapa final'!$R$18),"")</f>
        <v/>
      </c>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row>
    <row r="186" spans="1:65" ht="15.75" x14ac:dyDescent="0.25">
      <c r="A186" s="38"/>
      <c r="B186" s="291"/>
      <c r="C186" s="292"/>
      <c r="D186" s="293"/>
      <c r="E186" s="273"/>
      <c r="F186" s="274"/>
      <c r="G186" s="274"/>
      <c r="H186" s="274"/>
      <c r="I186" s="298"/>
      <c r="J186" s="171" t="str">
        <f>IF(AND('Mapa final'!$AB$19="Muy Baja",'Mapa final'!$AD$19="Leve"),CONCATENATE("R5C",'Mapa final'!$R$19),"")</f>
        <v/>
      </c>
      <c r="K186" s="191" t="str">
        <f>IF(AND('Mapa final'!$AB$20="Muy Baja",'Mapa final'!$AD$20="Leve"),CONCATENATE("R5C",'Mapa final'!$R$20),"")</f>
        <v/>
      </c>
      <c r="L186" s="172" t="str">
        <f>IF(AND('Mapa final'!$AB$21="Muy Baja",'Mapa final'!$AD$21="Leve"),CONCATENATE("R5C",'Mapa final'!$R$21),"")</f>
        <v/>
      </c>
      <c r="M186" s="171" t="str">
        <f>IF(AND('Mapa final'!$AB$19="Muy Baja",'Mapa final'!$AD$19="Menor"),CONCATENATE("R5C",'Mapa final'!$R$19),"")</f>
        <v/>
      </c>
      <c r="N186" s="191" t="str">
        <f>IF(AND('Mapa final'!$AB$20="Muy Baja",'Mapa final'!$AD$20="Menor"),CONCATENATE("R5C",'Mapa final'!$R$20),"")</f>
        <v/>
      </c>
      <c r="O186" s="172" t="str">
        <f>IF(AND('Mapa final'!$AB$21="Muy Baja",'Mapa final'!$AD$21="Menor"),CONCATENATE("R5C",'Mapa final'!$R$21),"")</f>
        <v/>
      </c>
      <c r="P186" s="163" t="str">
        <f>IF(AND('Mapa final'!$AB$19="Muy Baja",'Mapa final'!$AD$19="Moderado"),CONCATENATE("R5C",'Mapa final'!$R$19),"")</f>
        <v/>
      </c>
      <c r="Q186" s="190" t="str">
        <f>IF(AND('Mapa final'!$AB$20="Muy Baja",'Mapa final'!$AD$20="Moderado"),CONCATENATE("R5C",'Mapa final'!$R$20),"")</f>
        <v/>
      </c>
      <c r="R186" s="164" t="str">
        <f>IF(AND('Mapa final'!$AB$21="Muy Baja",'Mapa final'!$AD$21="Moderado"),CONCATENATE("R5C",'Mapa final'!$R$21),"")</f>
        <v/>
      </c>
      <c r="S186" s="195" t="str">
        <f>IF(AND('Mapa final'!$AB$19="Muy Baja",'Mapa final'!$AD$19="Mayor"),CONCATENATE("R5C",'Mapa final'!$R$19),"")</f>
        <v/>
      </c>
      <c r="T186" s="196" t="str">
        <f>IF(AND('Mapa final'!$AB$20="Muy Baja",'Mapa final'!$AD$20="Mayor"),CONCATENATE("R5C",'Mapa final'!$R$20),"")</f>
        <v/>
      </c>
      <c r="U186" s="197" t="str">
        <f>IF(AND('Mapa final'!$AB$21="Muy Baja",'Mapa final'!$AD$21="Mayor"),CONCATENATE("R5C",'Mapa final'!$R$21),"")</f>
        <v/>
      </c>
      <c r="V186" s="158" t="str">
        <f>IF(AND('Mapa final'!$AB$19="Muy Baja",'Mapa final'!$AD$19="Catastrófico"),CONCATENATE("R5C",'Mapa final'!$R$19),"")</f>
        <v/>
      </c>
      <c r="W186" s="189" t="str">
        <f>IF(AND('Mapa final'!$AB$20="Muy Baja",'Mapa final'!$AD$20="Catastrófico"),CONCATENATE("R5C",'Mapa final'!$R$20),"")</f>
        <v/>
      </c>
      <c r="X186" s="159" t="str">
        <f>IF(AND('Mapa final'!$AB$21="Muy Baja",'Mapa final'!$AD$21="Catastrófico"),CONCATENATE("R5C",'Mapa final'!$R$21),"")</f>
        <v/>
      </c>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row>
    <row r="187" spans="1:65" ht="15.75" x14ac:dyDescent="0.25">
      <c r="A187" s="38"/>
      <c r="B187" s="291"/>
      <c r="C187" s="292"/>
      <c r="D187" s="293"/>
      <c r="E187" s="273"/>
      <c r="F187" s="274"/>
      <c r="G187" s="274"/>
      <c r="H187" s="274"/>
      <c r="I187" s="298"/>
      <c r="J187" s="171" t="str">
        <f>IF(AND('Mapa final'!$AB$22="Muy Baja",'Mapa final'!$AD$22="Leve"),CONCATENATE("R6C",'Mapa final'!$R$22),"")</f>
        <v/>
      </c>
      <c r="K187" s="191" t="str">
        <f>IF(AND('Mapa final'!$AB$23="Muy Baja",'Mapa final'!$AD$23="Leve"),CONCATENATE("R6C",'Mapa final'!$R$23),"")</f>
        <v/>
      </c>
      <c r="L187" s="172" t="str">
        <f>IF(AND('Mapa final'!$AB$24="Muy Baja",'Mapa final'!$AD$24="Leve"),CONCATENATE("R6C",'Mapa final'!$R$24),"")</f>
        <v/>
      </c>
      <c r="M187" s="171" t="str">
        <f>IF(AND('Mapa final'!$AB$22="Muy Baja",'Mapa final'!$AD$22="Menor"),CONCATENATE("R6C",'Mapa final'!$R$22),"")</f>
        <v/>
      </c>
      <c r="N187" s="191" t="str">
        <f>IF(AND('Mapa final'!$AB$23="Muy Baja",'Mapa final'!$AD$23="Menor"),CONCATENATE("R6C",'Mapa final'!$R$23),"")</f>
        <v/>
      </c>
      <c r="O187" s="172" t="str">
        <f>IF(AND('Mapa final'!$AB$24="Muy Baja",'Mapa final'!$AD$24="Menor"),CONCATENATE("R6C",'Mapa final'!$R$24),"")</f>
        <v/>
      </c>
      <c r="P187" s="163" t="str">
        <f>IF(AND('Mapa final'!$AB$22="Muy Baja",'Mapa final'!$AD$22="Moderado"),CONCATENATE("R6C",'Mapa final'!$R$22),"")</f>
        <v/>
      </c>
      <c r="Q187" s="190" t="str">
        <f>IF(AND('Mapa final'!$AB$23="Muy Baja",'Mapa final'!$AD$23="Moderado"),CONCATENATE("R6C",'Mapa final'!$R$23),"")</f>
        <v/>
      </c>
      <c r="R187" s="164" t="str">
        <f>IF(AND('Mapa final'!$AB$24="Muy Baja",'Mapa final'!$AD$24="Moderado"),CONCATENATE("R6C",'Mapa final'!$R$24),"")</f>
        <v/>
      </c>
      <c r="S187" s="195" t="str">
        <f>IF(AND('Mapa final'!$AB$22="Muy Baja",'Mapa final'!$AD$22="Mayor"),CONCATENATE("R6C",'Mapa final'!$R$22),"")</f>
        <v/>
      </c>
      <c r="T187" s="196" t="str">
        <f>IF(AND('Mapa final'!$AB$23="Muy Baja",'Mapa final'!$AD$23="Mayor"),CONCATENATE("R6C",'Mapa final'!$R$23),"")</f>
        <v/>
      </c>
      <c r="U187" s="197" t="str">
        <f>IF(AND('Mapa final'!$AB$24="Muy Baja",'Mapa final'!$AD$24="Mayor"),CONCATENATE("R6C",'Mapa final'!$R$24),"")</f>
        <v/>
      </c>
      <c r="V187" s="158" t="str">
        <f>IF(AND('Mapa final'!$AB$22="Muy Baja",'Mapa final'!$AD$22="Catastrófico"),CONCATENATE("R6C",'Mapa final'!$R$22),"")</f>
        <v/>
      </c>
      <c r="W187" s="189" t="str">
        <f>IF(AND('Mapa final'!$AB$23="Muy Baja",'Mapa final'!$AD$23="Catastrófico"),CONCATENATE("R6C",'Mapa final'!$R$23),"")</f>
        <v/>
      </c>
      <c r="X187" s="159" t="str">
        <f>IF(AND('Mapa final'!$AB$24="Muy Baja",'Mapa final'!$AD$24="Catastrófico"),CONCATENATE("R6C",'Mapa final'!$R$24),"")</f>
        <v/>
      </c>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c r="BC187" s="38"/>
      <c r="BD187" s="38"/>
      <c r="BE187" s="38"/>
      <c r="BF187" s="38"/>
      <c r="BG187" s="38"/>
      <c r="BH187" s="38"/>
      <c r="BI187" s="38"/>
      <c r="BJ187" s="38"/>
      <c r="BK187" s="38"/>
      <c r="BL187" s="38"/>
      <c r="BM187" s="38"/>
    </row>
    <row r="188" spans="1:65" ht="15.75" x14ac:dyDescent="0.25">
      <c r="A188" s="38"/>
      <c r="B188" s="291"/>
      <c r="C188" s="292"/>
      <c r="D188" s="293"/>
      <c r="E188" s="273"/>
      <c r="F188" s="274"/>
      <c r="G188" s="274"/>
      <c r="H188" s="274"/>
      <c r="I188" s="298"/>
      <c r="J188" s="171" t="str">
        <f>IF(AND('Mapa final'!$AB$25="Muy Baja",'Mapa final'!$AD$25="Leve"),CONCATENATE("R7C",'Mapa final'!$R$25),"")</f>
        <v/>
      </c>
      <c r="K188" s="191" t="str">
        <f>IF(AND('Mapa final'!$AB$26="Muy Baja",'Mapa final'!$AD$26="Leve"),CONCATENATE("R7C",'Mapa final'!$R$26),"")</f>
        <v/>
      </c>
      <c r="L188" s="172" t="str">
        <f>IF(AND('Mapa final'!$AB$27="Muy Baja",'Mapa final'!$AD$27="Leve"),CONCATENATE("R7C",'Mapa final'!$R$27),"")</f>
        <v/>
      </c>
      <c r="M188" s="171" t="str">
        <f>IF(AND('Mapa final'!$AB$25="Muy Baja",'Mapa final'!$AD$25="Menor"),CONCATENATE("R7C",'Mapa final'!$R$25),"")</f>
        <v/>
      </c>
      <c r="N188" s="191" t="str">
        <f>IF(AND('Mapa final'!$AB$26="Muy Baja",'Mapa final'!$AD$26="Menor"),CONCATENATE("R7C",'Mapa final'!$R$26),"")</f>
        <v/>
      </c>
      <c r="O188" s="172" t="str">
        <f>IF(AND('Mapa final'!$AB$27="Muy Baja",'Mapa final'!$AD$27="Menor"),CONCATENATE("R7C",'Mapa final'!$R$27),"")</f>
        <v/>
      </c>
      <c r="P188" s="163" t="str">
        <f>IF(AND('Mapa final'!$AB$25="Muy Baja",'Mapa final'!$AD$25="Moderado"),CONCATENATE("R7C",'Mapa final'!$R$25),"")</f>
        <v/>
      </c>
      <c r="Q188" s="190" t="str">
        <f>IF(AND('Mapa final'!$AB$26="Muy Baja",'Mapa final'!$AD$26="Moderado"),CONCATENATE("R7C",'Mapa final'!$R$26),"")</f>
        <v/>
      </c>
      <c r="R188" s="164" t="str">
        <f>IF(AND('Mapa final'!$AB$27="Muy Baja",'Mapa final'!$AD$27="Moderado"),CONCATENATE("R7C",'Mapa final'!$R$27),"")</f>
        <v/>
      </c>
      <c r="S188" s="195" t="str">
        <f>IF(AND('Mapa final'!$AB$25="Muy Baja",'Mapa final'!$AD$25="Mayor"),CONCATENATE("R7C",'Mapa final'!$R$25),"")</f>
        <v/>
      </c>
      <c r="T188" s="196" t="str">
        <f>IF(AND('Mapa final'!$AB$26="Muy Baja",'Mapa final'!$AD$26="Mayor"),CONCATENATE("R7C",'Mapa final'!$R$26),"")</f>
        <v/>
      </c>
      <c r="U188" s="197" t="str">
        <f>IF(AND('Mapa final'!$AB$27="Muy Baja",'Mapa final'!$AD$27="Mayor"),CONCATENATE("R7C",'Mapa final'!$R$27),"")</f>
        <v/>
      </c>
      <c r="V188" s="158" t="str">
        <f>IF(AND('Mapa final'!$AB$25="Muy Baja",'Mapa final'!$AD$25="Catastrófico"),CONCATENATE("R7C",'Mapa final'!$R$25),"")</f>
        <v/>
      </c>
      <c r="W188" s="189" t="str">
        <f>IF(AND('Mapa final'!$AB$26="Muy Baja",'Mapa final'!$AD$26="Catastrófico"),CONCATENATE("R7C",'Mapa final'!$R$26),"")</f>
        <v/>
      </c>
      <c r="X188" s="159" t="str">
        <f>IF(AND('Mapa final'!$AB$27="Muy Baja",'Mapa final'!$AD$27="Catastrófico"),CONCATENATE("R7C",'Mapa final'!$R$27),"")</f>
        <v/>
      </c>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row>
    <row r="189" spans="1:65" ht="15.75" x14ac:dyDescent="0.25">
      <c r="A189" s="38"/>
      <c r="B189" s="291"/>
      <c r="C189" s="292"/>
      <c r="D189" s="293"/>
      <c r="E189" s="273"/>
      <c r="F189" s="274"/>
      <c r="G189" s="274"/>
      <c r="H189" s="274"/>
      <c r="I189" s="298"/>
      <c r="J189" s="171" t="str">
        <f>IF(AND('Mapa final'!$AB$28="Muy Baja",'Mapa final'!$AD$28="Leve"),CONCATENATE("R8C",'Mapa final'!$R$28),"")</f>
        <v/>
      </c>
      <c r="K189" s="191" t="str">
        <f>IF(AND('Mapa final'!$AB$29="Muy Baja",'Mapa final'!$AD$29="Leve"),CONCATENATE("R8C",'Mapa final'!$R$29),"")</f>
        <v/>
      </c>
      <c r="L189" s="172" t="str">
        <f>IF(AND('Mapa final'!$AB$30="Muy Baja",'Mapa final'!$AD$30="Leve"),CONCATENATE("R8C",'Mapa final'!$R$30),"")</f>
        <v/>
      </c>
      <c r="M189" s="171" t="str">
        <f>IF(AND('Mapa final'!$AB$28="Muy Baja",'Mapa final'!$AD$28="Menor"),CONCATENATE("R8C",'Mapa final'!$R$28),"")</f>
        <v/>
      </c>
      <c r="N189" s="191" t="str">
        <f>IF(AND('Mapa final'!$AB$29="Muy Baja",'Mapa final'!$AD$29="Menor"),CONCATENATE("R8C",'Mapa final'!$R$29),"")</f>
        <v/>
      </c>
      <c r="O189" s="172" t="str">
        <f>IF(AND('Mapa final'!$AB$30="Muy Baja",'Mapa final'!$AD$30="Menor"),CONCATENATE("R8C",'Mapa final'!$R$30),"")</f>
        <v/>
      </c>
      <c r="P189" s="163" t="str">
        <f>IF(AND('Mapa final'!$AB$28="Muy Baja",'Mapa final'!$AD$28="Moderado"),CONCATENATE("R8C",'Mapa final'!$R$28),"")</f>
        <v/>
      </c>
      <c r="Q189" s="190" t="str">
        <f>IF(AND('Mapa final'!$AB$29="Muy Baja",'Mapa final'!$AD$29="Moderado"),CONCATENATE("R8C",'Mapa final'!$R$29),"")</f>
        <v/>
      </c>
      <c r="R189" s="164" t="str">
        <f>IF(AND('Mapa final'!$AB$30="Muy Baja",'Mapa final'!$AD$30="Moderado"),CONCATENATE("R8C",'Mapa final'!$R$30),"")</f>
        <v/>
      </c>
      <c r="S189" s="195" t="str">
        <f>IF(AND('Mapa final'!$AB$28="Muy Baja",'Mapa final'!$AD$28="Mayor"),CONCATENATE("R8C",'Mapa final'!$R$28),"")</f>
        <v/>
      </c>
      <c r="T189" s="196" t="str">
        <f>IF(AND('Mapa final'!$AB$29="Muy Baja",'Mapa final'!$AD$29="Mayor"),CONCATENATE("R8C",'Mapa final'!$R$29),"")</f>
        <v/>
      </c>
      <c r="U189" s="197" t="str">
        <f>IF(AND('Mapa final'!$AB$30="Muy Baja",'Mapa final'!$AD$30="Mayor"),CONCATENATE("R8C",'Mapa final'!$R$30),"")</f>
        <v/>
      </c>
      <c r="V189" s="158" t="str">
        <f>IF(AND('Mapa final'!$AB$28="Muy Baja",'Mapa final'!$AD$28="Catastrófico"),CONCATENATE("R8C",'Mapa final'!$R$28),"")</f>
        <v/>
      </c>
      <c r="W189" s="189" t="str">
        <f>IF(AND('Mapa final'!$AB$29="Muy Baja",'Mapa final'!$AD$29="Catastrófico"),CONCATENATE("R8C",'Mapa final'!$R$29),"")</f>
        <v/>
      </c>
      <c r="X189" s="159" t="str">
        <f>IF(AND('Mapa final'!$AB$30="Muy Baja",'Mapa final'!$AD$30="Catastrófico"),CONCATENATE("R8C",'Mapa final'!$R$30),"")</f>
        <v/>
      </c>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38"/>
      <c r="BM189" s="38"/>
    </row>
    <row r="190" spans="1:65" ht="15.75" x14ac:dyDescent="0.25">
      <c r="A190" s="38"/>
      <c r="B190" s="291"/>
      <c r="C190" s="292"/>
      <c r="D190" s="293"/>
      <c r="E190" s="273"/>
      <c r="F190" s="274"/>
      <c r="G190" s="274"/>
      <c r="H190" s="274"/>
      <c r="I190" s="298"/>
      <c r="J190" s="171" t="str">
        <f>IF(AND('Mapa final'!$AB$31="Muy Baja",'Mapa final'!$AD$31="Leve"),CONCATENATE("R9C",'Mapa final'!$R$31),"")</f>
        <v/>
      </c>
      <c r="K190" s="191" t="str">
        <f>IF(AND('Mapa final'!$AB$32="Muy Baja",'Mapa final'!$AD$32="Leve"),CONCATENATE("R9C",'Mapa final'!$R$32),"")</f>
        <v/>
      </c>
      <c r="L190" s="172" t="str">
        <f>IF(AND('Mapa final'!$AB$33="Muy Baja",'Mapa final'!$AD$33="Leve"),CONCATENATE("R9C",'Mapa final'!$R$33),"")</f>
        <v/>
      </c>
      <c r="M190" s="171" t="str">
        <f>IF(AND('Mapa final'!$AB$31="Muy Baja",'Mapa final'!$AD$31="Menor"),CONCATENATE("R9C",'Mapa final'!$R$31),"")</f>
        <v/>
      </c>
      <c r="N190" s="191" t="str">
        <f>IF(AND('Mapa final'!$AB$32="Muy Baja",'Mapa final'!$AD$32="Menor"),CONCATENATE("R9C",'Mapa final'!$R$32),"")</f>
        <v/>
      </c>
      <c r="O190" s="172" t="str">
        <f>IF(AND('Mapa final'!$AB$33="Muy Baja",'Mapa final'!$AD$33="Menor"),CONCATENATE("R9C",'Mapa final'!$R$33),"")</f>
        <v/>
      </c>
      <c r="P190" s="163" t="str">
        <f>IF(AND('Mapa final'!$AB$31="Muy Baja",'Mapa final'!$AD$31="Moderado"),CONCATENATE("R9C",'Mapa final'!$R$31),"")</f>
        <v/>
      </c>
      <c r="Q190" s="190" t="str">
        <f>IF(AND('Mapa final'!$AB$32="Muy Baja",'Mapa final'!$AD$32="Moderado"),CONCATENATE("R9C",'Mapa final'!$R$32),"")</f>
        <v/>
      </c>
      <c r="R190" s="164" t="str">
        <f>IF(AND('Mapa final'!$AB$33="Muy Baja",'Mapa final'!$AD$33="Moderado"),CONCATENATE("R9C",'Mapa final'!$R$33),"")</f>
        <v/>
      </c>
      <c r="S190" s="195" t="str">
        <f>IF(AND('Mapa final'!$AB$31="Muy Baja",'Mapa final'!$AD$31="Mayor"),CONCATENATE("R9C",'Mapa final'!$R$31),"")</f>
        <v/>
      </c>
      <c r="T190" s="196" t="str">
        <f>IF(AND('Mapa final'!$AB$32="Muy Baja",'Mapa final'!$AD$32="Mayor"),CONCATENATE("R9C",'Mapa final'!$R$32),"")</f>
        <v/>
      </c>
      <c r="U190" s="197" t="str">
        <f>IF(AND('Mapa final'!$AB$33="Muy Baja",'Mapa final'!$AD$33="Mayor"),CONCATENATE("R9C",'Mapa final'!$R$33),"")</f>
        <v/>
      </c>
      <c r="V190" s="158" t="str">
        <f>IF(AND('Mapa final'!$AB$31="Muy Baja",'Mapa final'!$AD$31="Catastrófico"),CONCATENATE("R9C",'Mapa final'!$R$31),"")</f>
        <v/>
      </c>
      <c r="W190" s="189" t="str">
        <f>IF(AND('Mapa final'!$AB$32="Muy Baja",'Mapa final'!$AD$32="Catastrófico"),CONCATENATE("R9C",'Mapa final'!$R$32),"")</f>
        <v/>
      </c>
      <c r="X190" s="159" t="str">
        <f>IF(AND('Mapa final'!$AB$33="Muy Baja",'Mapa final'!$AD$33="Catastrófico"),CONCATENATE("R9C",'Mapa final'!$R$33),"")</f>
        <v/>
      </c>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c r="BI190" s="38"/>
      <c r="BJ190" s="38"/>
      <c r="BK190" s="38"/>
      <c r="BL190" s="38"/>
      <c r="BM190" s="38"/>
    </row>
    <row r="191" spans="1:65" ht="15.75" x14ac:dyDescent="0.25">
      <c r="A191" s="38"/>
      <c r="B191" s="291"/>
      <c r="C191" s="292"/>
      <c r="D191" s="293"/>
      <c r="E191" s="273"/>
      <c r="F191" s="274"/>
      <c r="G191" s="274"/>
      <c r="H191" s="274"/>
      <c r="I191" s="298"/>
      <c r="J191" s="171" t="str">
        <f>IF(AND('Mapa final'!$AB$34="Muy Baja",'Mapa final'!$AD$34="Leve"),CONCATENATE("R10C",'Mapa final'!$R$34),"")</f>
        <v/>
      </c>
      <c r="K191" s="191" t="str">
        <f>IF(AND('Mapa final'!$AB$35="Muy Baja",'Mapa final'!$AD$35="Leve"),CONCATENATE("R10C",'Mapa final'!$R$35),"")</f>
        <v/>
      </c>
      <c r="L191" s="172" t="str">
        <f>IF(AND('Mapa final'!$AB$36="Muy Baja",'Mapa final'!$AD$36="Leve"),CONCATENATE("R10C",'Mapa final'!$R$36),"")</f>
        <v/>
      </c>
      <c r="M191" s="171" t="str">
        <f>IF(AND('Mapa final'!$AB$34="Muy Baja",'Mapa final'!$AD$34="Menor"),CONCATENATE("R10C",'Mapa final'!$R$34),"")</f>
        <v/>
      </c>
      <c r="N191" s="191" t="str">
        <f>IF(AND('Mapa final'!$AB$35="Muy Baja",'Mapa final'!$AD$35="Menor"),CONCATENATE("R10C",'Mapa final'!$R$35),"")</f>
        <v/>
      </c>
      <c r="O191" s="172" t="str">
        <f>IF(AND('Mapa final'!$AB$36="Muy Baja",'Mapa final'!$AD$36="Menor"),CONCATENATE("R10C",'Mapa final'!$R$36),"")</f>
        <v/>
      </c>
      <c r="P191" s="163" t="str">
        <f>IF(AND('Mapa final'!$AB$34="Muy Baja",'Mapa final'!$AD$34="Moderado"),CONCATENATE("R10C",'Mapa final'!$R$34),"")</f>
        <v/>
      </c>
      <c r="Q191" s="190" t="str">
        <f>IF(AND('Mapa final'!$AB$35="Muy Baja",'Mapa final'!$AD$35="Moderado"),CONCATENATE("R10C",'Mapa final'!$R$35),"")</f>
        <v/>
      </c>
      <c r="R191" s="164" t="str">
        <f>IF(AND('Mapa final'!$AB$36="Muy Baja",'Mapa final'!$AD$36="Moderado"),CONCATENATE("R10C",'Mapa final'!$R$36),"")</f>
        <v/>
      </c>
      <c r="S191" s="195" t="str">
        <f>IF(AND('Mapa final'!$AB$34="Muy Baja",'Mapa final'!$AD$34="Mayor"),CONCATENATE("R10C",'Mapa final'!$R$34),"")</f>
        <v/>
      </c>
      <c r="T191" s="196" t="str">
        <f>IF(AND('Mapa final'!$AB$35="Muy Baja",'Mapa final'!$AD$35="Mayor"),CONCATENATE("R10C",'Mapa final'!$R$35),"")</f>
        <v/>
      </c>
      <c r="U191" s="197" t="str">
        <f>IF(AND('Mapa final'!$AB$36="Muy Baja",'Mapa final'!$AD$36="Mayor"),CONCATENATE("R10C",'Mapa final'!$R$36),"")</f>
        <v/>
      </c>
      <c r="V191" s="158" t="str">
        <f>IF(AND('Mapa final'!$AB$34="Muy Baja",'Mapa final'!$AD$34="Catastrófico"),CONCATENATE("R10C",'Mapa final'!$R$34),"")</f>
        <v/>
      </c>
      <c r="W191" s="189" t="str">
        <f>IF(AND('Mapa final'!$AB$35="Muy Baja",'Mapa final'!$AD$35="Catastrófico"),CONCATENATE("R10C",'Mapa final'!$R$35),"")</f>
        <v/>
      </c>
      <c r="X191" s="159" t="str">
        <f>IF(AND('Mapa final'!$AB$36="Muy Baja",'Mapa final'!$AD$36="Catastrófico"),CONCATENATE("R10C",'Mapa final'!$R$36),"")</f>
        <v/>
      </c>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c r="BI191" s="38"/>
      <c r="BJ191" s="38"/>
      <c r="BK191" s="38"/>
      <c r="BL191" s="38"/>
      <c r="BM191" s="38"/>
    </row>
    <row r="192" spans="1:65" ht="15.75" x14ac:dyDescent="0.25">
      <c r="A192" s="38"/>
      <c r="B192" s="291"/>
      <c r="C192" s="292"/>
      <c r="D192" s="293"/>
      <c r="E192" s="273"/>
      <c r="F192" s="274"/>
      <c r="G192" s="274"/>
      <c r="H192" s="274"/>
      <c r="I192" s="298"/>
      <c r="J192" s="171" t="str">
        <f>IF(AND('Mapa final'!$AB$37="Muy Baja",'Mapa final'!$AD$37="Leve"),CONCATENATE("R11C",'Mapa final'!$R$37),"")</f>
        <v/>
      </c>
      <c r="K192" s="191" t="str">
        <f>IF(AND('Mapa final'!$AB$38="Muy Baja",'Mapa final'!$AD$38="Leve"),CONCATENATE("R11C",'Mapa final'!$R$38),"")</f>
        <v/>
      </c>
      <c r="L192" s="172" t="str">
        <f>IF(AND('Mapa final'!$AB$39="Muy Baja",'Mapa final'!$AD$39="Leve"),CONCATENATE("R11C",'Mapa final'!$R$39),"")</f>
        <v/>
      </c>
      <c r="M192" s="171" t="str">
        <f>IF(AND('Mapa final'!$AB$37="Muy Baja",'Mapa final'!$AD$37="Menor"),CONCATENATE("R11C",'Mapa final'!$R$37),"")</f>
        <v/>
      </c>
      <c r="N192" s="191" t="str">
        <f>IF(AND('Mapa final'!$AB$38="Muy Baja",'Mapa final'!$AD$38="Menor"),CONCATENATE("R11C",'Mapa final'!$R$38),"")</f>
        <v/>
      </c>
      <c r="O192" s="172" t="str">
        <f>IF(AND('Mapa final'!$AB$39="Muy Baja",'Mapa final'!$AD$39="Menor"),CONCATENATE("R11C",'Mapa final'!$R$39),"")</f>
        <v/>
      </c>
      <c r="P192" s="163" t="str">
        <f>IF(AND('Mapa final'!$AB$37="Muy Baja",'Mapa final'!$AD$37="Moderado"),CONCATENATE("R11C",'Mapa final'!$R$37),"")</f>
        <v/>
      </c>
      <c r="Q192" s="190" t="str">
        <f>IF(AND('Mapa final'!$AB$38="Muy Baja",'Mapa final'!$AD$38="Moderado"),CONCATENATE("R11C",'Mapa final'!$R$38),"")</f>
        <v/>
      </c>
      <c r="R192" s="164" t="str">
        <f>IF(AND('Mapa final'!$AB$39="Muy Baja",'Mapa final'!$AD$39="Moderado"),CONCATENATE("R11C",'Mapa final'!$R$39),"")</f>
        <v/>
      </c>
      <c r="S192" s="195" t="str">
        <f>IF(AND('Mapa final'!$AB$37="Muy Baja",'Mapa final'!$AD$37="Mayor"),CONCATENATE("R11C",'Mapa final'!$R$37),"")</f>
        <v/>
      </c>
      <c r="T192" s="196" t="str">
        <f>IF(AND('Mapa final'!$AB$38="Muy Baja",'Mapa final'!$AD$38="Mayor"),CONCATENATE("R11C",'Mapa final'!$R$38),"")</f>
        <v/>
      </c>
      <c r="U192" s="197" t="str">
        <f>IF(AND('Mapa final'!$AB$39="Muy Baja",'Mapa final'!$AD$39="Mayor"),CONCATENATE("R11C",'Mapa final'!$R$39),"")</f>
        <v/>
      </c>
      <c r="V192" s="158" t="str">
        <f>IF(AND('Mapa final'!$AB$37="Muy Baja",'Mapa final'!$AD$37="Catastrófico"),CONCATENATE("R11C",'Mapa final'!$R$37),"")</f>
        <v/>
      </c>
      <c r="W192" s="189" t="str">
        <f>IF(AND('Mapa final'!$AB$38="Muy Baja",'Mapa final'!$AD$38="Catastrófico"),CONCATENATE("R11C",'Mapa final'!$R$38),"")</f>
        <v/>
      </c>
      <c r="X192" s="159" t="str">
        <f>IF(AND('Mapa final'!$AB$39="Muy Baja",'Mapa final'!$AD$39="Catastrófico"),CONCATENATE("R11C",'Mapa final'!$R$39),"")</f>
        <v/>
      </c>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38"/>
      <c r="BG192" s="38"/>
      <c r="BH192" s="38"/>
      <c r="BI192" s="38"/>
      <c r="BJ192" s="38"/>
      <c r="BK192" s="38"/>
      <c r="BL192" s="38"/>
      <c r="BM192" s="38"/>
    </row>
    <row r="193" spans="1:65" ht="15.75" x14ac:dyDescent="0.25">
      <c r="A193" s="38"/>
      <c r="B193" s="291"/>
      <c r="C193" s="292"/>
      <c r="D193" s="293"/>
      <c r="E193" s="273"/>
      <c r="F193" s="274"/>
      <c r="G193" s="274"/>
      <c r="H193" s="274"/>
      <c r="I193" s="298"/>
      <c r="J193" s="171" t="str">
        <f>IF(AND('Mapa final'!$AB$40="Muy Baja",'Mapa final'!$AD$40="Leve"),CONCATENATE("R12C",'Mapa final'!$R$40),"")</f>
        <v/>
      </c>
      <c r="K193" s="191" t="str">
        <f>IF(AND('Mapa final'!$AB$41="Muy Baja",'Mapa final'!$AD$41="Leve"),CONCATENATE("R12C",'Mapa final'!$R$41),"")</f>
        <v>R12C2</v>
      </c>
      <c r="L193" s="172" t="str">
        <f>IF(AND('Mapa final'!$AB$42="Muy Baja",'Mapa final'!$AD$42="Leve"),CONCATENATE("R12C",'Mapa final'!$R$42),"")</f>
        <v>R12C3</v>
      </c>
      <c r="M193" s="171" t="str">
        <f>IF(AND('Mapa final'!$AB$40="Muy Baja",'Mapa final'!$AD$40="Menor"),CONCATENATE("R12C",'Mapa final'!$R$40),"")</f>
        <v/>
      </c>
      <c r="N193" s="191" t="str">
        <f>IF(AND('Mapa final'!$AB$41="Muy Baja",'Mapa final'!$AD$41="Menor"),CONCATENATE("R12C",'Mapa final'!$R$41),"")</f>
        <v/>
      </c>
      <c r="O193" s="172" t="str">
        <f>IF(AND('Mapa final'!$AB$42="Muy Baja",'Mapa final'!$AD$42="Menor"),CONCATENATE("R12C",'Mapa final'!$R$42),"")</f>
        <v/>
      </c>
      <c r="P193" s="163" t="str">
        <f>IF(AND('Mapa final'!$AB$40="Muy Baja",'Mapa final'!$AD$40="Moderado"),CONCATENATE("R12C",'Mapa final'!$R$40),"")</f>
        <v/>
      </c>
      <c r="Q193" s="190" t="str">
        <f>IF(AND('Mapa final'!$AB$41="Muy Baja",'Mapa final'!$AD$41="Moderado"),CONCATENATE("R12C",'Mapa final'!$R$41),"")</f>
        <v/>
      </c>
      <c r="R193" s="164" t="str">
        <f>IF(AND('Mapa final'!$AB$42="Muy Baja",'Mapa final'!$AD$42="Moderado"),CONCATENATE("R12C",'Mapa final'!$R$42),"")</f>
        <v/>
      </c>
      <c r="S193" s="195" t="str">
        <f>IF(AND('Mapa final'!$AB$40="Muy Baja",'Mapa final'!$AD$40="Mayor"),CONCATENATE("R12C",'Mapa final'!$R$40),"")</f>
        <v/>
      </c>
      <c r="T193" s="196" t="str">
        <f>IF(AND('Mapa final'!$AB$41="Muy Baja",'Mapa final'!$AD$41="Mayor"),CONCATENATE("R12C",'Mapa final'!$R$41),"")</f>
        <v/>
      </c>
      <c r="U193" s="197" t="str">
        <f>IF(AND('Mapa final'!$AB$42="Muy Baja",'Mapa final'!$AD$42="Mayor"),CONCATENATE("R12C",'Mapa final'!$R$42),"")</f>
        <v/>
      </c>
      <c r="V193" s="158" t="str">
        <f>IF(AND('Mapa final'!$AB$40="Muy Baja",'Mapa final'!$AD$40="Catastrófico"),CONCATENATE("R12C",'Mapa final'!$R$40),"")</f>
        <v/>
      </c>
      <c r="W193" s="189" t="str">
        <f>IF(AND('Mapa final'!$AB$41="Muy Baja",'Mapa final'!$AD$41="Catastrófico"),CONCATENATE("R12C",'Mapa final'!$R$41),"")</f>
        <v/>
      </c>
      <c r="X193" s="159" t="str">
        <f>IF(AND('Mapa final'!$AB$42="Muy Baja",'Mapa final'!$AD$42="Catastrófico"),CONCATENATE("R12C",'Mapa final'!$R$42),"")</f>
        <v/>
      </c>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38"/>
      <c r="BG193" s="38"/>
      <c r="BH193" s="38"/>
      <c r="BI193" s="38"/>
      <c r="BJ193" s="38"/>
      <c r="BK193" s="38"/>
      <c r="BL193" s="38"/>
      <c r="BM193" s="38"/>
    </row>
    <row r="194" spans="1:65" ht="15.75" x14ac:dyDescent="0.25">
      <c r="A194" s="38"/>
      <c r="B194" s="291"/>
      <c r="C194" s="292"/>
      <c r="D194" s="293"/>
      <c r="E194" s="273"/>
      <c r="F194" s="274"/>
      <c r="G194" s="274"/>
      <c r="H194" s="274"/>
      <c r="I194" s="298"/>
      <c r="J194" s="171" t="str">
        <f>IF(AND('Mapa final'!$AB$43="Muy Baja",'Mapa final'!$AD$43="Leve"),CONCATENATE("R12C",'Mapa final'!$R$43),"")</f>
        <v>R12C4</v>
      </c>
      <c r="K194" s="191" t="str">
        <f>IF(AND('Mapa final'!$AB$44="Muy Baja",'Mapa final'!$AD$44="Leve"),CONCATENATE("R13C",'Mapa final'!$R$44),"")</f>
        <v/>
      </c>
      <c r="L194" s="172" t="str">
        <f>IF(AND('Mapa final'!$AB$45="Muy Baja",'Mapa final'!$AD$45="Leve"),CONCATENATE("R13C",'Mapa final'!$R$45),"")</f>
        <v/>
      </c>
      <c r="M194" s="171" t="str">
        <f>IF(AND('Mapa final'!$AB$43="Muy Baja",'Mapa final'!$AD$43="Menor"),CONCATENATE("R12C",'Mapa final'!$R$43),"")</f>
        <v/>
      </c>
      <c r="N194" s="191" t="str">
        <f>IF(AND('Mapa final'!$AB$44="Muy Baja",'Mapa final'!$AD$44="Menor"),CONCATENATE("R13C",'Mapa final'!$R$44),"")</f>
        <v/>
      </c>
      <c r="O194" s="172" t="str">
        <f>IF(AND('Mapa final'!$AB$45="Muy Baja",'Mapa final'!$AD$45="Menor"),CONCATENATE("R13C",'Mapa final'!$R$45),"")</f>
        <v/>
      </c>
      <c r="P194" s="163" t="str">
        <f>IF(AND('Mapa final'!$AB$43="Muy Baja",'Mapa final'!$AD$43="Moderado"),CONCATENATE("R12C",'Mapa final'!$R$43),"")</f>
        <v/>
      </c>
      <c r="Q194" s="190" t="str">
        <f>IF(AND('Mapa final'!$AB$44="Muy Baja",'Mapa final'!$AD$44="Moderado"),CONCATENATE("R13C",'Mapa final'!$R$44),"")</f>
        <v/>
      </c>
      <c r="R194" s="164" t="str">
        <f>IF(AND('Mapa final'!$AB$45="Muy Baja",'Mapa final'!$AD$45="Moderado"),CONCATENATE("R13C",'Mapa final'!$R$45),"")</f>
        <v/>
      </c>
      <c r="S194" s="195" t="str">
        <f>IF(AND('Mapa final'!$AB$43="Muy Baja",'Mapa final'!$AD$43="Mayor"),CONCATENATE("R12C",'Mapa final'!$R$43),"")</f>
        <v/>
      </c>
      <c r="T194" s="196" t="str">
        <f>IF(AND('Mapa final'!$AB$44="Muy Baja",'Mapa final'!$AD$44="Mayor"),CONCATENATE("R13C",'Mapa final'!$R$44),"")</f>
        <v/>
      </c>
      <c r="U194" s="197" t="str">
        <f>IF(AND('Mapa final'!$AB$45="Muy Baja",'Mapa final'!$AD$45="Mayor"),CONCATENATE("R13C",'Mapa final'!$R$45),"")</f>
        <v/>
      </c>
      <c r="V194" s="158" t="str">
        <f>IF(AND('Mapa final'!$AB$43="Muy Baja",'Mapa final'!$AD$43="Catastrófico"),CONCATENATE("R12C",'Mapa final'!$R$43),"")</f>
        <v/>
      </c>
      <c r="W194" s="189" t="str">
        <f>IF(AND('Mapa final'!$AB$44="Muy Baja",'Mapa final'!$AD$44="Catastrófico"),CONCATENATE("R13C",'Mapa final'!$R$44),"")</f>
        <v/>
      </c>
      <c r="X194" s="159" t="str">
        <f>IF(AND('Mapa final'!$AB$45="Muy Baja",'Mapa final'!$AD$45="Catastrófico"),CONCATENATE("R13C",'Mapa final'!$R$45),"")</f>
        <v/>
      </c>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8"/>
      <c r="BF194" s="38"/>
      <c r="BG194" s="38"/>
      <c r="BH194" s="38"/>
      <c r="BI194" s="38"/>
      <c r="BJ194" s="38"/>
      <c r="BK194" s="38"/>
      <c r="BL194" s="38"/>
      <c r="BM194" s="38"/>
    </row>
    <row r="195" spans="1:65" ht="15.75" x14ac:dyDescent="0.25">
      <c r="A195" s="38"/>
      <c r="B195" s="291"/>
      <c r="C195" s="292"/>
      <c r="D195" s="293"/>
      <c r="E195" s="273"/>
      <c r="F195" s="274"/>
      <c r="G195" s="274"/>
      <c r="H195" s="274"/>
      <c r="I195" s="298"/>
      <c r="J195" s="171" t="str">
        <f>IF(AND('Mapa final'!$AB$46="Muy Baja",'Mapa final'!$AD$46="Leve"),CONCATENATE("R13C",'Mapa final'!$R$46),"")</f>
        <v/>
      </c>
      <c r="K195" s="191" t="str">
        <f>IF(AND('Mapa final'!$AB$47="Muy Baja",'Mapa final'!$AD$47="Leve"),CONCATENATE("R14C",'Mapa final'!$R$47),"")</f>
        <v/>
      </c>
      <c r="L195" s="172" t="str">
        <f>IF(AND('Mapa final'!$AB$48="Muy Baja",'Mapa final'!$AD$48="Leve"),CONCATENATE("R14C",'Mapa final'!$R$48),"")</f>
        <v>R14C2</v>
      </c>
      <c r="M195" s="171" t="str">
        <f>IF(AND('Mapa final'!$AB$46="Muy Baja",'Mapa final'!$AD$46="Menor"),CONCATENATE("R13C",'Mapa final'!$R$46),"")</f>
        <v/>
      </c>
      <c r="N195" s="191" t="str">
        <f>IF(AND('Mapa final'!$AB$47="Muy Baja",'Mapa final'!$AD$47="Menor"),CONCATENATE("R14C",'Mapa final'!$R$47),"")</f>
        <v/>
      </c>
      <c r="O195" s="172" t="str">
        <f>IF(AND('Mapa final'!$AB$48="Muy Baja",'Mapa final'!$AD$48="Menor"),CONCATENATE("R14C",'Mapa final'!$R$48),"")</f>
        <v/>
      </c>
      <c r="P195" s="163" t="str">
        <f>IF(AND('Mapa final'!$AB$46="Muy Baja",'Mapa final'!$AD$46="Moderado"),CONCATENATE("R13C",'Mapa final'!$R$46),"")</f>
        <v/>
      </c>
      <c r="Q195" s="190" t="str">
        <f>IF(AND('Mapa final'!$AB$47="Muy Baja",'Mapa final'!$AD$47="Moderado"),CONCATENATE("R14C",'Mapa final'!$R$47),"")</f>
        <v/>
      </c>
      <c r="R195" s="164" t="str">
        <f>IF(AND('Mapa final'!$AB$48="Muy Baja",'Mapa final'!$AD$48="Moderado"),CONCATENATE("R14C",'Mapa final'!$R$48),"")</f>
        <v/>
      </c>
      <c r="S195" s="195" t="str">
        <f>IF(AND('Mapa final'!$AB$46="Muy Baja",'Mapa final'!$AD$46="Mayor"),CONCATENATE("R13C",'Mapa final'!$R$46),"")</f>
        <v/>
      </c>
      <c r="T195" s="196" t="str">
        <f>IF(AND('Mapa final'!$AB$47="Muy Baja",'Mapa final'!$AD$47="Mayor"),CONCATENATE("R14C",'Mapa final'!$R$47),"")</f>
        <v/>
      </c>
      <c r="U195" s="197" t="str">
        <f>IF(AND('Mapa final'!$AB$48="Muy Baja",'Mapa final'!$AD$48="Mayor"),CONCATENATE("R14C",'Mapa final'!$R$48),"")</f>
        <v/>
      </c>
      <c r="V195" s="158" t="str">
        <f>IF(AND('Mapa final'!$AB$46="Muy Baja",'Mapa final'!$AD$46="Catastrófico"),CONCATENATE("R13C",'Mapa final'!$R$46),"")</f>
        <v/>
      </c>
      <c r="W195" s="189" t="str">
        <f>IF(AND('Mapa final'!$AB$47="Muy Baja",'Mapa final'!$AD$47="Catastrófico"),CONCATENATE("R14C",'Mapa final'!$R$47),"")</f>
        <v/>
      </c>
      <c r="X195" s="159" t="str">
        <f>IF(AND('Mapa final'!$AB$48="Muy Baja",'Mapa final'!$AD$48="Catastrófico"),CONCATENATE("R14C",'Mapa final'!$R$48),"")</f>
        <v/>
      </c>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c r="BI195" s="38"/>
      <c r="BJ195" s="38"/>
      <c r="BK195" s="38"/>
      <c r="BL195" s="38"/>
      <c r="BM195" s="38"/>
    </row>
    <row r="196" spans="1:65" ht="15.75" x14ac:dyDescent="0.25">
      <c r="A196" s="38"/>
      <c r="B196" s="291"/>
      <c r="C196" s="292"/>
      <c r="D196" s="293"/>
      <c r="E196" s="273"/>
      <c r="F196" s="274"/>
      <c r="G196" s="274"/>
      <c r="H196" s="274"/>
      <c r="I196" s="298"/>
      <c r="J196" s="171" t="str">
        <f>IF(AND('Mapa final'!$AB$49="Muy Baja",'Mapa final'!$AD$49="Leve"),CONCATENATE("R14C",'Mapa final'!$R$49),"")</f>
        <v>R14C3</v>
      </c>
      <c r="K196" s="191" t="str">
        <f>IF(AND('Mapa final'!$AB$50="Muy Baja",'Mapa final'!$AD$50="Leve"),CONCATENATE("R14C",'Mapa final'!$R$50),"")</f>
        <v>R14C4</v>
      </c>
      <c r="L196" s="172" t="str">
        <f>IF(AND('Mapa final'!$AB$51="Muy Baja",'Mapa final'!$AD$51="Leve"),CONCATENATE("R14C",'Mapa final'!$R$51),"")</f>
        <v>R14C5</v>
      </c>
      <c r="M196" s="171" t="str">
        <f>IF(AND('Mapa final'!$AB$49="Muy Baja",'Mapa final'!$AD$49="Menor"),CONCATENATE("R14C",'Mapa final'!$R$49),"")</f>
        <v/>
      </c>
      <c r="N196" s="191" t="str">
        <f>IF(AND('Mapa final'!$AB$50="Muy Baja",'Mapa final'!$AD$50="Menor"),CONCATENATE("R14C",'Mapa final'!$R$50),"")</f>
        <v/>
      </c>
      <c r="O196" s="172" t="str">
        <f>IF(AND('Mapa final'!$AB$51="Muy Baja",'Mapa final'!$AD$51="Menor"),CONCATENATE("R14C",'Mapa final'!$R$51),"")</f>
        <v/>
      </c>
      <c r="P196" s="163" t="str">
        <f>IF(AND('Mapa final'!$AB$49="Muy Baja",'Mapa final'!$AD$49="Moderado"),CONCATENATE("R14C",'Mapa final'!$R$49),"")</f>
        <v/>
      </c>
      <c r="Q196" s="190" t="str">
        <f>IF(AND('Mapa final'!$AB$50="Muy Baja",'Mapa final'!$AD$50="Moderado"),CONCATENATE("R14C",'Mapa final'!$R$50),"")</f>
        <v/>
      </c>
      <c r="R196" s="164" t="str">
        <f>IF(AND('Mapa final'!$AB$51="Muy Baja",'Mapa final'!$AD$51="Moderado"),CONCATENATE("R14C",'Mapa final'!$R$51),"")</f>
        <v/>
      </c>
      <c r="S196" s="195" t="str">
        <f>IF(AND('Mapa final'!$AB$49="Muy Baja",'Mapa final'!$AD$49="Mayor"),CONCATENATE("R14C",'Mapa final'!$R$49),"")</f>
        <v/>
      </c>
      <c r="T196" s="196" t="str">
        <f>IF(AND('Mapa final'!$AB$50="Muy Baja",'Mapa final'!$AD$50="Mayor"),CONCATENATE("R14C",'Mapa final'!$R$50),"")</f>
        <v/>
      </c>
      <c r="U196" s="197" t="str">
        <f>IF(AND('Mapa final'!$AB$51="Muy Baja",'Mapa final'!$AD$51="Mayor"),CONCATENATE("R14C",'Mapa final'!$R$51),"")</f>
        <v/>
      </c>
      <c r="V196" s="158" t="str">
        <f>IF(AND('Mapa final'!$AB$49="Muy Baja",'Mapa final'!$AD$49="Catastrófico"),CONCATENATE("R14C",'Mapa final'!$R$49),"")</f>
        <v/>
      </c>
      <c r="W196" s="189" t="str">
        <f>IF(AND('Mapa final'!$AB$50="Muy Baja",'Mapa final'!$AD$50="Catastrófico"),CONCATENATE("R14C",'Mapa final'!$R$50),"")</f>
        <v/>
      </c>
      <c r="X196" s="159" t="str">
        <f>IF(AND('Mapa final'!$AB$51="Muy Baja",'Mapa final'!$AD$51="Catastrófico"),CONCATENATE("R14C",'Mapa final'!$R$51),"")</f>
        <v/>
      </c>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c r="BI196" s="38"/>
      <c r="BJ196" s="38"/>
      <c r="BK196" s="38"/>
      <c r="BL196" s="38"/>
      <c r="BM196" s="38"/>
    </row>
    <row r="197" spans="1:65" ht="15.75" x14ac:dyDescent="0.25">
      <c r="A197" s="38"/>
      <c r="B197" s="291"/>
      <c r="C197" s="292"/>
      <c r="D197" s="293"/>
      <c r="E197" s="273"/>
      <c r="F197" s="274"/>
      <c r="G197" s="274"/>
      <c r="H197" s="274"/>
      <c r="I197" s="298"/>
      <c r="J197" s="171" t="str">
        <f>IF(AND('Mapa final'!$AB$52="Muy Baja",'Mapa final'!$AD$52="Leve"),CONCATENATE("R15C",'Mapa final'!$R$52),"")</f>
        <v/>
      </c>
      <c r="K197" s="191" t="str">
        <f>IF(AND('Mapa final'!$AB$53="Muy Baja",'Mapa final'!$AD$53="Leve"),CONCATENATE("R15C",'Mapa final'!$R$53),"")</f>
        <v/>
      </c>
      <c r="L197" s="172" t="str">
        <f>IF(AND('Mapa final'!$AB$54="Muy Baja",'Mapa final'!$AD$54="Leve"),CONCATENATE("R15C",'Mapa final'!$R$54),"")</f>
        <v/>
      </c>
      <c r="M197" s="171" t="str">
        <f>IF(AND('Mapa final'!$AB$52="Muy Baja",'Mapa final'!$AD$52="Menor"),CONCATENATE("R15C",'Mapa final'!$R$52),"")</f>
        <v/>
      </c>
      <c r="N197" s="191" t="str">
        <f>IF(AND('Mapa final'!$AB$53="Muy Baja",'Mapa final'!$AD$53="Menor"),CONCATENATE("R15C",'Mapa final'!$R$53),"")</f>
        <v/>
      </c>
      <c r="O197" s="172" t="str">
        <f>IF(AND('Mapa final'!$AB$54="Muy Baja",'Mapa final'!$AD$54="Menor"),CONCATENATE("R15C",'Mapa final'!$R$54),"")</f>
        <v/>
      </c>
      <c r="P197" s="163" t="str">
        <f>IF(AND('Mapa final'!$AB$52="Muy Baja",'Mapa final'!$AD$52="Moderado"),CONCATENATE("R15C",'Mapa final'!$R$52),"")</f>
        <v>R15C1</v>
      </c>
      <c r="Q197" s="190" t="str">
        <f>IF(AND('Mapa final'!$AB$53="Muy Baja",'Mapa final'!$AD$53="Moderado"),CONCATENATE("R15C",'Mapa final'!$R$53),"")</f>
        <v/>
      </c>
      <c r="R197" s="164" t="str">
        <f>IF(AND('Mapa final'!$AB$54="Muy Baja",'Mapa final'!$AD$54="Moderado"),CONCATENATE("R15C",'Mapa final'!$R$54),"")</f>
        <v/>
      </c>
      <c r="S197" s="195" t="str">
        <f>IF(AND('Mapa final'!$AB$52="Muy Baja",'Mapa final'!$AD$52="Mayor"),CONCATENATE("R15C",'Mapa final'!$R$52),"")</f>
        <v/>
      </c>
      <c r="T197" s="196" t="str">
        <f>IF(AND('Mapa final'!$AB$53="Muy Baja",'Mapa final'!$AD$53="Mayor"),CONCATENATE("R15C",'Mapa final'!$R$53),"")</f>
        <v/>
      </c>
      <c r="U197" s="197" t="str">
        <f>IF(AND('Mapa final'!$AB$54="Muy Baja",'Mapa final'!$AD$54="Mayor"),CONCATENATE("R15C",'Mapa final'!$R$54),"")</f>
        <v/>
      </c>
      <c r="V197" s="158" t="str">
        <f>IF(AND('Mapa final'!$AB$52="Muy Baja",'Mapa final'!$AD$52="Catastrófico"),CONCATENATE("R15C",'Mapa final'!$R$52),"")</f>
        <v/>
      </c>
      <c r="W197" s="189" t="str">
        <f>IF(AND('Mapa final'!$AB$53="Muy Baja",'Mapa final'!$AD$53="Catastrófico"),CONCATENATE("R15C",'Mapa final'!$R$53),"")</f>
        <v/>
      </c>
      <c r="X197" s="159" t="str">
        <f>IF(AND('Mapa final'!$AB$54="Muy Baja",'Mapa final'!$AD$54="Catastrófico"),CONCATENATE("R15C",'Mapa final'!$R$54),"")</f>
        <v/>
      </c>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38"/>
      <c r="BM197" s="38"/>
    </row>
    <row r="198" spans="1:65" ht="15.75" x14ac:dyDescent="0.25">
      <c r="A198" s="38"/>
      <c r="B198" s="291"/>
      <c r="C198" s="292"/>
      <c r="D198" s="293"/>
      <c r="E198" s="273"/>
      <c r="F198" s="274"/>
      <c r="G198" s="274"/>
      <c r="H198" s="274"/>
      <c r="I198" s="298"/>
      <c r="J198" s="171" t="str">
        <f>IF(AND('Mapa final'!$AB$55="Muy Baja",'Mapa final'!$AD$55="Leve"),CONCATENATE("R16C",'Mapa final'!$R$55),"")</f>
        <v/>
      </c>
      <c r="K198" s="191" t="str">
        <f>IF(AND('Mapa final'!$AB$56="Muy Baja",'Mapa final'!$AD$56="Leve"),CONCATENATE("R16C",'Mapa final'!$R$56),"")</f>
        <v/>
      </c>
      <c r="L198" s="172" t="str">
        <f>IF(AND('Mapa final'!$AB$57="Muy Baja",'Mapa final'!$AD$57="Leve"),CONCATENATE("R16C",'Mapa final'!$R$57),"")</f>
        <v/>
      </c>
      <c r="M198" s="171" t="str">
        <f>IF(AND('Mapa final'!$AB$55="Muy Baja",'Mapa final'!$AD$55="Menor"),CONCATENATE("R16C",'Mapa final'!$R$55),"")</f>
        <v/>
      </c>
      <c r="N198" s="191" t="str">
        <f>IF(AND('Mapa final'!$AB$56="Muy Baja",'Mapa final'!$AD$56="Menor"),CONCATENATE("R16C",'Mapa final'!$R$56),"")</f>
        <v/>
      </c>
      <c r="O198" s="172" t="str">
        <f>IF(AND('Mapa final'!$AB$57="Muy Baja",'Mapa final'!$AD$57="Menor"),CONCATENATE("R16C",'Mapa final'!$R$57),"")</f>
        <v/>
      </c>
      <c r="P198" s="163" t="str">
        <f>IF(AND('Mapa final'!$AB$55="Muy Baja",'Mapa final'!$AD$55="Moderado"),CONCATENATE("R16C",'Mapa final'!$R$55),"")</f>
        <v/>
      </c>
      <c r="Q198" s="190" t="str">
        <f>IF(AND('Mapa final'!$AB$56="Muy Baja",'Mapa final'!$AD$56="Moderado"),CONCATENATE("R16C",'Mapa final'!$R$56),"")</f>
        <v/>
      </c>
      <c r="R198" s="164" t="str">
        <f>IF(AND('Mapa final'!$AB$57="Muy Baja",'Mapa final'!$AD$57="Moderado"),CONCATENATE("R16C",'Mapa final'!$R$57),"")</f>
        <v/>
      </c>
      <c r="S198" s="195" t="str">
        <f>IF(AND('Mapa final'!$AB$55="Muy Baja",'Mapa final'!$AD$55="Mayor"),CONCATENATE("R16C",'Mapa final'!$R$55),"")</f>
        <v/>
      </c>
      <c r="T198" s="196" t="str">
        <f>IF(AND('Mapa final'!$AB$56="Muy Baja",'Mapa final'!$AD$56="Mayor"),CONCATENATE("R16C",'Mapa final'!$R$56),"")</f>
        <v/>
      </c>
      <c r="U198" s="197" t="str">
        <f>IF(AND('Mapa final'!$AB$57="Muy Baja",'Mapa final'!$AD$57="Mayor"),CONCATENATE("R16C",'Mapa final'!$R$57),"")</f>
        <v/>
      </c>
      <c r="V198" s="158" t="str">
        <f>IF(AND('Mapa final'!$AB$55="Muy Baja",'Mapa final'!$AD$55="Catastrófico"),CONCATENATE("R16C",'Mapa final'!$R$55),"")</f>
        <v/>
      </c>
      <c r="W198" s="189" t="str">
        <f>IF(AND('Mapa final'!$AB$56="Muy Baja",'Mapa final'!$AD$56="Catastrófico"),CONCATENATE("R16C",'Mapa final'!$R$56),"")</f>
        <v/>
      </c>
      <c r="X198" s="159" t="str">
        <f>IF(AND('Mapa final'!$AB$57="Muy Baja",'Mapa final'!$AD$57="Catastrófico"),CONCATENATE("R16C",'Mapa final'!$R$57),"")</f>
        <v/>
      </c>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8"/>
      <c r="BF198" s="38"/>
      <c r="BG198" s="38"/>
      <c r="BH198" s="38"/>
      <c r="BI198" s="38"/>
      <c r="BJ198" s="38"/>
      <c r="BK198" s="38"/>
      <c r="BL198" s="38"/>
      <c r="BM198" s="38"/>
    </row>
    <row r="199" spans="1:65" ht="15.75" x14ac:dyDescent="0.25">
      <c r="A199" s="38"/>
      <c r="B199" s="291"/>
      <c r="C199" s="292"/>
      <c r="D199" s="293"/>
      <c r="E199" s="273"/>
      <c r="F199" s="274"/>
      <c r="G199" s="274"/>
      <c r="H199" s="274"/>
      <c r="I199" s="298"/>
      <c r="J199" s="171" t="str">
        <f>IF(AND('Mapa final'!$AB$58="Muy Baja",'Mapa final'!$AD$58="Leve"),CONCATENATE("R17C",'Mapa final'!$R$58),"")</f>
        <v/>
      </c>
      <c r="K199" s="191" t="str">
        <f>IF(AND('Mapa final'!$AB$59="Muy Baja",'Mapa final'!$AD$59="Leve"),CONCATENATE("R17C",'Mapa final'!$R$59),"")</f>
        <v/>
      </c>
      <c r="L199" s="172" t="str">
        <f>IF(AND('Mapa final'!$AB$60="Muy Baja",'Mapa final'!$AD$60="Leve"),CONCATENATE("R17C",'Mapa final'!$R$60),"")</f>
        <v/>
      </c>
      <c r="M199" s="171" t="str">
        <f>IF(AND('Mapa final'!$AB$58="Muy Baja",'Mapa final'!$AD$58="Menor"),CONCATENATE("R17C",'Mapa final'!$R$58),"")</f>
        <v/>
      </c>
      <c r="N199" s="191" t="str">
        <f>IF(AND('Mapa final'!$AB$59="Muy Baja",'Mapa final'!$AD$59="Menor"),CONCATENATE("R17C",'Mapa final'!$R$59),"")</f>
        <v/>
      </c>
      <c r="O199" s="172" t="str">
        <f>IF(AND('Mapa final'!$AB$60="Muy Baja",'Mapa final'!$AD$60="Menor"),CONCATENATE("R17C",'Mapa final'!$R$60),"")</f>
        <v/>
      </c>
      <c r="P199" s="163" t="str">
        <f>IF(AND('Mapa final'!$AB$58="Muy Baja",'Mapa final'!$AD$58="Moderado"),CONCATENATE("R17C",'Mapa final'!$R$58),"")</f>
        <v>R17C1</v>
      </c>
      <c r="Q199" s="190" t="str">
        <f>IF(AND('Mapa final'!$AB$59="Muy Baja",'Mapa final'!$AD$59="Moderado"),CONCATENATE("R17C",'Mapa final'!$R$59),"")</f>
        <v/>
      </c>
      <c r="R199" s="164" t="str">
        <f>IF(AND('Mapa final'!$AB$60="Muy Baja",'Mapa final'!$AD$60="Moderado"),CONCATENATE("R17C",'Mapa final'!$R$60),"")</f>
        <v/>
      </c>
      <c r="S199" s="195" t="str">
        <f>IF(AND('Mapa final'!$AB$58="Muy Baja",'Mapa final'!$AD$58="Mayor"),CONCATENATE("R17C",'Mapa final'!$R$58),"")</f>
        <v/>
      </c>
      <c r="T199" s="196" t="str">
        <f>IF(AND('Mapa final'!$AB$59="Muy Baja",'Mapa final'!$AD$59="Mayor"),CONCATENATE("R17C",'Mapa final'!$R$59),"")</f>
        <v/>
      </c>
      <c r="U199" s="197" t="str">
        <f>IF(AND('Mapa final'!$AB$60="Muy Baja",'Mapa final'!$AD$60="Mayor"),CONCATENATE("R17C",'Mapa final'!$R$60),"")</f>
        <v/>
      </c>
      <c r="V199" s="158" t="str">
        <f>IF(AND('Mapa final'!$AB$58="Muy Baja",'Mapa final'!$AD$58="Catastrófico"),CONCATENATE("R17C",'Mapa final'!$R$58),"")</f>
        <v/>
      </c>
      <c r="W199" s="189" t="str">
        <f>IF(AND('Mapa final'!$AB$59="Muy Baja",'Mapa final'!$AD$59="Catastrófico"),CONCATENATE("R17C",'Mapa final'!$R$59),"")</f>
        <v/>
      </c>
      <c r="X199" s="159" t="str">
        <f>IF(AND('Mapa final'!$AB$60="Muy Baja",'Mapa final'!$AD$60="Catastrófico"),CONCATENATE("R17C",'Mapa final'!$R$60),"")</f>
        <v/>
      </c>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38"/>
      <c r="BG199" s="38"/>
      <c r="BH199" s="38"/>
      <c r="BI199" s="38"/>
      <c r="BJ199" s="38"/>
      <c r="BK199" s="38"/>
      <c r="BL199" s="38"/>
      <c r="BM199" s="38"/>
    </row>
    <row r="200" spans="1:65" ht="15.75" x14ac:dyDescent="0.25">
      <c r="A200" s="38"/>
      <c r="B200" s="291"/>
      <c r="C200" s="292"/>
      <c r="D200" s="293"/>
      <c r="E200" s="273"/>
      <c r="F200" s="274"/>
      <c r="G200" s="274"/>
      <c r="H200" s="274"/>
      <c r="I200" s="298"/>
      <c r="J200" s="171" t="str">
        <f>IF(AND('Mapa final'!$AB$61="Muy Baja",'Mapa final'!$AD$61="Leve"),CONCATENATE("R18C",'Mapa final'!$R$61),"")</f>
        <v/>
      </c>
      <c r="K200" s="191" t="str">
        <f>IF(AND('Mapa final'!$AB$62="Muy Baja",'Mapa final'!$AD$62="Leve"),CONCATENATE("R18C",'Mapa final'!$R$62),"")</f>
        <v/>
      </c>
      <c r="L200" s="172" t="str">
        <f>IF(AND('Mapa final'!$AB$63="Muy Baja",'Mapa final'!$AD$63="Leve"),CONCATENATE("R18C",'Mapa final'!$R$63),"")</f>
        <v/>
      </c>
      <c r="M200" s="171" t="str">
        <f>IF(AND('Mapa final'!$AB$61="Muy Baja",'Mapa final'!$AD$61="Menor"),CONCATENATE("R18C",'Mapa final'!$R$61),"")</f>
        <v/>
      </c>
      <c r="N200" s="191" t="str">
        <f>IF(AND('Mapa final'!$AB$62="Muy Baja",'Mapa final'!$AD$62="Menor"),CONCATENATE("R18C",'Mapa final'!$R$62),"")</f>
        <v/>
      </c>
      <c r="O200" s="172" t="str">
        <f>IF(AND('Mapa final'!$AB$63="Muy Baja",'Mapa final'!$AD$63="Menor"),CONCATENATE("R18C",'Mapa final'!$R$63),"")</f>
        <v/>
      </c>
      <c r="P200" s="163" t="str">
        <f>IF(AND('Mapa final'!$AB$61="Muy Baja",'Mapa final'!$AD$61="Moderado"),CONCATENATE("R18C",'Mapa final'!$R$61),"")</f>
        <v/>
      </c>
      <c r="Q200" s="190" t="str">
        <f>IF(AND('Mapa final'!$AB$62="Muy Baja",'Mapa final'!$AD$62="Moderado"),CONCATENATE("R18C",'Mapa final'!$R$62),"")</f>
        <v/>
      </c>
      <c r="R200" s="164" t="str">
        <f>IF(AND('Mapa final'!$AB$63="Muy Baja",'Mapa final'!$AD$63="Moderado"),CONCATENATE("R18C",'Mapa final'!$R$63),"")</f>
        <v/>
      </c>
      <c r="S200" s="195" t="str">
        <f>IF(AND('Mapa final'!$AB$61="Muy Baja",'Mapa final'!$AD$61="Mayor"),CONCATENATE("R18C",'Mapa final'!$R$61),"")</f>
        <v/>
      </c>
      <c r="T200" s="196" t="str">
        <f>IF(AND('Mapa final'!$AB$62="Muy Baja",'Mapa final'!$AD$62="Mayor"),CONCATENATE("R18C",'Mapa final'!$R$62),"")</f>
        <v/>
      </c>
      <c r="U200" s="197" t="str">
        <f>IF(AND('Mapa final'!$AB$63="Muy Baja",'Mapa final'!$AD$63="Mayor"),CONCATENATE("R18C",'Mapa final'!$R$63),"")</f>
        <v/>
      </c>
      <c r="V200" s="158" t="str">
        <f>IF(AND('Mapa final'!$AB$61="Muy Baja",'Mapa final'!$AD$61="Catastrófico"),CONCATENATE("R18C",'Mapa final'!$R$61),"")</f>
        <v/>
      </c>
      <c r="W200" s="189" t="str">
        <f>IF(AND('Mapa final'!$AB$62="Muy Baja",'Mapa final'!$AD$62="Catastrófico"),CONCATENATE("R18C",'Mapa final'!$R$62),"")</f>
        <v/>
      </c>
      <c r="X200" s="159" t="str">
        <f>IF(AND('Mapa final'!$AB$63="Muy Baja",'Mapa final'!$AD$63="Catastrófico"),CONCATENATE("R18C",'Mapa final'!$R$63),"")</f>
        <v/>
      </c>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c r="BJ200" s="38"/>
      <c r="BK200" s="38"/>
      <c r="BL200" s="38"/>
      <c r="BM200" s="38"/>
    </row>
    <row r="201" spans="1:65" ht="15.75" x14ac:dyDescent="0.25">
      <c r="A201" s="38"/>
      <c r="B201" s="291"/>
      <c r="C201" s="292"/>
      <c r="D201" s="293"/>
      <c r="E201" s="273"/>
      <c r="F201" s="274"/>
      <c r="G201" s="274"/>
      <c r="H201" s="274"/>
      <c r="I201" s="298"/>
      <c r="J201" s="171" t="str">
        <f>IF(AND('Mapa final'!$AB$64="Muy Baja",'Mapa final'!$AD$64="Leve"),CONCATENATE("R19C",'Mapa final'!$R$64),"")</f>
        <v/>
      </c>
      <c r="K201" s="191" t="str">
        <f>IF(AND('Mapa final'!$AB$65="Muy Baja",'Mapa final'!$AD$65="Leve"),CONCATENATE("R19C",'Mapa final'!$R$65),"")</f>
        <v/>
      </c>
      <c r="L201" s="172" t="str">
        <f>IF(AND('Mapa final'!$AB$66="Muy Baja",'Mapa final'!$AD$66="Leve"),CONCATENATE("R19C",'Mapa final'!$R$66),"")</f>
        <v/>
      </c>
      <c r="M201" s="171" t="str">
        <f>IF(AND('Mapa final'!$AB$64="Muy Baja",'Mapa final'!$AD$64="Menor"),CONCATENATE("R19C",'Mapa final'!$R$64),"")</f>
        <v/>
      </c>
      <c r="N201" s="191" t="str">
        <f>IF(AND('Mapa final'!$AB$65="Muy Baja",'Mapa final'!$AD$65="Menor"),CONCATENATE("R19C",'Mapa final'!$R$65),"")</f>
        <v/>
      </c>
      <c r="O201" s="172" t="str">
        <f>IF(AND('Mapa final'!$AB$66="Muy Baja",'Mapa final'!$AD$66="Menor"),CONCATENATE("R19C",'Mapa final'!$R$66),"")</f>
        <v/>
      </c>
      <c r="P201" s="163" t="str">
        <f>IF(AND('Mapa final'!$AB$64="Muy Baja",'Mapa final'!$AD$64="Moderado"),CONCATENATE("R19C",'Mapa final'!$R$64),"")</f>
        <v/>
      </c>
      <c r="Q201" s="190" t="str">
        <f>IF(AND('Mapa final'!$AB$65="Muy Baja",'Mapa final'!$AD$65="Moderado"),CONCATENATE("R19C",'Mapa final'!$R$65),"")</f>
        <v/>
      </c>
      <c r="R201" s="164" t="str">
        <f>IF(AND('Mapa final'!$AB$66="Muy Baja",'Mapa final'!$AD$66="Moderado"),CONCATENATE("R19C",'Mapa final'!$R$66),"")</f>
        <v/>
      </c>
      <c r="S201" s="195" t="str">
        <f>IF(AND('Mapa final'!$AB$64="Muy Baja",'Mapa final'!$AD$64="Mayor"),CONCATENATE("R19C",'Mapa final'!$R$64),"")</f>
        <v/>
      </c>
      <c r="T201" s="196" t="str">
        <f>IF(AND('Mapa final'!$AB$65="Muy Baja",'Mapa final'!$AD$65="Mayor"),CONCATENATE("R19C",'Mapa final'!$R$65),"")</f>
        <v/>
      </c>
      <c r="U201" s="197" t="str">
        <f>IF(AND('Mapa final'!$AB$66="Muy Baja",'Mapa final'!$AD$66="Mayor"),CONCATENATE("R19C",'Mapa final'!$R$66),"")</f>
        <v/>
      </c>
      <c r="V201" s="158" t="str">
        <f>IF(AND('Mapa final'!$AB$64="Muy Baja",'Mapa final'!$AD$64="Catastrófico"),CONCATENATE("R19C",'Mapa final'!$R$64),"")</f>
        <v/>
      </c>
      <c r="W201" s="189" t="str">
        <f>IF(AND('Mapa final'!$AB$65="Muy Baja",'Mapa final'!$AD$65="Catastrófico"),CONCATENATE("R19C",'Mapa final'!$R$65),"")</f>
        <v/>
      </c>
      <c r="X201" s="159" t="str">
        <f>IF(AND('Mapa final'!$AB$66="Muy Baja",'Mapa final'!$AD$66="Catastrófico"),CONCATENATE("R19C",'Mapa final'!$R$66),"")</f>
        <v/>
      </c>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c r="BC201" s="38"/>
      <c r="BD201" s="38"/>
      <c r="BE201" s="38"/>
      <c r="BF201" s="38"/>
      <c r="BG201" s="38"/>
      <c r="BH201" s="38"/>
      <c r="BI201" s="38"/>
      <c r="BJ201" s="38"/>
      <c r="BK201" s="38"/>
      <c r="BL201" s="38"/>
      <c r="BM201" s="38"/>
    </row>
    <row r="202" spans="1:65" ht="15.75" x14ac:dyDescent="0.25">
      <c r="A202" s="38"/>
      <c r="B202" s="291"/>
      <c r="C202" s="292"/>
      <c r="D202" s="293"/>
      <c r="E202" s="273"/>
      <c r="F202" s="274"/>
      <c r="G202" s="274"/>
      <c r="H202" s="274"/>
      <c r="I202" s="298"/>
      <c r="J202" s="171" t="str">
        <f>IF(AND('Mapa final'!$AB$67="Muy Baja",'Mapa final'!$AD$67="Leve"),CONCATENATE("R20",'Mapa final'!$R$67),"")</f>
        <v/>
      </c>
      <c r="K202" s="191" t="str">
        <f>IF(AND('Mapa final'!$AB$68="Muy Baja",'Mapa final'!$AD$68="Leve"),CONCATENATE("R20C",'Mapa final'!$R$68),"")</f>
        <v/>
      </c>
      <c r="L202" s="172" t="str">
        <f>IF(AND('Mapa final'!$AB$69="Muy Baja",'Mapa final'!$AD$69="Leve"),CONCATENATE("R20C",'Mapa final'!$R$69),"")</f>
        <v/>
      </c>
      <c r="M202" s="171" t="str">
        <f>IF(AND('Mapa final'!$AB$67="Muy Baja",'Mapa final'!$AD$67="Menor"),CONCATENATE("R20",'Mapa final'!$R$67),"")</f>
        <v/>
      </c>
      <c r="N202" s="191" t="str">
        <f>IF(AND('Mapa final'!$AB$68="Muy Baja",'Mapa final'!$AD$68="Menor"),CONCATENATE("R20C",'Mapa final'!$R$68),"")</f>
        <v/>
      </c>
      <c r="O202" s="172" t="str">
        <f>IF(AND('Mapa final'!$AB$69="Muy Baja",'Mapa final'!$AD$69="Menor"),CONCATENATE("R20C",'Mapa final'!$R$69),"")</f>
        <v/>
      </c>
      <c r="P202" s="163" t="str">
        <f>IF(AND('Mapa final'!$AB$67="Muy Baja",'Mapa final'!$AD$67="Moderado"),CONCATENATE("R20",'Mapa final'!$R$67),"")</f>
        <v/>
      </c>
      <c r="Q202" s="190" t="str">
        <f>IF(AND('Mapa final'!$AB$68="Muy Baja",'Mapa final'!$AD$68="Moderado"),CONCATENATE("R20C",'Mapa final'!$R$68),"")</f>
        <v/>
      </c>
      <c r="R202" s="164" t="str">
        <f>IF(AND('Mapa final'!$AB$69="Muy Baja",'Mapa final'!$AD$69="Moderado"),CONCATENATE("R20C",'Mapa final'!$R$69),"")</f>
        <v/>
      </c>
      <c r="S202" s="195" t="str">
        <f>IF(AND('Mapa final'!$AB$67="Muy Baja",'Mapa final'!$AD$67="Mayor"),CONCATENATE("R20",'Mapa final'!$R$67),"")</f>
        <v/>
      </c>
      <c r="T202" s="196" t="str">
        <f>IF(AND('Mapa final'!$AB$68="Muy Baja",'Mapa final'!$AD$68="Mayor"),CONCATENATE("R20C",'Mapa final'!$R$68),"")</f>
        <v/>
      </c>
      <c r="U202" s="197" t="str">
        <f>IF(AND('Mapa final'!$AB$69="Muy Baja",'Mapa final'!$AD$69="Mayor"),CONCATENATE("R20C",'Mapa final'!$R$69),"")</f>
        <v/>
      </c>
      <c r="V202" s="158" t="str">
        <f>IF(AND('Mapa final'!$AB$67="Muy Baja",'Mapa final'!$AD$67="Catastrófico"),CONCATENATE("R20",'Mapa final'!$R$67),"")</f>
        <v/>
      </c>
      <c r="W202" s="189" t="str">
        <f>IF(AND('Mapa final'!$AB$68="Muy Baja",'Mapa final'!$AD$68="Catastrófico"),CONCATENATE("R20C",'Mapa final'!$R$68),"")</f>
        <v/>
      </c>
      <c r="X202" s="159" t="str">
        <f>IF(AND('Mapa final'!$AB$69="Muy Baja",'Mapa final'!$AD$69="Catastrófico"),CONCATENATE("R20C",'Mapa final'!$R$69),"")</f>
        <v/>
      </c>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c r="BC202" s="38"/>
      <c r="BD202" s="38"/>
      <c r="BE202" s="38"/>
      <c r="BF202" s="38"/>
      <c r="BG202" s="38"/>
      <c r="BH202" s="38"/>
      <c r="BI202" s="38"/>
      <c r="BJ202" s="38"/>
      <c r="BK202" s="38"/>
      <c r="BL202" s="38"/>
      <c r="BM202" s="38"/>
    </row>
    <row r="203" spans="1:65" ht="15.75" x14ac:dyDescent="0.25">
      <c r="A203" s="38"/>
      <c r="B203" s="291"/>
      <c r="C203" s="292"/>
      <c r="D203" s="293"/>
      <c r="E203" s="273"/>
      <c r="F203" s="274"/>
      <c r="G203" s="274"/>
      <c r="H203" s="274"/>
      <c r="I203" s="298"/>
      <c r="J203" s="171" t="str">
        <f>IF(AND('Mapa final'!$AB$70="Muy Baja",'Mapa final'!$AD$70="Leve"),CONCATENATE("R21C",'Mapa final'!$R$70),"")</f>
        <v/>
      </c>
      <c r="K203" s="191" t="str">
        <f>IF(AND('Mapa final'!$AB$71="Muy Baja",'Mapa final'!$AD$71="Leve"),CONCATENATE("R21C",'Mapa final'!$R$71),"")</f>
        <v/>
      </c>
      <c r="L203" s="172" t="str">
        <f>IF(AND('Mapa final'!$AB$72="Muy Baja",'Mapa final'!$AD$72="Leve"),CONCATENATE("R21C",'Mapa final'!$R$72),"")</f>
        <v>R21C3</v>
      </c>
      <c r="M203" s="171" t="str">
        <f>IF(AND('Mapa final'!$AB$70="Muy Baja",'Mapa final'!$AD$70="Menor"),CONCATENATE("R21C",'Mapa final'!$R$70),"")</f>
        <v/>
      </c>
      <c r="N203" s="191" t="str">
        <f>IF(AND('Mapa final'!$AB$71="Muy Baja",'Mapa final'!$AD$71="Menor"),CONCATENATE("R21C",'Mapa final'!$R$71),"")</f>
        <v/>
      </c>
      <c r="O203" s="172" t="str">
        <f>IF(AND('Mapa final'!$AB$72="Muy Baja",'Mapa final'!$AD$72="Menor"),CONCATENATE("R21C",'Mapa final'!$R$72),"")</f>
        <v/>
      </c>
      <c r="P203" s="163" t="str">
        <f>IF(AND('Mapa final'!$AB$70="Muy Baja",'Mapa final'!$AD$70="Moderado"),CONCATENATE("R21C",'Mapa final'!$R$70),"")</f>
        <v/>
      </c>
      <c r="Q203" s="190" t="str">
        <f>IF(AND('Mapa final'!$AB$71="Muy Baja",'Mapa final'!$AD$71="Moderado"),CONCATENATE("R21C",'Mapa final'!$R$71),"")</f>
        <v/>
      </c>
      <c r="R203" s="164" t="str">
        <f>IF(AND('Mapa final'!$AB$72="Muy Baja",'Mapa final'!$AD$72="Moderado"),CONCATENATE("R21C",'Mapa final'!$R$72),"")</f>
        <v/>
      </c>
      <c r="S203" s="195" t="str">
        <f>IF(AND('Mapa final'!$AB$70="Muy Baja",'Mapa final'!$AD$70="Mayor"),CONCATENATE("R21C",'Mapa final'!$R$70),"")</f>
        <v/>
      </c>
      <c r="T203" s="196" t="str">
        <f>IF(AND('Mapa final'!$AB$71="Muy Baja",'Mapa final'!$AD$71="Mayor"),CONCATENATE("R21C",'Mapa final'!$R$71),"")</f>
        <v/>
      </c>
      <c r="U203" s="197" t="str">
        <f>IF(AND('Mapa final'!$AB$72="Muy Baja",'Mapa final'!$AD$72="Mayor"),CONCATENATE("R21C",'Mapa final'!$R$72),"")</f>
        <v/>
      </c>
      <c r="V203" s="158" t="str">
        <f>IF(AND('Mapa final'!$AB$70="Muy Baja",'Mapa final'!$AD$70="Catastrófico"),CONCATENATE("R21C",'Mapa final'!$R$70),"")</f>
        <v/>
      </c>
      <c r="W203" s="189" t="str">
        <f>IF(AND('Mapa final'!$AB$71="Muy Baja",'Mapa final'!$AD$71="Catastrófico"),CONCATENATE("R21C",'Mapa final'!$R$71),"")</f>
        <v/>
      </c>
      <c r="X203" s="159" t="str">
        <f>IF(AND('Mapa final'!$AB$72="Muy Baja",'Mapa final'!$AD$72="Catastrófico"),CONCATENATE("R21C",'Mapa final'!$R$72),"")</f>
        <v/>
      </c>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38"/>
      <c r="BG203" s="38"/>
      <c r="BH203" s="38"/>
      <c r="BI203" s="38"/>
      <c r="BJ203" s="38"/>
      <c r="BK203" s="38"/>
      <c r="BL203" s="38"/>
      <c r="BM203" s="38"/>
    </row>
    <row r="204" spans="1:65" ht="15.75" x14ac:dyDescent="0.25">
      <c r="A204" s="38"/>
      <c r="B204" s="291"/>
      <c r="C204" s="292"/>
      <c r="D204" s="293"/>
      <c r="E204" s="273"/>
      <c r="F204" s="274"/>
      <c r="G204" s="274"/>
      <c r="H204" s="274"/>
      <c r="I204" s="298"/>
      <c r="J204" s="171" t="str">
        <f>IF(AND('Mapa final'!$AB$73="Muy Baja",'Mapa final'!$AD$73="Leve"),CONCATENATE("R22C",'Mapa final'!$R$73),"")</f>
        <v/>
      </c>
      <c r="K204" s="191" t="str">
        <f>IF(AND('Mapa final'!$AB$74="Muy Baja",'Mapa final'!$AD$74="Leve"),CONCATENATE("R22C",'Mapa final'!$R$74),"")</f>
        <v/>
      </c>
      <c r="L204" s="172" t="str">
        <f>IF(AND('Mapa final'!$AB$75="Muy Baja",'Mapa final'!$AD$75="Leve"),CONCATENATE("R2C",'Mapa final'!$R$75),"")</f>
        <v/>
      </c>
      <c r="M204" s="171" t="str">
        <f>IF(AND('Mapa final'!$AB$73="Muy Baja",'Mapa final'!$AD$73="Menor"),CONCATENATE("R22C",'Mapa final'!$R$73),"")</f>
        <v/>
      </c>
      <c r="N204" s="191" t="str">
        <f>IF(AND('Mapa final'!$AB$74="Muy Baja",'Mapa final'!$AD$74="Menor"),CONCATENATE("R22C",'Mapa final'!$R$74),"")</f>
        <v/>
      </c>
      <c r="O204" s="172" t="str">
        <f>IF(AND('Mapa final'!$AB$75="Muy Baja",'Mapa final'!$AD$75="Menor"),CONCATENATE("R2C",'Mapa final'!$R$75),"")</f>
        <v/>
      </c>
      <c r="P204" s="163" t="str">
        <f>IF(AND('Mapa final'!$AB$73="Muy Baja",'Mapa final'!$AD$73="Moderado"),CONCATENATE("R22C",'Mapa final'!$R$73),"")</f>
        <v/>
      </c>
      <c r="Q204" s="190" t="str">
        <f>IF(AND('Mapa final'!$AB$74="Muy Baja",'Mapa final'!$AD$74="Moderado"),CONCATENATE("R22C",'Mapa final'!$R$74),"")</f>
        <v/>
      </c>
      <c r="R204" s="164" t="str">
        <f>IF(AND('Mapa final'!$AB$75="Muy Baja",'Mapa final'!$AD$75="Moderado"),CONCATENATE("R2C",'Mapa final'!$R$75),"")</f>
        <v/>
      </c>
      <c r="S204" s="195" t="str">
        <f>IF(AND('Mapa final'!$AB$73="Muy Baja",'Mapa final'!$AD$73="Mayor"),CONCATENATE("R22C",'Mapa final'!$R$73),"")</f>
        <v/>
      </c>
      <c r="T204" s="196" t="str">
        <f>IF(AND('Mapa final'!$AB$74="Muy Baja",'Mapa final'!$AD$74="Mayor"),CONCATENATE("R22C",'Mapa final'!$R$74),"")</f>
        <v/>
      </c>
      <c r="U204" s="197" t="str">
        <f>IF(AND('Mapa final'!$AB$75="Muy Baja",'Mapa final'!$AD$75="Mayor"),CONCATENATE("R2C",'Mapa final'!$R$75),"")</f>
        <v/>
      </c>
      <c r="V204" s="158" t="str">
        <f>IF(AND('Mapa final'!$AB$73="Muy Baja",'Mapa final'!$AD$73="Catastrófico"),CONCATENATE("R22C",'Mapa final'!$R$73),"")</f>
        <v/>
      </c>
      <c r="W204" s="189" t="str">
        <f>IF(AND('Mapa final'!$AB$74="Muy Baja",'Mapa final'!$AD$74="Catastrófico"),CONCATENATE("R22C",'Mapa final'!$R$74),"")</f>
        <v/>
      </c>
      <c r="X204" s="159" t="str">
        <f>IF(AND('Mapa final'!$AB$75="Muy Baja",'Mapa final'!$AD$75="Catastrófico"),CONCATENATE("R2C",'Mapa final'!$R$75),"")</f>
        <v/>
      </c>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c r="BC204" s="38"/>
      <c r="BD204" s="38"/>
      <c r="BE204" s="38"/>
      <c r="BF204" s="38"/>
      <c r="BG204" s="38"/>
      <c r="BH204" s="38"/>
      <c r="BI204" s="38"/>
      <c r="BJ204" s="38"/>
      <c r="BK204" s="38"/>
      <c r="BL204" s="38"/>
      <c r="BM204" s="38"/>
    </row>
    <row r="205" spans="1:65" ht="15.75" x14ac:dyDescent="0.25">
      <c r="A205" s="38"/>
      <c r="B205" s="291"/>
      <c r="C205" s="292"/>
      <c r="D205" s="293"/>
      <c r="E205" s="273"/>
      <c r="F205" s="274"/>
      <c r="G205" s="274"/>
      <c r="H205" s="274"/>
      <c r="I205" s="298"/>
      <c r="J205" s="171" t="str">
        <f>IF(AND('Mapa final'!$AB$76="Muy Baja",'Mapa final'!$AD$76="Leve"),CONCATENATE("R23C",'Mapa final'!$R$76),"")</f>
        <v/>
      </c>
      <c r="K205" s="191" t="str">
        <f>IF(AND('Mapa final'!$AB$77="Muy Baja",'Mapa final'!$AD$77="Leve"),CONCATENATE("R23C",'Mapa final'!$R$77),"")</f>
        <v/>
      </c>
      <c r="L205" s="172" t="str">
        <f>IF(AND('Mapa final'!$AB$78="Muy Baja",'Mapa final'!$AD$78="Leve"),CONCATENATE("R23C",'Mapa final'!$R$78),"")</f>
        <v/>
      </c>
      <c r="M205" s="171" t="str">
        <f>IF(AND('Mapa final'!$AB$76="Muy Baja",'Mapa final'!$AD$76="Menor"),CONCATENATE("R23C",'Mapa final'!$R$76),"")</f>
        <v/>
      </c>
      <c r="N205" s="191" t="str">
        <f>IF(AND('Mapa final'!$AB$77="Muy Baja",'Mapa final'!$AD$77="Menor"),CONCATENATE("R23C",'Mapa final'!$R$77),"")</f>
        <v/>
      </c>
      <c r="O205" s="172" t="str">
        <f>IF(AND('Mapa final'!$AB$78="Muy Baja",'Mapa final'!$AD$78="Menor"),CONCATENATE("R23C",'Mapa final'!$R$78),"")</f>
        <v/>
      </c>
      <c r="P205" s="163" t="str">
        <f>IF(AND('Mapa final'!$AB$76="Muy Baja",'Mapa final'!$AD$76="Moderado"),CONCATENATE("R23C",'Mapa final'!$R$76),"")</f>
        <v/>
      </c>
      <c r="Q205" s="190" t="str">
        <f>IF(AND('Mapa final'!$AB$77="Muy Baja",'Mapa final'!$AD$77="Moderado"),CONCATENATE("R23C",'Mapa final'!$R$77),"")</f>
        <v/>
      </c>
      <c r="R205" s="164" t="str">
        <f>IF(AND('Mapa final'!$AB$78="Muy Baja",'Mapa final'!$AD$78="Moderado"),CONCATENATE("R23C",'Mapa final'!$R$78),"")</f>
        <v/>
      </c>
      <c r="S205" s="195" t="str">
        <f>IF(AND('Mapa final'!$AB$76="Muy Baja",'Mapa final'!$AD$76="Mayor"),CONCATENATE("R23C",'Mapa final'!$R$76),"")</f>
        <v/>
      </c>
      <c r="T205" s="196" t="str">
        <f>IF(AND('Mapa final'!$AB$77="Muy Baja",'Mapa final'!$AD$77="Mayor"),CONCATENATE("R23C",'Mapa final'!$R$77),"")</f>
        <v/>
      </c>
      <c r="U205" s="197" t="str">
        <f>IF(AND('Mapa final'!$AB$78="Muy Baja",'Mapa final'!$AD$78="Mayor"),CONCATENATE("R23C",'Mapa final'!$R$78),"")</f>
        <v/>
      </c>
      <c r="V205" s="158" t="str">
        <f>IF(AND('Mapa final'!$AB$76="Muy Baja",'Mapa final'!$AD$76="Catastrófico"),CONCATENATE("R23C",'Mapa final'!$R$76),"")</f>
        <v/>
      </c>
      <c r="W205" s="189" t="str">
        <f>IF(AND('Mapa final'!$AB$77="Muy Baja",'Mapa final'!$AD$77="Catastrófico"),CONCATENATE("R23C",'Mapa final'!$R$77),"")</f>
        <v/>
      </c>
      <c r="X205" s="159" t="str">
        <f>IF(AND('Mapa final'!$AB$78="Muy Baja",'Mapa final'!$AD$78="Catastrófico"),CONCATENATE("R23C",'Mapa final'!$R$78),"")</f>
        <v/>
      </c>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c r="BC205" s="38"/>
      <c r="BD205" s="38"/>
      <c r="BE205" s="38"/>
      <c r="BF205" s="38"/>
      <c r="BG205" s="38"/>
      <c r="BH205" s="38"/>
      <c r="BI205" s="38"/>
      <c r="BJ205" s="38"/>
      <c r="BK205" s="38"/>
      <c r="BL205" s="38"/>
      <c r="BM205" s="38"/>
    </row>
    <row r="206" spans="1:65" ht="15.75" x14ac:dyDescent="0.25">
      <c r="A206" s="38"/>
      <c r="B206" s="291"/>
      <c r="C206" s="292"/>
      <c r="D206" s="293"/>
      <c r="E206" s="273"/>
      <c r="F206" s="274"/>
      <c r="G206" s="274"/>
      <c r="H206" s="274"/>
      <c r="I206" s="298"/>
      <c r="J206" s="171" t="str">
        <f>IF(AND('Mapa final'!$AB$79="Muy Baja",'Mapa final'!$AD$79="Leve"),CONCATENATE("R24C",'Mapa final'!$R$79),"")</f>
        <v/>
      </c>
      <c r="K206" s="191" t="str">
        <f>IF(AND('Mapa final'!$AB$80="Muy Baja",'Mapa final'!$AD$80="Leve"),CONCATENATE("R24C",'Mapa final'!$R$80),"")</f>
        <v/>
      </c>
      <c r="L206" s="172" t="str">
        <f>IF(AND('Mapa final'!$AB$81="Muy Baja",'Mapa final'!$AD$81="Leve"),CONCATENATE("R24C",'Mapa final'!$R$81),"")</f>
        <v/>
      </c>
      <c r="M206" s="171" t="str">
        <f>IF(AND('Mapa final'!$AB$79="Muy Baja",'Mapa final'!$AD$79="Menor"),CONCATENATE("R24C",'Mapa final'!$R$79),"")</f>
        <v/>
      </c>
      <c r="N206" s="191" t="str">
        <f>IF(AND('Mapa final'!$AB$80="Muy Baja",'Mapa final'!$AD$80="Menor"),CONCATENATE("R24C",'Mapa final'!$R$80),"")</f>
        <v/>
      </c>
      <c r="O206" s="172" t="str">
        <f>IF(AND('Mapa final'!$AB$81="Muy Baja",'Mapa final'!$AD$81="Menor"),CONCATENATE("R24C",'Mapa final'!$R$81),"")</f>
        <v/>
      </c>
      <c r="P206" s="163" t="str">
        <f>IF(AND('Mapa final'!$AB$79="Muy Baja",'Mapa final'!$AD$79="Moderado"),CONCATENATE("R24C",'Mapa final'!$R$79),"")</f>
        <v/>
      </c>
      <c r="Q206" s="190" t="str">
        <f>IF(AND('Mapa final'!$AB$80="Muy Baja",'Mapa final'!$AD$80="Moderado"),CONCATENATE("R24C",'Mapa final'!$R$80),"")</f>
        <v/>
      </c>
      <c r="R206" s="164" t="str">
        <f>IF(AND('Mapa final'!$AB$81="Muy Baja",'Mapa final'!$AD$81="Moderado"),CONCATENATE("R24C",'Mapa final'!$R$81),"")</f>
        <v/>
      </c>
      <c r="S206" s="195" t="str">
        <f>IF(AND('Mapa final'!$AB$79="Muy Baja",'Mapa final'!$AD$79="Mayor"),CONCATENATE("R24C",'Mapa final'!$R$79),"")</f>
        <v/>
      </c>
      <c r="T206" s="196" t="str">
        <f>IF(AND('Mapa final'!$AB$80="Muy Baja",'Mapa final'!$AD$80="Mayor"),CONCATENATE("R24C",'Mapa final'!$R$80),"")</f>
        <v/>
      </c>
      <c r="U206" s="197" t="str">
        <f>IF(AND('Mapa final'!$AB$81="Muy Baja",'Mapa final'!$AD$81="Mayor"),CONCATENATE("R24C",'Mapa final'!$R$81),"")</f>
        <v/>
      </c>
      <c r="V206" s="158" t="str">
        <f>IF(AND('Mapa final'!$AB$79="Muy Baja",'Mapa final'!$AD$79="Catastrófico"),CONCATENATE("R24C",'Mapa final'!$R$79),"")</f>
        <v/>
      </c>
      <c r="W206" s="189" t="str">
        <f>IF(AND('Mapa final'!$AB$80="Muy Baja",'Mapa final'!$AD$80="Catastrófico"),CONCATENATE("R24C",'Mapa final'!$R$80),"")</f>
        <v/>
      </c>
      <c r="X206" s="159" t="str">
        <f>IF(AND('Mapa final'!$AB$81="Muy Baja",'Mapa final'!$AD$81="Catastrófico"),CONCATENATE("R24C",'Mapa final'!$R$81),"")</f>
        <v/>
      </c>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c r="BC206" s="38"/>
      <c r="BD206" s="38"/>
      <c r="BE206" s="38"/>
      <c r="BF206" s="38"/>
      <c r="BG206" s="38"/>
      <c r="BH206" s="38"/>
      <c r="BI206" s="38"/>
      <c r="BJ206" s="38"/>
      <c r="BK206" s="38"/>
      <c r="BL206" s="38"/>
      <c r="BM206" s="38"/>
    </row>
    <row r="207" spans="1:65" ht="15.75" x14ac:dyDescent="0.25">
      <c r="A207" s="38"/>
      <c r="B207" s="291"/>
      <c r="C207" s="292"/>
      <c r="D207" s="293"/>
      <c r="E207" s="273"/>
      <c r="F207" s="274"/>
      <c r="G207" s="274"/>
      <c r="H207" s="274"/>
      <c r="I207" s="298"/>
      <c r="J207" s="171" t="str">
        <f>IF(AND('Mapa final'!$AB$82="Muy Baja",'Mapa final'!$AD$82="Leve"),CONCATENATE("R25C",'Mapa final'!$R$82),"")</f>
        <v/>
      </c>
      <c r="K207" s="191" t="str">
        <f>IF(AND('Mapa final'!$AB$83="Muy Baja",'Mapa final'!$AD$83="Leve"),CONCATENATE("R25C",'Mapa final'!$R$83),"")</f>
        <v/>
      </c>
      <c r="L207" s="172" t="str">
        <f>IF(AND('Mapa final'!$AB$84="Muy Baja",'Mapa final'!$AD$84="Leve"),CONCATENATE("R25C",'Mapa final'!$R$84),"")</f>
        <v/>
      </c>
      <c r="M207" s="171" t="str">
        <f>IF(AND('Mapa final'!$AB$82="Muy Baja",'Mapa final'!$AD$82="Menor"),CONCATENATE("R25C",'Mapa final'!$R$82),"")</f>
        <v/>
      </c>
      <c r="N207" s="191" t="str">
        <f>IF(AND('Mapa final'!$AB$83="Muy Baja",'Mapa final'!$AD$83="Menor"),CONCATENATE("R25C",'Mapa final'!$R$83),"")</f>
        <v/>
      </c>
      <c r="O207" s="172" t="str">
        <f>IF(AND('Mapa final'!$AB$84="Muy Baja",'Mapa final'!$AD$84="Menor"),CONCATENATE("R25C",'Mapa final'!$R$84),"")</f>
        <v/>
      </c>
      <c r="P207" s="163" t="str">
        <f>IF(AND('Mapa final'!$AB$82="Muy Baja",'Mapa final'!$AD$82="Moderado"),CONCATENATE("R25C",'Mapa final'!$R$82),"")</f>
        <v/>
      </c>
      <c r="Q207" s="190" t="str">
        <f>IF(AND('Mapa final'!$AB$83="Muy Baja",'Mapa final'!$AD$83="Moderado"),CONCATENATE("R25C",'Mapa final'!$R$83),"")</f>
        <v/>
      </c>
      <c r="R207" s="164" t="str">
        <f>IF(AND('Mapa final'!$AB$84="Muy Baja",'Mapa final'!$AD$84="Moderado"),CONCATENATE("R25C",'Mapa final'!$R$84),"")</f>
        <v/>
      </c>
      <c r="S207" s="195" t="str">
        <f>IF(AND('Mapa final'!$AB$82="Muy Baja",'Mapa final'!$AD$82="Mayor"),CONCATENATE("R25C",'Mapa final'!$R$82),"")</f>
        <v/>
      </c>
      <c r="T207" s="196" t="str">
        <f>IF(AND('Mapa final'!$AB$83="Muy Baja",'Mapa final'!$AD$83="Mayor"),CONCATENATE("R25C",'Mapa final'!$R$83),"")</f>
        <v/>
      </c>
      <c r="U207" s="197" t="str">
        <f>IF(AND('Mapa final'!$AB$84="Muy Baja",'Mapa final'!$AD$84="Mayor"),CONCATENATE("R25C",'Mapa final'!$R$84),"")</f>
        <v/>
      </c>
      <c r="V207" s="158" t="str">
        <f>IF(AND('Mapa final'!$AB$82="Muy Baja",'Mapa final'!$AD$82="Catastrófico"),CONCATENATE("R25C",'Mapa final'!$R$82),"")</f>
        <v/>
      </c>
      <c r="W207" s="189" t="str">
        <f>IF(AND('Mapa final'!$AB$83="Muy Baja",'Mapa final'!$AD$83="Catastrófico"),CONCATENATE("R25C",'Mapa final'!$R$83),"")</f>
        <v/>
      </c>
      <c r="X207" s="159" t="str">
        <f>IF(AND('Mapa final'!$AB$84="Muy Baja",'Mapa final'!$AD$84="Catastrófico"),CONCATENATE("R25C",'Mapa final'!$R$84),"")</f>
        <v/>
      </c>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c r="BC207" s="38"/>
      <c r="BD207" s="38"/>
      <c r="BE207" s="38"/>
      <c r="BF207" s="38"/>
      <c r="BG207" s="38"/>
      <c r="BH207" s="38"/>
      <c r="BI207" s="38"/>
      <c r="BJ207" s="38"/>
      <c r="BK207" s="38"/>
      <c r="BL207" s="38"/>
      <c r="BM207" s="38"/>
    </row>
    <row r="208" spans="1:65" ht="15.75" x14ac:dyDescent="0.25">
      <c r="A208" s="38"/>
      <c r="B208" s="291"/>
      <c r="C208" s="292"/>
      <c r="D208" s="293"/>
      <c r="E208" s="273"/>
      <c r="F208" s="274"/>
      <c r="G208" s="274"/>
      <c r="H208" s="274"/>
      <c r="I208" s="298"/>
      <c r="J208" s="171" t="str">
        <f>IF(AND('Mapa final'!$AB$85="Muy Baja",'Mapa final'!$AD$85="Leve"),CONCATENATE("R26C",'Mapa final'!$R$85),"")</f>
        <v>R26C1</v>
      </c>
      <c r="K208" s="191" t="str">
        <f>IF(AND('Mapa final'!$AB$86="Muy Baja",'Mapa final'!$AD$86="Leve"),CONCATENATE("R26C",'Mapa final'!$R$86),"")</f>
        <v/>
      </c>
      <c r="L208" s="172" t="str">
        <f>IF(AND('Mapa final'!$AB$87="Muy Baja",'Mapa final'!$AD$87="Leve"),CONCATENATE("R26C",'Mapa final'!$R$87),"")</f>
        <v/>
      </c>
      <c r="M208" s="171" t="str">
        <f>IF(AND('Mapa final'!$AB$85="Muy Baja",'Mapa final'!$AD$85="Menor"),CONCATENATE("R26C",'Mapa final'!$R$85),"")</f>
        <v/>
      </c>
      <c r="N208" s="191" t="str">
        <f>IF(AND('Mapa final'!$AB$86="Muy Baja",'Mapa final'!$AD$86="Menor"),CONCATENATE("R26C",'Mapa final'!$R$86),"")</f>
        <v/>
      </c>
      <c r="O208" s="172" t="str">
        <f>IF(AND('Mapa final'!$AB$87="Muy Baja",'Mapa final'!$AD$87="Menor"),CONCATENATE("R26C",'Mapa final'!$R$87),"")</f>
        <v/>
      </c>
      <c r="P208" s="163" t="str">
        <f>IF(AND('Mapa final'!$AB$85="Muy Baja",'Mapa final'!$AD$85="Moderado"),CONCATENATE("R26C",'Mapa final'!$R$85),"")</f>
        <v/>
      </c>
      <c r="Q208" s="190" t="str">
        <f>IF(AND('Mapa final'!$AB$86="Muy Baja",'Mapa final'!$AD$86="Moderado"),CONCATENATE("R26C",'Mapa final'!$R$86),"")</f>
        <v/>
      </c>
      <c r="R208" s="164" t="str">
        <f>IF(AND('Mapa final'!$AB$87="Muy Baja",'Mapa final'!$AD$87="Moderado"),CONCATENATE("R26C",'Mapa final'!$R$87),"")</f>
        <v/>
      </c>
      <c r="S208" s="195" t="str">
        <f>IF(AND('Mapa final'!$AB$85="Muy Baja",'Mapa final'!$AD$85="Mayor"),CONCATENATE("R26C",'Mapa final'!$R$85),"")</f>
        <v/>
      </c>
      <c r="T208" s="196" t="str">
        <f>IF(AND('Mapa final'!$AB$86="Muy Baja",'Mapa final'!$AD$86="Mayor"),CONCATENATE("R26C",'Mapa final'!$R$86),"")</f>
        <v/>
      </c>
      <c r="U208" s="197" t="str">
        <f>IF(AND('Mapa final'!$AB$87="Muy Baja",'Mapa final'!$AD$87="Mayor"),CONCATENATE("R26C",'Mapa final'!$R$87),"")</f>
        <v/>
      </c>
      <c r="V208" s="158" t="str">
        <f>IF(AND('Mapa final'!$AB$85="Muy Baja",'Mapa final'!$AD$85="Catastrófico"),CONCATENATE("R26C",'Mapa final'!$R$85),"")</f>
        <v/>
      </c>
      <c r="W208" s="189" t="str">
        <f>IF(AND('Mapa final'!$AB$86="Muy Baja",'Mapa final'!$AD$86="Catastrófico"),CONCATENATE("R26C",'Mapa final'!$R$86),"")</f>
        <v/>
      </c>
      <c r="X208" s="159" t="str">
        <f>IF(AND('Mapa final'!$AB$87="Muy Baja",'Mapa final'!$AD$87="Catastrófico"),CONCATENATE("R26C",'Mapa final'!$R$87),"")</f>
        <v/>
      </c>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c r="BC208" s="38"/>
      <c r="BD208" s="38"/>
      <c r="BE208" s="38"/>
      <c r="BF208" s="38"/>
      <c r="BG208" s="38"/>
      <c r="BH208" s="38"/>
      <c r="BI208" s="38"/>
      <c r="BJ208" s="38"/>
      <c r="BK208" s="38"/>
      <c r="BL208" s="38"/>
      <c r="BM208" s="38"/>
    </row>
    <row r="209" spans="1:65" ht="15.75" x14ac:dyDescent="0.25">
      <c r="A209" s="38"/>
      <c r="B209" s="291"/>
      <c r="C209" s="292"/>
      <c r="D209" s="293"/>
      <c r="E209" s="273"/>
      <c r="F209" s="274"/>
      <c r="G209" s="274"/>
      <c r="H209" s="274"/>
      <c r="I209" s="298"/>
      <c r="J209" s="171" t="str">
        <f>IF(AND('Mapa final'!$AB$88="Muy Baja",'Mapa final'!$AD$88="Leve"),CONCATENATE("R27C",'Mapa final'!$R$88),"")</f>
        <v/>
      </c>
      <c r="K209" s="191" t="str">
        <f>IF(AND('Mapa final'!$AB$89="Muy Baja",'Mapa final'!$AD$89="Leve"),CONCATENATE("R27C",'Mapa final'!$R$89),"")</f>
        <v/>
      </c>
      <c r="L209" s="172" t="str">
        <f>IF(AND('Mapa final'!$AB$90="Muy Baja",'Mapa final'!$AD$90="Leve"),CONCATENATE("R27C",'Mapa final'!$R$90),"")</f>
        <v/>
      </c>
      <c r="M209" s="171" t="str">
        <f>IF(AND('Mapa final'!$AB$88="Muy Baja",'Mapa final'!$AD$88="Menor"),CONCATENATE("R27C",'Mapa final'!$R$88),"")</f>
        <v/>
      </c>
      <c r="N209" s="191" t="str">
        <f>IF(AND('Mapa final'!$AB$89="Muy Baja",'Mapa final'!$AD$89="Menor"),CONCATENATE("R27C",'Mapa final'!$R$89),"")</f>
        <v/>
      </c>
      <c r="O209" s="172" t="str">
        <f>IF(AND('Mapa final'!$AB$90="Muy Baja",'Mapa final'!$AD$90="Menor"),CONCATENATE("R27C",'Mapa final'!$R$90),"")</f>
        <v/>
      </c>
      <c r="P209" s="163" t="str">
        <f>IF(AND('Mapa final'!$AB$88="Muy Baja",'Mapa final'!$AD$88="Moderado"),CONCATENATE("R27C",'Mapa final'!$R$88),"")</f>
        <v/>
      </c>
      <c r="Q209" s="190" t="str">
        <f>IF(AND('Mapa final'!$AB$89="Muy Baja",'Mapa final'!$AD$89="Moderado"),CONCATENATE("R27C",'Mapa final'!$R$89),"")</f>
        <v/>
      </c>
      <c r="R209" s="164" t="str">
        <f>IF(AND('Mapa final'!$AB$90="Muy Baja",'Mapa final'!$AD$90="Moderado"),CONCATENATE("R27C",'Mapa final'!$R$90),"")</f>
        <v/>
      </c>
      <c r="S209" s="195" t="str">
        <f>IF(AND('Mapa final'!$AB$88="Muy Baja",'Mapa final'!$AD$88="Mayor"),CONCATENATE("R27C",'Mapa final'!$R$88),"")</f>
        <v/>
      </c>
      <c r="T209" s="196" t="str">
        <f>IF(AND('Mapa final'!$AB$89="Muy Baja",'Mapa final'!$AD$89="Mayor"),CONCATENATE("R27C",'Mapa final'!$R$89),"")</f>
        <v/>
      </c>
      <c r="U209" s="197" t="str">
        <f>IF(AND('Mapa final'!$AB$90="Muy Baja",'Mapa final'!$AD$90="Mayor"),CONCATENATE("R27C",'Mapa final'!$R$90),"")</f>
        <v/>
      </c>
      <c r="V209" s="158" t="str">
        <f>IF(AND('Mapa final'!$AB$88="Muy Baja",'Mapa final'!$AD$88="Catastrófico"),CONCATENATE("R27C",'Mapa final'!$R$88),"")</f>
        <v/>
      </c>
      <c r="W209" s="189" t="str">
        <f>IF(AND('Mapa final'!$AB$89="Muy Baja",'Mapa final'!$AD$89="Catastrófico"),CONCATENATE("R27C",'Mapa final'!$R$89),"")</f>
        <v/>
      </c>
      <c r="X209" s="159" t="str">
        <f>IF(AND('Mapa final'!$AB$90="Muy Baja",'Mapa final'!$AD$90="Catastrófico"),CONCATENATE("R27C",'Mapa final'!$R$90),"")</f>
        <v/>
      </c>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c r="BC209" s="38"/>
      <c r="BD209" s="38"/>
      <c r="BE209" s="38"/>
      <c r="BF209" s="38"/>
      <c r="BG209" s="38"/>
      <c r="BH209" s="38"/>
      <c r="BI209" s="38"/>
      <c r="BJ209" s="38"/>
      <c r="BK209" s="38"/>
      <c r="BL209" s="38"/>
      <c r="BM209" s="38"/>
    </row>
    <row r="210" spans="1:65" ht="15" customHeight="1" x14ac:dyDescent="0.25">
      <c r="A210" s="38"/>
      <c r="B210" s="291"/>
      <c r="C210" s="292"/>
      <c r="D210" s="293"/>
      <c r="E210" s="273"/>
      <c r="F210" s="274"/>
      <c r="G210" s="274"/>
      <c r="H210" s="274"/>
      <c r="I210" s="298"/>
      <c r="J210" s="171" t="str">
        <f>IF(AND('Mapa final'!$AB$91="Muy Baja",'Mapa final'!$AD$91="Leve"),CONCATENATE("R28C",'Mapa final'!$R$91),"")</f>
        <v/>
      </c>
      <c r="K210" s="191" t="str">
        <f>IF(AND('Mapa final'!$AB$92="Muy Baja",'Mapa final'!$AD$92="Leve"),CONCATENATE("R28C",'Mapa final'!$R$92),"")</f>
        <v/>
      </c>
      <c r="L210" s="172" t="str">
        <f>IF(AND('Mapa final'!$AB$93="Muy Baja",'Mapa final'!$AD$93="Leve"),CONCATENATE("R28C",'Mapa final'!$R$93),"")</f>
        <v/>
      </c>
      <c r="M210" s="171" t="str">
        <f>IF(AND('Mapa final'!$AB$91="Muy Baja",'Mapa final'!$AD$91="Menor"),CONCATENATE("R28C",'Mapa final'!$R$91),"")</f>
        <v/>
      </c>
      <c r="N210" s="191" t="str">
        <f>IF(AND('Mapa final'!$AB$92="Muy Baja",'Mapa final'!$AD$92="Menor"),CONCATENATE("R28C",'Mapa final'!$R$92),"")</f>
        <v/>
      </c>
      <c r="O210" s="172" t="str">
        <f>IF(AND('Mapa final'!$AB$93="Muy Baja",'Mapa final'!$AD$93="Menor"),CONCATENATE("R28C",'Mapa final'!$R$93),"")</f>
        <v/>
      </c>
      <c r="P210" s="163" t="str">
        <f>IF(AND('Mapa final'!$AB$91="Muy Baja",'Mapa final'!$AD$91="Moderado"),CONCATENATE("R28C",'Mapa final'!$R$91),"")</f>
        <v/>
      </c>
      <c r="Q210" s="190" t="str">
        <f>IF(AND('Mapa final'!$AB$92="Muy Baja",'Mapa final'!$AD$92="Moderado"),CONCATENATE("R28C",'Mapa final'!$R$92),"")</f>
        <v/>
      </c>
      <c r="R210" s="164" t="str">
        <f>IF(AND('Mapa final'!$AB$93="Muy Baja",'Mapa final'!$AD$93="Moderado"),CONCATENATE("R28C",'Mapa final'!$R$93),"")</f>
        <v/>
      </c>
      <c r="S210" s="195" t="str">
        <f>IF(AND('Mapa final'!$AB$91="Muy Baja",'Mapa final'!$AD$91="Mayor"),CONCATENATE("R28C",'Mapa final'!$R$91),"")</f>
        <v/>
      </c>
      <c r="T210" s="196" t="str">
        <f>IF(AND('Mapa final'!$AB$92="Muy Baja",'Mapa final'!$AD$92="Mayor"),CONCATENATE("R28C",'Mapa final'!$R$92),"")</f>
        <v/>
      </c>
      <c r="U210" s="197" t="str">
        <f>IF(AND('Mapa final'!$AB$93="Muy Baja",'Mapa final'!$AD$93="Mayor"),CONCATENATE("R28C",'Mapa final'!$R$93),"")</f>
        <v/>
      </c>
      <c r="V210" s="158" t="str">
        <f>IF(AND('Mapa final'!$AB$91="Muy Baja",'Mapa final'!$AD$91="Catastrófico"),CONCATENATE("R28C",'Mapa final'!$R$91),"")</f>
        <v/>
      </c>
      <c r="W210" s="189" t="str">
        <f>IF(AND('Mapa final'!$AB$92="Muy Baja",'Mapa final'!$AD$92="Catastrófico"),CONCATENATE("R28C",'Mapa final'!$R$92),"")</f>
        <v/>
      </c>
      <c r="X210" s="159" t="str">
        <f>IF(AND('Mapa final'!$AB$93="Muy Baja",'Mapa final'!$AD$93="Catastrófico"),CONCATENATE("R28C",'Mapa final'!$R$93),"")</f>
        <v/>
      </c>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c r="BC210" s="38"/>
      <c r="BD210" s="38"/>
      <c r="BE210" s="38"/>
      <c r="BF210" s="38"/>
      <c r="BG210" s="38"/>
      <c r="BH210" s="38"/>
      <c r="BI210" s="38"/>
      <c r="BJ210" s="38"/>
      <c r="BK210" s="38"/>
      <c r="BL210" s="38"/>
      <c r="BM210" s="38"/>
    </row>
    <row r="211" spans="1:65" ht="15" customHeight="1" x14ac:dyDescent="0.25">
      <c r="A211" s="38"/>
      <c r="B211" s="291"/>
      <c r="C211" s="292"/>
      <c r="D211" s="293"/>
      <c r="E211" s="275"/>
      <c r="F211" s="274"/>
      <c r="G211" s="274"/>
      <c r="H211" s="274"/>
      <c r="I211" s="298"/>
      <c r="J211" s="171" t="str">
        <f>IF(AND('Mapa final'!$AB$94="Muy Baja",'Mapa final'!$AD$94="Leve"),CONCATENATE("R29C",'Mapa final'!$R$94),"")</f>
        <v>R29C1</v>
      </c>
      <c r="K211" s="191" t="str">
        <f>IF(AND('Mapa final'!$AB$95="Muy Baja",'Mapa final'!$AD$95="Leve"),CONCATENATE("R29C",'Mapa final'!$R$95),"")</f>
        <v/>
      </c>
      <c r="L211" s="172" t="str">
        <f>IF(AND('Mapa final'!$AB$96="Muy Baja",'Mapa final'!$AD$96="Leve"),CONCATENATE("R29C",'Mapa final'!$R$96),"")</f>
        <v/>
      </c>
      <c r="M211" s="171" t="str">
        <f>IF(AND('Mapa final'!$AB$94="Muy Baja",'Mapa final'!$AD$94="Menor"),CONCATENATE("R29C",'Mapa final'!$R$94),"")</f>
        <v/>
      </c>
      <c r="N211" s="191" t="str">
        <f>IF(AND('Mapa final'!$AB$95="Muy Baja",'Mapa final'!$AD$95="Menor"),CONCATENATE("R29C",'Mapa final'!$R$95),"")</f>
        <v/>
      </c>
      <c r="O211" s="172" t="str">
        <f>IF(AND('Mapa final'!$AB$96="Muy Baja",'Mapa final'!$AD$96="Menor"),CONCATENATE("R29C",'Mapa final'!$R$96),"")</f>
        <v/>
      </c>
      <c r="P211" s="163" t="str">
        <f>IF(AND('Mapa final'!$AB$94="Muy Baja",'Mapa final'!$AD$94="Moderado"),CONCATENATE("R29C",'Mapa final'!$R$94),"")</f>
        <v/>
      </c>
      <c r="Q211" s="190" t="str">
        <f>IF(AND('Mapa final'!$AB$95="Muy Baja",'Mapa final'!$AD$95="Moderado"),CONCATENATE("R29C",'Mapa final'!$R$95),"")</f>
        <v/>
      </c>
      <c r="R211" s="164" t="str">
        <f>IF(AND('Mapa final'!$AB$96="Muy Baja",'Mapa final'!$AD$96="Moderado"),CONCATENATE("R29C",'Mapa final'!$R$96),"")</f>
        <v/>
      </c>
      <c r="S211" s="195" t="str">
        <f>IF(AND('Mapa final'!$AB$94="Muy Baja",'Mapa final'!$AD$94="Mayor"),CONCATENATE("R29C",'Mapa final'!$R$94),"")</f>
        <v/>
      </c>
      <c r="T211" s="196" t="str">
        <f>IF(AND('Mapa final'!$AB$95="Muy Baja",'Mapa final'!$AD$95="Mayor"),CONCATENATE("R29C",'Mapa final'!$R$95),"")</f>
        <v/>
      </c>
      <c r="U211" s="197" t="str">
        <f>IF(AND('Mapa final'!$AB$96="Muy Baja",'Mapa final'!$AD$96="Mayor"),CONCATENATE("R29C",'Mapa final'!$R$96),"")</f>
        <v/>
      </c>
      <c r="V211" s="158" t="str">
        <f>IF(AND('Mapa final'!$AB$94="Muy Baja",'Mapa final'!$AD$94="Catastrófico"),CONCATENATE("R29C",'Mapa final'!$R$94),"")</f>
        <v/>
      </c>
      <c r="W211" s="189" t="str">
        <f>IF(AND('Mapa final'!$AB$95="Muy Baja",'Mapa final'!$AD$95="Catastrófico"),CONCATENATE("R29C",'Mapa final'!$R$95),"")</f>
        <v/>
      </c>
      <c r="X211" s="159" t="str">
        <f>IF(AND('Mapa final'!$AB$96="Muy Baja",'Mapa final'!$AD$96="Catastrófico"),CONCATENATE("R29C",'Mapa final'!$R$96),"")</f>
        <v/>
      </c>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c r="BC211" s="38"/>
      <c r="BD211" s="38"/>
      <c r="BE211" s="38"/>
      <c r="BF211" s="38"/>
      <c r="BG211" s="38"/>
      <c r="BH211" s="38"/>
      <c r="BI211" s="38"/>
      <c r="BJ211" s="38"/>
      <c r="BK211" s="38"/>
      <c r="BL211" s="38"/>
      <c r="BM211" s="38"/>
    </row>
    <row r="212" spans="1:65" ht="15" customHeight="1" x14ac:dyDescent="0.25">
      <c r="A212" s="38"/>
      <c r="B212" s="291"/>
      <c r="C212" s="292"/>
      <c r="D212" s="293"/>
      <c r="E212" s="275"/>
      <c r="F212" s="274"/>
      <c r="G212" s="274"/>
      <c r="H212" s="274"/>
      <c r="I212" s="298"/>
      <c r="J212" s="171" t="str">
        <f>IF(AND('Mapa final'!$AB$97="Muy Baja",'Mapa final'!$AD$97="Leve"),CONCATENATE("R30C",'Mapa final'!$R$97),"")</f>
        <v>R30C1</v>
      </c>
      <c r="K212" s="191" t="str">
        <f>IF(AND('Mapa final'!$AB$98="Muy Baja",'Mapa final'!$AD$98="Leve"),CONCATENATE("R30C",'Mapa final'!$R$98),"")</f>
        <v/>
      </c>
      <c r="L212" s="172" t="str">
        <f>IF(AND('Mapa final'!$AB$99="Muy Baja",'Mapa final'!$AD$99="Leve"),CONCATENATE("R30C",'Mapa final'!$R$99),"")</f>
        <v/>
      </c>
      <c r="M212" s="171" t="str">
        <f>IF(AND('Mapa final'!$AB$97="Muy Baja",'Mapa final'!$AD$97="Menor"),CONCATENATE("R30C",'Mapa final'!$R$97),"")</f>
        <v/>
      </c>
      <c r="N212" s="191" t="str">
        <f>IF(AND('Mapa final'!$AB$98="Muy Baja",'Mapa final'!$AD$98="Menor"),CONCATENATE("R30C",'Mapa final'!$R$98),"")</f>
        <v/>
      </c>
      <c r="O212" s="172" t="str">
        <f>IF(AND('Mapa final'!$AB$99="Muy Baja",'Mapa final'!$AD$99="Menor"),CONCATENATE("R30C",'Mapa final'!$R$99),"")</f>
        <v/>
      </c>
      <c r="P212" s="163" t="str">
        <f>IF(AND('Mapa final'!$AB$97="Muy Baja",'Mapa final'!$AD$97="Moderado"),CONCATENATE("R30C",'Mapa final'!$R$97),"")</f>
        <v/>
      </c>
      <c r="Q212" s="190" t="str">
        <f>IF(AND('Mapa final'!$AB$98="Muy Baja",'Mapa final'!$AD$98="Moderado"),CONCATENATE("R30C",'Mapa final'!$R$98),"")</f>
        <v/>
      </c>
      <c r="R212" s="164" t="str">
        <f>IF(AND('Mapa final'!$AB$99="Muy Baja",'Mapa final'!$AD$99="Moderado"),CONCATENATE("R30C",'Mapa final'!$R$99),"")</f>
        <v/>
      </c>
      <c r="S212" s="195" t="str">
        <f>IF(AND('Mapa final'!$AB$97="Muy Baja",'Mapa final'!$AD$97="Mayor"),CONCATENATE("R30C",'Mapa final'!$R$97),"")</f>
        <v/>
      </c>
      <c r="T212" s="196" t="str">
        <f>IF(AND('Mapa final'!$AB$98="Muy Baja",'Mapa final'!$AD$98="Mayor"),CONCATENATE("R30C",'Mapa final'!$R$98),"")</f>
        <v/>
      </c>
      <c r="U212" s="197" t="str">
        <f>IF(AND('Mapa final'!$AB$99="Muy Baja",'Mapa final'!$AD$99="Mayor"),CONCATENATE("R30C",'Mapa final'!$R$99),"")</f>
        <v/>
      </c>
      <c r="V212" s="158" t="str">
        <f>IF(AND('Mapa final'!$AB$97="Muy Baja",'Mapa final'!$AD$97="Catastrófico"),CONCATENATE("R30C",'Mapa final'!$R$97),"")</f>
        <v/>
      </c>
      <c r="W212" s="189" t="str">
        <f>IF(AND('Mapa final'!$AB$98="Muy Baja",'Mapa final'!$AD$98="Catastrófico"),CONCATENATE("R30C",'Mapa final'!$R$98),"")</f>
        <v/>
      </c>
      <c r="X212" s="159" t="str">
        <f>IF(AND('Mapa final'!$AB$99="Muy Baja",'Mapa final'!$AD$99="Catastrófico"),CONCATENATE("R30C",'Mapa final'!$R$99),"")</f>
        <v/>
      </c>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c r="BC212" s="38"/>
      <c r="BD212" s="38"/>
      <c r="BE212" s="38"/>
      <c r="BF212" s="38"/>
      <c r="BG212" s="38"/>
      <c r="BH212" s="38"/>
      <c r="BI212" s="38"/>
      <c r="BJ212" s="38"/>
      <c r="BK212" s="38"/>
      <c r="BL212" s="38"/>
      <c r="BM212" s="38"/>
    </row>
    <row r="213" spans="1:65" ht="15" customHeight="1" x14ac:dyDescent="0.25">
      <c r="A213" s="38"/>
      <c r="B213" s="291"/>
      <c r="C213" s="292"/>
      <c r="D213" s="293"/>
      <c r="E213" s="275"/>
      <c r="F213" s="274"/>
      <c r="G213" s="274"/>
      <c r="H213" s="274"/>
      <c r="I213" s="298"/>
      <c r="J213" s="171" t="str">
        <f>IF(AND('Mapa final'!$AB$100="Muy Baja",'Mapa final'!$AD$100="Leve"),CONCATENATE("R31C",'Mapa final'!$R$100),"")</f>
        <v/>
      </c>
      <c r="K213" s="191" t="str">
        <f>IF(AND('Mapa final'!$AB$101="Muy Baja",'Mapa final'!$AD$101="Leve"),CONCATENATE("R31C",'Mapa final'!$R$101),"")</f>
        <v/>
      </c>
      <c r="L213" s="172" t="str">
        <f>IF(AND('Mapa final'!$AB$102="Muy Baja",'Mapa final'!$AD$102="Leve"),CONCATENATE("R31C",'Mapa final'!$R$102),"")</f>
        <v/>
      </c>
      <c r="M213" s="171" t="str">
        <f>IF(AND('Mapa final'!$AB$100="Muy Baja",'Mapa final'!$AD$100="Menor"),CONCATENATE("R31C",'Mapa final'!$R$100),"")</f>
        <v/>
      </c>
      <c r="N213" s="191" t="str">
        <f>IF(AND('Mapa final'!$AB$101="Muy Baja",'Mapa final'!$AD$101="Menor"),CONCATENATE("R31C",'Mapa final'!$R$101),"")</f>
        <v/>
      </c>
      <c r="O213" s="172" t="str">
        <f>IF(AND('Mapa final'!$AB$102="Muy Baja",'Mapa final'!$AD$102="Menor"),CONCATENATE("R31C",'Mapa final'!$R$102),"")</f>
        <v/>
      </c>
      <c r="P213" s="163" t="str">
        <f>IF(AND('Mapa final'!$AB$100="Muy Baja",'Mapa final'!$AD$100="Moderado"),CONCATENATE("R31C",'Mapa final'!$R$100),"")</f>
        <v/>
      </c>
      <c r="Q213" s="190" t="str">
        <f>IF(AND('Mapa final'!$AB$101="Muy Baja",'Mapa final'!$AD$101="Moderado"),CONCATENATE("R31C",'Mapa final'!$R$101),"")</f>
        <v/>
      </c>
      <c r="R213" s="164" t="str">
        <f>IF(AND('Mapa final'!$AB$102="Muy Baja",'Mapa final'!$AD$102="Moderado"),CONCATENATE("R31C",'Mapa final'!$R$102),"")</f>
        <v/>
      </c>
      <c r="S213" s="195" t="str">
        <f>IF(AND('Mapa final'!$AB$100="Muy Baja",'Mapa final'!$AD$100="Mayor"),CONCATENATE("R31C",'Mapa final'!$R$100),"")</f>
        <v/>
      </c>
      <c r="T213" s="196" t="str">
        <f>IF(AND('Mapa final'!$AB$101="Muy Baja",'Mapa final'!$AD$101="Mayor"),CONCATENATE("R31C",'Mapa final'!$R$101),"")</f>
        <v/>
      </c>
      <c r="U213" s="197" t="str">
        <f>IF(AND('Mapa final'!$AB$102="Muy Baja",'Mapa final'!$AD$102="Mayor"),CONCATENATE("R31C",'Mapa final'!$R$102),"")</f>
        <v/>
      </c>
      <c r="V213" s="158" t="str">
        <f>IF(AND('Mapa final'!$AB$100="Muy Baja",'Mapa final'!$AD$100="Catastrófico"),CONCATENATE("R31C",'Mapa final'!$R$100),"")</f>
        <v/>
      </c>
      <c r="W213" s="189" t="str">
        <f>IF(AND('Mapa final'!$AB$101="Muy Baja",'Mapa final'!$AD$101="Catastrófico"),CONCATENATE("R31C",'Mapa final'!$R$101),"")</f>
        <v/>
      </c>
      <c r="X213" s="159" t="str">
        <f>IF(AND('Mapa final'!$AB$102="Muy Baja",'Mapa final'!$AD$102="Catastrófico"),CONCATENATE("R31C",'Mapa final'!$R$102),"")</f>
        <v/>
      </c>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c r="BC213" s="38"/>
      <c r="BD213" s="38"/>
      <c r="BE213" s="38"/>
      <c r="BF213" s="38"/>
      <c r="BG213" s="38"/>
      <c r="BH213" s="38"/>
      <c r="BI213" s="38"/>
      <c r="BJ213" s="38"/>
      <c r="BK213" s="38"/>
      <c r="BL213" s="38"/>
      <c r="BM213" s="38"/>
    </row>
    <row r="214" spans="1:65" ht="15" customHeight="1" x14ac:dyDescent="0.25">
      <c r="A214" s="38"/>
      <c r="B214" s="291"/>
      <c r="C214" s="292"/>
      <c r="D214" s="293"/>
      <c r="E214" s="275"/>
      <c r="F214" s="274"/>
      <c r="G214" s="274"/>
      <c r="H214" s="274"/>
      <c r="I214" s="298"/>
      <c r="J214" s="171" t="str">
        <f>IF(AND('Mapa final'!$AB$103="Muy Baja",'Mapa final'!$AD$103="Leve"),CONCATENATE("R32C",'Mapa final'!$R$103),"")</f>
        <v/>
      </c>
      <c r="K214" s="191" t="str">
        <f>IF(AND('Mapa final'!$AB$104="Muy Baja",'Mapa final'!$AD$104="Leve"),CONCATENATE("R32C",'Mapa final'!$R$104),"")</f>
        <v/>
      </c>
      <c r="L214" s="172" t="str">
        <f>IF(AND('Mapa final'!$AB$105="Muy Baja",'Mapa final'!$AD$105="Leve"),CONCATENATE("R32C",'Mapa final'!$R$105),"")</f>
        <v/>
      </c>
      <c r="M214" s="171" t="str">
        <f>IF(AND('Mapa final'!$AB$103="Muy Baja",'Mapa final'!$AD$103="Menor"),CONCATENATE("R32C",'Mapa final'!$R$103),"")</f>
        <v/>
      </c>
      <c r="N214" s="191" t="str">
        <f>IF(AND('Mapa final'!$AB$104="Muy Baja",'Mapa final'!$AD$104="Menor"),CONCATENATE("R32C",'Mapa final'!$R$104),"")</f>
        <v/>
      </c>
      <c r="O214" s="172" t="str">
        <f>IF(AND('Mapa final'!$AB$105="Muy Baja",'Mapa final'!$AD$105="Menor"),CONCATENATE("R32C",'Mapa final'!$R$105),"")</f>
        <v/>
      </c>
      <c r="P214" s="163" t="str">
        <f>IF(AND('Mapa final'!$AB$103="Muy Baja",'Mapa final'!$AD$103="Moderado"),CONCATENATE("R32C",'Mapa final'!$R$103),"")</f>
        <v/>
      </c>
      <c r="Q214" s="190" t="str">
        <f>IF(AND('Mapa final'!$AB$104="Muy Baja",'Mapa final'!$AD$104="Moderado"),CONCATENATE("R32C",'Mapa final'!$R$104),"")</f>
        <v/>
      </c>
      <c r="R214" s="164" t="str">
        <f>IF(AND('Mapa final'!$AB$105="Muy Baja",'Mapa final'!$AD$105="Moderado"),CONCATENATE("R32C",'Mapa final'!$R$105),"")</f>
        <v/>
      </c>
      <c r="S214" s="195" t="str">
        <f>IF(AND('Mapa final'!$AB$103="Muy Baja",'Mapa final'!$AD$103="Mayor"),CONCATENATE("R32C",'Mapa final'!$R$103),"")</f>
        <v/>
      </c>
      <c r="T214" s="196" t="str">
        <f>IF(AND('Mapa final'!$AB$104="Muy Baja",'Mapa final'!$AD$104="Mayor"),CONCATENATE("R32C",'Mapa final'!$R$104),"")</f>
        <v/>
      </c>
      <c r="U214" s="197" t="str">
        <f>IF(AND('Mapa final'!$AB$105="Muy Baja",'Mapa final'!$AD$105="Mayor"),CONCATENATE("R32C",'Mapa final'!$R$105),"")</f>
        <v/>
      </c>
      <c r="V214" s="158" t="str">
        <f>IF(AND('Mapa final'!$AB$103="Muy Baja",'Mapa final'!$AD$103="Catastrófico"),CONCATENATE("R32C",'Mapa final'!$R$103),"")</f>
        <v/>
      </c>
      <c r="W214" s="189" t="str">
        <f>IF(AND('Mapa final'!$AB$104="Muy Baja",'Mapa final'!$AD$104="Catastrófico"),CONCATENATE("R32C",'Mapa final'!$R$104),"")</f>
        <v/>
      </c>
      <c r="X214" s="159" t="str">
        <f>IF(AND('Mapa final'!$AB$105="Muy Baja",'Mapa final'!$AD$105="Catastrófico"),CONCATENATE("R32C",'Mapa final'!$R$105),"")</f>
        <v/>
      </c>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c r="BC214" s="38"/>
      <c r="BD214" s="38"/>
      <c r="BE214" s="38"/>
      <c r="BF214" s="38"/>
      <c r="BG214" s="38"/>
      <c r="BH214" s="38"/>
      <c r="BI214" s="38"/>
      <c r="BJ214" s="38"/>
      <c r="BK214" s="38"/>
      <c r="BL214" s="38"/>
      <c r="BM214" s="38"/>
    </row>
    <row r="215" spans="1:65" ht="15" customHeight="1" x14ac:dyDescent="0.25">
      <c r="A215" s="38"/>
      <c r="B215" s="291"/>
      <c r="C215" s="292"/>
      <c r="D215" s="293"/>
      <c r="E215" s="275"/>
      <c r="F215" s="274"/>
      <c r="G215" s="274"/>
      <c r="H215" s="274"/>
      <c r="I215" s="298"/>
      <c r="J215" s="171" t="str">
        <f>IF(AND('Mapa final'!$AB$106="Muy Baja",'Mapa final'!$AD$106="Leve"),CONCATENATE("R33C",'Mapa final'!$R$106),"")</f>
        <v/>
      </c>
      <c r="K215" s="191" t="str">
        <f>IF(AND('Mapa final'!$AB$107="Muy Baja",'Mapa final'!$AD$107="Leve"),CONCATENATE("R33C",'Mapa final'!$R$107),"")</f>
        <v>R33C2</v>
      </c>
      <c r="L215" s="172" t="str">
        <f>IF(AND('Mapa final'!$AB$108="Muy Baja",'Mapa final'!$AD$108="Leve"),CONCATENATE("R33C",'Mapa final'!$R$108),"")</f>
        <v>R33C3</v>
      </c>
      <c r="M215" s="171" t="str">
        <f>IF(AND('Mapa final'!$AB$106="Muy Baja",'Mapa final'!$AD$106="Menor"),CONCATENATE("R33C",'Mapa final'!$R$106),"")</f>
        <v/>
      </c>
      <c r="N215" s="191" t="str">
        <f>IF(AND('Mapa final'!$AB$107="Muy Baja",'Mapa final'!$AD$107="Menor"),CONCATENATE("R33C",'Mapa final'!$R$107),"")</f>
        <v/>
      </c>
      <c r="O215" s="172" t="str">
        <f>IF(AND('Mapa final'!$AB$108="Muy Baja",'Mapa final'!$AD$108="Menor"),CONCATENATE("R33C",'Mapa final'!$R$108),"")</f>
        <v/>
      </c>
      <c r="P215" s="163" t="str">
        <f>IF(AND('Mapa final'!$AB$106="Muy Baja",'Mapa final'!$AD$106="Moderado"),CONCATENATE("R33C",'Mapa final'!$R$106),"")</f>
        <v/>
      </c>
      <c r="Q215" s="190" t="str">
        <f>IF(AND('Mapa final'!$AB$107="Muy Baja",'Mapa final'!$AD$107="Moderado"),CONCATENATE("R33C",'Mapa final'!$R$107),"")</f>
        <v/>
      </c>
      <c r="R215" s="164" t="str">
        <f>IF(AND('Mapa final'!$AB$108="Muy Baja",'Mapa final'!$AD$108="Moderado"),CONCATENATE("R33C",'Mapa final'!$R$108),"")</f>
        <v/>
      </c>
      <c r="S215" s="195" t="str">
        <f>IF(AND('Mapa final'!$AB$106="Muy Baja",'Mapa final'!$AD$106="Mayor"),CONCATENATE("R33C",'Mapa final'!$R$106),"")</f>
        <v/>
      </c>
      <c r="T215" s="196" t="str">
        <f>IF(AND('Mapa final'!$AB$107="Muy Baja",'Mapa final'!$AD$107="Mayor"),CONCATENATE("R33C",'Mapa final'!$R$107),"")</f>
        <v/>
      </c>
      <c r="U215" s="197" t="str">
        <f>IF(AND('Mapa final'!$AB$108="Muy Baja",'Mapa final'!$AD$108="Mayor"),CONCATENATE("R33C",'Mapa final'!$R$108),"")</f>
        <v/>
      </c>
      <c r="V215" s="158" t="str">
        <f>IF(AND('Mapa final'!$AB$106="Muy Baja",'Mapa final'!$AD$106="Catastrófico"),CONCATENATE("R33C",'Mapa final'!$R$106),"")</f>
        <v/>
      </c>
      <c r="W215" s="189" t="str">
        <f>IF(AND('Mapa final'!$AB$107="Muy Baja",'Mapa final'!$AD$107="Catastrófico"),CONCATENATE("R33C",'Mapa final'!$R$107),"")</f>
        <v/>
      </c>
      <c r="X215" s="159" t="str">
        <f>IF(AND('Mapa final'!$AB$108="Muy Baja",'Mapa final'!$AD$108="Catastrófico"),CONCATENATE("R33C",'Mapa final'!$R$108),"")</f>
        <v/>
      </c>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c r="BC215" s="38"/>
      <c r="BD215" s="38"/>
      <c r="BE215" s="38"/>
      <c r="BF215" s="38"/>
      <c r="BG215" s="38"/>
      <c r="BH215" s="38"/>
      <c r="BI215" s="38"/>
      <c r="BJ215" s="38"/>
      <c r="BK215" s="38"/>
      <c r="BL215" s="38"/>
      <c r="BM215" s="38"/>
    </row>
    <row r="216" spans="1:65" ht="15" customHeight="1" x14ac:dyDescent="0.25">
      <c r="A216" s="38"/>
      <c r="B216" s="291"/>
      <c r="C216" s="292"/>
      <c r="D216" s="293"/>
      <c r="E216" s="275"/>
      <c r="F216" s="274"/>
      <c r="G216" s="274"/>
      <c r="H216" s="274"/>
      <c r="I216" s="298"/>
      <c r="J216" s="171" t="str">
        <f>IF(AND('Mapa final'!$AB$109="Muy Baja",'Mapa final'!$AD$109="Leve"),CONCATENATE("R34C",'Mapa final'!$R$109),"")</f>
        <v/>
      </c>
      <c r="K216" s="191" t="str">
        <f>IF(AND('Mapa final'!$AB$110="Muy Baja",'Mapa final'!$AD$110="Leve"),CONCATENATE("R34C",'Mapa final'!$R$110),"")</f>
        <v/>
      </c>
      <c r="L216" s="172" t="str">
        <f>IF(AND('Mapa final'!$AB$111="Muy Baja",'Mapa final'!$AD$111="Leve"),CONCATENATE("R34C",'Mapa final'!$R$111),"")</f>
        <v/>
      </c>
      <c r="M216" s="171" t="str">
        <f>IF(AND('Mapa final'!$AB$109="Muy Baja",'Mapa final'!$AD$109="Menor"),CONCATENATE("R34C",'Mapa final'!$R$109),"")</f>
        <v/>
      </c>
      <c r="N216" s="191" t="str">
        <f>IF(AND('Mapa final'!$AB$110="Muy Baja",'Mapa final'!$AD$110="Menor"),CONCATENATE("R34C",'Mapa final'!$R$110),"")</f>
        <v/>
      </c>
      <c r="O216" s="172" t="str">
        <f>IF(AND('Mapa final'!$AB$111="Muy Baja",'Mapa final'!$AD$111="Menor"),CONCATENATE("R34C",'Mapa final'!$R$111),"")</f>
        <v/>
      </c>
      <c r="P216" s="163" t="str">
        <f>IF(AND('Mapa final'!$AB$109="Muy Baja",'Mapa final'!$AD$109="Moderado"),CONCATENATE("R34C",'Mapa final'!$R$109),"")</f>
        <v/>
      </c>
      <c r="Q216" s="190" t="str">
        <f>IF(AND('Mapa final'!$AB$110="Muy Baja",'Mapa final'!$AD$110="Moderado"),CONCATENATE("R34C",'Mapa final'!$R$110),"")</f>
        <v/>
      </c>
      <c r="R216" s="164" t="str">
        <f>IF(AND('Mapa final'!$AB$111="Muy Baja",'Mapa final'!$AD$111="Moderado"),CONCATENATE("R34C",'Mapa final'!$R$111),"")</f>
        <v/>
      </c>
      <c r="S216" s="195" t="str">
        <f>IF(AND('Mapa final'!$AB$109="Muy Baja",'Mapa final'!$AD$109="Mayor"),CONCATENATE("R34C",'Mapa final'!$R$109),"")</f>
        <v/>
      </c>
      <c r="T216" s="196" t="str">
        <f>IF(AND('Mapa final'!$AB$110="Muy Baja",'Mapa final'!$AD$110="Mayor"),CONCATENATE("R34C",'Mapa final'!$R$110),"")</f>
        <v/>
      </c>
      <c r="U216" s="197" t="str">
        <f>IF(AND('Mapa final'!$AB$111="Muy Baja",'Mapa final'!$AD$111="Mayor"),CONCATENATE("R34C",'Mapa final'!$R$111),"")</f>
        <v/>
      </c>
      <c r="V216" s="158" t="str">
        <f>IF(AND('Mapa final'!$AB$109="Muy Baja",'Mapa final'!$AD$109="Catastrófico"),CONCATENATE("R34C",'Mapa final'!$R$109),"")</f>
        <v/>
      </c>
      <c r="W216" s="189" t="str">
        <f>IF(AND('Mapa final'!$AB$110="Muy Baja",'Mapa final'!$AD$110="Catastrófico"),CONCATENATE("R34C",'Mapa final'!$R$110),"")</f>
        <v/>
      </c>
      <c r="X216" s="159" t="str">
        <f>IF(AND('Mapa final'!$AB$111="Muy Baja",'Mapa final'!$AD$111="Catastrófico"),CONCATENATE("R34C",'Mapa final'!$R$111),"")</f>
        <v/>
      </c>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c r="BC216" s="38"/>
      <c r="BD216" s="38"/>
      <c r="BE216" s="38"/>
      <c r="BF216" s="38"/>
      <c r="BG216" s="38"/>
      <c r="BH216" s="38"/>
      <c r="BI216" s="38"/>
      <c r="BJ216" s="38"/>
      <c r="BK216" s="38"/>
      <c r="BL216" s="38"/>
      <c r="BM216" s="38"/>
    </row>
    <row r="217" spans="1:65" ht="15" customHeight="1" x14ac:dyDescent="0.25">
      <c r="A217" s="38"/>
      <c r="B217" s="291"/>
      <c r="C217" s="292"/>
      <c r="D217" s="293"/>
      <c r="E217" s="275"/>
      <c r="F217" s="274"/>
      <c r="G217" s="274"/>
      <c r="H217" s="274"/>
      <c r="I217" s="298"/>
      <c r="J217" s="171" t="str">
        <f>IF(AND('Mapa final'!$AB$112="Muy Baja",'Mapa final'!$AD$112="Leve"),CONCATENATE("R35C",'Mapa final'!$R$112),"")</f>
        <v/>
      </c>
      <c r="K217" s="191" t="str">
        <f>IF(AND('Mapa final'!$AB$113="Muy Baja",'Mapa final'!$AD$113="Leve"),CONCATENATE("R35C",'Mapa final'!$R$113),"")</f>
        <v/>
      </c>
      <c r="L217" s="172" t="str">
        <f>IF(AND('Mapa final'!$AB$114="Muy Baja",'Mapa final'!$AD$114="Leve"),CONCATENATE("R35C",'Mapa final'!$R$114),"")</f>
        <v/>
      </c>
      <c r="M217" s="171" t="str">
        <f>IF(AND('Mapa final'!$AB$112="Muy Baja",'Mapa final'!$AD$112="Menor"),CONCATENATE("R35C",'Mapa final'!$R$112),"")</f>
        <v/>
      </c>
      <c r="N217" s="191" t="str">
        <f>IF(AND('Mapa final'!$AB$113="Muy Baja",'Mapa final'!$AD$113="Menor"),CONCATENATE("R35C",'Mapa final'!$R$113),"")</f>
        <v/>
      </c>
      <c r="O217" s="172" t="str">
        <f>IF(AND('Mapa final'!$AB$114="Muy Baja",'Mapa final'!$AD$114="Menor"),CONCATENATE("R35C",'Mapa final'!$R$114),"")</f>
        <v/>
      </c>
      <c r="P217" s="163" t="str">
        <f>IF(AND('Mapa final'!$AB$112="Muy Baja",'Mapa final'!$AD$112="Moderado"),CONCATENATE("R35C",'Mapa final'!$R$112),"")</f>
        <v/>
      </c>
      <c r="Q217" s="190" t="str">
        <f>IF(AND('Mapa final'!$AB$113="Muy Baja",'Mapa final'!$AD$113="Moderado"),CONCATENATE("R35C",'Mapa final'!$R$113),"")</f>
        <v/>
      </c>
      <c r="R217" s="164" t="str">
        <f>IF(AND('Mapa final'!$AB$114="Muy Baja",'Mapa final'!$AD$114="Moderado"),CONCATENATE("R35C",'Mapa final'!$R$114),"")</f>
        <v/>
      </c>
      <c r="S217" s="195" t="str">
        <f>IF(AND('Mapa final'!$AB$112="Muy Baja",'Mapa final'!$AD$112="Mayor"),CONCATENATE("R35C",'Mapa final'!$R$112),"")</f>
        <v/>
      </c>
      <c r="T217" s="196" t="str">
        <f>IF(AND('Mapa final'!$AB$113="Muy Baja",'Mapa final'!$AD$113="Mayor"),CONCATENATE("R35C",'Mapa final'!$R$113),"")</f>
        <v/>
      </c>
      <c r="U217" s="197" t="str">
        <f>IF(AND('Mapa final'!$AB$114="Muy Baja",'Mapa final'!$AD$114="Mayor"),CONCATENATE("R35C",'Mapa final'!$R$114),"")</f>
        <v/>
      </c>
      <c r="V217" s="158" t="str">
        <f>IF(AND('Mapa final'!$AB$112="Muy Baja",'Mapa final'!$AD$112="Catastrófico"),CONCATENATE("R35C",'Mapa final'!$R$112),"")</f>
        <v/>
      </c>
      <c r="W217" s="189" t="str">
        <f>IF(AND('Mapa final'!$AB$113="Muy Baja",'Mapa final'!$AD$113="Catastrófico"),CONCATENATE("R35C",'Mapa final'!$R$113),"")</f>
        <v/>
      </c>
      <c r="X217" s="159" t="str">
        <f>IF(AND('Mapa final'!$AB$114="Muy Baja",'Mapa final'!$AD$114="Catastrófico"),CONCATENATE("R35C",'Mapa final'!$R$114),"")</f>
        <v/>
      </c>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c r="BC217" s="38"/>
      <c r="BD217" s="38"/>
      <c r="BE217" s="38"/>
      <c r="BF217" s="38"/>
      <c r="BG217" s="38"/>
      <c r="BH217" s="38"/>
      <c r="BI217" s="38"/>
      <c r="BJ217" s="38"/>
      <c r="BK217" s="38"/>
      <c r="BL217" s="38"/>
      <c r="BM217" s="38"/>
    </row>
    <row r="218" spans="1:65" ht="15" customHeight="1" x14ac:dyDescent="0.25">
      <c r="A218" s="38"/>
      <c r="B218" s="291"/>
      <c r="C218" s="292"/>
      <c r="D218" s="293"/>
      <c r="E218" s="275"/>
      <c r="F218" s="274"/>
      <c r="G218" s="274"/>
      <c r="H218" s="274"/>
      <c r="I218" s="298"/>
      <c r="J218" s="171" t="str">
        <f>IF(AND('Mapa final'!$AB$115="Muy Baja",'Mapa final'!$AD$115="Leve"),CONCATENATE("R36C",'Mapa final'!$R$115),"")</f>
        <v/>
      </c>
      <c r="K218" s="191" t="str">
        <f>IF(AND('Mapa final'!$AB$116="Muy Baja",'Mapa final'!$AD$116="Leve"),CONCATENATE("R36C",'Mapa final'!$R$116),"")</f>
        <v/>
      </c>
      <c r="L218" s="172" t="str">
        <f>IF(AND('Mapa final'!$AB$117="Muy Baja",'Mapa final'!$AD$117="Leve"),CONCATENATE("R36C",'Mapa final'!$R$117),"")</f>
        <v/>
      </c>
      <c r="M218" s="171" t="str">
        <f>IF(AND('Mapa final'!$AB$115="Muy Baja",'Mapa final'!$AD$115="Menor"),CONCATENATE("R36C",'Mapa final'!$R$115),"")</f>
        <v/>
      </c>
      <c r="N218" s="191" t="str">
        <f>IF(AND('Mapa final'!$AB$116="Muy Baja",'Mapa final'!$AD$116="Menor"),CONCATENATE("R36C",'Mapa final'!$R$116),"")</f>
        <v/>
      </c>
      <c r="O218" s="172" t="str">
        <f>IF(AND('Mapa final'!$AB$117="Muy Baja",'Mapa final'!$AD$117="Menor"),CONCATENATE("R36C",'Mapa final'!$R$117),"")</f>
        <v/>
      </c>
      <c r="P218" s="163" t="str">
        <f>IF(AND('Mapa final'!$AB$115="Muy Baja",'Mapa final'!$AD$115="Moderado"),CONCATENATE("R36C",'Mapa final'!$R$115),"")</f>
        <v/>
      </c>
      <c r="Q218" s="190" t="str">
        <f>IF(AND('Mapa final'!$AB$116="Muy Baja",'Mapa final'!$AD$116="Moderado"),CONCATENATE("R36C",'Mapa final'!$R$116),"")</f>
        <v/>
      </c>
      <c r="R218" s="164" t="str">
        <f>IF(AND('Mapa final'!$AB$117="Muy Baja",'Mapa final'!$AD$117="Moderado"),CONCATENATE("R36C",'Mapa final'!$R$117),"")</f>
        <v/>
      </c>
      <c r="S218" s="195" t="str">
        <f>IF(AND('Mapa final'!$AB$115="Muy Baja",'Mapa final'!$AD$115="Mayor"),CONCATENATE("R36C",'Mapa final'!$R$115),"")</f>
        <v/>
      </c>
      <c r="T218" s="196" t="str">
        <f>IF(AND('Mapa final'!$AB$116="Muy Baja",'Mapa final'!$AD$116="Mayor"),CONCATENATE("R36C",'Mapa final'!$R$116),"")</f>
        <v/>
      </c>
      <c r="U218" s="197" t="str">
        <f>IF(AND('Mapa final'!$AB$117="Muy Baja",'Mapa final'!$AD$117="Mayor"),CONCATENATE("R36C",'Mapa final'!$R$117),"")</f>
        <v/>
      </c>
      <c r="V218" s="158" t="str">
        <f>IF(AND('Mapa final'!$AB$115="Muy Baja",'Mapa final'!$AD$115="Catastrófico"),CONCATENATE("R36C",'Mapa final'!$R$115),"")</f>
        <v/>
      </c>
      <c r="W218" s="189" t="str">
        <f>IF(AND('Mapa final'!$AB$116="Muy Baja",'Mapa final'!$AD$116="Catastrófico"),CONCATENATE("R36C",'Mapa final'!$R$116),"")</f>
        <v/>
      </c>
      <c r="X218" s="159" t="str">
        <f>IF(AND('Mapa final'!$AB$117="Muy Baja",'Mapa final'!$AD$117="Catastrófico"),CONCATENATE("R36C",'Mapa final'!$R$117),"")</f>
        <v/>
      </c>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c r="BC218" s="38"/>
      <c r="BD218" s="38"/>
      <c r="BE218" s="38"/>
      <c r="BF218" s="38"/>
      <c r="BG218" s="38"/>
      <c r="BH218" s="38"/>
      <c r="BI218" s="38"/>
      <c r="BJ218" s="38"/>
      <c r="BK218" s="38"/>
      <c r="BL218" s="38"/>
      <c r="BM218" s="38"/>
    </row>
    <row r="219" spans="1:65" ht="15" customHeight="1" x14ac:dyDescent="0.25">
      <c r="A219" s="38"/>
      <c r="B219" s="291"/>
      <c r="C219" s="292"/>
      <c r="D219" s="293"/>
      <c r="E219" s="275"/>
      <c r="F219" s="274"/>
      <c r="G219" s="274"/>
      <c r="H219" s="274"/>
      <c r="I219" s="298"/>
      <c r="J219" s="171" t="str">
        <f>IF(AND('Mapa final'!$AB$118="Muy Baja",'Mapa final'!$AD$118="Leve"),CONCATENATE("R37C",'Mapa final'!$R$118),"")</f>
        <v/>
      </c>
      <c r="K219" s="191" t="str">
        <f>IF(AND('Mapa final'!$AB$119="Muy Baja",'Mapa final'!$AD$119="Leve"),CONCATENATE("R37C",'Mapa final'!$R$119),"")</f>
        <v>R37C2</v>
      </c>
      <c r="L219" s="172" t="str">
        <f>IF(AND('Mapa final'!$AB$120="Muy Baja",'Mapa final'!$AD$120="Leve"),CONCATENATE("R37C",'Mapa final'!$R$120),"")</f>
        <v/>
      </c>
      <c r="M219" s="171" t="str">
        <f>IF(AND('Mapa final'!$AB$118="Muy Baja",'Mapa final'!$AD$118="Menor"),CONCATENATE("R37C",'Mapa final'!$R$118),"")</f>
        <v/>
      </c>
      <c r="N219" s="191" t="str">
        <f>IF(AND('Mapa final'!$AB$119="Muy Baja",'Mapa final'!$AD$119="Menor"),CONCATENATE("R37C",'Mapa final'!$R$119),"")</f>
        <v/>
      </c>
      <c r="O219" s="172" t="str">
        <f>IF(AND('Mapa final'!$AB$120="Muy Baja",'Mapa final'!$AD$120="Menor"),CONCATENATE("R37C",'Mapa final'!$R$120),"")</f>
        <v/>
      </c>
      <c r="P219" s="163" t="str">
        <f>IF(AND('Mapa final'!$AB$118="Muy Baja",'Mapa final'!$AD$118="Moderado"),CONCATENATE("R37C",'Mapa final'!$R$118),"")</f>
        <v/>
      </c>
      <c r="Q219" s="190" t="str">
        <f>IF(AND('Mapa final'!$AB$119="Muy Baja",'Mapa final'!$AD$119="Moderado"),CONCATENATE("R37C",'Mapa final'!$R$119),"")</f>
        <v/>
      </c>
      <c r="R219" s="164" t="str">
        <f>IF(AND('Mapa final'!$AB$120="Muy Baja",'Mapa final'!$AD$120="Moderado"),CONCATENATE("R37C",'Mapa final'!$R$120),"")</f>
        <v/>
      </c>
      <c r="S219" s="195" t="str">
        <f>IF(AND('Mapa final'!$AB$118="Muy Baja",'Mapa final'!$AD$118="Mayor"),CONCATENATE("R37C",'Mapa final'!$R$118),"")</f>
        <v/>
      </c>
      <c r="T219" s="196" t="str">
        <f>IF(AND('Mapa final'!$AB$119="Muy Baja",'Mapa final'!$AD$119="Mayor"),CONCATENATE("R37C",'Mapa final'!$R$119),"")</f>
        <v/>
      </c>
      <c r="U219" s="197" t="str">
        <f>IF(AND('Mapa final'!$AB$120="Muy Baja",'Mapa final'!$AD$120="Mayor"),CONCATENATE("R37C",'Mapa final'!$R$120),"")</f>
        <v/>
      </c>
      <c r="V219" s="158" t="str">
        <f>IF(AND('Mapa final'!$AB$118="Muy Baja",'Mapa final'!$AD$118="Catastrófico"),CONCATENATE("R37C",'Mapa final'!$R$118),"")</f>
        <v/>
      </c>
      <c r="W219" s="189" t="str">
        <f>IF(AND('Mapa final'!$AB$119="Muy Baja",'Mapa final'!$AD$119="Catastrófico"),CONCATENATE("R37C",'Mapa final'!$R$119),"")</f>
        <v/>
      </c>
      <c r="X219" s="159" t="str">
        <f>IF(AND('Mapa final'!$AB$120="Muy Baja",'Mapa final'!$AD$120="Catastrófico"),CONCATENATE("R37C",'Mapa final'!$R$120),"")</f>
        <v/>
      </c>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c r="BC219" s="38"/>
      <c r="BD219" s="38"/>
      <c r="BE219" s="38"/>
      <c r="BF219" s="38"/>
      <c r="BG219" s="38"/>
      <c r="BH219" s="38"/>
      <c r="BI219" s="38"/>
      <c r="BJ219" s="38"/>
      <c r="BK219" s="38"/>
      <c r="BL219" s="38"/>
      <c r="BM219" s="38"/>
    </row>
    <row r="220" spans="1:65" ht="15" customHeight="1" x14ac:dyDescent="0.25">
      <c r="A220" s="38"/>
      <c r="B220" s="291"/>
      <c r="C220" s="292"/>
      <c r="D220" s="293"/>
      <c r="E220" s="275"/>
      <c r="F220" s="274"/>
      <c r="G220" s="274"/>
      <c r="H220" s="274"/>
      <c r="I220" s="298"/>
      <c r="J220" s="171" t="str">
        <f>IF(AND('Mapa final'!$AB$121="Muy Baja",'Mapa final'!$AD$121="Leve"),CONCATENATE("R38C",'Mapa final'!$R$121),"")</f>
        <v/>
      </c>
      <c r="K220" s="191" t="str">
        <f>IF(AND('Mapa final'!$AB$122="Muy Baja",'Mapa final'!$AD$122="Leve"),CONCATENATE("R38C",'Mapa final'!$R$122),"")</f>
        <v/>
      </c>
      <c r="L220" s="172" t="str">
        <f>IF(AND('Mapa final'!$AB$123="Muy Baja",'Mapa final'!$AD$123="Leve"),CONCATENATE("R38C",'Mapa final'!$R$123),"")</f>
        <v/>
      </c>
      <c r="M220" s="171" t="str">
        <f>IF(AND('Mapa final'!$AB$121="Muy Baja",'Mapa final'!$AD$121="Menor"),CONCATENATE("R38C",'Mapa final'!$R$121),"")</f>
        <v/>
      </c>
      <c r="N220" s="191" t="str">
        <f>IF(AND('Mapa final'!$AB$122="Muy Baja",'Mapa final'!$AD$122="Menor"),CONCATENATE("R38C",'Mapa final'!$R$122),"")</f>
        <v/>
      </c>
      <c r="O220" s="172" t="str">
        <f>IF(AND('Mapa final'!$AB$123="Muy Baja",'Mapa final'!$AD$123="Menor"),CONCATENATE("R38C",'Mapa final'!$R$123),"")</f>
        <v/>
      </c>
      <c r="P220" s="163" t="str">
        <f>IF(AND('Mapa final'!$AB$121="Muy Baja",'Mapa final'!$AD$121="Moderado"),CONCATENATE("R38C",'Mapa final'!$R$121),"")</f>
        <v/>
      </c>
      <c r="Q220" s="190" t="str">
        <f>IF(AND('Mapa final'!$AB$122="Muy Baja",'Mapa final'!$AD$122="Moderado"),CONCATENATE("R38C",'Mapa final'!$R$122),"")</f>
        <v/>
      </c>
      <c r="R220" s="164" t="str">
        <f>IF(AND('Mapa final'!$AB$123="Muy Baja",'Mapa final'!$AD$123="Moderado"),CONCATENATE("R38C",'Mapa final'!$R$123),"")</f>
        <v/>
      </c>
      <c r="S220" s="195" t="str">
        <f>IF(AND('Mapa final'!$AB$121="Muy Baja",'Mapa final'!$AD$121="Mayor"),CONCATENATE("R38C",'Mapa final'!$R$121),"")</f>
        <v/>
      </c>
      <c r="T220" s="196" t="str">
        <f>IF(AND('Mapa final'!$AB$122="Muy Baja",'Mapa final'!$AD$122="Mayor"),CONCATENATE("R38C",'Mapa final'!$R$122),"")</f>
        <v/>
      </c>
      <c r="U220" s="197" t="str">
        <f>IF(AND('Mapa final'!$AB$123="Muy Baja",'Mapa final'!$AD$123="Mayor"),CONCATENATE("R38C",'Mapa final'!$R$123),"")</f>
        <v/>
      </c>
      <c r="V220" s="158" t="str">
        <f>IF(AND('Mapa final'!$AB$121="Muy Baja",'Mapa final'!$AD$121="Catastrófico"),CONCATENATE("R38C",'Mapa final'!$R$121),"")</f>
        <v/>
      </c>
      <c r="W220" s="189" t="str">
        <f>IF(AND('Mapa final'!$AB$122="Muy Baja",'Mapa final'!$AD$122="Catastrófico"),CONCATENATE("R38C",'Mapa final'!$R$122),"")</f>
        <v/>
      </c>
      <c r="X220" s="159" t="str">
        <f>IF(AND('Mapa final'!$AB$123="Muy Baja",'Mapa final'!$AD$123="Catastrófico"),CONCATENATE("R38C",'Mapa final'!$R$123),"")</f>
        <v/>
      </c>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c r="BC220" s="38"/>
      <c r="BD220" s="38"/>
      <c r="BE220" s="38"/>
      <c r="BF220" s="38"/>
      <c r="BG220" s="38"/>
      <c r="BH220" s="38"/>
      <c r="BI220" s="38"/>
      <c r="BJ220" s="38"/>
      <c r="BK220" s="38"/>
      <c r="BL220" s="38"/>
      <c r="BM220" s="38"/>
    </row>
    <row r="221" spans="1:65" ht="15" customHeight="1" x14ac:dyDescent="0.25">
      <c r="A221" s="38"/>
      <c r="B221" s="291"/>
      <c r="C221" s="292"/>
      <c r="D221" s="293"/>
      <c r="E221" s="275"/>
      <c r="F221" s="274"/>
      <c r="G221" s="274"/>
      <c r="H221" s="274"/>
      <c r="I221" s="298"/>
      <c r="J221" s="171" t="str">
        <f>IF(AND('Mapa final'!$AB$124="Muy Baja",'Mapa final'!$AD$124="Leve"),CONCATENATE("R39C",'Mapa final'!$R$124),"")</f>
        <v/>
      </c>
      <c r="K221" s="191" t="str">
        <f>IF(AND('Mapa final'!$AB$125="Muy Baja",'Mapa final'!$AD$125="Leve"),CONCATENATE("R39C",'Mapa final'!$R$125),"")</f>
        <v/>
      </c>
      <c r="L221" s="172" t="str">
        <f>IF(AND('Mapa final'!$AB$126="Muy Baja",'Mapa final'!$AD$126="Leve"),CONCATENATE("R39C",'Mapa final'!$R$126),"")</f>
        <v/>
      </c>
      <c r="M221" s="171" t="str">
        <f>IF(AND('Mapa final'!$AB$124="Muy Baja",'Mapa final'!$AD$124="Menor"),CONCATENATE("R39C",'Mapa final'!$R$124),"")</f>
        <v/>
      </c>
      <c r="N221" s="191" t="str">
        <f>IF(AND('Mapa final'!$AB$125="Muy Baja",'Mapa final'!$AD$125="Menor"),CONCATENATE("R39C",'Mapa final'!$R$125),"")</f>
        <v/>
      </c>
      <c r="O221" s="172" t="str">
        <f>IF(AND('Mapa final'!$AB$126="Muy Baja",'Mapa final'!$AD$126="Menor"),CONCATENATE("R39C",'Mapa final'!$R$126),"")</f>
        <v/>
      </c>
      <c r="P221" s="163" t="str">
        <f>IF(AND('Mapa final'!$AB$124="Muy Baja",'Mapa final'!$AD$124="Moderado"),CONCATENATE("R39C",'Mapa final'!$R$124),"")</f>
        <v/>
      </c>
      <c r="Q221" s="190" t="str">
        <f>IF(AND('Mapa final'!$AB$125="Muy Baja",'Mapa final'!$AD$125="Moderado"),CONCATENATE("R39C",'Mapa final'!$R$125),"")</f>
        <v/>
      </c>
      <c r="R221" s="164" t="str">
        <f>IF(AND('Mapa final'!$AB$126="Muy Baja",'Mapa final'!$AD$126="Moderado"),CONCATENATE("R39C",'Mapa final'!$R$126),"")</f>
        <v/>
      </c>
      <c r="S221" s="195" t="str">
        <f>IF(AND('Mapa final'!$AB$124="Muy Baja",'Mapa final'!$AD$124="Mayor"),CONCATENATE("R39C",'Mapa final'!$R$124),"")</f>
        <v/>
      </c>
      <c r="T221" s="196" t="str">
        <f>IF(AND('Mapa final'!$AB$125="Muy Baja",'Mapa final'!$AD$125="Mayor"),CONCATENATE("R39C",'Mapa final'!$R$125),"")</f>
        <v/>
      </c>
      <c r="U221" s="197" t="str">
        <f>IF(AND('Mapa final'!$AB$126="Muy Baja",'Mapa final'!$AD$126="Mayor"),CONCATENATE("R39C",'Mapa final'!$R$126),"")</f>
        <v/>
      </c>
      <c r="V221" s="158" t="str">
        <f>IF(AND('Mapa final'!$AB$124="Muy Baja",'Mapa final'!$AD$124="Catastrófico"),CONCATENATE("R39C",'Mapa final'!$R$124),"")</f>
        <v/>
      </c>
      <c r="W221" s="189" t="str">
        <f>IF(AND('Mapa final'!$AB$125="Muy Baja",'Mapa final'!$AD$125="Catastrófico"),CONCATENATE("R39C",'Mapa final'!$R$125),"")</f>
        <v/>
      </c>
      <c r="X221" s="159" t="str">
        <f>IF(AND('Mapa final'!$AB$126="Muy Baja",'Mapa final'!$AD$126="Catastrófico"),CONCATENATE("R39C",'Mapa final'!$R$126),"")</f>
        <v/>
      </c>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c r="BC221" s="38"/>
      <c r="BD221" s="38"/>
      <c r="BE221" s="38"/>
      <c r="BF221" s="38"/>
      <c r="BG221" s="38"/>
      <c r="BH221" s="38"/>
      <c r="BI221" s="38"/>
      <c r="BJ221" s="38"/>
      <c r="BK221" s="38"/>
      <c r="BL221" s="38"/>
      <c r="BM221" s="38"/>
    </row>
    <row r="222" spans="1:65" ht="15" customHeight="1" x14ac:dyDescent="0.25">
      <c r="A222" s="38"/>
      <c r="B222" s="291"/>
      <c r="C222" s="292"/>
      <c r="D222" s="293"/>
      <c r="E222" s="275"/>
      <c r="F222" s="274"/>
      <c r="G222" s="274"/>
      <c r="H222" s="274"/>
      <c r="I222" s="298"/>
      <c r="J222" s="171" t="str">
        <f>IF(AND('Mapa final'!$AB$127="Muy Baja",'Mapa final'!$AD$127="Leve"),CONCATENATE("R40C",'Mapa final'!$R$127),"")</f>
        <v/>
      </c>
      <c r="K222" s="191" t="str">
        <f>IF(AND('Mapa final'!$AB$128="Muy Baja",'Mapa final'!$AD$128="Leve"),CONCATENATE("R40C",'Mapa final'!$R$128),"")</f>
        <v/>
      </c>
      <c r="L222" s="172" t="str">
        <f>IF(AND('Mapa final'!$AB$129="Muy Baja",'Mapa final'!$AD$129="Leve"),CONCATENATE("R40C",'Mapa final'!$R$129),"")</f>
        <v/>
      </c>
      <c r="M222" s="171" t="str">
        <f>IF(AND('Mapa final'!$AB$127="Muy Baja",'Mapa final'!$AD$127="Menor"),CONCATENATE("R40C",'Mapa final'!$R$127),"")</f>
        <v/>
      </c>
      <c r="N222" s="191" t="str">
        <f>IF(AND('Mapa final'!$AB$128="Muy Baja",'Mapa final'!$AD$128="Menor"),CONCATENATE("R40C",'Mapa final'!$R$128),"")</f>
        <v/>
      </c>
      <c r="O222" s="172" t="str">
        <f>IF(AND('Mapa final'!$AB$129="Muy Baja",'Mapa final'!$AD$129="Menor"),CONCATENATE("R40C",'Mapa final'!$R$129),"")</f>
        <v/>
      </c>
      <c r="P222" s="163" t="str">
        <f>IF(AND('Mapa final'!$AB$127="Muy Baja",'Mapa final'!$AD$127="Moderado"),CONCATENATE("R40C",'Mapa final'!$R$127),"")</f>
        <v/>
      </c>
      <c r="Q222" s="190" t="str">
        <f>IF(AND('Mapa final'!$AB$128="Muy Baja",'Mapa final'!$AD$128="Moderado"),CONCATENATE("R40C",'Mapa final'!$R$128),"")</f>
        <v/>
      </c>
      <c r="R222" s="164" t="str">
        <f>IF(AND('Mapa final'!$AB$129="Muy Baja",'Mapa final'!$AD$129="Moderado"),CONCATENATE("R40C",'Mapa final'!$R$129),"")</f>
        <v/>
      </c>
      <c r="S222" s="195" t="str">
        <f>IF(AND('Mapa final'!$AB$127="Muy Baja",'Mapa final'!$AD$127="Mayor"),CONCATENATE("R40C",'Mapa final'!$R$127),"")</f>
        <v/>
      </c>
      <c r="T222" s="196" t="str">
        <f>IF(AND('Mapa final'!$AB$128="Muy Baja",'Mapa final'!$AD$128="Mayor"),CONCATENATE("R40C",'Mapa final'!$R$128),"")</f>
        <v/>
      </c>
      <c r="U222" s="197" t="str">
        <f>IF(AND('Mapa final'!$AB$129="Muy Baja",'Mapa final'!$AD$129="Mayor"),CONCATENATE("R40C",'Mapa final'!$R$129),"")</f>
        <v/>
      </c>
      <c r="V222" s="158" t="str">
        <f>IF(AND('Mapa final'!$AB$127="Muy Baja",'Mapa final'!$AD$127="Catastrófico"),CONCATENATE("R40C",'Mapa final'!$R$127),"")</f>
        <v/>
      </c>
      <c r="W222" s="189" t="str">
        <f>IF(AND('Mapa final'!$AB$128="Muy Baja",'Mapa final'!$AD$128="Catastrófico"),CONCATENATE("R40C",'Mapa final'!$R$128),"")</f>
        <v/>
      </c>
      <c r="X222" s="159" t="str">
        <f>IF(AND('Mapa final'!$AB$129="Muy Baja",'Mapa final'!$AD$129="Catastrófico"),CONCATENATE("R40C",'Mapa final'!$R$129),"")</f>
        <v/>
      </c>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c r="BC222" s="38"/>
      <c r="BD222" s="38"/>
      <c r="BE222" s="38"/>
      <c r="BF222" s="38"/>
      <c r="BG222" s="38"/>
      <c r="BH222" s="38"/>
      <c r="BI222" s="38"/>
      <c r="BJ222" s="38"/>
      <c r="BK222" s="38"/>
      <c r="BL222" s="38"/>
      <c r="BM222" s="38"/>
    </row>
    <row r="223" spans="1:65" ht="15" customHeight="1" x14ac:dyDescent="0.25">
      <c r="A223" s="38"/>
      <c r="B223" s="291"/>
      <c r="C223" s="292"/>
      <c r="D223" s="293"/>
      <c r="E223" s="275"/>
      <c r="F223" s="274"/>
      <c r="G223" s="274"/>
      <c r="H223" s="274"/>
      <c r="I223" s="298"/>
      <c r="J223" s="171" t="str">
        <f>IF(AND('Mapa final'!$AB$130="Muy Baja",'Mapa final'!$AD$130="Leve"),CONCATENATE("R41C",'Mapa final'!$R$130),"")</f>
        <v/>
      </c>
      <c r="K223" s="191" t="str">
        <f>IF(AND('Mapa final'!$AB$131="Muy Baja",'Mapa final'!$AD$131="Leve"),CONCATENATE("R41C",'Mapa final'!$R$131),"")</f>
        <v/>
      </c>
      <c r="L223" s="172" t="str">
        <f>IF(AND('Mapa final'!$AB$132="Muy Baja",'Mapa final'!$AD$132="Leve"),CONCATENATE("R41C",'Mapa final'!$R$132),"")</f>
        <v/>
      </c>
      <c r="M223" s="171" t="str">
        <f>IF(AND('Mapa final'!$AB$130="Muy Baja",'Mapa final'!$AD$130="Menor"),CONCATENATE("R41C",'Mapa final'!$R$130),"")</f>
        <v/>
      </c>
      <c r="N223" s="191" t="str">
        <f>IF(AND('Mapa final'!$AB$131="Muy Baja",'Mapa final'!$AD$131="Menor"),CONCATENATE("R41C",'Mapa final'!$R$131),"")</f>
        <v/>
      </c>
      <c r="O223" s="172" t="str">
        <f>IF(AND('Mapa final'!$AB$132="Muy Baja",'Mapa final'!$AD$132="Menor"),CONCATENATE("R41C",'Mapa final'!$R$132),"")</f>
        <v/>
      </c>
      <c r="P223" s="163" t="str">
        <f>IF(AND('Mapa final'!$AB$130="Muy Baja",'Mapa final'!$AD$130="Moderado"),CONCATENATE("R41C",'Mapa final'!$R$130),"")</f>
        <v/>
      </c>
      <c r="Q223" s="190" t="str">
        <f>IF(AND('Mapa final'!$AB$131="Muy Baja",'Mapa final'!$AD$131="Moderado"),CONCATENATE("R41C",'Mapa final'!$R$131),"")</f>
        <v/>
      </c>
      <c r="R223" s="164" t="str">
        <f>IF(AND('Mapa final'!$AB$132="Muy Baja",'Mapa final'!$AD$132="Moderado"),CONCATENATE("R41C",'Mapa final'!$R$132),"")</f>
        <v/>
      </c>
      <c r="S223" s="195" t="str">
        <f>IF(AND('Mapa final'!$AB$130="Muy Baja",'Mapa final'!$AD$130="Mayor"),CONCATENATE("R41C",'Mapa final'!$R$130),"")</f>
        <v/>
      </c>
      <c r="T223" s="196" t="str">
        <f>IF(AND('Mapa final'!$AB$131="Muy Baja",'Mapa final'!$AD$131="Mayor"),CONCATENATE("R41C",'Mapa final'!$R$131),"")</f>
        <v/>
      </c>
      <c r="U223" s="197" t="str">
        <f>IF(AND('Mapa final'!$AB$132="Muy Baja",'Mapa final'!$AD$132="Mayor"),CONCATENATE("R41C",'Mapa final'!$R$132),"")</f>
        <v/>
      </c>
      <c r="V223" s="158" t="str">
        <f>IF(AND('Mapa final'!$AB$130="Muy Baja",'Mapa final'!$AD$130="Catastrófico"),CONCATENATE("R41C",'Mapa final'!$R$130),"")</f>
        <v/>
      </c>
      <c r="W223" s="189" t="str">
        <f>IF(AND('Mapa final'!$AB$131="Muy Baja",'Mapa final'!$AD$131="Catastrófico"),CONCATENATE("R41C",'Mapa final'!$R$131),"")</f>
        <v/>
      </c>
      <c r="X223" s="159" t="str">
        <f>IF(AND('Mapa final'!$AB$132="Muy Baja",'Mapa final'!$AD$132="Catastrófico"),CONCATENATE("R41C",'Mapa final'!$R$132),"")</f>
        <v/>
      </c>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c r="BC223" s="38"/>
      <c r="BD223" s="38"/>
      <c r="BE223" s="38"/>
      <c r="BF223" s="38"/>
      <c r="BG223" s="38"/>
      <c r="BH223" s="38"/>
      <c r="BI223" s="38"/>
      <c r="BJ223" s="38"/>
      <c r="BK223" s="38"/>
      <c r="BL223" s="38"/>
      <c r="BM223" s="38"/>
    </row>
    <row r="224" spans="1:65" ht="15" customHeight="1" x14ac:dyDescent="0.25">
      <c r="A224" s="38"/>
      <c r="B224" s="291"/>
      <c r="C224" s="292"/>
      <c r="D224" s="293"/>
      <c r="E224" s="275"/>
      <c r="F224" s="274"/>
      <c r="G224" s="274"/>
      <c r="H224" s="274"/>
      <c r="I224" s="298"/>
      <c r="J224" s="171" t="str">
        <f>IF(AND('Mapa final'!$AB$133="Muy Baja",'Mapa final'!$AD$133="Leve"),CONCATENATE("R42C",'Mapa final'!$R$133),"")</f>
        <v/>
      </c>
      <c r="K224" s="191" t="str">
        <f>IF(AND('Mapa final'!$AB$134="Muy Baja",'Mapa final'!$AD$134="Leve"),CONCATENATE("R42C",'Mapa final'!$R$134),"")</f>
        <v/>
      </c>
      <c r="L224" s="172" t="str">
        <f>IF(AND('Mapa final'!$AB$135="Muy Baja",'Mapa final'!$AD$135="Leve"),CONCATENATE("R42C",'Mapa final'!$R$135),"")</f>
        <v/>
      </c>
      <c r="M224" s="171" t="str">
        <f>IF(AND('Mapa final'!$AB$133="Muy Baja",'Mapa final'!$AD$133="Menor"),CONCATENATE("R42C",'Mapa final'!$R$133),"")</f>
        <v/>
      </c>
      <c r="N224" s="191" t="str">
        <f>IF(AND('Mapa final'!$AB$134="Muy Baja",'Mapa final'!$AD$134="Menor"),CONCATENATE("R42C",'Mapa final'!$R$134),"")</f>
        <v/>
      </c>
      <c r="O224" s="172" t="str">
        <f>IF(AND('Mapa final'!$AB$135="Muy Baja",'Mapa final'!$AD$135="Menor"),CONCATENATE("R42C",'Mapa final'!$R$135),"")</f>
        <v/>
      </c>
      <c r="P224" s="163" t="str">
        <f>IF(AND('Mapa final'!$AB$133="Muy Baja",'Mapa final'!$AD$133="Moderado"),CONCATENATE("R42C",'Mapa final'!$R$133),"")</f>
        <v/>
      </c>
      <c r="Q224" s="190" t="str">
        <f>IF(AND('Mapa final'!$AB$134="Muy Baja",'Mapa final'!$AD$134="Moderado"),CONCATENATE("R42C",'Mapa final'!$R$134),"")</f>
        <v/>
      </c>
      <c r="R224" s="164" t="str">
        <f>IF(AND('Mapa final'!$AB$135="Muy Baja",'Mapa final'!$AD$135="Moderado"),CONCATENATE("R42C",'Mapa final'!$R$135),"")</f>
        <v/>
      </c>
      <c r="S224" s="195" t="str">
        <f>IF(AND('Mapa final'!$AB$133="Muy Baja",'Mapa final'!$AD$133="Mayor"),CONCATENATE("R42C",'Mapa final'!$R$133),"")</f>
        <v/>
      </c>
      <c r="T224" s="196" t="str">
        <f>IF(AND('Mapa final'!$AB$134="Muy Baja",'Mapa final'!$AD$134="Mayor"),CONCATENATE("R42C",'Mapa final'!$R$134),"")</f>
        <v/>
      </c>
      <c r="U224" s="197" t="str">
        <f>IF(AND('Mapa final'!$AB$135="Muy Baja",'Mapa final'!$AD$135="Mayor"),CONCATENATE("R42C",'Mapa final'!$R$135),"")</f>
        <v/>
      </c>
      <c r="V224" s="158" t="str">
        <f>IF(AND('Mapa final'!$AB$133="Muy Baja",'Mapa final'!$AD$133="Catastrófico"),CONCATENATE("R42C",'Mapa final'!$R$133),"")</f>
        <v/>
      </c>
      <c r="W224" s="189" t="str">
        <f>IF(AND('Mapa final'!$AB$134="Muy Baja",'Mapa final'!$AD$134="Catastrófico"),CONCATENATE("R42C",'Mapa final'!$R$134),"")</f>
        <v/>
      </c>
      <c r="X224" s="159" t="str">
        <f>IF(AND('Mapa final'!$AB$135="Muy Baja",'Mapa final'!$AD$135="Catastrófico"),CONCATENATE("R42C",'Mapa final'!$R$135),"")</f>
        <v/>
      </c>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c r="BC224" s="38"/>
      <c r="BD224" s="38"/>
      <c r="BE224" s="38"/>
      <c r="BF224" s="38"/>
      <c r="BG224" s="38"/>
      <c r="BH224" s="38"/>
      <c r="BI224" s="38"/>
      <c r="BJ224" s="38"/>
      <c r="BK224" s="38"/>
      <c r="BL224" s="38"/>
      <c r="BM224" s="38"/>
    </row>
    <row r="225" spans="1:65" ht="15" customHeight="1" thickBot="1" x14ac:dyDescent="0.3">
      <c r="A225" s="38"/>
      <c r="B225" s="294"/>
      <c r="C225" s="295"/>
      <c r="D225" s="296"/>
      <c r="E225" s="299"/>
      <c r="F225" s="300"/>
      <c r="G225" s="300"/>
      <c r="H225" s="300"/>
      <c r="I225" s="301"/>
      <c r="J225" s="173" t="str">
        <f>IF(AND('Mapa final'!$AB$136="Muy Baja",'Mapa final'!$AD$136="Leve"),CONCATENATE("R43C",'Mapa final'!$R$136),"")</f>
        <v/>
      </c>
      <c r="K225" s="174" t="str">
        <f>IF(AND('Mapa final'!$AB$137="Muy Baja",'Mapa final'!$AD$137="Leve"),CONCATENATE("R43C",'Mapa final'!$R$137),"")</f>
        <v/>
      </c>
      <c r="L225" s="175" t="str">
        <f>IF(AND('Mapa final'!$AB$138="Muy Baja",'Mapa final'!$AD$138="Leve"),CONCATENATE("R43C",'Mapa final'!$R$138),"")</f>
        <v/>
      </c>
      <c r="M225" s="173" t="str">
        <f>IF(AND('Mapa final'!$AB$136="Muy Baja",'Mapa final'!$AD$136="Menor"),CONCATENATE("R43C",'Mapa final'!$R$136),"")</f>
        <v/>
      </c>
      <c r="N225" s="174" t="str">
        <f>IF(AND('Mapa final'!$AB$137="Muy Baja",'Mapa final'!$AD$137="Menor"),CONCATENATE("R43C",'Mapa final'!$R$137),"")</f>
        <v/>
      </c>
      <c r="O225" s="175" t="str">
        <f>IF(AND('Mapa final'!$AB$138="Muy Baja",'Mapa final'!$AD$138="Menor"),CONCATENATE("R43C",'Mapa final'!$R$138),"")</f>
        <v/>
      </c>
      <c r="P225" s="165" t="str">
        <f>IF(AND('Mapa final'!$AB$136="Muy Baja",'Mapa final'!$AD$136="Moderado"),CONCATENATE("R43C",'Mapa final'!$R$136),"")</f>
        <v/>
      </c>
      <c r="Q225" s="166" t="str">
        <f>IF(AND('Mapa final'!$AB$137="Muy Baja",'Mapa final'!$AD$137="Moderado"),CONCATENATE("R43C",'Mapa final'!$R$137),"")</f>
        <v/>
      </c>
      <c r="R225" s="167" t="str">
        <f>IF(AND('Mapa final'!$AB$138="Muy Baja",'Mapa final'!$AD$138="Moderado"),CONCATENATE("R43C",'Mapa final'!$R$138),"")</f>
        <v/>
      </c>
      <c r="S225" s="198" t="str">
        <f>IF(AND('Mapa final'!$AB$136="Muy Baja",'Mapa final'!$AD$136="Mayor"),CONCATENATE("R43C",'Mapa final'!$R$136),"")</f>
        <v/>
      </c>
      <c r="T225" s="199" t="str">
        <f>IF(AND('Mapa final'!$AB$137="Muy Baja",'Mapa final'!$AD$137="Mayor"),CONCATENATE("R43C",'Mapa final'!$R$137),"")</f>
        <v/>
      </c>
      <c r="U225" s="200" t="str">
        <f>IF(AND('Mapa final'!$AB$138="Muy Baja",'Mapa final'!$AD$138="Mayor"),CONCATENATE("R43C",'Mapa final'!$R$138),"")</f>
        <v/>
      </c>
      <c r="V225" s="176" t="str">
        <f>IF(AND('Mapa final'!$AB$136="Muy Baja",'Mapa final'!$AD$136="Catastrófico"),CONCATENATE("R43C",'Mapa final'!$R$136),"")</f>
        <v/>
      </c>
      <c r="W225" s="177" t="str">
        <f>IF(AND('Mapa final'!$AB$137="Muy Baja",'Mapa final'!$AD$137="Catastrófico"),CONCATENATE("R43C",'Mapa final'!$R$137),"")</f>
        <v/>
      </c>
      <c r="X225" s="178" t="str">
        <f>IF(AND('Mapa final'!$AB$138="Muy Baja",'Mapa final'!$AD$138="Catastrófico"),CONCATENATE("R43C",'Mapa final'!$R$138),"")</f>
        <v/>
      </c>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c r="BC225" s="38"/>
      <c r="BD225" s="38"/>
      <c r="BE225" s="38"/>
      <c r="BF225" s="38"/>
      <c r="BG225" s="38"/>
      <c r="BH225" s="38"/>
      <c r="BI225" s="38"/>
      <c r="BJ225" s="38"/>
      <c r="BK225" s="38"/>
      <c r="BL225" s="38"/>
      <c r="BM225" s="38"/>
    </row>
    <row r="226" spans="1:65" x14ac:dyDescent="0.25">
      <c r="A226" s="38"/>
      <c r="B226" s="38"/>
      <c r="C226" s="38"/>
      <c r="D226" s="38"/>
      <c r="E226" s="38"/>
      <c r="F226" s="38"/>
      <c r="G226" s="38"/>
      <c r="H226" s="38"/>
      <c r="I226" s="38"/>
      <c r="J226" s="314" t="s">
        <v>103</v>
      </c>
      <c r="K226" s="274"/>
      <c r="L226" s="274"/>
      <c r="M226" s="273" t="s">
        <v>102</v>
      </c>
      <c r="N226" s="274"/>
      <c r="O226" s="274"/>
      <c r="P226" s="273" t="s">
        <v>101</v>
      </c>
      <c r="Q226" s="274"/>
      <c r="R226" s="274"/>
      <c r="S226" s="273" t="s">
        <v>100</v>
      </c>
      <c r="T226" s="319"/>
      <c r="U226" s="274"/>
      <c r="V226" s="273" t="s">
        <v>99</v>
      </c>
      <c r="W226" s="274"/>
      <c r="X226" s="320"/>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c r="BC226" s="38"/>
      <c r="BD226" s="38"/>
      <c r="BE226" s="38"/>
      <c r="BF226" s="38"/>
      <c r="BG226" s="38"/>
      <c r="BH226" s="38"/>
      <c r="BI226" s="38"/>
      <c r="BJ226" s="38"/>
      <c r="BK226" s="38"/>
      <c r="BL226" s="38"/>
      <c r="BM226" s="38"/>
    </row>
    <row r="227" spans="1:65" x14ac:dyDescent="0.25">
      <c r="A227" s="38"/>
      <c r="B227" s="38"/>
      <c r="C227" s="38"/>
      <c r="D227" s="38"/>
      <c r="E227" s="38"/>
      <c r="F227" s="38"/>
      <c r="G227" s="38"/>
      <c r="H227" s="38"/>
      <c r="I227" s="38"/>
      <c r="J227" s="315"/>
      <c r="K227" s="274"/>
      <c r="L227" s="274"/>
      <c r="M227" s="275"/>
      <c r="N227" s="274"/>
      <c r="O227" s="274"/>
      <c r="P227" s="275"/>
      <c r="Q227" s="274"/>
      <c r="R227" s="274"/>
      <c r="S227" s="275"/>
      <c r="T227" s="274"/>
      <c r="U227" s="274"/>
      <c r="V227" s="275"/>
      <c r="W227" s="274"/>
      <c r="X227" s="320"/>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c r="AW227" s="38"/>
      <c r="AX227" s="38"/>
      <c r="AY227" s="38"/>
      <c r="AZ227" s="38"/>
      <c r="BA227" s="38"/>
      <c r="BB227" s="38"/>
      <c r="BC227" s="38"/>
      <c r="BD227" s="38"/>
      <c r="BE227" s="38"/>
      <c r="BF227" s="38"/>
      <c r="BG227" s="38"/>
      <c r="BH227" s="38"/>
      <c r="BI227" s="38"/>
      <c r="BJ227" s="38"/>
      <c r="BK227" s="38"/>
      <c r="BL227" s="38"/>
      <c r="BM227" s="38"/>
    </row>
    <row r="228" spans="1:65" x14ac:dyDescent="0.25">
      <c r="A228" s="38"/>
      <c r="B228" s="38"/>
      <c r="C228" s="38"/>
      <c r="D228" s="38"/>
      <c r="E228" s="38"/>
      <c r="F228" s="38"/>
      <c r="G228" s="38"/>
      <c r="H228" s="38"/>
      <c r="I228" s="38"/>
      <c r="J228" s="315"/>
      <c r="K228" s="274"/>
      <c r="L228" s="274"/>
      <c r="M228" s="275"/>
      <c r="N228" s="274"/>
      <c r="O228" s="274"/>
      <c r="P228" s="275"/>
      <c r="Q228" s="274"/>
      <c r="R228" s="274"/>
      <c r="S228" s="275"/>
      <c r="T228" s="274"/>
      <c r="U228" s="274"/>
      <c r="V228" s="275"/>
      <c r="W228" s="274"/>
      <c r="X228" s="320"/>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c r="AW228" s="38"/>
      <c r="AX228" s="38"/>
      <c r="AY228" s="38"/>
      <c r="AZ228" s="38"/>
      <c r="BA228" s="38"/>
      <c r="BB228" s="38"/>
      <c r="BC228" s="38"/>
      <c r="BD228" s="38"/>
      <c r="BE228" s="38"/>
      <c r="BF228" s="38"/>
      <c r="BG228" s="38"/>
      <c r="BH228" s="38"/>
      <c r="BI228" s="38"/>
      <c r="BJ228" s="38"/>
      <c r="BK228" s="38"/>
      <c r="BL228" s="38"/>
      <c r="BM228" s="38"/>
    </row>
    <row r="229" spans="1:65" x14ac:dyDescent="0.25">
      <c r="A229" s="38"/>
      <c r="B229" s="38"/>
      <c r="C229" s="38"/>
      <c r="D229" s="38"/>
      <c r="E229" s="38"/>
      <c r="F229" s="38"/>
      <c r="G229" s="38"/>
      <c r="H229" s="38"/>
      <c r="I229" s="38"/>
      <c r="J229" s="315"/>
      <c r="K229" s="274"/>
      <c r="L229" s="274"/>
      <c r="M229" s="275"/>
      <c r="N229" s="274"/>
      <c r="O229" s="274"/>
      <c r="P229" s="275"/>
      <c r="Q229" s="274"/>
      <c r="R229" s="274"/>
      <c r="S229" s="275"/>
      <c r="T229" s="274"/>
      <c r="U229" s="274"/>
      <c r="V229" s="275"/>
      <c r="W229" s="274"/>
      <c r="X229" s="320"/>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c r="AW229" s="38"/>
      <c r="AX229" s="38"/>
      <c r="AY229" s="38"/>
      <c r="AZ229" s="38"/>
      <c r="BA229" s="38"/>
      <c r="BB229" s="38"/>
      <c r="BC229" s="38"/>
      <c r="BD229" s="38"/>
      <c r="BE229" s="38"/>
      <c r="BF229" s="38"/>
      <c r="BG229" s="38"/>
      <c r="BH229" s="38"/>
      <c r="BI229" s="38"/>
      <c r="BJ229" s="38"/>
      <c r="BK229" s="38"/>
      <c r="BL229" s="38"/>
      <c r="BM229" s="38"/>
    </row>
    <row r="230" spans="1:65" x14ac:dyDescent="0.25">
      <c r="A230" s="38"/>
      <c r="B230" s="38"/>
      <c r="C230" s="38"/>
      <c r="D230" s="38"/>
      <c r="E230" s="38"/>
      <c r="F230" s="38"/>
      <c r="G230" s="38"/>
      <c r="H230" s="38"/>
      <c r="I230" s="38"/>
      <c r="J230" s="315"/>
      <c r="K230" s="274"/>
      <c r="L230" s="274"/>
      <c r="M230" s="275"/>
      <c r="N230" s="274"/>
      <c r="O230" s="274"/>
      <c r="P230" s="275"/>
      <c r="Q230" s="274"/>
      <c r="R230" s="274"/>
      <c r="S230" s="275"/>
      <c r="T230" s="274"/>
      <c r="U230" s="274"/>
      <c r="V230" s="275"/>
      <c r="W230" s="274"/>
      <c r="X230" s="320"/>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38"/>
      <c r="BC230" s="38"/>
      <c r="BD230" s="38"/>
      <c r="BE230" s="38"/>
      <c r="BF230" s="38"/>
      <c r="BG230" s="38"/>
      <c r="BH230" s="38"/>
      <c r="BI230" s="38"/>
      <c r="BJ230" s="38"/>
      <c r="BK230" s="38"/>
      <c r="BL230" s="38"/>
      <c r="BM230" s="38"/>
    </row>
    <row r="231" spans="1:65" ht="15.75" thickBot="1" x14ac:dyDescent="0.3">
      <c r="A231" s="38"/>
      <c r="B231" s="38"/>
      <c r="C231" s="38"/>
      <c r="D231" s="38"/>
      <c r="E231" s="38"/>
      <c r="F231" s="38"/>
      <c r="G231" s="38"/>
      <c r="H231" s="38"/>
      <c r="I231" s="38"/>
      <c r="J231" s="316"/>
      <c r="K231" s="317"/>
      <c r="L231" s="317"/>
      <c r="M231" s="318"/>
      <c r="N231" s="317"/>
      <c r="O231" s="317"/>
      <c r="P231" s="318"/>
      <c r="Q231" s="317"/>
      <c r="R231" s="317"/>
      <c r="S231" s="318"/>
      <c r="T231" s="317"/>
      <c r="U231" s="317"/>
      <c r="V231" s="318"/>
      <c r="W231" s="317"/>
      <c r="X231" s="321"/>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c r="BC231" s="38"/>
      <c r="BD231" s="38"/>
      <c r="BE231" s="38"/>
      <c r="BF231" s="38"/>
      <c r="BG231" s="38"/>
      <c r="BH231" s="38"/>
      <c r="BI231" s="38"/>
      <c r="BJ231" s="38"/>
      <c r="BK231" s="38"/>
      <c r="BL231" s="38"/>
      <c r="BM231" s="38"/>
    </row>
    <row r="232" spans="1:65" x14ac:dyDescent="0.25">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row>
    <row r="233" spans="1:65" ht="15" customHeight="1" x14ac:dyDescent="0.25">
      <c r="A233" s="38"/>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38"/>
      <c r="AG233" s="38"/>
      <c r="AH233" s="38"/>
      <c r="AI233" s="38"/>
      <c r="AJ233" s="38"/>
      <c r="AK233" s="38"/>
      <c r="AL233" s="38"/>
      <c r="AM233" s="38"/>
      <c r="AN233" s="38"/>
      <c r="AO233" s="38"/>
      <c r="AP233" s="38"/>
      <c r="AQ233" s="38"/>
      <c r="AR233" s="38"/>
      <c r="AS233" s="38"/>
    </row>
    <row r="234" spans="1:65" ht="15" customHeight="1" x14ac:dyDescent="0.25">
      <c r="A234" s="38"/>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38"/>
      <c r="AG234" s="38"/>
      <c r="AH234" s="38"/>
      <c r="AI234" s="38"/>
      <c r="AJ234" s="38"/>
      <c r="AK234" s="38"/>
      <c r="AL234" s="38"/>
      <c r="AM234" s="38"/>
      <c r="AN234" s="38"/>
      <c r="AO234" s="38"/>
      <c r="AP234" s="38"/>
      <c r="AQ234" s="38"/>
      <c r="AR234" s="38"/>
      <c r="AS234" s="38"/>
    </row>
    <row r="235" spans="1:65" x14ac:dyDescent="0.25">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row>
    <row r="236" spans="1:65" x14ac:dyDescent="0.25">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row>
    <row r="237" spans="1:65" x14ac:dyDescent="0.25">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row>
    <row r="238" spans="1:65" x14ac:dyDescent="0.25">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row>
    <row r="239" spans="1:65" x14ac:dyDescent="0.25">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row>
    <row r="240" spans="1:65" x14ac:dyDescent="0.25">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row>
    <row r="241" spans="1:45" x14ac:dyDescent="0.25">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row>
    <row r="242" spans="1:45" x14ac:dyDescent="0.25">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row>
    <row r="243" spans="1:45" x14ac:dyDescent="0.25">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row>
    <row r="244" spans="1:45" x14ac:dyDescent="0.25">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row>
    <row r="245" spans="1:45" x14ac:dyDescent="0.25">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row>
    <row r="246" spans="1:45" x14ac:dyDescent="0.25">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row>
    <row r="247" spans="1:45" x14ac:dyDescent="0.25">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row>
    <row r="248" spans="1:45" x14ac:dyDescent="0.25">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row>
    <row r="249" spans="1:45" x14ac:dyDescent="0.25">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row>
    <row r="250" spans="1:45" x14ac:dyDescent="0.25">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row>
    <row r="251" spans="1:45" x14ac:dyDescent="0.25">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row>
    <row r="252" spans="1:45" x14ac:dyDescent="0.25">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row>
    <row r="253" spans="1:45" x14ac:dyDescent="0.25">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row>
    <row r="254" spans="1:45" x14ac:dyDescent="0.25">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row>
    <row r="255" spans="1:45" x14ac:dyDescent="0.25">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row>
    <row r="256" spans="1:45" x14ac:dyDescent="0.25">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row>
    <row r="257" spans="1:45" x14ac:dyDescent="0.25">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row>
    <row r="258" spans="1:45" x14ac:dyDescent="0.25">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row>
    <row r="259" spans="1:45" x14ac:dyDescent="0.25">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row>
    <row r="260" spans="1:45" x14ac:dyDescent="0.25">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row>
    <row r="261" spans="1:45" x14ac:dyDescent="0.25">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row>
    <row r="262" spans="1:45" x14ac:dyDescent="0.25">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row>
    <row r="263" spans="1:45" x14ac:dyDescent="0.25">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row>
    <row r="264" spans="1:45" x14ac:dyDescent="0.25">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row>
    <row r="265" spans="1:45" x14ac:dyDescent="0.25">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row>
    <row r="266" spans="1:45" x14ac:dyDescent="0.25">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row>
    <row r="267" spans="1:45" x14ac:dyDescent="0.25">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row>
    <row r="268" spans="1:45" x14ac:dyDescent="0.25">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row>
    <row r="269" spans="1:45" x14ac:dyDescent="0.25">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row>
    <row r="270" spans="1:45" x14ac:dyDescent="0.25">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row>
    <row r="271" spans="1:45" x14ac:dyDescent="0.25">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row>
    <row r="272" spans="1:45" x14ac:dyDescent="0.25">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row>
    <row r="273" spans="1:45" x14ac:dyDescent="0.25">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row>
    <row r="274" spans="1:45" x14ac:dyDescent="0.25">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row>
    <row r="275" spans="1:45" x14ac:dyDescent="0.25">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row>
    <row r="276" spans="1:45" x14ac:dyDescent="0.25">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row>
    <row r="277" spans="1:45" x14ac:dyDescent="0.25">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row>
    <row r="278" spans="1:45" x14ac:dyDescent="0.25">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row>
    <row r="279" spans="1:45" x14ac:dyDescent="0.25">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row>
    <row r="280" spans="1:45" x14ac:dyDescent="0.25">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row>
    <row r="281" spans="1:45" x14ac:dyDescent="0.25">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row>
    <row r="282" spans="1:45" x14ac:dyDescent="0.25">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row>
    <row r="283" spans="1:45" x14ac:dyDescent="0.25">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row>
    <row r="284" spans="1:45" x14ac:dyDescent="0.25">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row>
    <row r="285" spans="1:45" x14ac:dyDescent="0.25">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row>
    <row r="286" spans="1:45" x14ac:dyDescent="0.25">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row>
    <row r="287" spans="1:45" x14ac:dyDescent="0.25">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row>
    <row r="288" spans="1:45" x14ac:dyDescent="0.25">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row>
    <row r="289" spans="1:45" x14ac:dyDescent="0.25">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row>
    <row r="290" spans="1:45" x14ac:dyDescent="0.25">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row>
    <row r="291" spans="1:45" x14ac:dyDescent="0.25">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row>
    <row r="292" spans="1:45" x14ac:dyDescent="0.25">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row>
    <row r="293" spans="1:45" x14ac:dyDescent="0.25">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row>
    <row r="294" spans="1:45" x14ac:dyDescent="0.25">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row>
    <row r="295" spans="1:45" x14ac:dyDescent="0.25">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row>
    <row r="296" spans="1:45" x14ac:dyDescent="0.25">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row>
    <row r="297" spans="1:45" x14ac:dyDescent="0.25">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row>
    <row r="298" spans="1:45" x14ac:dyDescent="0.25">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row>
    <row r="299" spans="1:45" x14ac:dyDescent="0.25">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row>
    <row r="300" spans="1:45" x14ac:dyDescent="0.25">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row>
    <row r="301" spans="1:45" x14ac:dyDescent="0.25">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row>
    <row r="302" spans="1:45" x14ac:dyDescent="0.25">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row>
    <row r="303" spans="1:45" x14ac:dyDescent="0.25">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row>
    <row r="304" spans="1:45" x14ac:dyDescent="0.25">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row>
    <row r="305" spans="1:45" x14ac:dyDescent="0.25">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row>
    <row r="306" spans="1:45" x14ac:dyDescent="0.25">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row>
    <row r="307" spans="1:45" x14ac:dyDescent="0.25">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row>
    <row r="308" spans="1:45" x14ac:dyDescent="0.25">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row>
    <row r="309" spans="1:45" x14ac:dyDescent="0.25">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row>
    <row r="310" spans="1:45" x14ac:dyDescent="0.25">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row>
    <row r="311" spans="1:45" x14ac:dyDescent="0.25">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row>
    <row r="312" spans="1:45" x14ac:dyDescent="0.25">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row>
    <row r="313" spans="1:45" x14ac:dyDescent="0.25">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row>
    <row r="314" spans="1:45" x14ac:dyDescent="0.25">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row>
    <row r="315" spans="1:45" x14ac:dyDescent="0.25">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row>
    <row r="316" spans="1:45" x14ac:dyDescent="0.25">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row>
    <row r="317" spans="1:45" x14ac:dyDescent="0.25">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row>
    <row r="318" spans="1:45" x14ac:dyDescent="0.25">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row>
    <row r="319" spans="1:45" x14ac:dyDescent="0.25">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row>
    <row r="320" spans="1:45" x14ac:dyDescent="0.25">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row>
    <row r="321" spans="1:45" x14ac:dyDescent="0.25">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row>
    <row r="322" spans="1:45" x14ac:dyDescent="0.25">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row>
    <row r="323" spans="1:45" x14ac:dyDescent="0.25">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row>
    <row r="324" spans="1:45" x14ac:dyDescent="0.25">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row>
    <row r="325" spans="1:45" x14ac:dyDescent="0.25">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row>
    <row r="326" spans="1:45" x14ac:dyDescent="0.25">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row>
    <row r="327" spans="1:45" x14ac:dyDescent="0.25">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row>
    <row r="328" spans="1:45" x14ac:dyDescent="0.25">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row>
    <row r="329" spans="1:45" x14ac:dyDescent="0.25">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row>
    <row r="330" spans="1:45" x14ac:dyDescent="0.25">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row>
    <row r="331" spans="1:45" x14ac:dyDescent="0.25">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row>
    <row r="332" spans="1:45" x14ac:dyDescent="0.25">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row>
    <row r="333" spans="1:45" x14ac:dyDescent="0.25">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row>
    <row r="334" spans="1:45" x14ac:dyDescent="0.25">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row>
    <row r="335" spans="1:45" x14ac:dyDescent="0.25">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row>
    <row r="336" spans="1:45" x14ac:dyDescent="0.25">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row>
    <row r="337" spans="1:45" x14ac:dyDescent="0.25">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row>
    <row r="338" spans="1:45" x14ac:dyDescent="0.25">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row>
    <row r="339" spans="1:45" x14ac:dyDescent="0.25">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row>
    <row r="340" spans="1:45" x14ac:dyDescent="0.25">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row>
    <row r="341" spans="1:45" x14ac:dyDescent="0.25">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row>
    <row r="342" spans="1:45" x14ac:dyDescent="0.25">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row>
    <row r="343" spans="1:45" x14ac:dyDescent="0.25">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row>
    <row r="344" spans="1:45" x14ac:dyDescent="0.25">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row>
    <row r="345" spans="1:45" x14ac:dyDescent="0.25">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row>
    <row r="346" spans="1:45" x14ac:dyDescent="0.25">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row>
    <row r="347" spans="1:45" x14ac:dyDescent="0.25">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row>
    <row r="348" spans="1:45" x14ac:dyDescent="0.25">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row>
    <row r="349" spans="1:45" x14ac:dyDescent="0.25">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row>
    <row r="350" spans="1:45" x14ac:dyDescent="0.25">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row>
    <row r="351" spans="1:45" x14ac:dyDescent="0.25">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row>
    <row r="352" spans="1:45" x14ac:dyDescent="0.25">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row>
    <row r="353" spans="1:45" x14ac:dyDescent="0.25">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row>
    <row r="354" spans="1:45" x14ac:dyDescent="0.25">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row>
    <row r="355" spans="1:45" x14ac:dyDescent="0.25">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row>
    <row r="356" spans="1:45" x14ac:dyDescent="0.25">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row>
    <row r="357" spans="1:45" x14ac:dyDescent="0.25">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row>
    <row r="358" spans="1:45" x14ac:dyDescent="0.25">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row>
    <row r="359" spans="1:45" x14ac:dyDescent="0.25">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row>
    <row r="360" spans="1:45" x14ac:dyDescent="0.25">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row>
    <row r="361" spans="1:45" x14ac:dyDescent="0.25">
      <c r="A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row>
    <row r="362" spans="1:45" x14ac:dyDescent="0.25">
      <c r="A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row>
    <row r="363" spans="1:45" x14ac:dyDescent="0.25">
      <c r="A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row>
    <row r="364" spans="1:45" x14ac:dyDescent="0.25">
      <c r="A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row>
    <row r="365" spans="1:45" x14ac:dyDescent="0.25">
      <c r="A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row>
    <row r="366" spans="1:45" x14ac:dyDescent="0.25">
      <c r="A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row>
    <row r="367" spans="1:45" x14ac:dyDescent="0.25">
      <c r="A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row>
    <row r="368" spans="1:45" x14ac:dyDescent="0.25">
      <c r="A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row>
    <row r="369" spans="1:45" x14ac:dyDescent="0.25">
      <c r="A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row>
    <row r="370" spans="1:45" x14ac:dyDescent="0.25">
      <c r="A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row>
    <row r="371" spans="1:45" x14ac:dyDescent="0.25">
      <c r="A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row>
    <row r="372" spans="1:45" x14ac:dyDescent="0.25">
      <c r="A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row>
    <row r="373" spans="1:45" x14ac:dyDescent="0.25">
      <c r="A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row>
    <row r="374" spans="1:45" x14ac:dyDescent="0.25">
      <c r="A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row>
    <row r="375" spans="1:45" x14ac:dyDescent="0.25">
      <c r="A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row>
    <row r="376" spans="1:45" x14ac:dyDescent="0.25">
      <c r="A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row>
    <row r="377" spans="1:45" x14ac:dyDescent="0.25">
      <c r="A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row>
    <row r="378" spans="1:45" x14ac:dyDescent="0.25">
      <c r="A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row>
    <row r="379" spans="1:45" x14ac:dyDescent="0.25">
      <c r="A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row>
    <row r="380" spans="1:45" x14ac:dyDescent="0.25">
      <c r="A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row>
    <row r="381" spans="1:45" x14ac:dyDescent="0.25">
      <c r="A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row>
    <row r="382" spans="1:45" x14ac:dyDescent="0.25">
      <c r="A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row>
    <row r="383" spans="1:45" x14ac:dyDescent="0.25">
      <c r="A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row>
    <row r="384" spans="1:45" x14ac:dyDescent="0.25">
      <c r="A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row>
    <row r="385" spans="1:45" x14ac:dyDescent="0.25">
      <c r="A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row>
    <row r="386" spans="1:45" x14ac:dyDescent="0.25">
      <c r="A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row>
    <row r="387" spans="1:45" x14ac:dyDescent="0.25">
      <c r="A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row>
    <row r="388" spans="1:45" x14ac:dyDescent="0.25">
      <c r="A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row>
    <row r="389" spans="1:45" x14ac:dyDescent="0.25">
      <c r="A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row>
    <row r="390" spans="1:45" x14ac:dyDescent="0.25">
      <c r="A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row>
    <row r="391" spans="1:45" x14ac:dyDescent="0.25">
      <c r="A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row>
    <row r="392" spans="1:45" x14ac:dyDescent="0.25">
      <c r="A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row>
    <row r="393" spans="1:45" x14ac:dyDescent="0.25">
      <c r="A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row>
    <row r="394" spans="1:45" x14ac:dyDescent="0.25">
      <c r="A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row>
    <row r="395" spans="1:45" x14ac:dyDescent="0.25">
      <c r="A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row>
    <row r="396" spans="1:45" x14ac:dyDescent="0.25">
      <c r="A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row>
    <row r="397" spans="1:45" x14ac:dyDescent="0.25">
      <c r="A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row>
    <row r="398" spans="1:45" x14ac:dyDescent="0.25">
      <c r="A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row>
    <row r="399" spans="1:45" x14ac:dyDescent="0.25">
      <c r="A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row>
    <row r="400" spans="1:45" x14ac:dyDescent="0.25">
      <c r="A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row>
    <row r="401" spans="1:45" x14ac:dyDescent="0.25">
      <c r="A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row>
    <row r="402" spans="1:45" x14ac:dyDescent="0.25">
      <c r="A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row>
    <row r="403" spans="1:45" x14ac:dyDescent="0.25">
      <c r="A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row>
    <row r="404" spans="1:45" x14ac:dyDescent="0.25">
      <c r="A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row>
    <row r="405" spans="1:45" x14ac:dyDescent="0.25">
      <c r="A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row>
    <row r="406" spans="1:45" x14ac:dyDescent="0.25">
      <c r="A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row>
    <row r="407" spans="1:45" x14ac:dyDescent="0.25">
      <c r="A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row>
    <row r="408" spans="1:45" x14ac:dyDescent="0.25">
      <c r="A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row>
    <row r="409" spans="1:45" x14ac:dyDescent="0.25">
      <c r="A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c r="AO409" s="38"/>
      <c r="AP409" s="38"/>
      <c r="AQ409" s="38"/>
      <c r="AR409" s="38"/>
      <c r="AS409" s="38"/>
    </row>
    <row r="410" spans="1:45" x14ac:dyDescent="0.25">
      <c r="A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8"/>
      <c r="AN410" s="38"/>
      <c r="AO410" s="38"/>
      <c r="AP410" s="38"/>
      <c r="AQ410" s="38"/>
      <c r="AR410" s="38"/>
      <c r="AS410" s="38"/>
    </row>
    <row r="411" spans="1:45" x14ac:dyDescent="0.25">
      <c r="A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8"/>
      <c r="AN411" s="38"/>
      <c r="AO411" s="38"/>
      <c r="AP411" s="38"/>
      <c r="AQ411" s="38"/>
      <c r="AR411" s="38"/>
      <c r="AS411" s="38"/>
    </row>
    <row r="412" spans="1:45" x14ac:dyDescent="0.25">
      <c r="A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8"/>
      <c r="AN412" s="38"/>
      <c r="AO412" s="38"/>
      <c r="AP412" s="38"/>
      <c r="AQ412" s="38"/>
      <c r="AR412" s="38"/>
      <c r="AS412" s="38"/>
    </row>
    <row r="413" spans="1:45" x14ac:dyDescent="0.25">
      <c r="A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8"/>
      <c r="AL413" s="38"/>
      <c r="AM413" s="38"/>
      <c r="AN413" s="38"/>
      <c r="AO413" s="38"/>
      <c r="AP413" s="38"/>
      <c r="AQ413" s="38"/>
      <c r="AR413" s="38"/>
      <c r="AS413" s="38"/>
    </row>
    <row r="414" spans="1:45" x14ac:dyDescent="0.25">
      <c r="A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8"/>
      <c r="AL414" s="38"/>
      <c r="AM414" s="38"/>
      <c r="AN414" s="38"/>
      <c r="AO414" s="38"/>
      <c r="AP414" s="38"/>
      <c r="AQ414" s="38"/>
      <c r="AR414" s="38"/>
      <c r="AS414" s="38"/>
    </row>
    <row r="415" spans="1:45" x14ac:dyDescent="0.25">
      <c r="A415" s="38"/>
    </row>
    <row r="416" spans="1:45" x14ac:dyDescent="0.25">
      <c r="A416" s="38"/>
    </row>
    <row r="417" spans="1:1" x14ac:dyDescent="0.25">
      <c r="A417" s="38"/>
    </row>
    <row r="418" spans="1:1" x14ac:dyDescent="0.25">
      <c r="A418" s="38"/>
    </row>
  </sheetData>
  <mergeCells count="17">
    <mergeCell ref="J226:L231"/>
    <mergeCell ref="M226:O231"/>
    <mergeCell ref="P226:R231"/>
    <mergeCell ref="S226:U231"/>
    <mergeCell ref="V226:X231"/>
    <mergeCell ref="Z50:AE93"/>
    <mergeCell ref="E50:I93"/>
    <mergeCell ref="Z6:AE49"/>
    <mergeCell ref="B2:I4"/>
    <mergeCell ref="J2:X4"/>
    <mergeCell ref="B6:D225"/>
    <mergeCell ref="E6:I49"/>
    <mergeCell ref="E182:I225"/>
    <mergeCell ref="Z138:AE181"/>
    <mergeCell ref="E138:I181"/>
    <mergeCell ref="Z94:AE137"/>
    <mergeCell ref="E94:I13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X141"/>
  <sheetViews>
    <sheetView tabSelected="1" zoomScale="82" zoomScaleNormal="82" workbookViewId="0">
      <pane ySplit="6" topLeftCell="A7" activePane="bottomLeft" state="frozen"/>
      <selection activeCell="A6" sqref="A6"/>
      <selection pane="bottomLeft" activeCell="AP1" sqref="AP1"/>
    </sheetView>
  </sheetViews>
  <sheetFormatPr baseColWidth="10" defaultColWidth="11.42578125" defaultRowHeight="16.5" x14ac:dyDescent="0.25"/>
  <cols>
    <col min="1" max="1" width="4" style="1" bestFit="1" customWidth="1"/>
    <col min="2" max="2" width="21.5703125" style="1" customWidth="1"/>
    <col min="3" max="3" width="25.5703125" style="1" customWidth="1"/>
    <col min="4" max="4" width="20.5703125" style="1" customWidth="1"/>
    <col min="5" max="5" width="15.5703125" style="1" hidden="1" customWidth="1"/>
    <col min="6" max="6" width="24.42578125" style="1" hidden="1" customWidth="1"/>
    <col min="7" max="7" width="21.85546875" style="1" hidden="1" customWidth="1"/>
    <col min="8" max="8" width="32.42578125" style="1" customWidth="1"/>
    <col min="9" max="9" width="19" style="1" customWidth="1"/>
    <col min="10" max="10" width="17.85546875" style="1" hidden="1" customWidth="1"/>
    <col min="11" max="11" width="16.5703125" style="1" hidden="1" customWidth="1"/>
    <col min="12" max="12" width="6.42578125" style="1" hidden="1" customWidth="1"/>
    <col min="13" max="13" width="33" style="1" hidden="1" customWidth="1"/>
    <col min="14" max="14" width="42" style="1" hidden="1" customWidth="1"/>
    <col min="15" max="15" width="15.42578125" style="1" hidden="1" customWidth="1"/>
    <col min="16" max="16" width="6.42578125" style="1" hidden="1" customWidth="1"/>
    <col min="17" max="17" width="16" style="1" hidden="1" customWidth="1"/>
    <col min="18" max="18" width="5.85546875" style="1" customWidth="1"/>
    <col min="19" max="19" width="56.42578125" style="2" customWidth="1"/>
    <col min="20" max="20" width="15.140625" style="1" hidden="1" customWidth="1"/>
    <col min="21" max="21" width="6.85546875" style="1" hidden="1" customWidth="1"/>
    <col min="22" max="22" width="5" style="1" hidden="1" customWidth="1"/>
    <col min="23" max="23" width="5.5703125" style="1" hidden="1" customWidth="1"/>
    <col min="24" max="24" width="7.140625" style="1" hidden="1" customWidth="1"/>
    <col min="25" max="25" width="6.5703125" style="1" hidden="1" customWidth="1"/>
    <col min="26" max="26" width="7.5703125" style="1" hidden="1" customWidth="1"/>
    <col min="27" max="27" width="10.5703125" style="1" hidden="1" customWidth="1"/>
    <col min="28" max="28" width="8.5703125" style="1" hidden="1" customWidth="1"/>
    <col min="29" max="29" width="8.85546875" style="1" hidden="1" customWidth="1"/>
    <col min="30" max="31" width="9.42578125" style="1" hidden="1" customWidth="1"/>
    <col min="32" max="32" width="8.42578125" style="1" hidden="1" customWidth="1"/>
    <col min="33" max="33" width="7.42578125" style="1" hidden="1" customWidth="1"/>
    <col min="34" max="34" width="31.5703125" style="2" customWidth="1"/>
    <col min="35" max="35" width="18.85546875" style="1" customWidth="1"/>
    <col min="36" max="36" width="12.5703125" style="89" customWidth="1"/>
    <col min="37" max="37" width="16.140625" style="89" bestFit="1" customWidth="1"/>
    <col min="38" max="38" width="18.5703125" style="90" customWidth="1"/>
    <col min="39" max="39" width="54.140625" style="2" customWidth="1"/>
    <col min="40" max="40" width="47.5703125" style="2" customWidth="1"/>
    <col min="41" max="41" width="11.42578125" style="2" customWidth="1"/>
    <col min="42" max="43" width="48.7109375" style="2" customWidth="1"/>
    <col min="44" max="46" width="11.42578125" style="2" customWidth="1"/>
    <col min="47" max="47" width="24.7109375" style="2" customWidth="1"/>
    <col min="48" max="50" width="36.140625" style="2" customWidth="1"/>
    <col min="51" max="93" width="11.42578125" style="2" customWidth="1"/>
    <col min="94" max="16384" width="11.42578125" style="2"/>
  </cols>
  <sheetData>
    <row r="1" spans="1:50" ht="16.5" customHeight="1" x14ac:dyDescent="0.25">
      <c r="A1" s="403" t="s">
        <v>553</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404"/>
      <c r="AL1" s="404"/>
    </row>
    <row r="2" spans="1:50" ht="24" customHeight="1" x14ac:dyDescent="0.25">
      <c r="A2" s="405"/>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c r="AL2" s="406"/>
    </row>
    <row r="3" spans="1:50" x14ac:dyDescent="0.25">
      <c r="A3" s="21"/>
      <c r="B3" s="21"/>
      <c r="C3" s="21"/>
      <c r="D3" s="21"/>
      <c r="E3" s="21"/>
      <c r="F3" s="21"/>
      <c r="G3" s="21"/>
      <c r="H3" s="21"/>
      <c r="I3" s="21"/>
      <c r="J3" s="21"/>
      <c r="K3" s="21"/>
      <c r="L3" s="21"/>
      <c r="M3" s="21"/>
      <c r="N3" s="21"/>
      <c r="O3" s="21"/>
      <c r="P3" s="21"/>
      <c r="Q3" s="21"/>
      <c r="R3" s="21"/>
      <c r="S3" s="20"/>
      <c r="T3" s="21"/>
      <c r="U3" s="21"/>
      <c r="V3" s="21"/>
      <c r="W3" s="21"/>
      <c r="X3" s="21"/>
      <c r="Y3" s="21"/>
      <c r="Z3" s="21"/>
      <c r="AA3" s="21"/>
      <c r="AB3" s="21"/>
      <c r="AC3" s="21"/>
      <c r="AD3" s="21"/>
      <c r="AE3" s="21"/>
      <c r="AF3" s="21"/>
      <c r="AG3" s="21"/>
      <c r="AH3" s="20"/>
      <c r="AI3" s="21"/>
      <c r="AJ3" s="87"/>
      <c r="AK3" s="87"/>
      <c r="AL3" s="88"/>
    </row>
    <row r="4" spans="1:50" x14ac:dyDescent="0.25">
      <c r="A4" s="407" t="s">
        <v>125</v>
      </c>
      <c r="B4" s="408"/>
      <c r="C4" s="408"/>
      <c r="D4" s="408"/>
      <c r="E4" s="408"/>
      <c r="F4" s="408"/>
      <c r="G4" s="408"/>
      <c r="H4" s="408"/>
      <c r="I4" s="408"/>
      <c r="J4" s="409"/>
      <c r="K4" s="407" t="s">
        <v>126</v>
      </c>
      <c r="L4" s="408"/>
      <c r="M4" s="408"/>
      <c r="N4" s="408"/>
      <c r="O4" s="408"/>
      <c r="P4" s="408"/>
      <c r="Q4" s="409"/>
      <c r="R4" s="407" t="s">
        <v>127</v>
      </c>
      <c r="S4" s="408"/>
      <c r="T4" s="408"/>
      <c r="U4" s="408"/>
      <c r="V4" s="408"/>
      <c r="W4" s="408"/>
      <c r="X4" s="408"/>
      <c r="Y4" s="408"/>
      <c r="Z4" s="409"/>
      <c r="AA4" s="407" t="s">
        <v>128</v>
      </c>
      <c r="AB4" s="408"/>
      <c r="AC4" s="408"/>
      <c r="AD4" s="408"/>
      <c r="AE4" s="408"/>
      <c r="AF4" s="408"/>
      <c r="AG4" s="409"/>
      <c r="AH4" s="407" t="s">
        <v>34</v>
      </c>
      <c r="AI4" s="408"/>
      <c r="AJ4" s="408"/>
      <c r="AK4" s="408"/>
      <c r="AL4" s="408"/>
      <c r="AM4" s="322" t="s">
        <v>569</v>
      </c>
      <c r="AN4" s="323"/>
      <c r="AO4" s="323"/>
      <c r="AP4" s="323"/>
      <c r="AQ4" s="323"/>
      <c r="AR4" s="323"/>
      <c r="AS4" s="323"/>
      <c r="AT4" s="323"/>
      <c r="AU4" s="323"/>
      <c r="AV4" s="323"/>
      <c r="AW4" s="323"/>
      <c r="AX4" s="323"/>
    </row>
    <row r="5" spans="1:50" ht="49.35" customHeight="1" x14ac:dyDescent="0.25">
      <c r="A5" s="413" t="s">
        <v>0</v>
      </c>
      <c r="B5" s="416" t="s">
        <v>188</v>
      </c>
      <c r="C5" s="416" t="s">
        <v>189</v>
      </c>
      <c r="D5" s="416" t="s">
        <v>172</v>
      </c>
      <c r="E5" s="418" t="s">
        <v>2</v>
      </c>
      <c r="F5" s="416" t="s">
        <v>3</v>
      </c>
      <c r="G5" s="416" t="s">
        <v>38</v>
      </c>
      <c r="H5" s="417" t="s">
        <v>1</v>
      </c>
      <c r="I5" s="415" t="s">
        <v>44</v>
      </c>
      <c r="J5" s="416" t="s">
        <v>121</v>
      </c>
      <c r="K5" s="419" t="s">
        <v>33</v>
      </c>
      <c r="L5" s="420" t="s">
        <v>5</v>
      </c>
      <c r="M5" s="415" t="s">
        <v>80</v>
      </c>
      <c r="N5" s="415" t="s">
        <v>85</v>
      </c>
      <c r="O5" s="421" t="s">
        <v>39</v>
      </c>
      <c r="P5" s="420" t="s">
        <v>5</v>
      </c>
      <c r="Q5" s="416" t="s">
        <v>42</v>
      </c>
      <c r="R5" s="410" t="s">
        <v>11</v>
      </c>
      <c r="S5" s="327" t="s">
        <v>137</v>
      </c>
      <c r="T5" s="415" t="s">
        <v>12</v>
      </c>
      <c r="U5" s="327" t="s">
        <v>8</v>
      </c>
      <c r="V5" s="327"/>
      <c r="W5" s="327"/>
      <c r="X5" s="327"/>
      <c r="Y5" s="327"/>
      <c r="Z5" s="327"/>
      <c r="AA5" s="412" t="s">
        <v>124</v>
      </c>
      <c r="AB5" s="412" t="s">
        <v>40</v>
      </c>
      <c r="AC5" s="412" t="s">
        <v>5</v>
      </c>
      <c r="AD5" s="412" t="s">
        <v>41</v>
      </c>
      <c r="AE5" s="412" t="s">
        <v>5</v>
      </c>
      <c r="AF5" s="412" t="s">
        <v>43</v>
      </c>
      <c r="AG5" s="410" t="s">
        <v>29</v>
      </c>
      <c r="AH5" s="327" t="s">
        <v>190</v>
      </c>
      <c r="AI5" s="327" t="s">
        <v>196</v>
      </c>
      <c r="AJ5" s="327" t="s">
        <v>191</v>
      </c>
      <c r="AK5" s="327" t="s">
        <v>192</v>
      </c>
      <c r="AL5" s="327" t="s">
        <v>274</v>
      </c>
      <c r="AM5" s="324" t="s">
        <v>554</v>
      </c>
      <c r="AN5" s="325"/>
      <c r="AO5" s="326"/>
      <c r="AP5" s="324" t="s">
        <v>555</v>
      </c>
      <c r="AQ5" s="325"/>
      <c r="AR5" s="326"/>
      <c r="AS5" s="327" t="s">
        <v>556</v>
      </c>
      <c r="AT5" s="327"/>
      <c r="AU5" s="327"/>
      <c r="AV5" s="327" t="s">
        <v>557</v>
      </c>
      <c r="AW5" s="327"/>
      <c r="AX5" s="327" t="s">
        <v>558</v>
      </c>
    </row>
    <row r="6" spans="1:50" s="150" customFormat="1" ht="99.6" customHeight="1" x14ac:dyDescent="0.25">
      <c r="A6" s="414"/>
      <c r="B6" s="327"/>
      <c r="C6" s="327"/>
      <c r="D6" s="327"/>
      <c r="E6" s="418"/>
      <c r="F6" s="327"/>
      <c r="G6" s="327"/>
      <c r="H6" s="418"/>
      <c r="I6" s="416"/>
      <c r="J6" s="327"/>
      <c r="K6" s="416"/>
      <c r="L6" s="322"/>
      <c r="M6" s="416"/>
      <c r="N6" s="416"/>
      <c r="O6" s="322"/>
      <c r="P6" s="322"/>
      <c r="Q6" s="327"/>
      <c r="R6" s="411"/>
      <c r="S6" s="327"/>
      <c r="T6" s="416"/>
      <c r="U6" s="4" t="s">
        <v>13</v>
      </c>
      <c r="V6" s="4" t="s">
        <v>17</v>
      </c>
      <c r="W6" s="4" t="s">
        <v>28</v>
      </c>
      <c r="X6" s="4" t="s">
        <v>18</v>
      </c>
      <c r="Y6" s="4" t="s">
        <v>21</v>
      </c>
      <c r="Z6" s="4" t="s">
        <v>24</v>
      </c>
      <c r="AA6" s="412"/>
      <c r="AB6" s="412"/>
      <c r="AC6" s="412"/>
      <c r="AD6" s="412"/>
      <c r="AE6" s="412"/>
      <c r="AF6" s="412"/>
      <c r="AG6" s="411"/>
      <c r="AH6" s="327"/>
      <c r="AI6" s="327"/>
      <c r="AJ6" s="327"/>
      <c r="AK6" s="327"/>
      <c r="AL6" s="327"/>
      <c r="AM6" s="201" t="s">
        <v>559</v>
      </c>
      <c r="AN6" s="201" t="s">
        <v>560</v>
      </c>
      <c r="AO6" s="201" t="s">
        <v>561</v>
      </c>
      <c r="AP6" s="201" t="s">
        <v>562</v>
      </c>
      <c r="AQ6" s="201" t="s">
        <v>563</v>
      </c>
      <c r="AR6" s="201" t="s">
        <v>561</v>
      </c>
      <c r="AS6" s="201" t="s">
        <v>564</v>
      </c>
      <c r="AT6" s="201" t="s">
        <v>565</v>
      </c>
      <c r="AU6" s="201" t="s">
        <v>566</v>
      </c>
      <c r="AV6" s="201" t="s">
        <v>567</v>
      </c>
      <c r="AW6" s="201" t="s">
        <v>568</v>
      </c>
      <c r="AX6" s="324"/>
    </row>
    <row r="7" spans="1:50" s="114" customFormat="1" ht="247.5" customHeight="1" x14ac:dyDescent="0.25">
      <c r="A7" s="400">
        <v>1</v>
      </c>
      <c r="B7" s="384" t="s">
        <v>275</v>
      </c>
      <c r="C7" s="379" t="s">
        <v>276</v>
      </c>
      <c r="D7" s="379" t="s">
        <v>277</v>
      </c>
      <c r="E7" s="377" t="s">
        <v>118</v>
      </c>
      <c r="F7" s="377" t="s">
        <v>235</v>
      </c>
      <c r="G7" s="377" t="s">
        <v>236</v>
      </c>
      <c r="H7" s="362" t="s">
        <v>278</v>
      </c>
      <c r="I7" s="377" t="s">
        <v>115</v>
      </c>
      <c r="J7" s="370">
        <v>30</v>
      </c>
      <c r="K7" s="372" t="str">
        <f>IF(J7&lt;=0,"",IF(J7&lt;=2,"Muy Baja",IF(J7&lt;=24,"Baja",IF(J7&lt;=500,"Media",IF(J7&lt;=5000,"Alta","Muy Alta")))))</f>
        <v>Media</v>
      </c>
      <c r="L7" s="343">
        <f>IF(K7="","",IF(K7="Muy Baja",0.2,IF(K7="Baja",0.4,IF(K7="Media",0.6,IF(K7="Alta",0.8,IF(K7="Muy Alta",1,))))))</f>
        <v>0.6</v>
      </c>
      <c r="M7" s="375" t="s">
        <v>248</v>
      </c>
      <c r="N7" s="179"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372" t="str">
        <f>IF(OR(N7='Tabla Impacto'!$C$11,N7='Tabla Impacto'!$D$11),"Leve",IF(OR(N7='Tabla Impacto'!$C$12,N7='Tabla Impacto'!$D$12),"Menor",IF(OR(N7='Tabla Impacto'!$C$13,N7='Tabla Impacto'!$D$13),"Moderado",IF(OR(N7='Tabla Impacto'!$C$14,N7='Tabla Impacto'!$D$14),"Mayor",IF(OR(N7='Tabla Impacto'!$C$15,N7='Tabla Impacto'!$D$15),"Catastrófico","")))))</f>
        <v>Moderado</v>
      </c>
      <c r="P7" s="343">
        <f>IF(O7="","",IF(O7="Leve",0.2,IF(O7="Menor",0.4,IF(O7="Moderado",0.6,IF(O7="Mayor",0.8,IF(O7="Catastrófico",1,))))))</f>
        <v>0.6</v>
      </c>
      <c r="Q7" s="367"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94">
        <v>1</v>
      </c>
      <c r="S7" s="79" t="s">
        <v>279</v>
      </c>
      <c r="T7" s="95" t="str">
        <f t="shared" ref="T7:T22" si="0">IF(OR(U7="Preventivo",U7="Detectivo"),"Probabilidad",IF(U7="Correctivo","Impacto",""))</f>
        <v>Probabilidad</v>
      </c>
      <c r="U7" s="96" t="s">
        <v>14</v>
      </c>
      <c r="V7" s="96" t="s">
        <v>9</v>
      </c>
      <c r="W7" s="97" t="str">
        <f>IF(AND(U7="Preventivo",V7="Automático"),"50%",IF(AND(U7="Preventivo",V7="Manual"),"40%",IF(AND(U7="Detectivo",V7="Automático"),"40%",IF(AND(U7="Detectivo",V7="Manual"),"30%",IF(AND(U7="Correctivo",V7="Automático"),"35%",IF(AND(U7="Correctivo",V7="Manual"),"25%",""))))))</f>
        <v>40%</v>
      </c>
      <c r="X7" s="96" t="s">
        <v>19</v>
      </c>
      <c r="Y7" s="96" t="s">
        <v>22</v>
      </c>
      <c r="Z7" s="96" t="s">
        <v>110</v>
      </c>
      <c r="AA7" s="98">
        <f>IFERROR(IF(T7="Probabilidad",($L$7-(+$L$7*W7)),IF(T7="Impacto",$L$7,"")),"")</f>
        <v>0.36</v>
      </c>
      <c r="AB7" s="99" t="str">
        <f t="shared" ref="AB7:AB22" si="1">IFERROR(IF(AA7="","",IF(AA7&lt;=0.2,"Muy Baja",IF(AA7&lt;=0.4,"Baja",IF(AA7&lt;=0.6,"Media",IF(AA7&lt;=0.8,"Alta","Muy Alta"))))),"")</f>
        <v>Baja</v>
      </c>
      <c r="AC7" s="100">
        <f t="shared" ref="AC7:AC22" si="2">+AA7</f>
        <v>0.36</v>
      </c>
      <c r="AD7" s="99" t="str">
        <f t="shared" ref="AD7:AD22" si="3">IFERROR(IF(AE7="","",IF(AE7&lt;=0.2,"Leve",IF(AE7&lt;=0.4,"Menor",IF(AE7&lt;=0.6,"Moderado",IF(AE7&lt;=0.8,"Mayor","Catastrófico"))))),"")</f>
        <v>Moderado</v>
      </c>
      <c r="AE7" s="100">
        <f>IFERROR(IF(T7="Impacto",($P$7-(+$P$7*W7)),IF(T7="Probabilidad",$P$7,"")),"")</f>
        <v>0.6</v>
      </c>
      <c r="AF7" s="101" t="str">
        <f t="shared" ref="AF7:AF22" si="4">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02" t="s">
        <v>122</v>
      </c>
      <c r="AH7" s="91" t="s">
        <v>280</v>
      </c>
      <c r="AI7" s="92" t="s">
        <v>197</v>
      </c>
      <c r="AJ7" s="103" t="s">
        <v>281</v>
      </c>
      <c r="AK7" s="103" t="s">
        <v>205</v>
      </c>
      <c r="AL7" s="79" t="s">
        <v>224</v>
      </c>
      <c r="AM7" s="79" t="s">
        <v>597</v>
      </c>
      <c r="AN7" s="210" t="s">
        <v>598</v>
      </c>
      <c r="AO7" s="211">
        <v>0.5</v>
      </c>
      <c r="AP7" s="210" t="s">
        <v>599</v>
      </c>
      <c r="AQ7" s="212" t="s">
        <v>600</v>
      </c>
      <c r="AR7" s="213">
        <v>0.5</v>
      </c>
      <c r="AS7" s="92"/>
      <c r="AT7" s="92" t="s">
        <v>575</v>
      </c>
      <c r="AU7" s="92" t="s">
        <v>603</v>
      </c>
      <c r="AV7" s="92" t="s">
        <v>603</v>
      </c>
      <c r="AW7" s="92" t="s">
        <v>603</v>
      </c>
      <c r="AX7" s="92" t="s">
        <v>603</v>
      </c>
    </row>
    <row r="8" spans="1:50" s="114" customFormat="1" ht="228" customHeight="1" x14ac:dyDescent="0.25">
      <c r="A8" s="349"/>
      <c r="B8" s="385"/>
      <c r="C8" s="382"/>
      <c r="D8" s="380"/>
      <c r="E8" s="378"/>
      <c r="F8" s="378"/>
      <c r="G8" s="378"/>
      <c r="H8" s="363"/>
      <c r="I8" s="378"/>
      <c r="J8" s="371"/>
      <c r="K8" s="373"/>
      <c r="L8" s="344"/>
      <c r="M8" s="376"/>
      <c r="N8" s="180"/>
      <c r="O8" s="373"/>
      <c r="P8" s="344"/>
      <c r="Q8" s="368"/>
      <c r="R8" s="94">
        <v>2</v>
      </c>
      <c r="S8" s="79" t="s">
        <v>505</v>
      </c>
      <c r="T8" s="95" t="str">
        <f t="shared" si="0"/>
        <v>Probabilidad</v>
      </c>
      <c r="U8" s="96" t="s">
        <v>14</v>
      </c>
      <c r="V8" s="96" t="s">
        <v>9</v>
      </c>
      <c r="W8" s="97" t="str">
        <f>IF(AND(U8="Preventivo",V8="Automático"),"50%",IF(AND(U8="Preventivo",V8="Manual"),"40%",IF(AND(U8="Detectivo",V8="Automático"),"40%",IF(AND(U8="Detectivo",V8="Manual"),"30%",IF(AND(U8="Correctivo",V8="Automático"),"35%",IF(AND(U8="Correctivo",V8="Manual"),"25%",""))))))</f>
        <v>40%</v>
      </c>
      <c r="X8" s="96" t="s">
        <v>19</v>
      </c>
      <c r="Y8" s="96" t="s">
        <v>22</v>
      </c>
      <c r="Z8" s="96" t="s">
        <v>110</v>
      </c>
      <c r="AA8" s="98">
        <f>IFERROR(IF(T8="Probabilidad",(AA7-(+AA7*W8)),IF(T8="Impacto",$L$7,"")),"")</f>
        <v>0.216</v>
      </c>
      <c r="AB8" s="99" t="str">
        <f t="shared" si="1"/>
        <v>Baja</v>
      </c>
      <c r="AC8" s="100">
        <f t="shared" si="2"/>
        <v>0.216</v>
      </c>
      <c r="AD8" s="99" t="str">
        <f t="shared" si="3"/>
        <v>Moderado</v>
      </c>
      <c r="AE8" s="100">
        <f>IFERROR(IF(T8="Impacto",($P$7-(+$P$7*W8)),IF(T8="Probabilidad",$P$7,"")),"")</f>
        <v>0.6</v>
      </c>
      <c r="AF8" s="101" t="str">
        <f t="shared" si="4"/>
        <v>Moderado</v>
      </c>
      <c r="AG8" s="102" t="s">
        <v>122</v>
      </c>
      <c r="AH8" s="92" t="s">
        <v>603</v>
      </c>
      <c r="AI8" s="92" t="s">
        <v>603</v>
      </c>
      <c r="AJ8" s="92" t="s">
        <v>603</v>
      </c>
      <c r="AK8" s="92" t="s">
        <v>603</v>
      </c>
      <c r="AL8" s="92" t="s">
        <v>603</v>
      </c>
      <c r="AM8" s="104" t="s">
        <v>601</v>
      </c>
      <c r="AN8" s="212" t="s">
        <v>769</v>
      </c>
      <c r="AO8" s="213">
        <v>0.5</v>
      </c>
      <c r="AP8" s="92" t="s">
        <v>603</v>
      </c>
      <c r="AQ8" s="92" t="s">
        <v>603</v>
      </c>
      <c r="AR8" s="92" t="s">
        <v>576</v>
      </c>
      <c r="AS8" s="92"/>
      <c r="AT8" s="92" t="s">
        <v>575</v>
      </c>
      <c r="AU8" s="92" t="s">
        <v>603</v>
      </c>
      <c r="AV8" s="92" t="s">
        <v>603</v>
      </c>
      <c r="AW8" s="92" t="s">
        <v>603</v>
      </c>
      <c r="AX8" s="92" t="s">
        <v>603</v>
      </c>
    </row>
    <row r="9" spans="1:50" s="114" customFormat="1" ht="167.25" hidden="1" customHeight="1" x14ac:dyDescent="0.25">
      <c r="A9" s="349"/>
      <c r="B9" s="386"/>
      <c r="C9" s="382"/>
      <c r="D9" s="380"/>
      <c r="E9" s="378"/>
      <c r="F9" s="378"/>
      <c r="G9" s="378"/>
      <c r="H9" s="363"/>
      <c r="I9" s="378"/>
      <c r="J9" s="371"/>
      <c r="K9" s="374"/>
      <c r="L9" s="345"/>
      <c r="M9" s="376"/>
      <c r="N9" s="180"/>
      <c r="O9" s="374"/>
      <c r="P9" s="345"/>
      <c r="Q9" s="369"/>
      <c r="R9" s="94">
        <v>3</v>
      </c>
      <c r="S9" s="79"/>
      <c r="T9" s="95" t="str">
        <f t="shared" si="0"/>
        <v/>
      </c>
      <c r="U9" s="96"/>
      <c r="V9" s="96"/>
      <c r="W9" s="97"/>
      <c r="X9" s="96"/>
      <c r="Y9" s="96"/>
      <c r="Z9" s="96"/>
      <c r="AA9" s="98" t="str">
        <f>IFERROR(IF(T9="Probabilidad",(AA8-(+AA8*W9)),IF(T9="Impacto",$L$7,"")),"")</f>
        <v/>
      </c>
      <c r="AB9" s="99" t="str">
        <f t="shared" si="1"/>
        <v/>
      </c>
      <c r="AC9" s="100" t="str">
        <f t="shared" si="2"/>
        <v/>
      </c>
      <c r="AD9" s="99" t="str">
        <f t="shared" si="3"/>
        <v/>
      </c>
      <c r="AE9" s="100" t="str">
        <f>IFERROR(IF(T9="Impacto",($P$7-(+$P$7*W9)),IF(T9="Probabilidad",$P$7,"")),"")</f>
        <v/>
      </c>
      <c r="AF9" s="101" t="str">
        <f t="shared" si="4"/>
        <v/>
      </c>
      <c r="AG9" s="102"/>
      <c r="AH9" s="79"/>
      <c r="AI9" s="92"/>
      <c r="AJ9" s="103"/>
      <c r="AK9" s="103"/>
      <c r="AL9" s="79"/>
      <c r="AM9" s="202"/>
      <c r="AN9" s="202"/>
      <c r="AO9" s="203"/>
      <c r="AP9" s="202"/>
      <c r="AQ9" s="202"/>
      <c r="AR9" s="203"/>
      <c r="AS9" s="103"/>
      <c r="AT9" s="103"/>
      <c r="AU9" s="92" t="s">
        <v>603</v>
      </c>
      <c r="AV9" s="92" t="s">
        <v>603</v>
      </c>
      <c r="AW9" s="92" t="s">
        <v>603</v>
      </c>
      <c r="AX9" s="92" t="s">
        <v>603</v>
      </c>
    </row>
    <row r="10" spans="1:50" s="114" customFormat="1" ht="254.45" customHeight="1" x14ac:dyDescent="0.25">
      <c r="A10" s="349">
        <f>1+A7</f>
        <v>2</v>
      </c>
      <c r="B10" s="384" t="s">
        <v>275</v>
      </c>
      <c r="C10" s="379" t="s">
        <v>276</v>
      </c>
      <c r="D10" s="379" t="s">
        <v>277</v>
      </c>
      <c r="E10" s="377" t="s">
        <v>118</v>
      </c>
      <c r="F10" s="381" t="s">
        <v>282</v>
      </c>
      <c r="G10" s="381" t="s">
        <v>287</v>
      </c>
      <c r="H10" s="362" t="s">
        <v>770</v>
      </c>
      <c r="I10" s="377" t="s">
        <v>217</v>
      </c>
      <c r="J10" s="370">
        <v>97</v>
      </c>
      <c r="K10" s="372" t="str">
        <f>IF(J10&lt;=0,"",IF(J10&lt;=2,"Muy Baja",IF(J10&lt;=24,"Baja",IF(J10&lt;=500,"Media",IF(J10&lt;=5000,"Alta","Muy Alta")))))</f>
        <v>Media</v>
      </c>
      <c r="L10" s="343">
        <f>IF(K10="","",IF(K10="Muy Baja",0.2,IF(K10="Baja",0.4,IF(K10="Media",0.6,IF(K10="Alta",0.8,IF(K10="Muy Alta",1,))))))</f>
        <v>0.6</v>
      </c>
      <c r="M10" s="375" t="s">
        <v>248</v>
      </c>
      <c r="N10" s="179"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372" t="str">
        <f>IF(OR(N10='Tabla Impacto'!$C$11,N10='Tabla Impacto'!$D$11),"Leve",IF(OR(N10='Tabla Impacto'!$C$12,N10='Tabla Impacto'!$D$12),"Menor",IF(OR(N10='Tabla Impacto'!$C$13,N10='Tabla Impacto'!$D$13),"Moderado",IF(OR(N10='Tabla Impacto'!$C$14,N10='Tabla Impacto'!$D$14),"Mayor",IF(OR(N10='Tabla Impacto'!$C$15,N10='Tabla Impacto'!$D$15),"Catastrófico","")))))</f>
        <v>Moderado</v>
      </c>
      <c r="P10" s="343">
        <f>IF(O10="","",IF(O10="Leve",0.2,IF(O10="Menor",0.4,IF(O10="Moderado",0.6,IF(O10="Mayor",0.8,IF(O10="Catastrófico",1,))))))</f>
        <v>0.6</v>
      </c>
      <c r="Q10" s="367"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94">
        <v>1</v>
      </c>
      <c r="S10" s="79" t="s">
        <v>283</v>
      </c>
      <c r="T10" s="95" t="str">
        <f t="shared" si="0"/>
        <v>Probabilidad</v>
      </c>
      <c r="U10" s="96" t="s">
        <v>14</v>
      </c>
      <c r="V10" s="96" t="s">
        <v>9</v>
      </c>
      <c r="W10" s="97" t="str">
        <f>IF(AND(U10="Preventivo",V10="Automático"),"50%",IF(AND(U10="Preventivo",V10="Manual"),"40%",IF(AND(U10="Detectivo",V10="Automático"),"40%",IF(AND(U10="Detectivo",V10="Manual"),"30%",IF(AND(U10="Correctivo",V10="Automático"),"35%",IF(AND(U10="Correctivo",V10="Manual"),"25%",""))))))</f>
        <v>40%</v>
      </c>
      <c r="X10" s="96" t="s">
        <v>19</v>
      </c>
      <c r="Y10" s="96" t="s">
        <v>22</v>
      </c>
      <c r="Z10" s="96" t="s">
        <v>110</v>
      </c>
      <c r="AA10" s="98">
        <f>IFERROR(IF(T10="Probabilidad",(L10-(+L10*W10)),IF(T10="Impacto",L10,"")),"")</f>
        <v>0.36</v>
      </c>
      <c r="AB10" s="99" t="str">
        <f t="shared" si="1"/>
        <v>Baja</v>
      </c>
      <c r="AC10" s="100">
        <f t="shared" si="2"/>
        <v>0.36</v>
      </c>
      <c r="AD10" s="99" t="str">
        <f t="shared" si="3"/>
        <v>Moderado</v>
      </c>
      <c r="AE10" s="100">
        <f>IFERROR(IF(T10="Impacto",(P10-(+P10*W10)),IF(T10="Probabilidad",P10,"")),"")</f>
        <v>0.6</v>
      </c>
      <c r="AF10" s="101" t="str">
        <f t="shared" si="4"/>
        <v>Moderado</v>
      </c>
      <c r="AG10" s="102" t="s">
        <v>122</v>
      </c>
      <c r="AH10" s="79" t="s">
        <v>284</v>
      </c>
      <c r="AI10" s="92" t="s">
        <v>197</v>
      </c>
      <c r="AJ10" s="103" t="s">
        <v>281</v>
      </c>
      <c r="AK10" s="103" t="s">
        <v>205</v>
      </c>
      <c r="AL10" s="79" t="s">
        <v>286</v>
      </c>
      <c r="AM10" s="79" t="s">
        <v>771</v>
      </c>
      <c r="AN10" s="113" t="s">
        <v>769</v>
      </c>
      <c r="AO10" s="213">
        <v>0.5</v>
      </c>
      <c r="AP10" s="104" t="s">
        <v>772</v>
      </c>
      <c r="AQ10" s="212" t="s">
        <v>602</v>
      </c>
      <c r="AR10" s="213">
        <v>0.5</v>
      </c>
      <c r="AS10" s="92"/>
      <c r="AT10" s="92" t="s">
        <v>575</v>
      </c>
      <c r="AU10" s="92" t="s">
        <v>603</v>
      </c>
      <c r="AV10" s="92" t="s">
        <v>603</v>
      </c>
      <c r="AW10" s="92" t="s">
        <v>603</v>
      </c>
      <c r="AX10" s="92" t="s">
        <v>603</v>
      </c>
    </row>
    <row r="11" spans="1:50" s="114" customFormat="1" ht="151.5" customHeight="1" x14ac:dyDescent="0.25">
      <c r="A11" s="349"/>
      <c r="B11" s="385"/>
      <c r="C11" s="382"/>
      <c r="D11" s="380"/>
      <c r="E11" s="378"/>
      <c r="F11" s="378"/>
      <c r="G11" s="378"/>
      <c r="H11" s="363"/>
      <c r="I11" s="378"/>
      <c r="J11" s="371"/>
      <c r="K11" s="373"/>
      <c r="L11" s="344"/>
      <c r="M11" s="376"/>
      <c r="N11" s="180"/>
      <c r="O11" s="373"/>
      <c r="P11" s="344"/>
      <c r="Q11" s="368"/>
      <c r="R11" s="94">
        <v>2</v>
      </c>
      <c r="S11" s="79"/>
      <c r="T11" s="95" t="str">
        <f t="shared" si="0"/>
        <v/>
      </c>
      <c r="U11" s="96"/>
      <c r="V11" s="96"/>
      <c r="W11" s="97"/>
      <c r="X11" s="96"/>
      <c r="Y11" s="96"/>
      <c r="Z11" s="96"/>
      <c r="AA11" s="98" t="str">
        <f>IFERROR(IF(T11="Probabilidad",(AA10-(+AA10*W11)),IF(T11="Impacto",L10,"")),"")</f>
        <v/>
      </c>
      <c r="AB11" s="99" t="str">
        <f t="shared" si="1"/>
        <v/>
      </c>
      <c r="AC11" s="100" t="str">
        <f t="shared" si="2"/>
        <v/>
      </c>
      <c r="AD11" s="99" t="str">
        <f t="shared" si="3"/>
        <v/>
      </c>
      <c r="AE11" s="100" t="str">
        <f>IFERROR(IF(T11="Impacto",(P10-(+P10*W11)),IF(T11="Probabilidad",P10,"")),"")</f>
        <v/>
      </c>
      <c r="AF11" s="101" t="str">
        <f t="shared" si="4"/>
        <v/>
      </c>
      <c r="AG11" s="102"/>
      <c r="AH11" s="79" t="s">
        <v>285</v>
      </c>
      <c r="AI11" s="92" t="s">
        <v>193</v>
      </c>
      <c r="AJ11" s="103" t="s">
        <v>281</v>
      </c>
      <c r="AK11" s="103" t="s">
        <v>205</v>
      </c>
      <c r="AL11" s="92" t="s">
        <v>603</v>
      </c>
      <c r="AM11" s="104" t="s">
        <v>772</v>
      </c>
      <c r="AN11" s="212" t="s">
        <v>602</v>
      </c>
      <c r="AO11" s="213">
        <v>0.5</v>
      </c>
      <c r="AP11" s="92" t="s">
        <v>603</v>
      </c>
      <c r="AQ11" s="92" t="s">
        <v>603</v>
      </c>
      <c r="AR11" s="203" t="s">
        <v>576</v>
      </c>
      <c r="AS11" s="103"/>
      <c r="AT11" s="103" t="s">
        <v>575</v>
      </c>
      <c r="AU11" s="92" t="s">
        <v>603</v>
      </c>
      <c r="AV11" s="92" t="s">
        <v>603</v>
      </c>
      <c r="AW11" s="92" t="s">
        <v>603</v>
      </c>
      <c r="AX11" s="92" t="s">
        <v>603</v>
      </c>
    </row>
    <row r="12" spans="1:50" s="114" customFormat="1" ht="151.5" hidden="1" customHeight="1" x14ac:dyDescent="0.25">
      <c r="A12" s="349"/>
      <c r="B12" s="386"/>
      <c r="C12" s="382"/>
      <c r="D12" s="380"/>
      <c r="E12" s="378"/>
      <c r="F12" s="378"/>
      <c r="G12" s="378"/>
      <c r="H12" s="363"/>
      <c r="I12" s="378"/>
      <c r="J12" s="371"/>
      <c r="K12" s="374"/>
      <c r="L12" s="345"/>
      <c r="M12" s="376"/>
      <c r="N12" s="180"/>
      <c r="O12" s="374"/>
      <c r="P12" s="345"/>
      <c r="Q12" s="369"/>
      <c r="R12" s="94">
        <v>3</v>
      </c>
      <c r="S12" s="79"/>
      <c r="T12" s="95" t="str">
        <f t="shared" si="0"/>
        <v/>
      </c>
      <c r="U12" s="96"/>
      <c r="V12" s="96"/>
      <c r="W12" s="97"/>
      <c r="X12" s="96"/>
      <c r="Y12" s="96"/>
      <c r="Z12" s="96"/>
      <c r="AA12" s="98" t="str">
        <f>IFERROR(IF(T12="Probabilidad",(AA11-(+AA11*W12)),IF(T12="Impacto",L10,"")),"")</f>
        <v/>
      </c>
      <c r="AB12" s="99" t="str">
        <f t="shared" si="1"/>
        <v/>
      </c>
      <c r="AC12" s="100" t="str">
        <f t="shared" si="2"/>
        <v/>
      </c>
      <c r="AD12" s="99" t="str">
        <f t="shared" si="3"/>
        <v/>
      </c>
      <c r="AE12" s="100" t="str">
        <f>IFERROR(IF(T12="Impacto",(P10-(+P10*W12)),IF(T12="Probabilidad",P10,"")),"")</f>
        <v/>
      </c>
      <c r="AF12" s="101" t="str">
        <f t="shared" si="4"/>
        <v/>
      </c>
      <c r="AG12" s="102"/>
      <c r="AH12" s="79"/>
      <c r="AI12" s="92"/>
      <c r="AJ12" s="103"/>
      <c r="AK12" s="103"/>
      <c r="AL12" s="79"/>
      <c r="AM12" s="202"/>
      <c r="AN12" s="202"/>
      <c r="AO12" s="203"/>
      <c r="AP12" s="202"/>
      <c r="AQ12" s="202"/>
      <c r="AR12" s="203"/>
      <c r="AS12" s="103"/>
      <c r="AT12" s="103"/>
      <c r="AU12" s="92" t="s">
        <v>603</v>
      </c>
      <c r="AV12" s="92" t="s">
        <v>603</v>
      </c>
      <c r="AW12" s="92" t="s">
        <v>603</v>
      </c>
      <c r="AX12" s="92" t="s">
        <v>603</v>
      </c>
    </row>
    <row r="13" spans="1:50" s="114" customFormat="1" ht="151.5" customHeight="1" x14ac:dyDescent="0.25">
      <c r="A13" s="349">
        <f>1+A10</f>
        <v>3</v>
      </c>
      <c r="B13" s="384" t="s">
        <v>275</v>
      </c>
      <c r="C13" s="379" t="s">
        <v>276</v>
      </c>
      <c r="D13" s="379" t="s">
        <v>277</v>
      </c>
      <c r="E13" s="377" t="s">
        <v>118</v>
      </c>
      <c r="F13" s="381" t="s">
        <v>288</v>
      </c>
      <c r="G13" s="381" t="s">
        <v>289</v>
      </c>
      <c r="H13" s="362" t="s">
        <v>773</v>
      </c>
      <c r="I13" s="377" t="s">
        <v>217</v>
      </c>
      <c r="J13" s="370">
        <v>97</v>
      </c>
      <c r="K13" s="372" t="str">
        <f>IF(J13&lt;=0,"",IF(J13&lt;=2,"Muy Baja",IF(J13&lt;=24,"Baja",IF(J13&lt;=500,"Media",IF(J13&lt;=5000,"Alta","Muy Alta")))))</f>
        <v>Media</v>
      </c>
      <c r="L13" s="343">
        <f>IF(K13="","",IF(K13="Muy Baja",0.2,IF(K13="Baja",0.4,IF(K13="Media",0.6,IF(K13="Alta",0.8,IF(K13="Muy Alta",1,))))))</f>
        <v>0.6</v>
      </c>
      <c r="M13" s="375" t="s">
        <v>248</v>
      </c>
      <c r="N13" s="179"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372" t="str">
        <f>IF(OR(N13='Tabla Impacto'!$C$11,N13='Tabla Impacto'!$D$11),"Leve",IF(OR(N13='Tabla Impacto'!$C$12,N13='Tabla Impacto'!$D$12),"Menor",IF(OR(N13='Tabla Impacto'!$C$13,N13='Tabla Impacto'!$D$13),"Moderado",IF(OR(N13='Tabla Impacto'!$C$14,N13='Tabla Impacto'!$D$14),"Mayor",IF(OR(N13='Tabla Impacto'!$C$15,N13='Tabla Impacto'!$D$15),"Catastrófico","")))))</f>
        <v>Moderado</v>
      </c>
      <c r="P13" s="343">
        <f>IF(O13="","",IF(O13="Leve",0.2,IF(O13="Menor",0.4,IF(O13="Moderado",0.6,IF(O13="Mayor",0.8,IF(O13="Catastrófico",1,))))))</f>
        <v>0.6</v>
      </c>
      <c r="Q13" s="367"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Moderado</v>
      </c>
      <c r="R13" s="94">
        <v>1</v>
      </c>
      <c r="S13" s="79" t="s">
        <v>506</v>
      </c>
      <c r="T13" s="95" t="str">
        <f t="shared" ref="T13:T15" si="5">IF(OR(U13="Preventivo",U13="Detectivo"),"Probabilidad",IF(U13="Correctivo","Impacto",""))</f>
        <v>Probabilidad</v>
      </c>
      <c r="U13" s="96" t="s">
        <v>14</v>
      </c>
      <c r="V13" s="96" t="s">
        <v>9</v>
      </c>
      <c r="W13" s="97" t="str">
        <f>IF(AND(U13="Preventivo",V13="Automático"),"50%",IF(AND(U13="Preventivo",V13="Manual"),"40%",IF(AND(U13="Detectivo",V13="Automático"),"40%",IF(AND(U13="Detectivo",V13="Manual"),"30%",IF(AND(U13="Correctivo",V13="Automático"),"35%",IF(AND(U13="Correctivo",V13="Manual"),"25%",""))))))</f>
        <v>40%</v>
      </c>
      <c r="X13" s="96" t="s">
        <v>19</v>
      </c>
      <c r="Y13" s="96" t="s">
        <v>22</v>
      </c>
      <c r="Z13" s="96" t="s">
        <v>110</v>
      </c>
      <c r="AA13" s="98">
        <f>IFERROR(IF(T13="Probabilidad",(L13-(+L13*W13)),IF(T13="Impacto",L13,"")),"")</f>
        <v>0.36</v>
      </c>
      <c r="AB13" s="99" t="str">
        <f t="shared" ref="AB13:AB15" si="6">IFERROR(IF(AA13="","",IF(AA13&lt;=0.2,"Muy Baja",IF(AA13&lt;=0.4,"Baja",IF(AA13&lt;=0.6,"Media",IF(AA13&lt;=0.8,"Alta","Muy Alta"))))),"")</f>
        <v>Baja</v>
      </c>
      <c r="AC13" s="100">
        <f t="shared" ref="AC13:AC15" si="7">+AA13</f>
        <v>0.36</v>
      </c>
      <c r="AD13" s="99" t="str">
        <f t="shared" ref="AD13:AD15" si="8">IFERROR(IF(AE13="","",IF(AE13&lt;=0.2,"Leve",IF(AE13&lt;=0.4,"Menor",IF(AE13&lt;=0.6,"Moderado",IF(AE13&lt;=0.8,"Mayor","Catastrófico"))))),"")</f>
        <v>Moderado</v>
      </c>
      <c r="AE13" s="100">
        <f>IFERROR(IF(T13="Impacto",(P13-(+P13*W13)),IF(T13="Probabilidad",P13,"")),"")</f>
        <v>0.6</v>
      </c>
      <c r="AF13" s="101" t="str">
        <f t="shared" ref="AF13:AF15" si="9">IFERROR(IF(OR(AND(AB13="Muy Baja",AD13="Leve"),AND(AB13="Muy Baja",AD13="Menor"),AND(AB13="Baja",AD13="Leve")),"Bajo",IF(OR(AND(AB13="Muy baja",AD13="Moderado"),AND(AB13="Baja",AD13="Menor"),AND(AB13="Baja",AD13="Moderado"),AND(AB13="Media",AD13="Leve"),AND(AB13="Media",AD13="Menor"),AND(AB13="Media",AD13="Moderado"),AND(AB13="Alta",AD13="Leve"),AND(AB13="Alta",AD13="Menor")),"Moderado",IF(OR(AND(AB13="Muy Baja",AD13="Mayor"),AND(AB13="Baja",AD13="Mayor"),AND(AB13="Media",AD13="Mayor"),AND(AB13="Alta",AD13="Moderado"),AND(AB13="Alta",AD13="Mayor"),AND(AB13="Muy Alta",AD13="Leve"),AND(AB13="Muy Alta",AD13="Menor"),AND(AB13="Muy Alta",AD13="Moderado"),AND(AB13="Muy Alta",AD13="Mayor")),"Alto",IF(OR(AND(AB13="Muy Baja",AD13="Catastrófico"),AND(AB13="Baja",AD13="Catastrófico"),AND(AB13="Media",AD13="Catastrófico"),AND(AB13="Alta",AD13="Catastrófico"),AND(AB13="Muy Alta",AD13="Catastrófico")),"Extremo","")))),"")</f>
        <v>Moderado</v>
      </c>
      <c r="AG13" s="102" t="s">
        <v>122</v>
      </c>
      <c r="AH13" s="79" t="s">
        <v>290</v>
      </c>
      <c r="AI13" s="92" t="s">
        <v>197</v>
      </c>
      <c r="AJ13" s="103" t="s">
        <v>281</v>
      </c>
      <c r="AK13" s="103" t="s">
        <v>205</v>
      </c>
      <c r="AL13" s="79" t="s">
        <v>286</v>
      </c>
      <c r="AM13" s="104" t="s">
        <v>601</v>
      </c>
      <c r="AN13" s="212" t="s">
        <v>769</v>
      </c>
      <c r="AO13" s="213">
        <v>0.5</v>
      </c>
      <c r="AP13" s="104" t="s">
        <v>689</v>
      </c>
      <c r="AQ13" s="92" t="s">
        <v>603</v>
      </c>
      <c r="AR13" s="213" t="s">
        <v>576</v>
      </c>
      <c r="AS13" s="92"/>
      <c r="AT13" s="92" t="s">
        <v>575</v>
      </c>
      <c r="AU13" s="92" t="s">
        <v>603</v>
      </c>
      <c r="AV13" s="92" t="s">
        <v>603</v>
      </c>
      <c r="AW13" s="92" t="s">
        <v>603</v>
      </c>
      <c r="AX13" s="92" t="s">
        <v>603</v>
      </c>
    </row>
    <row r="14" spans="1:50" s="114" customFormat="1" ht="151.5" hidden="1" customHeight="1" x14ac:dyDescent="0.25">
      <c r="A14" s="349"/>
      <c r="B14" s="385"/>
      <c r="C14" s="382"/>
      <c r="D14" s="380"/>
      <c r="E14" s="378"/>
      <c r="F14" s="378"/>
      <c r="G14" s="378"/>
      <c r="H14" s="363"/>
      <c r="I14" s="378"/>
      <c r="J14" s="371"/>
      <c r="K14" s="373"/>
      <c r="L14" s="344"/>
      <c r="M14" s="376"/>
      <c r="N14" s="180"/>
      <c r="O14" s="373"/>
      <c r="P14" s="344"/>
      <c r="Q14" s="368"/>
      <c r="R14" s="94">
        <v>2</v>
      </c>
      <c r="S14" s="79"/>
      <c r="T14" s="95" t="str">
        <f t="shared" si="5"/>
        <v/>
      </c>
      <c r="U14" s="96"/>
      <c r="V14" s="96"/>
      <c r="W14" s="97"/>
      <c r="X14" s="96"/>
      <c r="Y14" s="96"/>
      <c r="Z14" s="96"/>
      <c r="AA14" s="98" t="str">
        <f>IFERROR(IF(T14="Probabilidad",(AA13-(+AA13*W14)),IF(T14="Impacto",L13,"")),"")</f>
        <v/>
      </c>
      <c r="AB14" s="99" t="str">
        <f t="shared" si="6"/>
        <v/>
      </c>
      <c r="AC14" s="100" t="str">
        <f t="shared" si="7"/>
        <v/>
      </c>
      <c r="AD14" s="99" t="str">
        <f t="shared" si="8"/>
        <v/>
      </c>
      <c r="AE14" s="100" t="str">
        <f>IFERROR(IF(T14="Impacto",(P13-(+P13*W14)),IF(T14="Probabilidad",P13,"")),"")</f>
        <v/>
      </c>
      <c r="AF14" s="101" t="str">
        <f t="shared" si="9"/>
        <v/>
      </c>
      <c r="AG14" s="102"/>
      <c r="AH14" s="79"/>
      <c r="AI14" s="92"/>
      <c r="AJ14" s="103"/>
      <c r="AK14" s="103"/>
      <c r="AL14" s="79"/>
      <c r="AM14" s="202"/>
      <c r="AN14" s="202"/>
      <c r="AO14" s="203"/>
      <c r="AP14" s="202"/>
      <c r="AQ14" s="202"/>
      <c r="AR14" s="203"/>
      <c r="AS14" s="103"/>
      <c r="AT14" s="92" t="s">
        <v>575</v>
      </c>
      <c r="AU14" s="92" t="s">
        <v>603</v>
      </c>
      <c r="AV14" s="92" t="s">
        <v>603</v>
      </c>
      <c r="AW14" s="92" t="s">
        <v>603</v>
      </c>
      <c r="AX14" s="92" t="s">
        <v>603</v>
      </c>
    </row>
    <row r="15" spans="1:50" s="114" customFormat="1" ht="151.5" hidden="1" customHeight="1" x14ac:dyDescent="0.25">
      <c r="A15" s="349"/>
      <c r="B15" s="386"/>
      <c r="C15" s="382"/>
      <c r="D15" s="380"/>
      <c r="E15" s="378"/>
      <c r="F15" s="378"/>
      <c r="G15" s="378"/>
      <c r="H15" s="363"/>
      <c r="I15" s="378"/>
      <c r="J15" s="371"/>
      <c r="K15" s="374"/>
      <c r="L15" s="345"/>
      <c r="M15" s="376"/>
      <c r="N15" s="180"/>
      <c r="O15" s="374"/>
      <c r="P15" s="345"/>
      <c r="Q15" s="369"/>
      <c r="R15" s="94">
        <v>3</v>
      </c>
      <c r="S15" s="79"/>
      <c r="T15" s="95" t="str">
        <f t="shared" si="5"/>
        <v/>
      </c>
      <c r="U15" s="96"/>
      <c r="V15" s="96"/>
      <c r="W15" s="97"/>
      <c r="X15" s="96"/>
      <c r="Y15" s="96"/>
      <c r="Z15" s="96"/>
      <c r="AA15" s="98" t="str">
        <f>IFERROR(IF(T15="Probabilidad",(AA14-(+AA14*W15)),IF(T15="Impacto",L13,"")),"")</f>
        <v/>
      </c>
      <c r="AB15" s="99" t="str">
        <f t="shared" si="6"/>
        <v/>
      </c>
      <c r="AC15" s="100" t="str">
        <f t="shared" si="7"/>
        <v/>
      </c>
      <c r="AD15" s="99" t="str">
        <f t="shared" si="8"/>
        <v/>
      </c>
      <c r="AE15" s="100" t="str">
        <f>IFERROR(IF(T15="Impacto",(P13-(+P13*W15)),IF(T15="Probabilidad",P13,"")),"")</f>
        <v/>
      </c>
      <c r="AF15" s="101" t="str">
        <f t="shared" si="9"/>
        <v/>
      </c>
      <c r="AG15" s="102"/>
      <c r="AH15" s="79"/>
      <c r="AI15" s="92"/>
      <c r="AJ15" s="103"/>
      <c r="AK15" s="103"/>
      <c r="AL15" s="79"/>
      <c r="AM15" s="202"/>
      <c r="AN15" s="202"/>
      <c r="AO15" s="203"/>
      <c r="AP15" s="202"/>
      <c r="AQ15" s="202"/>
      <c r="AR15" s="203"/>
      <c r="AS15" s="103"/>
      <c r="AT15" s="92" t="s">
        <v>575</v>
      </c>
      <c r="AU15" s="92" t="s">
        <v>603</v>
      </c>
      <c r="AV15" s="92" t="s">
        <v>603</v>
      </c>
      <c r="AW15" s="92" t="s">
        <v>603</v>
      </c>
      <c r="AX15" s="92" t="s">
        <v>603</v>
      </c>
    </row>
    <row r="16" spans="1:50" s="151" customFormat="1" ht="184.5" customHeight="1" x14ac:dyDescent="0.25">
      <c r="A16" s="349">
        <f>1+A13</f>
        <v>4</v>
      </c>
      <c r="B16" s="384" t="s">
        <v>291</v>
      </c>
      <c r="C16" s="379" t="s">
        <v>292</v>
      </c>
      <c r="D16" s="379" t="s">
        <v>293</v>
      </c>
      <c r="E16" s="377" t="s">
        <v>118</v>
      </c>
      <c r="F16" s="377" t="s">
        <v>294</v>
      </c>
      <c r="G16" s="377" t="s">
        <v>194</v>
      </c>
      <c r="H16" s="362" t="s">
        <v>774</v>
      </c>
      <c r="I16" s="377" t="s">
        <v>217</v>
      </c>
      <c r="J16" s="370">
        <v>5000</v>
      </c>
      <c r="K16" s="372" t="str">
        <f>IF(J16&lt;=0,"",IF(J16&lt;=2,"Muy Baja",IF(J16&lt;=24,"Baja",IF(J16&lt;=500,"Media",IF(J16&lt;=5000,"Alta","Muy Alta")))))</f>
        <v>Alta</v>
      </c>
      <c r="L16" s="343">
        <f>IF(K16="","",IF(K16="Muy Baja",0.2,IF(K16="Baja",0.4,IF(K16="Media",0.6,IF(K16="Alta",0.8,IF(K16="Muy Alta",1,))))))</f>
        <v>0.8</v>
      </c>
      <c r="M16" s="375" t="s">
        <v>248</v>
      </c>
      <c r="N16" s="179" t="str">
        <f>IF(NOT(ISERROR(MATCH(M16,'Tabla Impacto'!$B$221:$B$223,0))),'Tabla Impacto'!$F$223&amp;"Por favor no seleccionar los criterios de impacto(Afectación Económica o presupuestal y Pérdida Reputacional)",M16)</f>
        <v xml:space="preserve"> El riesgo afecta la imagen de la entidad con algunos usuarios de relevancia frente al logro de los objetivos</v>
      </c>
      <c r="O16" s="372" t="str">
        <f>IF(OR(N16='Tabla Impacto'!$C$11,N16='Tabla Impacto'!$D$11),"Leve",IF(OR(N16='Tabla Impacto'!$C$12,N16='Tabla Impacto'!$D$12),"Menor",IF(OR(N16='Tabla Impacto'!$C$13,N16='Tabla Impacto'!$D$13),"Moderado",IF(OR(N16='Tabla Impacto'!$C$14,N16='Tabla Impacto'!$D$14),"Mayor",IF(OR(N16='Tabla Impacto'!$C$15,N16='Tabla Impacto'!$D$15),"Catastrófico","")))))</f>
        <v>Moderado</v>
      </c>
      <c r="P16" s="343">
        <f>IF(O16="","",IF(O16="Leve",0.2,IF(O16="Menor",0.4,IF(O16="Moderado",0.6,IF(O16="Mayor",0.8,IF(O16="Catastrófico",1,))))))</f>
        <v>0.6</v>
      </c>
      <c r="Q16" s="367"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Alto</v>
      </c>
      <c r="R16" s="94">
        <v>1</v>
      </c>
      <c r="S16" s="79" t="s">
        <v>295</v>
      </c>
      <c r="T16" s="95" t="str">
        <f t="shared" si="0"/>
        <v>Probabilidad</v>
      </c>
      <c r="U16" s="96" t="s">
        <v>14</v>
      </c>
      <c r="V16" s="96" t="s">
        <v>9</v>
      </c>
      <c r="W16" s="97" t="str">
        <f>IF(AND(U16="Preventivo",V16="Automático"),"50%",IF(AND(U16="Preventivo",V16="Manual"),"40%",IF(AND(U16="Detectivo",V16="Automático"),"40%",IF(AND(U16="Detectivo",V16="Manual"),"30%",IF(AND(U16="Correctivo",V16="Automático"),"35%",IF(AND(U16="Correctivo",V16="Manual"),"25%",""))))))</f>
        <v>40%</v>
      </c>
      <c r="X16" s="96" t="s">
        <v>19</v>
      </c>
      <c r="Y16" s="96" t="s">
        <v>22</v>
      </c>
      <c r="Z16" s="96" t="s">
        <v>110</v>
      </c>
      <c r="AA16" s="98">
        <f>IFERROR(IF(T16="Probabilidad",(L16-(+L16*W16)),IF(T16="Impacto",L16,"")),"")</f>
        <v>0.48</v>
      </c>
      <c r="AB16" s="99" t="str">
        <f t="shared" si="1"/>
        <v>Media</v>
      </c>
      <c r="AC16" s="100">
        <f t="shared" si="2"/>
        <v>0.48</v>
      </c>
      <c r="AD16" s="99" t="str">
        <f t="shared" si="3"/>
        <v>Moderado</v>
      </c>
      <c r="AE16" s="100">
        <f>IFERROR(IF(T16="Impacto",(P16-(+P16*W16)),IF(T16="Probabilidad",P16,"")),"")</f>
        <v>0.6</v>
      </c>
      <c r="AF16" s="101" t="str">
        <f t="shared" si="4"/>
        <v>Moderado</v>
      </c>
      <c r="AG16" s="102" t="s">
        <v>122</v>
      </c>
      <c r="AH16" s="91" t="s">
        <v>227</v>
      </c>
      <c r="AI16" s="104" t="s">
        <v>197</v>
      </c>
      <c r="AJ16" s="103" t="s">
        <v>281</v>
      </c>
      <c r="AK16" s="103" t="s">
        <v>205</v>
      </c>
      <c r="AL16" s="79" t="s">
        <v>322</v>
      </c>
      <c r="AM16" s="202" t="s">
        <v>643</v>
      </c>
      <c r="AN16" s="202" t="s">
        <v>690</v>
      </c>
      <c r="AO16" s="203">
        <v>0.5</v>
      </c>
      <c r="AP16" s="202" t="s">
        <v>691</v>
      </c>
      <c r="AQ16" s="202" t="s">
        <v>775</v>
      </c>
      <c r="AR16" s="203">
        <v>0.5</v>
      </c>
      <c r="AS16" s="103"/>
      <c r="AT16" s="92" t="s">
        <v>575</v>
      </c>
      <c r="AU16" s="92" t="s">
        <v>603</v>
      </c>
      <c r="AV16" s="92" t="s">
        <v>603</v>
      </c>
      <c r="AW16" s="92" t="s">
        <v>603</v>
      </c>
      <c r="AX16" s="202" t="s">
        <v>692</v>
      </c>
    </row>
    <row r="17" spans="1:50" s="151" customFormat="1" ht="151.5" hidden="1" customHeight="1" x14ac:dyDescent="0.25">
      <c r="A17" s="349"/>
      <c r="B17" s="385"/>
      <c r="C17" s="382"/>
      <c r="D17" s="382"/>
      <c r="E17" s="378"/>
      <c r="F17" s="378"/>
      <c r="G17" s="378"/>
      <c r="H17" s="363"/>
      <c r="I17" s="378"/>
      <c r="J17" s="371"/>
      <c r="K17" s="373"/>
      <c r="L17" s="344"/>
      <c r="M17" s="376"/>
      <c r="N17" s="180"/>
      <c r="O17" s="373"/>
      <c r="P17" s="344"/>
      <c r="Q17" s="368"/>
      <c r="R17" s="94">
        <v>2</v>
      </c>
      <c r="S17" s="105"/>
      <c r="T17" s="95" t="str">
        <f t="shared" si="0"/>
        <v/>
      </c>
      <c r="U17" s="96"/>
      <c r="V17" s="96"/>
      <c r="W17" s="97"/>
      <c r="X17" s="96"/>
      <c r="Y17" s="96"/>
      <c r="Z17" s="96"/>
      <c r="AA17" s="98" t="str">
        <f>IFERROR(IF(T17="Probabilidad",(AA16-(+AA16*W17)),IF(T17="Impacto",L16,"")),"")</f>
        <v/>
      </c>
      <c r="AB17" s="99" t="str">
        <f t="shared" si="1"/>
        <v/>
      </c>
      <c r="AC17" s="100" t="str">
        <f t="shared" si="2"/>
        <v/>
      </c>
      <c r="AD17" s="99" t="str">
        <f t="shared" si="3"/>
        <v/>
      </c>
      <c r="AE17" s="100" t="str">
        <f>IFERROR(IF(T17="Impacto",(P16-(+P16*W17)),IF(T17="Probabilidad",P16,"")),"")</f>
        <v/>
      </c>
      <c r="AF17" s="101" t="str">
        <f t="shared" si="4"/>
        <v/>
      </c>
      <c r="AG17" s="102"/>
      <c r="AH17" s="79"/>
      <c r="AI17" s="92"/>
      <c r="AJ17" s="103"/>
      <c r="AK17" s="103"/>
      <c r="AL17" s="79"/>
      <c r="AM17" s="202"/>
      <c r="AN17" s="202"/>
      <c r="AO17" s="203"/>
      <c r="AP17" s="202"/>
      <c r="AQ17" s="202"/>
      <c r="AR17" s="203"/>
      <c r="AS17" s="103"/>
      <c r="AT17" s="103"/>
      <c r="AU17" s="92" t="s">
        <v>603</v>
      </c>
      <c r="AV17" s="92" t="s">
        <v>603</v>
      </c>
      <c r="AW17" s="92" t="s">
        <v>603</v>
      </c>
      <c r="AX17" s="92" t="s">
        <v>603</v>
      </c>
    </row>
    <row r="18" spans="1:50" s="151" customFormat="1" ht="151.5" hidden="1" customHeight="1" x14ac:dyDescent="0.25">
      <c r="A18" s="349"/>
      <c r="B18" s="386"/>
      <c r="C18" s="382"/>
      <c r="D18" s="382"/>
      <c r="E18" s="378"/>
      <c r="F18" s="399"/>
      <c r="G18" s="399"/>
      <c r="H18" s="394"/>
      <c r="I18" s="378"/>
      <c r="J18" s="371"/>
      <c r="K18" s="374"/>
      <c r="L18" s="345"/>
      <c r="M18" s="376"/>
      <c r="N18" s="180"/>
      <c r="O18" s="374"/>
      <c r="P18" s="345"/>
      <c r="Q18" s="369"/>
      <c r="R18" s="94">
        <v>3</v>
      </c>
      <c r="S18" s="105"/>
      <c r="T18" s="95" t="str">
        <f t="shared" si="0"/>
        <v/>
      </c>
      <c r="U18" s="96"/>
      <c r="V18" s="96"/>
      <c r="W18" s="97"/>
      <c r="X18" s="96"/>
      <c r="Y18" s="96"/>
      <c r="Z18" s="96"/>
      <c r="AA18" s="98" t="str">
        <f>IFERROR(IF(T18="Probabilidad",(AA17-(+AA17*W18)),IF(T18="Impacto",L16,"")),"")</f>
        <v/>
      </c>
      <c r="AB18" s="99" t="str">
        <f t="shared" si="1"/>
        <v/>
      </c>
      <c r="AC18" s="100" t="str">
        <f t="shared" si="2"/>
        <v/>
      </c>
      <c r="AD18" s="99" t="str">
        <f t="shared" si="3"/>
        <v/>
      </c>
      <c r="AE18" s="100" t="str">
        <f>IFERROR(IF(T18="Impacto",(P16-(+P16*W18)),IF(T18="Probabilidad",P16,"")),"")</f>
        <v/>
      </c>
      <c r="AF18" s="101" t="str">
        <f t="shared" si="4"/>
        <v/>
      </c>
      <c r="AG18" s="102"/>
      <c r="AH18" s="79"/>
      <c r="AI18" s="92"/>
      <c r="AJ18" s="103"/>
      <c r="AK18" s="103"/>
      <c r="AL18" s="79"/>
      <c r="AM18" s="202"/>
      <c r="AN18" s="202"/>
      <c r="AO18" s="203"/>
      <c r="AP18" s="202"/>
      <c r="AQ18" s="202"/>
      <c r="AR18" s="203"/>
      <c r="AS18" s="103"/>
      <c r="AT18" s="103"/>
      <c r="AU18" s="92" t="s">
        <v>603</v>
      </c>
      <c r="AV18" s="92" t="s">
        <v>603</v>
      </c>
      <c r="AW18" s="92" t="s">
        <v>603</v>
      </c>
      <c r="AX18" s="92" t="s">
        <v>603</v>
      </c>
    </row>
    <row r="19" spans="1:50" s="153" customFormat="1" ht="102" x14ac:dyDescent="0.25">
      <c r="A19" s="349">
        <f>1+A16</f>
        <v>5</v>
      </c>
      <c r="B19" s="384" t="s">
        <v>273</v>
      </c>
      <c r="C19" s="379" t="s">
        <v>296</v>
      </c>
      <c r="D19" s="379" t="s">
        <v>297</v>
      </c>
      <c r="E19" s="377" t="s">
        <v>118</v>
      </c>
      <c r="F19" s="377" t="s">
        <v>299</v>
      </c>
      <c r="G19" s="377" t="s">
        <v>298</v>
      </c>
      <c r="H19" s="362" t="s">
        <v>776</v>
      </c>
      <c r="I19" s="377" t="s">
        <v>217</v>
      </c>
      <c r="J19" s="370">
        <v>383</v>
      </c>
      <c r="K19" s="372" t="str">
        <f>IF(J19&lt;=0,"",IF(J19&lt;=2,"Muy Baja",IF(J19&lt;=24,"Baja",IF(J19&lt;=500,"Media",IF(J19&lt;=5000,"Alta","Muy Alta")))))</f>
        <v>Media</v>
      </c>
      <c r="L19" s="343">
        <f>IF(K19="","",IF(K19="Muy Baja",0.2,IF(K19="Baja",0.4,IF(K19="Media",0.6,IF(K19="Alta",0.8,IF(K19="Muy Alta",1,))))))</f>
        <v>0.6</v>
      </c>
      <c r="M19" s="375" t="s">
        <v>253</v>
      </c>
      <c r="N19" s="181" t="str">
        <f>IF(NOT(ISERROR(MATCH(M19,'Tabla Impacto'!$B$221:$B$223,0))),'Tabla Impacto'!$F$223&amp;"Por favor no seleccionar los criterios de impacto(Afectación Económica o presupuestal y Pérdida Reputacional)",M19)</f>
        <v xml:space="preserve"> El riesgo afecta la imagen de la entidad internamente, de conocimiento general, nivel interno, de junta directiva y accionistas y/o de proveedores</v>
      </c>
      <c r="O19" s="372" t="str">
        <f>IF(OR(N19='Tabla Impacto'!$C$11,N19='Tabla Impacto'!$D$11),"Leve",IF(OR(N19='Tabla Impacto'!$C$12,N19='Tabla Impacto'!$D$12),"Menor",IF(OR(N19='Tabla Impacto'!$C$13,N19='Tabla Impacto'!$D$13),"Moderado",IF(OR(N19='Tabla Impacto'!$C$14,N19='Tabla Impacto'!$D$14),"Mayor",IF(OR(N19='Tabla Impacto'!$C$15,N19='Tabla Impacto'!$D$15),"Catastrófico","")))))</f>
        <v>Menor</v>
      </c>
      <c r="P19" s="343">
        <f>IF(O19="","",IF(O19="Leve",0.2,IF(O19="Menor",0.4,IF(O19="Moderado",0.6,IF(O19="Mayor",0.8,IF(O19="Catastrófico",1,))))))</f>
        <v>0.4</v>
      </c>
      <c r="Q19" s="367" t="str">
        <f>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42">
        <v>1</v>
      </c>
      <c r="S19" s="91"/>
      <c r="T19" s="143" t="str">
        <f t="shared" si="0"/>
        <v/>
      </c>
      <c r="U19" s="144"/>
      <c r="V19" s="144"/>
      <c r="W19" s="145" t="str">
        <f>IF(AND(U19="Preventivo",V19="Automático"),"50%",IF(AND(U19="Preventivo",V19="Manual"),"40%",IF(AND(U19="Detectivo",V19="Automático"),"40%",IF(AND(U19="Detectivo",V19="Manual"),"30%",IF(AND(U19="Correctivo",V19="Automático"),"35%",IF(AND(U19="Correctivo",V19="Manual"),"25%",""))))))</f>
        <v/>
      </c>
      <c r="X19" s="144"/>
      <c r="Y19" s="144"/>
      <c r="Z19" s="144"/>
      <c r="AA19" s="111" t="str">
        <f>IFERROR(IF(T19="Probabilidad",(L19-(+L19*W19)),IF(T19="Impacto",L19,"")),"")</f>
        <v/>
      </c>
      <c r="AB19" s="146" t="str">
        <f t="shared" si="1"/>
        <v/>
      </c>
      <c r="AC19" s="147" t="str">
        <f t="shared" si="2"/>
        <v/>
      </c>
      <c r="AD19" s="146" t="str">
        <f t="shared" si="3"/>
        <v/>
      </c>
      <c r="AE19" s="147" t="str">
        <f>IFERROR(IF(T19="Impacto",(P19-(+P19*W19)),IF(T19="Probabilidad",P19,"")),"")</f>
        <v/>
      </c>
      <c r="AF19" s="148" t="str">
        <f t="shared" si="4"/>
        <v/>
      </c>
      <c r="AG19" s="149" t="s">
        <v>122</v>
      </c>
      <c r="AH19" s="91" t="s">
        <v>301</v>
      </c>
      <c r="AI19" s="86" t="s">
        <v>304</v>
      </c>
      <c r="AJ19" s="93" t="s">
        <v>281</v>
      </c>
      <c r="AK19" s="93" t="s">
        <v>302</v>
      </c>
      <c r="AL19" s="91" t="s">
        <v>303</v>
      </c>
      <c r="AM19" s="92" t="s">
        <v>603</v>
      </c>
      <c r="AN19" s="92" t="s">
        <v>603</v>
      </c>
      <c r="AO19" s="92" t="s">
        <v>604</v>
      </c>
      <c r="AP19" s="104" t="s">
        <v>605</v>
      </c>
      <c r="AQ19" s="104" t="s">
        <v>606</v>
      </c>
      <c r="AR19" s="213">
        <v>0.5</v>
      </c>
      <c r="AS19" s="92"/>
      <c r="AT19" s="92" t="s">
        <v>575</v>
      </c>
      <c r="AU19" s="92" t="s">
        <v>603</v>
      </c>
      <c r="AV19" s="92" t="s">
        <v>603</v>
      </c>
      <c r="AW19" s="92" t="s">
        <v>603</v>
      </c>
      <c r="AX19" s="92" t="s">
        <v>603</v>
      </c>
    </row>
    <row r="20" spans="1:50" s="153" customFormat="1" ht="63.75" x14ac:dyDescent="0.25">
      <c r="A20" s="349"/>
      <c r="B20" s="385"/>
      <c r="C20" s="380"/>
      <c r="D20" s="382"/>
      <c r="E20" s="378"/>
      <c r="F20" s="378"/>
      <c r="G20" s="378"/>
      <c r="H20" s="363"/>
      <c r="I20" s="378"/>
      <c r="J20" s="371"/>
      <c r="K20" s="373"/>
      <c r="L20" s="344"/>
      <c r="M20" s="376"/>
      <c r="N20" s="182"/>
      <c r="O20" s="373"/>
      <c r="P20" s="344"/>
      <c r="Q20" s="368"/>
      <c r="R20" s="142">
        <v>2</v>
      </c>
      <c r="S20" s="91"/>
      <c r="T20" s="143" t="str">
        <f t="shared" si="0"/>
        <v/>
      </c>
      <c r="U20" s="144"/>
      <c r="V20" s="144"/>
      <c r="W20" s="145"/>
      <c r="X20" s="144"/>
      <c r="Y20" s="144"/>
      <c r="Z20" s="144"/>
      <c r="AA20" s="112" t="str">
        <f>IFERROR(IF(T20="Probabilidad",(AA19-(+AA19*W20)),IF(T20="Impacto",L20,"")),"")</f>
        <v/>
      </c>
      <c r="AB20" s="146" t="str">
        <f t="shared" si="1"/>
        <v/>
      </c>
      <c r="AC20" s="147" t="str">
        <f t="shared" si="2"/>
        <v/>
      </c>
      <c r="AD20" s="146" t="str">
        <f t="shared" si="3"/>
        <v/>
      </c>
      <c r="AE20" s="147" t="str">
        <f>IFERROR(IF(T20="Impacto",(P20-(+P20*W20)),IF(T20="Probabilidad",P20,"")),"")</f>
        <v/>
      </c>
      <c r="AF20" s="148" t="str">
        <f t="shared" si="4"/>
        <v/>
      </c>
      <c r="AG20" s="149" t="s">
        <v>122</v>
      </c>
      <c r="AH20" s="91" t="s">
        <v>300</v>
      </c>
      <c r="AI20" s="86" t="s">
        <v>302</v>
      </c>
      <c r="AJ20" s="93" t="s">
        <v>305</v>
      </c>
      <c r="AK20" s="93" t="s">
        <v>306</v>
      </c>
      <c r="AL20" s="92" t="s">
        <v>603</v>
      </c>
      <c r="AM20" s="92" t="s">
        <v>603</v>
      </c>
      <c r="AN20" s="92" t="s">
        <v>603</v>
      </c>
      <c r="AO20" s="92" t="s">
        <v>604</v>
      </c>
      <c r="AP20" s="92" t="s">
        <v>607</v>
      </c>
      <c r="AQ20" s="92" t="s">
        <v>607</v>
      </c>
      <c r="AR20" s="92" t="s">
        <v>576</v>
      </c>
      <c r="AS20" s="92"/>
      <c r="AT20" s="92" t="s">
        <v>575</v>
      </c>
      <c r="AU20" s="92" t="s">
        <v>603</v>
      </c>
      <c r="AV20" s="92" t="s">
        <v>603</v>
      </c>
      <c r="AW20" s="92" t="s">
        <v>603</v>
      </c>
      <c r="AX20" s="202" t="s">
        <v>684</v>
      </c>
    </row>
    <row r="21" spans="1:50" s="114" customFormat="1" ht="12.75" hidden="1" x14ac:dyDescent="0.25">
      <c r="A21" s="349"/>
      <c r="B21" s="386"/>
      <c r="C21" s="380"/>
      <c r="D21" s="382"/>
      <c r="E21" s="378"/>
      <c r="F21" s="378"/>
      <c r="G21" s="378"/>
      <c r="H21" s="363"/>
      <c r="I21" s="378"/>
      <c r="J21" s="371"/>
      <c r="K21" s="374"/>
      <c r="L21" s="345"/>
      <c r="M21" s="376"/>
      <c r="N21" s="180"/>
      <c r="O21" s="374"/>
      <c r="P21" s="345"/>
      <c r="Q21" s="369"/>
      <c r="R21" s="94">
        <v>3</v>
      </c>
      <c r="S21" s="79"/>
      <c r="T21" s="95" t="str">
        <f t="shared" si="0"/>
        <v/>
      </c>
      <c r="U21" s="96"/>
      <c r="V21" s="96"/>
      <c r="W21" s="97"/>
      <c r="X21" s="96"/>
      <c r="Y21" s="96"/>
      <c r="Z21" s="96"/>
      <c r="AA21" s="106" t="str">
        <f>IFERROR(IF(T21="Probabilidad",(AA20-(+AA20*W21)),IF(T21="Impacto",L21,"")),"")</f>
        <v/>
      </c>
      <c r="AB21" s="99" t="str">
        <f t="shared" si="1"/>
        <v/>
      </c>
      <c r="AC21" s="100" t="str">
        <f t="shared" si="2"/>
        <v/>
      </c>
      <c r="AD21" s="99" t="str">
        <f t="shared" si="3"/>
        <v/>
      </c>
      <c r="AE21" s="100" t="str">
        <f>IFERROR(IF(T21="Impacto",(P21-(+P21*W21)),IF(T21="Probabilidad",P21,"")),"")</f>
        <v/>
      </c>
      <c r="AF21" s="101" t="str">
        <f t="shared" si="4"/>
        <v/>
      </c>
      <c r="AG21" s="102"/>
      <c r="AH21" s="79"/>
      <c r="AI21" s="92"/>
      <c r="AJ21" s="103"/>
      <c r="AK21" s="103"/>
      <c r="AL21" s="79"/>
      <c r="AM21" s="202"/>
      <c r="AN21" s="202"/>
      <c r="AO21" s="203"/>
      <c r="AP21" s="202"/>
      <c r="AQ21" s="202"/>
      <c r="AR21" s="203"/>
      <c r="AS21" s="103"/>
      <c r="AT21" s="103"/>
      <c r="AU21" s="92" t="s">
        <v>603</v>
      </c>
      <c r="AV21" s="92" t="s">
        <v>603</v>
      </c>
      <c r="AW21" s="92" t="s">
        <v>603</v>
      </c>
      <c r="AX21" s="92" t="s">
        <v>603</v>
      </c>
    </row>
    <row r="22" spans="1:50" s="114" customFormat="1" ht="127.5" x14ac:dyDescent="0.25">
      <c r="A22" s="349">
        <f>1+A19</f>
        <v>6</v>
      </c>
      <c r="B22" s="384" t="s">
        <v>307</v>
      </c>
      <c r="C22" s="379" t="s">
        <v>308</v>
      </c>
      <c r="D22" s="379" t="s">
        <v>309</v>
      </c>
      <c r="E22" s="377" t="s">
        <v>120</v>
      </c>
      <c r="F22" s="381" t="s">
        <v>198</v>
      </c>
      <c r="G22" s="377" t="s">
        <v>440</v>
      </c>
      <c r="H22" s="362" t="s">
        <v>269</v>
      </c>
      <c r="I22" s="377" t="s">
        <v>115</v>
      </c>
      <c r="J22" s="370">
        <v>1460</v>
      </c>
      <c r="K22" s="372" t="str">
        <f>IF(J22&lt;=0,"",IF(J22&lt;=2,"Muy Baja",IF(J22&lt;=24,"Baja",IF(J22&lt;=500,"Media",IF(J22&lt;=5000,"Alta","Muy Alta")))))</f>
        <v>Alta</v>
      </c>
      <c r="L22" s="343">
        <f>IF(K22="","",IF(K22="Muy Baja",0.2,IF(K22="Baja",0.4,IF(K22="Media",0.6,IF(K22="Alta",0.8,IF(K22="Muy Alta",1,))))))</f>
        <v>0.8</v>
      </c>
      <c r="M22" s="375" t="s">
        <v>248</v>
      </c>
      <c r="N22" s="179" t="str">
        <f>IF(NOT(ISERROR(MATCH(M22,'Tabla Impacto'!$B$221:$B$223,0))),'Tabla Impacto'!$F$223&amp;"Por favor no seleccionar los criterios de impacto(Afectación Económica o presupuestal y Pérdida Reputacional)",M22)</f>
        <v xml:space="preserve"> El riesgo afecta la imagen de la entidad con algunos usuarios de relevancia frente al logro de los objetivos</v>
      </c>
      <c r="O22" s="372" t="str">
        <f>IF(OR(N22='Tabla Impacto'!$C$11,N22='Tabla Impacto'!$D$11),"Leve",IF(OR(N22='Tabla Impacto'!$C$12,N22='Tabla Impacto'!$D$12),"Menor",IF(OR(N22='Tabla Impacto'!$C$13,N22='Tabla Impacto'!$D$13),"Moderado",IF(OR(N22='Tabla Impacto'!$C$14,N22='Tabla Impacto'!$D$14),"Mayor",IF(OR(N22='Tabla Impacto'!$C$15,N22='Tabla Impacto'!$D$15),"Catastrófico","")))))</f>
        <v>Moderado</v>
      </c>
      <c r="P22" s="343">
        <f>IF(O22="","",IF(O22="Leve",0.2,IF(O22="Menor",0.4,IF(O22="Moderado",0.6,IF(O22="Mayor",0.8,IF(O22="Catastrófico",1,))))))</f>
        <v>0.6</v>
      </c>
      <c r="Q22" s="367" t="str">
        <f>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Alto</v>
      </c>
      <c r="R22" s="94">
        <v>1</v>
      </c>
      <c r="S22" s="79" t="s">
        <v>310</v>
      </c>
      <c r="T22" s="95" t="str">
        <f t="shared" si="0"/>
        <v>Probabilidad</v>
      </c>
      <c r="U22" s="96" t="s">
        <v>14</v>
      </c>
      <c r="V22" s="96" t="s">
        <v>9</v>
      </c>
      <c r="W22" s="97" t="str">
        <f>IF(AND(U22="Preventivo",V22="Automático"),"50%",IF(AND(U22="Preventivo",V22="Manual"),"40%",IF(AND(U22="Detectivo",V22="Automático"),"40%",IF(AND(U22="Detectivo",V22="Manual"),"30%",IF(AND(U22="Correctivo",V22="Automático"),"35%",IF(AND(U22="Correctivo",V22="Manual"),"25%",""))))))</f>
        <v>40%</v>
      </c>
      <c r="X22" s="96" t="s">
        <v>19</v>
      </c>
      <c r="Y22" s="96" t="s">
        <v>22</v>
      </c>
      <c r="Z22" s="96" t="s">
        <v>110</v>
      </c>
      <c r="AA22" s="98">
        <f>IFERROR(IF(T22="Probabilidad",(L22-(+L22*W22)),IF(T22="Impacto",L22,"")),"")</f>
        <v>0.48</v>
      </c>
      <c r="AB22" s="99" t="str">
        <f t="shared" si="1"/>
        <v>Media</v>
      </c>
      <c r="AC22" s="100">
        <f t="shared" si="2"/>
        <v>0.48</v>
      </c>
      <c r="AD22" s="99" t="str">
        <f t="shared" si="3"/>
        <v>Moderado</v>
      </c>
      <c r="AE22" s="100">
        <f>IFERROR(IF(T22="Impacto",(P22-(+P22*W22)),IF(T22="Probabilidad",P22,"")),"")</f>
        <v>0.6</v>
      </c>
      <c r="AF22" s="101" t="str">
        <f t="shared" si="4"/>
        <v>Moderado</v>
      </c>
      <c r="AG22" s="102" t="s">
        <v>122</v>
      </c>
      <c r="AH22" s="79" t="s">
        <v>311</v>
      </c>
      <c r="AI22" s="92" t="s">
        <v>197</v>
      </c>
      <c r="AJ22" s="93">
        <v>45444</v>
      </c>
      <c r="AK22" s="93">
        <v>45808</v>
      </c>
      <c r="AL22" s="79" t="s">
        <v>224</v>
      </c>
      <c r="AM22" s="204" t="s">
        <v>573</v>
      </c>
      <c r="AN22" s="205" t="s">
        <v>693</v>
      </c>
      <c r="AO22" s="203">
        <v>0.5</v>
      </c>
      <c r="AP22" s="202" t="s">
        <v>694</v>
      </c>
      <c r="AQ22" s="202" t="s">
        <v>574</v>
      </c>
      <c r="AR22" s="203">
        <v>0.5</v>
      </c>
      <c r="AS22" s="103"/>
      <c r="AT22" s="103" t="s">
        <v>575</v>
      </c>
      <c r="AU22" s="92" t="s">
        <v>603</v>
      </c>
      <c r="AV22" s="92" t="s">
        <v>603</v>
      </c>
      <c r="AW22" s="92" t="s">
        <v>603</v>
      </c>
      <c r="AX22" s="92" t="s">
        <v>603</v>
      </c>
    </row>
    <row r="23" spans="1:50" s="114" customFormat="1" ht="151.5" hidden="1" customHeight="1" x14ac:dyDescent="0.25">
      <c r="A23" s="349"/>
      <c r="B23" s="385"/>
      <c r="C23" s="380"/>
      <c r="D23" s="382"/>
      <c r="E23" s="378"/>
      <c r="F23" s="378"/>
      <c r="G23" s="378"/>
      <c r="H23" s="363"/>
      <c r="I23" s="378"/>
      <c r="J23" s="371"/>
      <c r="K23" s="373"/>
      <c r="L23" s="344"/>
      <c r="M23" s="376"/>
      <c r="N23" s="180"/>
      <c r="O23" s="373"/>
      <c r="P23" s="344"/>
      <c r="Q23" s="368"/>
      <c r="R23" s="94">
        <v>2</v>
      </c>
      <c r="S23" s="79"/>
      <c r="T23" s="95" t="str">
        <f t="shared" ref="T23:T54" si="10">IF(OR(U23="Preventivo",U23="Detectivo"),"Probabilidad",IF(U23="Correctivo","Impacto",""))</f>
        <v/>
      </c>
      <c r="U23" s="96"/>
      <c r="V23" s="96"/>
      <c r="W23" s="97" t="str">
        <f t="shared" ref="W23:W53" si="11">IF(AND(U23="Preventivo",V23="Automático"),"50%",IF(AND(U23="Preventivo",V23="Manual"),"40%",IF(AND(U23="Detectivo",V23="Automático"),"40%",IF(AND(U23="Detectivo",V23="Manual"),"30%",IF(AND(U23="Correctivo",V23="Automático"),"35%",IF(AND(U23="Correctivo",V23="Manual"),"25%",""))))))</f>
        <v/>
      </c>
      <c r="X23" s="96"/>
      <c r="Y23" s="96"/>
      <c r="Z23" s="96"/>
      <c r="AA23" s="98" t="str">
        <f>IFERROR(IF(T23="Probabilidad",(AA22-(+AA22*W23)),IF(T23="Impacto",L23,"")),"")</f>
        <v/>
      </c>
      <c r="AB23" s="99" t="str">
        <f t="shared" ref="AB23:AB54" si="12">IFERROR(IF(AA23="","",IF(AA23&lt;=0.2,"Muy Baja",IF(AA23&lt;=0.4,"Baja",IF(AA23&lt;=0.6,"Media",IF(AA23&lt;=0.8,"Alta","Muy Alta"))))),"")</f>
        <v/>
      </c>
      <c r="AC23" s="100" t="str">
        <f t="shared" ref="AC23:AC54" si="13">+AA23</f>
        <v/>
      </c>
      <c r="AD23" s="99" t="str">
        <f t="shared" ref="AD23:AD54" si="14">IFERROR(IF(AE23="","",IF(AE23&lt;=0.2,"Leve",IF(AE23&lt;=0.4,"Menor",IF(AE23&lt;=0.6,"Moderado",IF(AE23&lt;=0.8,"Mayor","Catastrófico"))))),"")</f>
        <v/>
      </c>
      <c r="AE23" s="100" t="str">
        <f t="shared" ref="AE23:AE54" si="15">IFERROR(IF(T23="Impacto",(P23-(+P23*W23)),IF(T23="Probabilidad",P23,"")),"")</f>
        <v/>
      </c>
      <c r="AF23" s="101" t="str">
        <f t="shared" ref="AF23:AF54" si="16">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
      </c>
      <c r="AG23" s="102"/>
      <c r="AH23" s="79"/>
      <c r="AI23" s="92"/>
      <c r="AJ23" s="103"/>
      <c r="AK23" s="103"/>
      <c r="AL23" s="79"/>
      <c r="AM23" s="202"/>
      <c r="AN23" s="202"/>
      <c r="AO23" s="203"/>
      <c r="AP23" s="202"/>
      <c r="AQ23" s="202"/>
      <c r="AR23" s="203"/>
      <c r="AS23" s="103"/>
      <c r="AT23" s="103" t="s">
        <v>575</v>
      </c>
      <c r="AU23" s="92" t="s">
        <v>603</v>
      </c>
      <c r="AV23" s="92" t="s">
        <v>603</v>
      </c>
      <c r="AW23" s="92" t="s">
        <v>603</v>
      </c>
      <c r="AX23" s="92" t="s">
        <v>603</v>
      </c>
    </row>
    <row r="24" spans="1:50" s="114" customFormat="1" ht="12.75" hidden="1" x14ac:dyDescent="0.25">
      <c r="A24" s="349"/>
      <c r="B24" s="386"/>
      <c r="C24" s="380"/>
      <c r="D24" s="382"/>
      <c r="E24" s="378"/>
      <c r="F24" s="378"/>
      <c r="G24" s="378"/>
      <c r="H24" s="363"/>
      <c r="I24" s="378"/>
      <c r="J24" s="371"/>
      <c r="K24" s="374"/>
      <c r="L24" s="345"/>
      <c r="M24" s="376"/>
      <c r="N24" s="180"/>
      <c r="O24" s="374"/>
      <c r="P24" s="345"/>
      <c r="Q24" s="369"/>
      <c r="R24" s="94">
        <v>3</v>
      </c>
      <c r="S24" s="79"/>
      <c r="T24" s="95" t="str">
        <f t="shared" si="10"/>
        <v/>
      </c>
      <c r="U24" s="96"/>
      <c r="V24" s="96"/>
      <c r="W24" s="97" t="str">
        <f t="shared" si="11"/>
        <v/>
      </c>
      <c r="X24" s="96"/>
      <c r="Y24" s="96"/>
      <c r="Z24" s="96"/>
      <c r="AA24" s="98" t="str">
        <f>IFERROR(IF(T24="Probabilidad",(AA23-(+AA23*W24)),IF(T24="Impacto",L24,"")),"")</f>
        <v/>
      </c>
      <c r="AB24" s="99" t="str">
        <f t="shared" si="12"/>
        <v/>
      </c>
      <c r="AC24" s="100" t="str">
        <f t="shared" si="13"/>
        <v/>
      </c>
      <c r="AD24" s="99" t="str">
        <f t="shared" si="14"/>
        <v/>
      </c>
      <c r="AE24" s="100" t="str">
        <f t="shared" si="15"/>
        <v/>
      </c>
      <c r="AF24" s="101" t="str">
        <f t="shared" si="16"/>
        <v/>
      </c>
      <c r="AG24" s="102"/>
      <c r="AH24" s="79"/>
      <c r="AI24" s="92"/>
      <c r="AJ24" s="103"/>
      <c r="AK24" s="103"/>
      <c r="AL24" s="79"/>
      <c r="AM24" s="202"/>
      <c r="AN24" s="202"/>
      <c r="AO24" s="203"/>
      <c r="AP24" s="202"/>
      <c r="AQ24" s="202"/>
      <c r="AR24" s="203"/>
      <c r="AS24" s="103"/>
      <c r="AT24" s="103" t="s">
        <v>575</v>
      </c>
      <c r="AU24" s="92" t="s">
        <v>603</v>
      </c>
      <c r="AV24" s="92" t="s">
        <v>603</v>
      </c>
      <c r="AW24" s="92" t="s">
        <v>603</v>
      </c>
      <c r="AX24" s="92" t="s">
        <v>603</v>
      </c>
    </row>
    <row r="25" spans="1:50" s="114" customFormat="1" ht="171.95" customHeight="1" x14ac:dyDescent="0.25">
      <c r="A25" s="349">
        <f>1+A22</f>
        <v>7</v>
      </c>
      <c r="B25" s="384" t="s">
        <v>307</v>
      </c>
      <c r="C25" s="379" t="s">
        <v>308</v>
      </c>
      <c r="D25" s="379" t="s">
        <v>309</v>
      </c>
      <c r="E25" s="377" t="s">
        <v>118</v>
      </c>
      <c r="F25" s="381" t="s">
        <v>199</v>
      </c>
      <c r="G25" s="377" t="s">
        <v>237</v>
      </c>
      <c r="H25" s="362" t="s">
        <v>777</v>
      </c>
      <c r="I25" s="377" t="s">
        <v>217</v>
      </c>
      <c r="J25" s="370">
        <v>1460</v>
      </c>
      <c r="K25" s="372" t="str">
        <f>IF(J25&lt;=0,"",IF(J25&lt;=2,"Muy Baja",IF(J25&lt;=24,"Baja",IF(J25&lt;=500,"Media",IF(J25&lt;=5000,"Alta","Muy Alta")))))</f>
        <v>Alta</v>
      </c>
      <c r="L25" s="343">
        <f>IF(K25="","",IF(K25="Muy Baja",0.2,IF(K25="Baja",0.4,IF(K25="Media",0.6,IF(K25="Alta",0.8,IF(K25="Muy Alta",1,))))))</f>
        <v>0.8</v>
      </c>
      <c r="M25" s="375" t="s">
        <v>255</v>
      </c>
      <c r="N25" s="179" t="str">
        <f>IF(NOT(ISERROR(MATCH(M25,'Tabla Impacto'!$B$221:$B$223,0))),'Tabla Impacto'!$F$223&amp;"Por favor no seleccionar los criterios de impacto(Afectación Económica o presupuestal y Pérdida Reputacional)",M25)</f>
        <v xml:space="preserve"> El riesgo afecta la imagen de la entidad con efecto publicitario sostenido a nivel de sector administrativo, nivel departamental o municipal</v>
      </c>
      <c r="O25" s="372" t="str">
        <f>IF(OR(N25='Tabla Impacto'!$C$11,N25='Tabla Impacto'!$D$11),"Leve",IF(OR(N25='Tabla Impacto'!$C$12,N25='Tabla Impacto'!$D$12),"Menor",IF(OR(N25='Tabla Impacto'!$C$13,N25='Tabla Impacto'!$D$13),"Moderado",IF(OR(N25='Tabla Impacto'!$C$14,N25='Tabla Impacto'!$D$14),"Mayor",IF(OR(N25='Tabla Impacto'!$C$15,N25='Tabla Impacto'!$D$15),"Catastrófico","")))))</f>
        <v>Mayor</v>
      </c>
      <c r="P25" s="343">
        <f>IF(O25="","",IF(O25="Leve",0.2,IF(O25="Menor",0.4,IF(O25="Moderado",0.6,IF(O25="Mayor",0.8,IF(O25="Catastrófico",1,))))))</f>
        <v>0.8</v>
      </c>
      <c r="Q25" s="367" t="str">
        <f>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Alto</v>
      </c>
      <c r="R25" s="94">
        <v>1</v>
      </c>
      <c r="S25" s="79" t="s">
        <v>312</v>
      </c>
      <c r="T25" s="95" t="str">
        <f t="shared" si="10"/>
        <v>Probabilidad</v>
      </c>
      <c r="U25" s="96" t="s">
        <v>14</v>
      </c>
      <c r="V25" s="96" t="s">
        <v>9</v>
      </c>
      <c r="W25" s="97" t="str">
        <f>IF(AND(U25="Preventivo",V25="Automático"),"50%",IF(AND(U25="Preventivo",V25="Manual"),"40%",IF(AND(U25="Detectivo",V25="Automático"),"40%",IF(AND(U25="Detectivo",V25="Manual"),"30%",IF(AND(U25="Correctivo",V25="Automático"),"35%",IF(AND(U25="Correctivo",V25="Manual"),"25%",""))))))</f>
        <v>40%</v>
      </c>
      <c r="X25" s="96" t="s">
        <v>19</v>
      </c>
      <c r="Y25" s="96" t="s">
        <v>22</v>
      </c>
      <c r="Z25" s="96" t="s">
        <v>110</v>
      </c>
      <c r="AA25" s="98">
        <f>IFERROR(IF(T25="Probabilidad",(L25-(+L25*W25)),IF(T25="Impacto",L25,"")),"")</f>
        <v>0.48</v>
      </c>
      <c r="AB25" s="99" t="str">
        <f t="shared" si="12"/>
        <v>Media</v>
      </c>
      <c r="AC25" s="100">
        <f t="shared" si="13"/>
        <v>0.48</v>
      </c>
      <c r="AD25" s="99" t="str">
        <f t="shared" si="14"/>
        <v>Mayor</v>
      </c>
      <c r="AE25" s="100">
        <f>IFERROR(IF(T25="Impacto",(P25-(+P25*W25)),IF(T25="Probabilidad",P25,"")),"")</f>
        <v>0.8</v>
      </c>
      <c r="AF25" s="101" t="str">
        <f t="shared" si="16"/>
        <v>Alto</v>
      </c>
      <c r="AG25" s="102" t="s">
        <v>122</v>
      </c>
      <c r="AH25" s="79" t="s">
        <v>313</v>
      </c>
      <c r="AI25" s="92" t="s">
        <v>197</v>
      </c>
      <c r="AJ25" s="93">
        <v>45444</v>
      </c>
      <c r="AK25" s="93">
        <v>45808</v>
      </c>
      <c r="AL25" s="91" t="s">
        <v>314</v>
      </c>
      <c r="AM25" s="79" t="s">
        <v>695</v>
      </c>
      <c r="AN25" s="202" t="s">
        <v>696</v>
      </c>
      <c r="AO25" s="216">
        <v>0.5</v>
      </c>
      <c r="AP25" s="79" t="s">
        <v>313</v>
      </c>
      <c r="AQ25" s="202" t="s">
        <v>697</v>
      </c>
      <c r="AR25" s="203">
        <v>0.5</v>
      </c>
      <c r="AS25" s="103"/>
      <c r="AT25" s="103" t="s">
        <v>575</v>
      </c>
      <c r="AU25" s="92" t="s">
        <v>603</v>
      </c>
      <c r="AV25" s="92" t="s">
        <v>603</v>
      </c>
      <c r="AW25" s="92" t="s">
        <v>603</v>
      </c>
      <c r="AX25" s="92" t="s">
        <v>603</v>
      </c>
    </row>
    <row r="26" spans="1:50" s="114" customFormat="1" ht="151.5" hidden="1" customHeight="1" x14ac:dyDescent="0.25">
      <c r="A26" s="349"/>
      <c r="B26" s="385"/>
      <c r="C26" s="380"/>
      <c r="D26" s="382"/>
      <c r="E26" s="378"/>
      <c r="F26" s="428"/>
      <c r="G26" s="378"/>
      <c r="H26" s="363"/>
      <c r="I26" s="378"/>
      <c r="J26" s="371"/>
      <c r="K26" s="373"/>
      <c r="L26" s="344"/>
      <c r="M26" s="376"/>
      <c r="N26" s="180"/>
      <c r="O26" s="373"/>
      <c r="P26" s="344"/>
      <c r="Q26" s="368"/>
      <c r="R26" s="94">
        <v>2</v>
      </c>
      <c r="S26" s="79"/>
      <c r="T26" s="95" t="str">
        <f t="shared" ref="T26:T27" si="17">IF(OR(U26="Preventivo",U26="Detectivo"),"Probabilidad",IF(U26="Correctivo","Impacto",""))</f>
        <v/>
      </c>
      <c r="U26" s="96"/>
      <c r="V26" s="96"/>
      <c r="W26" s="97" t="str">
        <f t="shared" ref="W26:W27" si="18">IF(AND(U26="Preventivo",V26="Automático"),"50%",IF(AND(U26="Preventivo",V26="Manual"),"40%",IF(AND(U26="Detectivo",V26="Automático"),"40%",IF(AND(U26="Detectivo",V26="Manual"),"30%",IF(AND(U26="Correctivo",V26="Automático"),"35%",IF(AND(U26="Correctivo",V26="Manual"),"25%",""))))))</f>
        <v/>
      </c>
      <c r="X26" s="96"/>
      <c r="Y26" s="96"/>
      <c r="Z26" s="96"/>
      <c r="AA26" s="98" t="str">
        <f>IFERROR(IF(T26="Probabilidad",(AA25-(+AA25*W26)),IF(T26="Impacto",L26,"")),"")</f>
        <v/>
      </c>
      <c r="AB26" s="99" t="str">
        <f t="shared" ref="AB26:AB27" si="19">IFERROR(IF(AA26="","",IF(AA26&lt;=0.2,"Muy Baja",IF(AA26&lt;=0.4,"Baja",IF(AA26&lt;=0.6,"Media",IF(AA26&lt;=0.8,"Alta","Muy Alta"))))),"")</f>
        <v/>
      </c>
      <c r="AC26" s="100" t="str">
        <f t="shared" ref="AC26:AC27" si="20">+AA26</f>
        <v/>
      </c>
      <c r="AD26" s="99" t="str">
        <f t="shared" ref="AD26:AD27" si="21">IFERROR(IF(AE26="","",IF(AE26&lt;=0.2,"Leve",IF(AE26&lt;=0.4,"Menor",IF(AE26&lt;=0.6,"Moderado",IF(AE26&lt;=0.8,"Mayor","Catastrófico"))))),"")</f>
        <v/>
      </c>
      <c r="AE26" s="100" t="str">
        <f t="shared" ref="AE26:AE27" si="22">IFERROR(IF(T26="Impacto",(P26-(+P26*W26)),IF(T26="Probabilidad",P26,"")),"")</f>
        <v/>
      </c>
      <c r="AF26" s="101" t="str">
        <f t="shared" ref="AF26:AF27" si="23">IFERROR(IF(OR(AND(AB26="Muy Baja",AD26="Leve"),AND(AB26="Muy Baja",AD26="Menor"),AND(AB26="Baja",AD26="Leve")),"Bajo",IF(OR(AND(AB26="Muy baja",AD26="Moderado"),AND(AB26="Baja",AD26="Menor"),AND(AB26="Baja",AD26="Moderado"),AND(AB26="Media",AD26="Leve"),AND(AB26="Media",AD26="Menor"),AND(AB26="Media",AD26="Moderado"),AND(AB26="Alta",AD26="Leve"),AND(AB26="Alta",AD26="Menor")),"Moderado",IF(OR(AND(AB26="Muy Baja",AD26="Mayor"),AND(AB26="Baja",AD26="Mayor"),AND(AB26="Media",AD26="Mayor"),AND(AB26="Alta",AD26="Moderado"),AND(AB26="Alta",AD26="Mayor"),AND(AB26="Muy Alta",AD26="Leve"),AND(AB26="Muy Alta",AD26="Menor"),AND(AB26="Muy Alta",AD26="Moderado"),AND(AB26="Muy Alta",AD26="Mayor")),"Alto",IF(OR(AND(AB26="Muy Baja",AD26="Catastrófico"),AND(AB26="Baja",AD26="Catastrófico"),AND(AB26="Media",AD26="Catastrófico"),AND(AB26="Alta",AD26="Catastrófico"),AND(AB26="Muy Alta",AD26="Catastrófico")),"Extremo","")))),"")</f>
        <v/>
      </c>
      <c r="AG26" s="102"/>
      <c r="AH26" s="79"/>
      <c r="AI26" s="92"/>
      <c r="AJ26" s="103"/>
      <c r="AK26" s="103"/>
      <c r="AL26" s="79"/>
      <c r="AM26" s="202"/>
      <c r="AN26" s="202"/>
      <c r="AO26" s="203"/>
      <c r="AP26" s="202"/>
      <c r="AQ26" s="202"/>
      <c r="AR26" s="203"/>
      <c r="AS26" s="103"/>
      <c r="AT26" s="103"/>
      <c r="AU26" s="92" t="s">
        <v>603</v>
      </c>
      <c r="AV26" s="92" t="s">
        <v>603</v>
      </c>
      <c r="AW26" s="92" t="s">
        <v>603</v>
      </c>
      <c r="AX26" s="92" t="s">
        <v>603</v>
      </c>
    </row>
    <row r="27" spans="1:50" s="114" customFormat="1" ht="151.5" hidden="1" customHeight="1" x14ac:dyDescent="0.25">
      <c r="A27" s="349"/>
      <c r="B27" s="386"/>
      <c r="C27" s="380"/>
      <c r="D27" s="382"/>
      <c r="E27" s="378"/>
      <c r="F27" s="429"/>
      <c r="G27" s="399"/>
      <c r="H27" s="394"/>
      <c r="I27" s="399"/>
      <c r="J27" s="371"/>
      <c r="K27" s="374"/>
      <c r="L27" s="345"/>
      <c r="M27" s="376"/>
      <c r="N27" s="180"/>
      <c r="O27" s="374"/>
      <c r="P27" s="345"/>
      <c r="Q27" s="369"/>
      <c r="R27" s="94">
        <v>3</v>
      </c>
      <c r="S27" s="79"/>
      <c r="T27" s="95" t="str">
        <f t="shared" si="17"/>
        <v/>
      </c>
      <c r="U27" s="96"/>
      <c r="V27" s="96"/>
      <c r="W27" s="97" t="str">
        <f t="shared" si="18"/>
        <v/>
      </c>
      <c r="X27" s="96"/>
      <c r="Y27" s="96"/>
      <c r="Z27" s="96"/>
      <c r="AA27" s="98" t="str">
        <f>IFERROR(IF(T27="Probabilidad",(AA26-(+AA26*W27)),IF(T27="Impacto",L27,"")),"")</f>
        <v/>
      </c>
      <c r="AB27" s="99" t="str">
        <f t="shared" si="19"/>
        <v/>
      </c>
      <c r="AC27" s="100" t="str">
        <f t="shared" si="20"/>
        <v/>
      </c>
      <c r="AD27" s="99" t="str">
        <f t="shared" si="21"/>
        <v/>
      </c>
      <c r="AE27" s="100" t="str">
        <f t="shared" si="22"/>
        <v/>
      </c>
      <c r="AF27" s="101" t="str">
        <f t="shared" si="23"/>
        <v/>
      </c>
      <c r="AG27" s="102"/>
      <c r="AH27" s="79"/>
      <c r="AI27" s="92"/>
      <c r="AJ27" s="103"/>
      <c r="AK27" s="103"/>
      <c r="AL27" s="79"/>
      <c r="AM27" s="202"/>
      <c r="AN27" s="202"/>
      <c r="AO27" s="203"/>
      <c r="AP27" s="202"/>
      <c r="AQ27" s="202"/>
      <c r="AR27" s="203"/>
      <c r="AS27" s="103"/>
      <c r="AT27" s="103"/>
      <c r="AU27" s="92" t="s">
        <v>603</v>
      </c>
      <c r="AV27" s="92" t="s">
        <v>603</v>
      </c>
      <c r="AW27" s="92" t="s">
        <v>603</v>
      </c>
      <c r="AX27" s="92" t="s">
        <v>603</v>
      </c>
    </row>
    <row r="28" spans="1:50" s="114" customFormat="1" ht="226.5" customHeight="1" x14ac:dyDescent="0.25">
      <c r="A28" s="349">
        <f>1+A25</f>
        <v>8</v>
      </c>
      <c r="B28" s="384" t="s">
        <v>315</v>
      </c>
      <c r="C28" s="379" t="s">
        <v>316</v>
      </c>
      <c r="D28" s="379" t="s">
        <v>317</v>
      </c>
      <c r="E28" s="377" t="s">
        <v>120</v>
      </c>
      <c r="F28" s="381" t="s">
        <v>318</v>
      </c>
      <c r="G28" s="377" t="s">
        <v>319</v>
      </c>
      <c r="H28" s="362" t="s">
        <v>778</v>
      </c>
      <c r="I28" s="377" t="s">
        <v>217</v>
      </c>
      <c r="J28" s="370">
        <v>12</v>
      </c>
      <c r="K28" s="372" t="str">
        <f>IF(J28&lt;=0,"",IF(J28&lt;=2,"Muy Baja",IF(J28&lt;=24,"Baja",IF(J28&lt;=500,"Media",IF(J28&lt;=5000,"Alta","Muy Alta")))))</f>
        <v>Baja</v>
      </c>
      <c r="L28" s="343">
        <f>IF(K28="","",IF(K28="Muy Baja",0.2,IF(K28="Baja",0.4,IF(K28="Media",0.6,IF(K28="Alta",0.8,IF(K28="Muy Alta",1,))))))</f>
        <v>0.4</v>
      </c>
      <c r="M28" s="375" t="s">
        <v>255</v>
      </c>
      <c r="N28" s="179" t="str">
        <f>IF(NOT(ISERROR(MATCH(M28,'Tabla Impacto'!$B$221:$B$223,0))),'Tabla Impacto'!$F$223&amp;"Por favor no seleccionar los criterios de impacto(Afectación Económica o presupuestal y Pérdida Reputacional)",M28)</f>
        <v xml:space="preserve"> El riesgo afecta la imagen de la entidad con efecto publicitario sostenido a nivel de sector administrativo, nivel departamental o municipal</v>
      </c>
      <c r="O28" s="372" t="str">
        <f>IF(OR(N28='Tabla Impacto'!$C$11,N28='Tabla Impacto'!$D$11),"Leve",IF(OR(N28='Tabla Impacto'!$C$12,N28='Tabla Impacto'!$D$12),"Menor",IF(OR(N28='Tabla Impacto'!$C$13,N28='Tabla Impacto'!$D$13),"Moderado",IF(OR(N28='Tabla Impacto'!$C$14,N28='Tabla Impacto'!$D$14),"Mayor",IF(OR(N28='Tabla Impacto'!$C$15,N28='Tabla Impacto'!$D$15),"Catastrófico","")))))</f>
        <v>Mayor</v>
      </c>
      <c r="P28" s="343">
        <f>IF(O28="","",IF(O28="Leve",0.2,IF(O28="Menor",0.4,IF(O28="Moderado",0.6,IF(O28="Mayor",0.8,IF(O28="Catastrófico",1,))))))</f>
        <v>0.8</v>
      </c>
      <c r="Q28" s="367"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94">
        <v>1</v>
      </c>
      <c r="S28" s="79" t="s">
        <v>320</v>
      </c>
      <c r="T28" s="95" t="str">
        <f t="shared" si="10"/>
        <v>Probabilidad</v>
      </c>
      <c r="U28" s="96" t="s">
        <v>14</v>
      </c>
      <c r="V28" s="96" t="s">
        <v>9</v>
      </c>
      <c r="W28" s="97" t="str">
        <f t="shared" si="11"/>
        <v>40%</v>
      </c>
      <c r="X28" s="96" t="s">
        <v>20</v>
      </c>
      <c r="Y28" s="96" t="s">
        <v>22</v>
      </c>
      <c r="Z28" s="96" t="s">
        <v>111</v>
      </c>
      <c r="AA28" s="98">
        <f>IFERROR(IF(T28="Probabilidad",(L28-(+L28*W28)),IF(T28="Impacto",L28,"")),"")</f>
        <v>0.24</v>
      </c>
      <c r="AB28" s="99" t="str">
        <f t="shared" si="12"/>
        <v>Baja</v>
      </c>
      <c r="AC28" s="100">
        <f t="shared" si="13"/>
        <v>0.24</v>
      </c>
      <c r="AD28" s="99" t="str">
        <f t="shared" si="14"/>
        <v>Mayor</v>
      </c>
      <c r="AE28" s="100">
        <f t="shared" si="15"/>
        <v>0.8</v>
      </c>
      <c r="AF28" s="101" t="str">
        <f t="shared" si="16"/>
        <v>Alto</v>
      </c>
      <c r="AG28" s="102" t="s">
        <v>122</v>
      </c>
      <c r="AH28" s="85" t="s">
        <v>321</v>
      </c>
      <c r="AI28" s="107" t="s">
        <v>304</v>
      </c>
      <c r="AJ28" s="93">
        <v>45444</v>
      </c>
      <c r="AK28" s="93">
        <v>45626</v>
      </c>
      <c r="AL28" s="85" t="s">
        <v>323</v>
      </c>
      <c r="AM28" s="202" t="s">
        <v>698</v>
      </c>
      <c r="AN28" s="202" t="s">
        <v>640</v>
      </c>
      <c r="AO28" s="203">
        <v>0.5</v>
      </c>
      <c r="AP28" s="202" t="s">
        <v>699</v>
      </c>
      <c r="AQ28" s="202" t="s">
        <v>641</v>
      </c>
      <c r="AR28" s="203">
        <v>0.5</v>
      </c>
      <c r="AS28" s="103"/>
      <c r="AT28" s="103" t="s">
        <v>575</v>
      </c>
      <c r="AU28" s="92" t="s">
        <v>603</v>
      </c>
      <c r="AV28" s="92" t="s">
        <v>603</v>
      </c>
      <c r="AW28" s="92" t="s">
        <v>603</v>
      </c>
      <c r="AX28" s="92" t="s">
        <v>603</v>
      </c>
    </row>
    <row r="29" spans="1:50" s="114" customFormat="1" ht="151.5" hidden="1" customHeight="1" x14ac:dyDescent="0.25">
      <c r="A29" s="349"/>
      <c r="B29" s="385"/>
      <c r="C29" s="380"/>
      <c r="D29" s="382"/>
      <c r="E29" s="378"/>
      <c r="F29" s="378"/>
      <c r="G29" s="378"/>
      <c r="H29" s="363"/>
      <c r="I29" s="378"/>
      <c r="J29" s="371"/>
      <c r="K29" s="373"/>
      <c r="L29" s="344"/>
      <c r="M29" s="376"/>
      <c r="N29" s="180"/>
      <c r="O29" s="373"/>
      <c r="P29" s="344"/>
      <c r="Q29" s="368"/>
      <c r="R29" s="94">
        <v>2</v>
      </c>
      <c r="S29" s="79"/>
      <c r="T29" s="95" t="str">
        <f t="shared" si="10"/>
        <v/>
      </c>
      <c r="U29" s="96"/>
      <c r="V29" s="96"/>
      <c r="W29" s="97"/>
      <c r="X29" s="96"/>
      <c r="Y29" s="96"/>
      <c r="Z29" s="96"/>
      <c r="AA29" s="98" t="str">
        <f>IFERROR(IF(T29="Probabilidad",(AA28-(+AA28*W29)),IF(T29="Impacto",L29,"")),"")</f>
        <v/>
      </c>
      <c r="AB29" s="99" t="str">
        <f t="shared" si="12"/>
        <v/>
      </c>
      <c r="AC29" s="100" t="str">
        <f t="shared" si="13"/>
        <v/>
      </c>
      <c r="AD29" s="99" t="str">
        <f t="shared" si="14"/>
        <v/>
      </c>
      <c r="AE29" s="100" t="str">
        <f t="shared" si="15"/>
        <v/>
      </c>
      <c r="AF29" s="101" t="str">
        <f t="shared" si="16"/>
        <v/>
      </c>
      <c r="AG29" s="102"/>
      <c r="AH29" s="79"/>
      <c r="AI29" s="92"/>
      <c r="AJ29" s="103"/>
      <c r="AK29" s="103"/>
      <c r="AL29" s="79"/>
      <c r="AM29" s="202"/>
      <c r="AN29" s="202"/>
      <c r="AO29" s="203"/>
      <c r="AP29" s="202"/>
      <c r="AQ29" s="202"/>
      <c r="AR29" s="203"/>
      <c r="AS29" s="103"/>
      <c r="AT29" s="103"/>
      <c r="AU29" s="92" t="s">
        <v>603</v>
      </c>
      <c r="AV29" s="92" t="s">
        <v>603</v>
      </c>
      <c r="AW29" s="92" t="s">
        <v>603</v>
      </c>
      <c r="AX29" s="92" t="s">
        <v>603</v>
      </c>
    </row>
    <row r="30" spans="1:50" s="114" customFormat="1" ht="151.5" hidden="1" customHeight="1" x14ac:dyDescent="0.25">
      <c r="A30" s="349"/>
      <c r="B30" s="386"/>
      <c r="C30" s="380"/>
      <c r="D30" s="382"/>
      <c r="E30" s="378"/>
      <c r="F30" s="378"/>
      <c r="G30" s="378"/>
      <c r="H30" s="363"/>
      <c r="I30" s="378"/>
      <c r="J30" s="371"/>
      <c r="K30" s="374"/>
      <c r="L30" s="345"/>
      <c r="M30" s="376"/>
      <c r="N30" s="180"/>
      <c r="O30" s="374"/>
      <c r="P30" s="345"/>
      <c r="Q30" s="369"/>
      <c r="R30" s="94">
        <v>3</v>
      </c>
      <c r="S30" s="79"/>
      <c r="T30" s="95" t="str">
        <f t="shared" si="10"/>
        <v/>
      </c>
      <c r="U30" s="96"/>
      <c r="V30" s="96"/>
      <c r="W30" s="97"/>
      <c r="X30" s="96"/>
      <c r="Y30" s="96"/>
      <c r="Z30" s="96"/>
      <c r="AA30" s="98" t="str">
        <f>IFERROR(IF(T30="Probabilidad",(AA29-(+AA29*W30)),IF(T30="Impacto",L30,"")),"")</f>
        <v/>
      </c>
      <c r="AB30" s="99" t="str">
        <f t="shared" si="12"/>
        <v/>
      </c>
      <c r="AC30" s="100" t="str">
        <f t="shared" si="13"/>
        <v/>
      </c>
      <c r="AD30" s="99" t="str">
        <f t="shared" si="14"/>
        <v/>
      </c>
      <c r="AE30" s="100" t="str">
        <f t="shared" si="15"/>
        <v/>
      </c>
      <c r="AF30" s="101" t="str">
        <f t="shared" si="16"/>
        <v/>
      </c>
      <c r="AG30" s="102"/>
      <c r="AH30" s="79"/>
      <c r="AI30" s="92"/>
      <c r="AJ30" s="103"/>
      <c r="AK30" s="103"/>
      <c r="AL30" s="79"/>
      <c r="AM30" s="202"/>
      <c r="AN30" s="202"/>
      <c r="AO30" s="203"/>
      <c r="AP30" s="202"/>
      <c r="AQ30" s="202"/>
      <c r="AR30" s="203"/>
      <c r="AS30" s="103"/>
      <c r="AT30" s="103"/>
      <c r="AU30" s="92" t="s">
        <v>603</v>
      </c>
      <c r="AV30" s="92" t="s">
        <v>603</v>
      </c>
      <c r="AW30" s="92" t="s">
        <v>603</v>
      </c>
      <c r="AX30" s="92" t="s">
        <v>603</v>
      </c>
    </row>
    <row r="31" spans="1:50" s="114" customFormat="1" ht="151.5" customHeight="1" x14ac:dyDescent="0.25">
      <c r="A31" s="349">
        <f>1+A28</f>
        <v>9</v>
      </c>
      <c r="B31" s="384" t="s">
        <v>324</v>
      </c>
      <c r="C31" s="379" t="s">
        <v>325</v>
      </c>
      <c r="D31" s="379" t="s">
        <v>326</v>
      </c>
      <c r="E31" s="377" t="s">
        <v>118</v>
      </c>
      <c r="F31" s="377" t="s">
        <v>327</v>
      </c>
      <c r="G31" s="377" t="s">
        <v>328</v>
      </c>
      <c r="H31" s="362" t="s">
        <v>436</v>
      </c>
      <c r="I31" s="377" t="s">
        <v>115</v>
      </c>
      <c r="J31" s="370">
        <v>24</v>
      </c>
      <c r="K31" s="372" t="str">
        <f>IF(J31&lt;=0,"",IF(J31&lt;=2,"Muy Baja",IF(J31&lt;=24,"Baja",IF(J31&lt;=500,"Media",IF(J31&lt;=5000,"Alta","Muy Alta")))))</f>
        <v>Baja</v>
      </c>
      <c r="L31" s="343">
        <f>IF(K31="","",IF(K31="Muy Baja",0.2,IF(K31="Baja",0.4,IF(K31="Media",0.6,IF(K31="Alta",0.8,IF(K31="Muy Alta",1,))))))</f>
        <v>0.4</v>
      </c>
      <c r="M31" s="375" t="s">
        <v>248</v>
      </c>
      <c r="N31" s="179" t="str">
        <f>IF(NOT(ISERROR(MATCH(M31,'Tabla Impacto'!$B$221:$B$223,0))),'Tabla Impacto'!$F$223&amp;"Por favor no seleccionar los criterios de impacto(Afectación Económica o presupuestal y Pérdida Reputacional)",M31)</f>
        <v xml:space="preserve"> El riesgo afecta la imagen de la entidad con algunos usuarios de relevancia frente al logro de los objetivos</v>
      </c>
      <c r="O31" s="372" t="str">
        <f>IF(OR(N31='Tabla Impacto'!$C$11,N31='Tabla Impacto'!$D$11),"Leve",IF(OR(N31='Tabla Impacto'!$C$12,N31='Tabla Impacto'!$D$12),"Menor",IF(OR(N31='Tabla Impacto'!$C$13,N31='Tabla Impacto'!$D$13),"Moderado",IF(OR(N31='Tabla Impacto'!$C$14,N31='Tabla Impacto'!$D$14),"Mayor",IF(OR(N31='Tabla Impacto'!$C$15,N31='Tabla Impacto'!$D$15),"Catastrófico","")))))</f>
        <v>Moderado</v>
      </c>
      <c r="P31" s="343">
        <f>IF(O31="","",IF(O31="Leve",0.2,IF(O31="Menor",0.4,IF(O31="Moderado",0.6,IF(O31="Mayor",0.8,IF(O31="Catastrófico",1,))))))</f>
        <v>0.6</v>
      </c>
      <c r="Q31" s="367" t="str">
        <f>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Moderado</v>
      </c>
      <c r="R31" s="94">
        <v>1</v>
      </c>
      <c r="S31" s="85" t="s">
        <v>437</v>
      </c>
      <c r="T31" s="95" t="str">
        <f t="shared" si="10"/>
        <v>Probabilidad</v>
      </c>
      <c r="U31" s="96" t="s">
        <v>14</v>
      </c>
      <c r="V31" s="96" t="s">
        <v>9</v>
      </c>
      <c r="W31" s="97" t="str">
        <f t="shared" si="11"/>
        <v>40%</v>
      </c>
      <c r="X31" s="96" t="s">
        <v>19</v>
      </c>
      <c r="Y31" s="96" t="s">
        <v>22</v>
      </c>
      <c r="Z31" s="96" t="s">
        <v>110</v>
      </c>
      <c r="AA31" s="98">
        <f>IFERROR(IF(T31="Probabilidad",(L31-(+L31*W31)),IF(T31="Impacto",L31,"")),"")</f>
        <v>0.24</v>
      </c>
      <c r="AB31" s="99" t="str">
        <f t="shared" si="12"/>
        <v>Baja</v>
      </c>
      <c r="AC31" s="100">
        <f t="shared" si="13"/>
        <v>0.24</v>
      </c>
      <c r="AD31" s="99" t="str">
        <f t="shared" si="14"/>
        <v>Moderado</v>
      </c>
      <c r="AE31" s="100">
        <f t="shared" si="15"/>
        <v>0.6</v>
      </c>
      <c r="AF31" s="101" t="str">
        <f t="shared" si="16"/>
        <v>Moderado</v>
      </c>
      <c r="AG31" s="102" t="s">
        <v>122</v>
      </c>
      <c r="AH31" s="79" t="s">
        <v>438</v>
      </c>
      <c r="AI31" s="92" t="s">
        <v>197</v>
      </c>
      <c r="AJ31" s="93">
        <v>45444</v>
      </c>
      <c r="AK31" s="93">
        <v>45657</v>
      </c>
      <c r="AL31" s="85" t="s">
        <v>224</v>
      </c>
      <c r="AM31" s="202" t="s">
        <v>644</v>
      </c>
      <c r="AN31" s="202" t="s">
        <v>645</v>
      </c>
      <c r="AO31" s="203">
        <v>0.5</v>
      </c>
      <c r="AP31" s="202" t="s">
        <v>646</v>
      </c>
      <c r="AQ31" s="202" t="s">
        <v>647</v>
      </c>
      <c r="AR31" s="203">
        <v>0.5</v>
      </c>
      <c r="AS31" s="103"/>
      <c r="AT31" s="103" t="s">
        <v>575</v>
      </c>
      <c r="AU31" s="92" t="s">
        <v>603</v>
      </c>
      <c r="AV31" s="92" t="s">
        <v>603</v>
      </c>
      <c r="AW31" s="92" t="s">
        <v>603</v>
      </c>
      <c r="AX31" s="92" t="s">
        <v>603</v>
      </c>
    </row>
    <row r="32" spans="1:50" s="114" customFormat="1" ht="151.5" customHeight="1" x14ac:dyDescent="0.25">
      <c r="A32" s="349"/>
      <c r="B32" s="385"/>
      <c r="C32" s="380"/>
      <c r="D32" s="382"/>
      <c r="E32" s="378"/>
      <c r="F32" s="378"/>
      <c r="G32" s="378"/>
      <c r="H32" s="363"/>
      <c r="I32" s="378"/>
      <c r="J32" s="371"/>
      <c r="K32" s="373"/>
      <c r="L32" s="344"/>
      <c r="M32" s="376"/>
      <c r="N32" s="180"/>
      <c r="O32" s="373"/>
      <c r="P32" s="344"/>
      <c r="Q32" s="368"/>
      <c r="R32" s="94">
        <v>2</v>
      </c>
      <c r="S32" s="85"/>
      <c r="T32" s="95" t="str">
        <f t="shared" si="10"/>
        <v/>
      </c>
      <c r="U32" s="96"/>
      <c r="V32" s="96"/>
      <c r="W32" s="97" t="str">
        <f t="shared" si="11"/>
        <v/>
      </c>
      <c r="X32" s="96"/>
      <c r="Y32" s="96"/>
      <c r="Z32" s="96"/>
      <c r="AA32" s="98" t="str">
        <f t="shared" ref="AA32:AA39" si="24">IFERROR(IF(T32="Probabilidad",(AA31-(+AA31*W32)),IF(T32="Impacto",L32,"")),"")</f>
        <v/>
      </c>
      <c r="AB32" s="99" t="str">
        <f t="shared" si="12"/>
        <v/>
      </c>
      <c r="AC32" s="100" t="str">
        <f t="shared" si="13"/>
        <v/>
      </c>
      <c r="AD32" s="99" t="str">
        <f t="shared" si="14"/>
        <v/>
      </c>
      <c r="AE32" s="100" t="str">
        <f t="shared" si="15"/>
        <v/>
      </c>
      <c r="AF32" s="101" t="str">
        <f t="shared" si="16"/>
        <v/>
      </c>
      <c r="AG32" s="102"/>
      <c r="AH32" s="85" t="s">
        <v>329</v>
      </c>
      <c r="AI32" s="107" t="s">
        <v>193</v>
      </c>
      <c r="AJ32" s="93">
        <v>45444</v>
      </c>
      <c r="AK32" s="93">
        <v>45657</v>
      </c>
      <c r="AL32" s="92" t="s">
        <v>603</v>
      </c>
      <c r="AM32" s="92" t="s">
        <v>603</v>
      </c>
      <c r="AN32" s="92" t="s">
        <v>603</v>
      </c>
      <c r="AO32" s="203" t="s">
        <v>576</v>
      </c>
      <c r="AP32" s="202" t="s">
        <v>756</v>
      </c>
      <c r="AQ32" s="202" t="s">
        <v>757</v>
      </c>
      <c r="AR32" s="203">
        <v>0.5</v>
      </c>
      <c r="AS32" s="103"/>
      <c r="AT32" s="103" t="s">
        <v>575</v>
      </c>
      <c r="AU32" s="92" t="s">
        <v>603</v>
      </c>
      <c r="AV32" s="92" t="s">
        <v>603</v>
      </c>
      <c r="AW32" s="92" t="s">
        <v>603</v>
      </c>
      <c r="AX32" s="92" t="s">
        <v>603</v>
      </c>
    </row>
    <row r="33" spans="1:50" s="114" customFormat="1" ht="151.5" hidden="1" customHeight="1" x14ac:dyDescent="0.25">
      <c r="A33" s="349"/>
      <c r="B33" s="386"/>
      <c r="C33" s="380"/>
      <c r="D33" s="382"/>
      <c r="E33" s="378"/>
      <c r="F33" s="378"/>
      <c r="G33" s="378"/>
      <c r="H33" s="363"/>
      <c r="I33" s="378"/>
      <c r="J33" s="371"/>
      <c r="K33" s="374"/>
      <c r="L33" s="345"/>
      <c r="M33" s="376"/>
      <c r="N33" s="180"/>
      <c r="O33" s="374"/>
      <c r="P33" s="345"/>
      <c r="Q33" s="369"/>
      <c r="R33" s="94">
        <v>3</v>
      </c>
      <c r="S33" s="79"/>
      <c r="T33" s="95" t="str">
        <f t="shared" si="10"/>
        <v/>
      </c>
      <c r="U33" s="96"/>
      <c r="V33" s="96"/>
      <c r="W33" s="97"/>
      <c r="X33" s="96"/>
      <c r="Y33" s="96"/>
      <c r="Z33" s="96"/>
      <c r="AA33" s="98" t="str">
        <f t="shared" si="24"/>
        <v/>
      </c>
      <c r="AB33" s="99" t="str">
        <f t="shared" si="12"/>
        <v/>
      </c>
      <c r="AC33" s="100" t="str">
        <f t="shared" si="13"/>
        <v/>
      </c>
      <c r="AD33" s="99" t="str">
        <f t="shared" si="14"/>
        <v/>
      </c>
      <c r="AE33" s="100" t="str">
        <f t="shared" si="15"/>
        <v/>
      </c>
      <c r="AF33" s="101" t="str">
        <f t="shared" si="16"/>
        <v/>
      </c>
      <c r="AG33" s="102"/>
      <c r="AH33" s="79"/>
      <c r="AI33" s="92"/>
      <c r="AJ33" s="103"/>
      <c r="AK33" s="103"/>
      <c r="AL33" s="79"/>
      <c r="AM33" s="202"/>
      <c r="AN33" s="202"/>
      <c r="AO33" s="203"/>
      <c r="AP33" s="202"/>
      <c r="AQ33" s="202"/>
      <c r="AR33" s="203"/>
      <c r="AS33" s="103"/>
      <c r="AT33" s="103" t="s">
        <v>575</v>
      </c>
      <c r="AU33" s="92" t="s">
        <v>603</v>
      </c>
      <c r="AV33" s="92" t="s">
        <v>603</v>
      </c>
      <c r="AW33" s="92" t="s">
        <v>603</v>
      </c>
      <c r="AX33" s="92" t="s">
        <v>603</v>
      </c>
    </row>
    <row r="34" spans="1:50" s="114" customFormat="1" ht="151.5" customHeight="1" x14ac:dyDescent="0.25">
      <c r="A34" s="349">
        <f>1+A31</f>
        <v>10</v>
      </c>
      <c r="B34" s="384" t="s">
        <v>324</v>
      </c>
      <c r="C34" s="379" t="s">
        <v>325</v>
      </c>
      <c r="D34" s="379" t="s">
        <v>326</v>
      </c>
      <c r="E34" s="377" t="s">
        <v>120</v>
      </c>
      <c r="F34" s="383" t="s">
        <v>451</v>
      </c>
      <c r="G34" s="362" t="s">
        <v>452</v>
      </c>
      <c r="H34" s="362" t="s">
        <v>779</v>
      </c>
      <c r="I34" s="377" t="s">
        <v>117</v>
      </c>
      <c r="J34" s="370">
        <v>24</v>
      </c>
      <c r="K34" s="372" t="str">
        <f>IF(J34&lt;=0,"",IF(J34&lt;=2,"Muy Baja",IF(J34&lt;=24,"Baja",IF(J34&lt;=500,"Media",IF(J34&lt;=5000,"Alta","Muy Alta")))))</f>
        <v>Baja</v>
      </c>
      <c r="L34" s="343">
        <f>IF(K34="","",IF(K34="Muy Baja",0.2,IF(K34="Baja",0.4,IF(K34="Media",0.6,IF(K34="Alta",0.8,IF(K34="Muy Alta",1,))))))</f>
        <v>0.4</v>
      </c>
      <c r="M34" s="375" t="s">
        <v>248</v>
      </c>
      <c r="N34" s="179" t="str">
        <f>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372" t="str">
        <f>IF(OR(N34='Tabla Impacto'!$C$11,N34='Tabla Impacto'!$D$11),"Leve",IF(OR(N34='Tabla Impacto'!$C$12,N34='Tabla Impacto'!$D$12),"Menor",IF(OR(N34='Tabla Impacto'!$C$13,N34='Tabla Impacto'!$D$13),"Moderado",IF(OR(N34='Tabla Impacto'!$C$14,N34='Tabla Impacto'!$D$14),"Mayor",IF(OR(N34='Tabla Impacto'!$C$15,N34='Tabla Impacto'!$D$15),"Catastrófico","")))))</f>
        <v>Moderado</v>
      </c>
      <c r="P34" s="343">
        <f>IF(O34="","",IF(O34="Leve",0.2,IF(O34="Menor",0.4,IF(O34="Moderado",0.6,IF(O34="Mayor",0.8,IF(O34="Catastrófico",1,))))))</f>
        <v>0.6</v>
      </c>
      <c r="Q34" s="367" t="str">
        <f>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Moderado</v>
      </c>
      <c r="R34" s="94">
        <v>1</v>
      </c>
      <c r="S34" s="79" t="s">
        <v>439</v>
      </c>
      <c r="T34" s="95" t="str">
        <f t="shared" si="10"/>
        <v>Probabilidad</v>
      </c>
      <c r="U34" s="96" t="s">
        <v>14</v>
      </c>
      <c r="V34" s="96" t="s">
        <v>9</v>
      </c>
      <c r="W34" s="97" t="str">
        <f t="shared" si="11"/>
        <v>40%</v>
      </c>
      <c r="X34" s="96" t="s">
        <v>19</v>
      </c>
      <c r="Y34" s="96" t="s">
        <v>22</v>
      </c>
      <c r="Z34" s="96" t="s">
        <v>110</v>
      </c>
      <c r="AA34" s="98">
        <f>IFERROR(IF(T34="Probabilidad",(L34-(+L34*W34)),IF(T34="Impacto",L34,"")),"")</f>
        <v>0.24</v>
      </c>
      <c r="AB34" s="99" t="str">
        <f t="shared" si="12"/>
        <v>Baja</v>
      </c>
      <c r="AC34" s="100">
        <f t="shared" si="13"/>
        <v>0.24</v>
      </c>
      <c r="AD34" s="99" t="str">
        <f t="shared" si="14"/>
        <v>Moderado</v>
      </c>
      <c r="AE34" s="100">
        <f t="shared" si="15"/>
        <v>0.6</v>
      </c>
      <c r="AF34" s="101" t="str">
        <f t="shared" si="16"/>
        <v>Moderado</v>
      </c>
      <c r="AG34" s="102" t="s">
        <v>122</v>
      </c>
      <c r="AH34" s="85" t="s">
        <v>441</v>
      </c>
      <c r="AI34" s="107" t="s">
        <v>197</v>
      </c>
      <c r="AJ34" s="93">
        <v>45444</v>
      </c>
      <c r="AK34" s="93">
        <v>45657</v>
      </c>
      <c r="AL34" s="85" t="s">
        <v>453</v>
      </c>
      <c r="AM34" s="202" t="s">
        <v>612</v>
      </c>
      <c r="AN34" s="202" t="s">
        <v>613</v>
      </c>
      <c r="AO34" s="203">
        <v>0.5</v>
      </c>
      <c r="AP34" s="202" t="s">
        <v>648</v>
      </c>
      <c r="AQ34" s="202" t="s">
        <v>649</v>
      </c>
      <c r="AR34" s="203">
        <v>0.5</v>
      </c>
      <c r="AS34" s="103"/>
      <c r="AT34" s="103" t="s">
        <v>575</v>
      </c>
      <c r="AU34" s="92" t="s">
        <v>603</v>
      </c>
      <c r="AV34" s="92" t="s">
        <v>603</v>
      </c>
      <c r="AW34" s="92" t="s">
        <v>603</v>
      </c>
      <c r="AX34" s="92" t="s">
        <v>603</v>
      </c>
    </row>
    <row r="35" spans="1:50" s="114" customFormat="1" ht="151.5" hidden="1" customHeight="1" x14ac:dyDescent="0.25">
      <c r="A35" s="349"/>
      <c r="B35" s="385"/>
      <c r="C35" s="380"/>
      <c r="D35" s="382"/>
      <c r="E35" s="378"/>
      <c r="F35" s="363"/>
      <c r="G35" s="363"/>
      <c r="H35" s="363"/>
      <c r="I35" s="378"/>
      <c r="J35" s="371"/>
      <c r="K35" s="373"/>
      <c r="L35" s="344"/>
      <c r="M35" s="376"/>
      <c r="N35" s="180"/>
      <c r="O35" s="373"/>
      <c r="P35" s="344"/>
      <c r="Q35" s="368"/>
      <c r="R35" s="94">
        <v>2</v>
      </c>
      <c r="S35" s="79"/>
      <c r="T35" s="95" t="str">
        <f t="shared" si="10"/>
        <v/>
      </c>
      <c r="U35" s="96"/>
      <c r="V35" s="96"/>
      <c r="W35" s="97" t="str">
        <f t="shared" si="11"/>
        <v/>
      </c>
      <c r="X35" s="96"/>
      <c r="Y35" s="96"/>
      <c r="Z35" s="96"/>
      <c r="AA35" s="98" t="str">
        <f t="shared" si="24"/>
        <v/>
      </c>
      <c r="AB35" s="99" t="str">
        <f t="shared" si="12"/>
        <v/>
      </c>
      <c r="AC35" s="100" t="str">
        <f t="shared" si="13"/>
        <v/>
      </c>
      <c r="AD35" s="99" t="str">
        <f t="shared" ref="AD35:AD37" si="25">IFERROR(IF(AE35="","",IF(AE35&lt;=0.2,"Leve",IF(AE35&lt;=0.4,"Menor",IF(AE35&lt;=0.6,"Moderado",IF(AE35&lt;=0.8,"Mayor","Catastrófico"))))),"")</f>
        <v/>
      </c>
      <c r="AE35" s="100" t="str">
        <f t="shared" ref="AE35:AE37" si="26">IFERROR(IF(T35="Impacto",(P35-(+P35*W35)),IF(T35="Probabilidad",P35,"")),"")</f>
        <v/>
      </c>
      <c r="AF35" s="101" t="str">
        <f t="shared" si="16"/>
        <v/>
      </c>
      <c r="AG35" s="102"/>
      <c r="AH35" s="85"/>
      <c r="AI35" s="107"/>
      <c r="AJ35" s="93"/>
      <c r="AK35" s="93"/>
      <c r="AL35" s="85"/>
      <c r="AM35" s="202"/>
      <c r="AN35" s="202"/>
      <c r="AO35" s="203"/>
      <c r="AP35" s="202"/>
      <c r="AQ35" s="202"/>
      <c r="AR35" s="203"/>
      <c r="AS35" s="103"/>
      <c r="AT35" s="103" t="s">
        <v>575</v>
      </c>
      <c r="AU35" s="92" t="s">
        <v>603</v>
      </c>
      <c r="AV35" s="92" t="s">
        <v>603</v>
      </c>
      <c r="AW35" s="92" t="s">
        <v>603</v>
      </c>
      <c r="AX35" s="92" t="s">
        <v>603</v>
      </c>
    </row>
    <row r="36" spans="1:50" s="114" customFormat="1" ht="151.5" hidden="1" customHeight="1" x14ac:dyDescent="0.25">
      <c r="A36" s="349"/>
      <c r="B36" s="386"/>
      <c r="C36" s="380"/>
      <c r="D36" s="382"/>
      <c r="E36" s="378"/>
      <c r="F36" s="363"/>
      <c r="G36" s="363"/>
      <c r="H36" s="363"/>
      <c r="I36" s="378"/>
      <c r="J36" s="371"/>
      <c r="K36" s="374"/>
      <c r="L36" s="345"/>
      <c r="M36" s="376"/>
      <c r="N36" s="180"/>
      <c r="O36" s="374"/>
      <c r="P36" s="345"/>
      <c r="Q36" s="369"/>
      <c r="R36" s="94">
        <v>3</v>
      </c>
      <c r="S36" s="79"/>
      <c r="T36" s="95" t="str">
        <f t="shared" si="10"/>
        <v/>
      </c>
      <c r="U36" s="96"/>
      <c r="V36" s="96"/>
      <c r="W36" s="97" t="str">
        <f t="shared" si="11"/>
        <v/>
      </c>
      <c r="X36" s="96"/>
      <c r="Y36" s="96"/>
      <c r="Z36" s="96"/>
      <c r="AA36" s="98" t="str">
        <f t="shared" si="24"/>
        <v/>
      </c>
      <c r="AB36" s="99" t="str">
        <f t="shared" si="12"/>
        <v/>
      </c>
      <c r="AC36" s="100" t="str">
        <f t="shared" si="13"/>
        <v/>
      </c>
      <c r="AD36" s="99" t="str">
        <f t="shared" si="25"/>
        <v/>
      </c>
      <c r="AE36" s="100" t="str">
        <f t="shared" si="26"/>
        <v/>
      </c>
      <c r="AF36" s="101" t="str">
        <f t="shared" si="16"/>
        <v/>
      </c>
      <c r="AG36" s="102"/>
      <c r="AH36" s="85"/>
      <c r="AI36" s="107"/>
      <c r="AJ36" s="93"/>
      <c r="AK36" s="93"/>
      <c r="AL36" s="85"/>
      <c r="AM36" s="202"/>
      <c r="AN36" s="202"/>
      <c r="AO36" s="203"/>
      <c r="AP36" s="202"/>
      <c r="AQ36" s="202"/>
      <c r="AR36" s="203"/>
      <c r="AS36" s="103"/>
      <c r="AT36" s="103" t="s">
        <v>575</v>
      </c>
      <c r="AU36" s="92" t="s">
        <v>603</v>
      </c>
      <c r="AV36" s="92" t="s">
        <v>603</v>
      </c>
      <c r="AW36" s="92" t="s">
        <v>603</v>
      </c>
      <c r="AX36" s="92" t="s">
        <v>603</v>
      </c>
    </row>
    <row r="37" spans="1:50" s="114" customFormat="1" ht="151.5" customHeight="1" x14ac:dyDescent="0.25">
      <c r="A37" s="349">
        <f>1+A34</f>
        <v>11</v>
      </c>
      <c r="B37" s="384" t="s">
        <v>330</v>
      </c>
      <c r="C37" s="379" t="s">
        <v>331</v>
      </c>
      <c r="D37" s="379" t="s">
        <v>332</v>
      </c>
      <c r="E37" s="377" t="s">
        <v>118</v>
      </c>
      <c r="F37" s="377" t="s">
        <v>518</v>
      </c>
      <c r="G37" s="377" t="s">
        <v>520</v>
      </c>
      <c r="H37" s="362" t="s">
        <v>780</v>
      </c>
      <c r="I37" s="377" t="s">
        <v>117</v>
      </c>
      <c r="J37" s="370">
        <v>360</v>
      </c>
      <c r="K37" s="372" t="str">
        <f>IF(J37&lt;=0,"",IF(J37&lt;=2,"Muy Baja",IF(J37&lt;=24,"Baja",IF(J37&lt;=500,"Media",IF(J37&lt;=5000,"Alta","Muy Alta")))))</f>
        <v>Media</v>
      </c>
      <c r="L37" s="343">
        <f>IF(K37="","",IF(K37="Muy Baja",0.2,IF(K37="Baja",0.4,IF(K37="Media",0.6,IF(K37="Alta",0.8,IF(K37="Muy Alta",1,))))))</f>
        <v>0.6</v>
      </c>
      <c r="M37" s="375" t="s">
        <v>248</v>
      </c>
      <c r="N37" s="179" t="str">
        <f>IF(NOT(ISERROR(MATCH(M37,'Tabla Impacto'!$B$221:$B$223,0))),'Tabla Impacto'!$F$223&amp;"Por favor no seleccionar los criterios de impacto(Afectación Económica o presupuestal y Pérdida Reputacional)",M37)</f>
        <v xml:space="preserve"> El riesgo afecta la imagen de la entidad con algunos usuarios de relevancia frente al logro de los objetivos</v>
      </c>
      <c r="O37" s="372" t="str">
        <f>IF(OR(N37='Tabla Impacto'!$C$11,N37='Tabla Impacto'!$D$11),"Leve",IF(OR(N37='Tabla Impacto'!$C$12,N37='Tabla Impacto'!$D$12),"Menor",IF(OR(N37='Tabla Impacto'!$C$13,N37='Tabla Impacto'!$D$13),"Moderado",IF(OR(N37='Tabla Impacto'!$C$14,N37='Tabla Impacto'!$D$14),"Mayor",IF(OR(N37='Tabla Impacto'!$C$15,N37='Tabla Impacto'!$D$15),"Catastrófico","")))))</f>
        <v>Moderado</v>
      </c>
      <c r="P37" s="343">
        <f>IF(O37="","",IF(O37="Leve",0.2,IF(O37="Menor",0.4,IF(O37="Moderado",0.6,IF(O37="Mayor",0.8,IF(O37="Catastrófico",1,))))))</f>
        <v>0.6</v>
      </c>
      <c r="Q37" s="367" t="str">
        <f>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94">
        <v>1</v>
      </c>
      <c r="S37" s="79" t="s">
        <v>519</v>
      </c>
      <c r="T37" s="95" t="str">
        <f t="shared" ref="T37:T39" si="27">IF(OR(U37="Preventivo",U37="Detectivo"),"Probabilidad",IF(U37="Correctivo","Impacto",""))</f>
        <v>Probabilidad</v>
      </c>
      <c r="U37" s="96" t="s">
        <v>15</v>
      </c>
      <c r="V37" s="96" t="s">
        <v>9</v>
      </c>
      <c r="W37" s="97" t="str">
        <f t="shared" ref="W37:W39" si="28">IF(AND(U37="Preventivo",V37="Automático"),"50%",IF(AND(U37="Preventivo",V37="Manual"),"40%",IF(AND(U37="Detectivo",V37="Automático"),"40%",IF(AND(U37="Detectivo",V37="Manual"),"30%",IF(AND(U37="Correctivo",V37="Automático"),"35%",IF(AND(U37="Correctivo",V37="Manual"),"25%",""))))))</f>
        <v>30%</v>
      </c>
      <c r="X37" s="96" t="s">
        <v>20</v>
      </c>
      <c r="Y37" s="96" t="s">
        <v>22</v>
      </c>
      <c r="Z37" s="96" t="s">
        <v>110</v>
      </c>
      <c r="AA37" s="98">
        <f>IFERROR(IF(T37="Probabilidad",(L37-(+L37*W37)),IF(T37="Impacto",L37,"")),"")</f>
        <v>0.42</v>
      </c>
      <c r="AB37" s="99" t="str">
        <f t="shared" ref="AB37:AB39" si="29">IFERROR(IF(AA37="","",IF(AA37&lt;=0.2,"Muy Baja",IF(AA37&lt;=0.4,"Baja",IF(AA37&lt;=0.6,"Media",IF(AA37&lt;=0.8,"Alta","Muy Alta"))))),"")</f>
        <v>Media</v>
      </c>
      <c r="AC37" s="100">
        <f t="shared" ref="AC37:AC39" si="30">+AA37</f>
        <v>0.42</v>
      </c>
      <c r="AD37" s="99" t="str">
        <f t="shared" si="25"/>
        <v>Moderado</v>
      </c>
      <c r="AE37" s="100">
        <f t="shared" si="26"/>
        <v>0.6</v>
      </c>
      <c r="AF37" s="101" t="str">
        <f t="shared" ref="AF37:AF39" si="31">IFERROR(IF(OR(AND(AB37="Muy Baja",AD37="Leve"),AND(AB37="Muy Baja",AD37="Menor"),AND(AB37="Baja",AD37="Leve")),"Bajo",IF(OR(AND(AB37="Muy baja",AD37="Moderado"),AND(AB37="Baja",AD37="Menor"),AND(AB37="Baja",AD37="Moderado"),AND(AB37="Media",AD37="Leve"),AND(AB37="Media",AD37="Menor"),AND(AB37="Media",AD37="Moderado"),AND(AB37="Alta",AD37="Leve"),AND(AB37="Alta",AD37="Menor")),"Moderado",IF(OR(AND(AB37="Muy Baja",AD37="Mayor"),AND(AB37="Baja",AD37="Mayor"),AND(AB37="Media",AD37="Mayor"),AND(AB37="Alta",AD37="Moderado"),AND(AB37="Alta",AD37="Mayor"),AND(AB37="Muy Alta",AD37="Leve"),AND(AB37="Muy Alta",AD37="Menor"),AND(AB37="Muy Alta",AD37="Moderado"),AND(AB37="Muy Alta",AD37="Mayor")),"Alto",IF(OR(AND(AB37="Muy Baja",AD37="Catastrófico"),AND(AB37="Baja",AD37="Catastrófico"),AND(AB37="Media",AD37="Catastrófico"),AND(AB37="Alta",AD37="Catastrófico"),AND(AB37="Muy Alta",AD37="Catastrófico")),"Extremo","")))),"")</f>
        <v>Moderado</v>
      </c>
      <c r="AG37" s="102" t="s">
        <v>122</v>
      </c>
      <c r="AH37" s="85" t="s">
        <v>521</v>
      </c>
      <c r="AI37" s="107" t="s">
        <v>333</v>
      </c>
      <c r="AJ37" s="93">
        <v>45444</v>
      </c>
      <c r="AK37" s="93">
        <v>45657</v>
      </c>
      <c r="AL37" s="85" t="s">
        <v>508</v>
      </c>
      <c r="AM37" s="202" t="s">
        <v>700</v>
      </c>
      <c r="AN37" s="202" t="s">
        <v>701</v>
      </c>
      <c r="AO37" s="203">
        <v>0.5</v>
      </c>
      <c r="AP37" s="202" t="s">
        <v>608</v>
      </c>
      <c r="AQ37" s="202" t="s">
        <v>678</v>
      </c>
      <c r="AR37" s="203">
        <v>0.5</v>
      </c>
      <c r="AS37" s="103"/>
      <c r="AT37" s="103" t="s">
        <v>575</v>
      </c>
      <c r="AU37" s="92" t="s">
        <v>603</v>
      </c>
      <c r="AV37" s="92" t="s">
        <v>603</v>
      </c>
      <c r="AW37" s="92" t="s">
        <v>603</v>
      </c>
      <c r="AX37" s="92" t="s">
        <v>603</v>
      </c>
    </row>
    <row r="38" spans="1:50" s="114" customFormat="1" ht="151.5" hidden="1" customHeight="1" x14ac:dyDescent="0.25">
      <c r="A38" s="349"/>
      <c r="B38" s="385"/>
      <c r="C38" s="380"/>
      <c r="D38" s="382"/>
      <c r="E38" s="378"/>
      <c r="F38" s="378"/>
      <c r="G38" s="378"/>
      <c r="H38" s="363"/>
      <c r="I38" s="378"/>
      <c r="J38" s="371"/>
      <c r="K38" s="373"/>
      <c r="L38" s="344"/>
      <c r="M38" s="376"/>
      <c r="N38" s="180"/>
      <c r="O38" s="373"/>
      <c r="P38" s="344"/>
      <c r="Q38" s="368"/>
      <c r="R38" s="94">
        <v>2</v>
      </c>
      <c r="S38" s="79"/>
      <c r="T38" s="95" t="str">
        <f t="shared" si="27"/>
        <v/>
      </c>
      <c r="U38" s="96"/>
      <c r="V38" s="96"/>
      <c r="W38" s="97" t="str">
        <f t="shared" si="28"/>
        <v/>
      </c>
      <c r="X38" s="96"/>
      <c r="Y38" s="96"/>
      <c r="Z38" s="96"/>
      <c r="AA38" s="98" t="str">
        <f t="shared" si="24"/>
        <v/>
      </c>
      <c r="AB38" s="99" t="str">
        <f t="shared" si="29"/>
        <v/>
      </c>
      <c r="AC38" s="100" t="str">
        <f t="shared" si="30"/>
        <v/>
      </c>
      <c r="AD38" s="99" t="str">
        <f t="shared" ref="AD38:AD39" si="32">IFERROR(IF(AE38="","",IF(AE38&lt;=0.2,"Leve",IF(AE38&lt;=0.4,"Menor",IF(AE38&lt;=0.6,"Moderado",IF(AE38&lt;=0.8,"Mayor","Catastrófico"))))),"")</f>
        <v/>
      </c>
      <c r="AE38" s="100" t="str">
        <f t="shared" ref="AE38:AE39" si="33">IFERROR(IF(T38="Impacto",(P38-(+P38*W38)),IF(T38="Probabilidad",P38,"")),"")</f>
        <v/>
      </c>
      <c r="AF38" s="101" t="str">
        <f t="shared" si="31"/>
        <v/>
      </c>
      <c r="AG38" s="102"/>
      <c r="AH38" s="85"/>
      <c r="AI38" s="107"/>
      <c r="AJ38" s="93"/>
      <c r="AK38" s="93"/>
      <c r="AL38" s="85"/>
      <c r="AM38" s="202"/>
      <c r="AN38" s="202"/>
      <c r="AO38" s="203"/>
      <c r="AP38" s="202"/>
      <c r="AQ38" s="202"/>
      <c r="AR38" s="203"/>
      <c r="AS38" s="103"/>
      <c r="AT38" s="103" t="s">
        <v>575</v>
      </c>
      <c r="AU38" s="92" t="s">
        <v>603</v>
      </c>
      <c r="AV38" s="92" t="s">
        <v>603</v>
      </c>
      <c r="AW38" s="92" t="s">
        <v>603</v>
      </c>
      <c r="AX38" s="92" t="s">
        <v>603</v>
      </c>
    </row>
    <row r="39" spans="1:50" s="114" customFormat="1" ht="151.5" hidden="1" customHeight="1" x14ac:dyDescent="0.25">
      <c r="A39" s="349"/>
      <c r="B39" s="386"/>
      <c r="C39" s="380"/>
      <c r="D39" s="382"/>
      <c r="E39" s="378"/>
      <c r="F39" s="378"/>
      <c r="G39" s="378"/>
      <c r="H39" s="363"/>
      <c r="I39" s="378"/>
      <c r="J39" s="371"/>
      <c r="K39" s="374"/>
      <c r="L39" s="345"/>
      <c r="M39" s="376"/>
      <c r="N39" s="180"/>
      <c r="O39" s="374"/>
      <c r="P39" s="345"/>
      <c r="Q39" s="369"/>
      <c r="R39" s="94">
        <v>3</v>
      </c>
      <c r="S39" s="79"/>
      <c r="T39" s="95" t="str">
        <f t="shared" si="27"/>
        <v/>
      </c>
      <c r="U39" s="96"/>
      <c r="V39" s="96"/>
      <c r="W39" s="97" t="str">
        <f t="shared" si="28"/>
        <v/>
      </c>
      <c r="X39" s="96"/>
      <c r="Y39" s="96"/>
      <c r="Z39" s="96"/>
      <c r="AA39" s="98" t="str">
        <f t="shared" si="24"/>
        <v/>
      </c>
      <c r="AB39" s="99" t="str">
        <f t="shared" si="29"/>
        <v/>
      </c>
      <c r="AC39" s="100" t="str">
        <f t="shared" si="30"/>
        <v/>
      </c>
      <c r="AD39" s="99" t="str">
        <f t="shared" si="32"/>
        <v/>
      </c>
      <c r="AE39" s="100" t="str">
        <f t="shared" si="33"/>
        <v/>
      </c>
      <c r="AF39" s="101" t="str">
        <f t="shared" si="31"/>
        <v/>
      </c>
      <c r="AG39" s="102"/>
      <c r="AH39" s="85"/>
      <c r="AI39" s="107"/>
      <c r="AJ39" s="93"/>
      <c r="AK39" s="93"/>
      <c r="AL39" s="85"/>
      <c r="AM39" s="202"/>
      <c r="AN39" s="202"/>
      <c r="AO39" s="203"/>
      <c r="AP39" s="202"/>
      <c r="AQ39" s="202"/>
      <c r="AR39" s="203"/>
      <c r="AS39" s="103"/>
      <c r="AT39" s="103" t="s">
        <v>575</v>
      </c>
      <c r="AU39" s="92" t="s">
        <v>603</v>
      </c>
      <c r="AV39" s="92" t="s">
        <v>603</v>
      </c>
      <c r="AW39" s="92" t="s">
        <v>603</v>
      </c>
      <c r="AX39" s="92" t="s">
        <v>603</v>
      </c>
    </row>
    <row r="40" spans="1:50" s="114" customFormat="1" ht="176.25" customHeight="1" x14ac:dyDescent="0.25">
      <c r="A40" s="349">
        <f>1+A37</f>
        <v>12</v>
      </c>
      <c r="B40" s="384" t="s">
        <v>334</v>
      </c>
      <c r="C40" s="379" t="s">
        <v>335</v>
      </c>
      <c r="D40" s="379" t="s">
        <v>336</v>
      </c>
      <c r="E40" s="377" t="s">
        <v>120</v>
      </c>
      <c r="F40" s="381" t="s">
        <v>477</v>
      </c>
      <c r="G40" s="381" t="s">
        <v>223</v>
      </c>
      <c r="H40" s="362" t="s">
        <v>478</v>
      </c>
      <c r="I40" s="377" t="s">
        <v>115</v>
      </c>
      <c r="J40" s="370">
        <v>98</v>
      </c>
      <c r="K40" s="372" t="str">
        <f>IF(J40&lt;=0,"",IF(J40&lt;=2,"Muy Baja",IF(J40&lt;=24,"Baja",IF(J40&lt;=500,"Media",IF(J40&lt;=5000,"Alta","Muy Alta")))))</f>
        <v>Media</v>
      </c>
      <c r="L40" s="343">
        <f>IF(K40="","",IF(K40="Muy Baja",0.2,IF(K40="Baja",0.4,IF(K40="Media",0.6,IF(K40="Alta",0.8,IF(K40="Muy Alta",1,))))))</f>
        <v>0.6</v>
      </c>
      <c r="M40" s="375" t="s">
        <v>248</v>
      </c>
      <c r="N40" s="179" t="str">
        <f>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372" t="str">
        <f>IF(OR(N40='Tabla Impacto'!$C$11,N40='Tabla Impacto'!$D$11),"Leve",IF(OR(N40='Tabla Impacto'!$C$12,N40='Tabla Impacto'!$D$12),"Menor",IF(OR(N40='Tabla Impacto'!$C$13,N40='Tabla Impacto'!$D$13),"Moderado",IF(OR(N40='Tabla Impacto'!$C$14,N40='Tabla Impacto'!$D$14),"Mayor",IF(OR(N40='Tabla Impacto'!$C$15,N40='Tabla Impacto'!$D$15),"Catastrófico","")))))</f>
        <v>Moderado</v>
      </c>
      <c r="P40" s="343">
        <f>IF(O40="","",IF(O40="Leve",0.2,IF(O40="Menor",0.4,IF(O40="Moderado",0.6,IF(O40="Mayor",0.8,IF(O40="Catastrófico",1,))))))</f>
        <v>0.6</v>
      </c>
      <c r="Q40" s="367" t="str">
        <f>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94">
        <v>1</v>
      </c>
      <c r="S40" s="79" t="s">
        <v>479</v>
      </c>
      <c r="T40" s="95" t="str">
        <f t="shared" si="10"/>
        <v>Probabilidad</v>
      </c>
      <c r="U40" s="96" t="s">
        <v>14</v>
      </c>
      <c r="V40" s="96" t="s">
        <v>9</v>
      </c>
      <c r="W40" s="97" t="str">
        <f t="shared" si="11"/>
        <v>40%</v>
      </c>
      <c r="X40" s="96" t="s">
        <v>19</v>
      </c>
      <c r="Y40" s="96" t="s">
        <v>22</v>
      </c>
      <c r="Z40" s="96" t="s">
        <v>110</v>
      </c>
      <c r="AA40" s="98">
        <f>IFERROR(IF(T40="Probabilidad",(L40-(+L40*W40)),IF(T40="Impacto",L40,"")),"")</f>
        <v>0.36</v>
      </c>
      <c r="AB40" s="99" t="str">
        <f t="shared" si="12"/>
        <v>Baja</v>
      </c>
      <c r="AC40" s="100">
        <f t="shared" si="13"/>
        <v>0.36</v>
      </c>
      <c r="AD40" s="99" t="str">
        <f t="shared" si="14"/>
        <v>Moderado</v>
      </c>
      <c r="AE40" s="100">
        <f t="shared" si="15"/>
        <v>0.6</v>
      </c>
      <c r="AF40" s="101" t="str">
        <f t="shared" si="16"/>
        <v>Moderado</v>
      </c>
      <c r="AG40" s="102" t="s">
        <v>122</v>
      </c>
      <c r="AH40" s="79" t="s">
        <v>337</v>
      </c>
      <c r="AI40" s="92" t="s">
        <v>195</v>
      </c>
      <c r="AJ40" s="93">
        <v>45450</v>
      </c>
      <c r="AK40" s="93">
        <v>45657</v>
      </c>
      <c r="AL40" s="79" t="s">
        <v>224</v>
      </c>
      <c r="AM40" s="206" t="s">
        <v>585</v>
      </c>
      <c r="AN40" s="207" t="s">
        <v>580</v>
      </c>
      <c r="AO40" s="208">
        <v>0.5</v>
      </c>
      <c r="AP40" s="206" t="s">
        <v>586</v>
      </c>
      <c r="AQ40" s="206" t="s">
        <v>586</v>
      </c>
      <c r="AR40" s="208">
        <v>0.1</v>
      </c>
      <c r="AS40" s="209"/>
      <c r="AT40" s="103" t="s">
        <v>575</v>
      </c>
      <c r="AU40" s="92" t="s">
        <v>603</v>
      </c>
      <c r="AV40" s="92" t="s">
        <v>603</v>
      </c>
      <c r="AW40" s="92" t="s">
        <v>603</v>
      </c>
      <c r="AX40" s="92" t="s">
        <v>603</v>
      </c>
    </row>
    <row r="41" spans="1:50" s="114" customFormat="1" ht="151.5" customHeight="1" x14ac:dyDescent="0.25">
      <c r="A41" s="349"/>
      <c r="B41" s="385"/>
      <c r="C41" s="382"/>
      <c r="D41" s="382"/>
      <c r="E41" s="378"/>
      <c r="F41" s="378"/>
      <c r="G41" s="378"/>
      <c r="H41" s="363"/>
      <c r="I41" s="378"/>
      <c r="J41" s="371"/>
      <c r="K41" s="373"/>
      <c r="L41" s="344"/>
      <c r="M41" s="376"/>
      <c r="N41" s="180"/>
      <c r="O41" s="373"/>
      <c r="P41" s="344"/>
      <c r="Q41" s="368"/>
      <c r="R41" s="94">
        <v>2</v>
      </c>
      <c r="S41" s="79" t="s">
        <v>435</v>
      </c>
      <c r="T41" s="95" t="str">
        <f t="shared" si="10"/>
        <v>Probabilidad</v>
      </c>
      <c r="U41" s="96" t="s">
        <v>14</v>
      </c>
      <c r="V41" s="96" t="s">
        <v>9</v>
      </c>
      <c r="W41" s="97"/>
      <c r="X41" s="96" t="s">
        <v>19</v>
      </c>
      <c r="Y41" s="96" t="s">
        <v>22</v>
      </c>
      <c r="Z41" s="96" t="s">
        <v>110</v>
      </c>
      <c r="AA41" s="98">
        <f>IFERROR(IF(T41="Probabilidad",(L41-(+L41*W41)),IF(T41="Impacto",L41,"")),"")</f>
        <v>0</v>
      </c>
      <c r="AB41" s="99" t="str">
        <f t="shared" ref="AB41" si="34">IFERROR(IF(AA41="","",IF(AA41&lt;=0.2,"Muy Baja",IF(AA41&lt;=0.4,"Baja",IF(AA41&lt;=0.6,"Media",IF(AA41&lt;=0.8,"Alta","Muy Alta"))))),"")</f>
        <v>Muy Baja</v>
      </c>
      <c r="AC41" s="100">
        <f t="shared" ref="AC41" si="35">+AA41</f>
        <v>0</v>
      </c>
      <c r="AD41" s="99" t="str">
        <f t="shared" ref="AD41" si="36">IFERROR(IF(AE41="","",IF(AE41&lt;=0.2,"Leve",IF(AE41&lt;=0.4,"Menor",IF(AE41&lt;=0.6,"Moderado",IF(AE41&lt;=0.8,"Mayor","Catastrófico"))))),"")</f>
        <v>Leve</v>
      </c>
      <c r="AE41" s="100">
        <f t="shared" ref="AE41" si="37">IFERROR(IF(T41="Impacto",(P41-(+P41*W41)),IF(T41="Probabilidad",P41,"")),"")</f>
        <v>0</v>
      </c>
      <c r="AF41" s="101" t="str">
        <f t="shared" ref="AF41" si="38">IFERROR(IF(OR(AND(AB41="Muy Baja",AD41="Leve"),AND(AB41="Muy Baja",AD41="Menor"),AND(AB41="Baja",AD41="Leve")),"Bajo",IF(OR(AND(AB41="Muy baja",AD41="Moderado"),AND(AB41="Baja",AD41="Menor"),AND(AB41="Baja",AD41="Moderado"),AND(AB41="Media",AD41="Leve"),AND(AB41="Media",AD41="Menor"),AND(AB41="Media",AD41="Moderado"),AND(AB41="Alta",AD41="Leve"),AND(AB41="Alta",AD41="Menor")),"Moderado",IF(OR(AND(AB41="Muy Baja",AD41="Mayor"),AND(AB41="Baja",AD41="Mayor"),AND(AB41="Media",AD41="Mayor"),AND(AB41="Alta",AD41="Moderado"),AND(AB41="Alta",AD41="Mayor"),AND(AB41="Muy Alta",AD41="Leve"),AND(AB41="Muy Alta",AD41="Menor"),AND(AB41="Muy Alta",AD41="Moderado"),AND(AB41="Muy Alta",AD41="Mayor")),"Alto",IF(OR(AND(AB41="Muy Baja",AD41="Catastrófico"),AND(AB41="Baja",AD41="Catastrófico"),AND(AB41="Media",AD41="Catastrófico"),AND(AB41="Alta",AD41="Catastrófico"),AND(AB41="Muy Alta",AD41="Catastrófico")),"Extremo","")))),"")</f>
        <v>Bajo</v>
      </c>
      <c r="AG41" s="102" t="s">
        <v>122</v>
      </c>
      <c r="AH41" s="92" t="s">
        <v>603</v>
      </c>
      <c r="AI41" s="92" t="s">
        <v>603</v>
      </c>
      <c r="AJ41" s="92" t="s">
        <v>603</v>
      </c>
      <c r="AK41" s="92" t="s">
        <v>603</v>
      </c>
      <c r="AL41" s="92" t="s">
        <v>603</v>
      </c>
      <c r="AM41" s="206" t="s">
        <v>579</v>
      </c>
      <c r="AN41" s="207" t="s">
        <v>580</v>
      </c>
      <c r="AO41" s="208">
        <v>0.5</v>
      </c>
      <c r="AP41" s="92" t="s">
        <v>603</v>
      </c>
      <c r="AQ41" s="92" t="s">
        <v>603</v>
      </c>
      <c r="AR41" s="208" t="s">
        <v>576</v>
      </c>
      <c r="AS41" s="209"/>
      <c r="AT41" s="103" t="s">
        <v>575</v>
      </c>
      <c r="AU41" s="92" t="s">
        <v>603</v>
      </c>
      <c r="AV41" s="92" t="s">
        <v>603</v>
      </c>
      <c r="AW41" s="92" t="s">
        <v>603</v>
      </c>
      <c r="AX41" s="92" t="s">
        <v>603</v>
      </c>
    </row>
    <row r="42" spans="1:50" s="114" customFormat="1" ht="151.5" customHeight="1" x14ac:dyDescent="0.25">
      <c r="A42" s="349"/>
      <c r="B42" s="385"/>
      <c r="C42" s="382"/>
      <c r="D42" s="382"/>
      <c r="E42" s="378"/>
      <c r="F42" s="378"/>
      <c r="G42" s="378"/>
      <c r="H42" s="363"/>
      <c r="I42" s="378"/>
      <c r="J42" s="371"/>
      <c r="K42" s="373"/>
      <c r="L42" s="344"/>
      <c r="M42" s="376"/>
      <c r="N42" s="180"/>
      <c r="O42" s="373"/>
      <c r="P42" s="344"/>
      <c r="Q42" s="368"/>
      <c r="R42" s="94">
        <v>3</v>
      </c>
      <c r="S42" s="79" t="s">
        <v>480</v>
      </c>
      <c r="T42" s="95" t="str">
        <f t="shared" ref="T42" si="39">IF(OR(U42="Preventivo",U42="Detectivo"),"Probabilidad",IF(U42="Correctivo","Impacto",""))</f>
        <v>Probabilidad</v>
      </c>
      <c r="U42" s="96" t="s">
        <v>14</v>
      </c>
      <c r="V42" s="96" t="s">
        <v>9</v>
      </c>
      <c r="W42" s="97"/>
      <c r="X42" s="96" t="s">
        <v>19</v>
      </c>
      <c r="Y42" s="96" t="s">
        <v>22</v>
      </c>
      <c r="Z42" s="96" t="s">
        <v>110</v>
      </c>
      <c r="AA42" s="98">
        <f t="shared" ref="AA42:AA43" si="40">IFERROR(IF(T42="Probabilidad",(L42-(+L42*W42)),IF(T42="Impacto",L42,"")),"")</f>
        <v>0</v>
      </c>
      <c r="AB42" s="99" t="str">
        <f t="shared" ref="AB42" si="41">IFERROR(IF(AA42="","",IF(AA42&lt;=0.2,"Muy Baja",IF(AA42&lt;=0.4,"Baja",IF(AA42&lt;=0.6,"Media",IF(AA42&lt;=0.8,"Alta","Muy Alta"))))),"")</f>
        <v>Muy Baja</v>
      </c>
      <c r="AC42" s="100">
        <f t="shared" ref="AC42" si="42">+AA42</f>
        <v>0</v>
      </c>
      <c r="AD42" s="99" t="str">
        <f t="shared" ref="AD42" si="43">IFERROR(IF(AE42="","",IF(AE42&lt;=0.2,"Leve",IF(AE42&lt;=0.4,"Menor",IF(AE42&lt;=0.6,"Moderado",IF(AE42&lt;=0.8,"Mayor","Catastrófico"))))),"")</f>
        <v>Leve</v>
      </c>
      <c r="AE42" s="100">
        <f t="shared" ref="AE42" si="44">IFERROR(IF(T42="Impacto",(P42-(+P42*W42)),IF(T42="Probabilidad",P42,"")),"")</f>
        <v>0</v>
      </c>
      <c r="AF42" s="101" t="str">
        <f t="shared" ref="AF42" si="45">IFERROR(IF(OR(AND(AB42="Muy Baja",AD42="Leve"),AND(AB42="Muy Baja",AD42="Menor"),AND(AB42="Baja",AD42="Leve")),"Bajo",IF(OR(AND(AB42="Muy baja",AD42="Moderado"),AND(AB42="Baja",AD42="Menor"),AND(AB42="Baja",AD42="Moderado"),AND(AB42="Media",AD42="Leve"),AND(AB42="Media",AD42="Menor"),AND(AB42="Media",AD42="Moderado"),AND(AB42="Alta",AD42="Leve"),AND(AB42="Alta",AD42="Menor")),"Moderado",IF(OR(AND(AB42="Muy Baja",AD42="Mayor"),AND(AB42="Baja",AD42="Mayor"),AND(AB42="Media",AD42="Mayor"),AND(AB42="Alta",AD42="Moderado"),AND(AB42="Alta",AD42="Mayor"),AND(AB42="Muy Alta",AD42="Leve"),AND(AB42="Muy Alta",AD42="Menor"),AND(AB42="Muy Alta",AD42="Moderado"),AND(AB42="Muy Alta",AD42="Mayor")),"Alto",IF(OR(AND(AB42="Muy Baja",AD42="Catastrófico"),AND(AB42="Baja",AD42="Catastrófico"),AND(AB42="Media",AD42="Catastrófico"),AND(AB42="Alta",AD42="Catastrófico"),AND(AB42="Muy Alta",AD42="Catastrófico")),"Extremo","")))),"")</f>
        <v>Bajo</v>
      </c>
      <c r="AG42" s="102" t="s">
        <v>122</v>
      </c>
      <c r="AH42" s="92" t="s">
        <v>603</v>
      </c>
      <c r="AI42" s="92" t="s">
        <v>603</v>
      </c>
      <c r="AJ42" s="92" t="s">
        <v>603</v>
      </c>
      <c r="AK42" s="92" t="s">
        <v>603</v>
      </c>
      <c r="AL42" s="92" t="s">
        <v>603</v>
      </c>
      <c r="AM42" s="206" t="s">
        <v>579</v>
      </c>
      <c r="AN42" s="207" t="s">
        <v>580</v>
      </c>
      <c r="AO42" s="208">
        <v>0.5</v>
      </c>
      <c r="AP42" s="92" t="s">
        <v>603</v>
      </c>
      <c r="AQ42" s="92" t="s">
        <v>603</v>
      </c>
      <c r="AR42" s="208" t="s">
        <v>576</v>
      </c>
      <c r="AS42" s="209"/>
      <c r="AT42" s="103" t="s">
        <v>575</v>
      </c>
      <c r="AU42" s="92" t="s">
        <v>603</v>
      </c>
      <c r="AV42" s="92" t="s">
        <v>603</v>
      </c>
      <c r="AW42" s="92" t="s">
        <v>603</v>
      </c>
      <c r="AX42" s="92" t="s">
        <v>603</v>
      </c>
    </row>
    <row r="43" spans="1:50" s="114" customFormat="1" ht="151.5" customHeight="1" x14ac:dyDescent="0.25">
      <c r="A43" s="349"/>
      <c r="B43" s="386"/>
      <c r="C43" s="382"/>
      <c r="D43" s="382"/>
      <c r="E43" s="378"/>
      <c r="F43" s="378"/>
      <c r="G43" s="378"/>
      <c r="H43" s="363"/>
      <c r="I43" s="378"/>
      <c r="J43" s="371"/>
      <c r="K43" s="374"/>
      <c r="L43" s="345"/>
      <c r="M43" s="376"/>
      <c r="N43" s="180"/>
      <c r="O43" s="374"/>
      <c r="P43" s="345"/>
      <c r="Q43" s="369"/>
      <c r="R43" s="94">
        <v>4</v>
      </c>
      <c r="S43" s="79" t="s">
        <v>481</v>
      </c>
      <c r="T43" s="95" t="str">
        <f t="shared" si="10"/>
        <v>Probabilidad</v>
      </c>
      <c r="U43" s="96" t="s">
        <v>14</v>
      </c>
      <c r="V43" s="96" t="s">
        <v>9</v>
      </c>
      <c r="W43" s="97"/>
      <c r="X43" s="96" t="s">
        <v>19</v>
      </c>
      <c r="Y43" s="96" t="s">
        <v>22</v>
      </c>
      <c r="Z43" s="96" t="s">
        <v>110</v>
      </c>
      <c r="AA43" s="98">
        <f t="shared" si="40"/>
        <v>0</v>
      </c>
      <c r="AB43" s="99" t="str">
        <f t="shared" si="12"/>
        <v>Muy Baja</v>
      </c>
      <c r="AC43" s="100">
        <f t="shared" si="13"/>
        <v>0</v>
      </c>
      <c r="AD43" s="99" t="str">
        <f t="shared" si="14"/>
        <v>Leve</v>
      </c>
      <c r="AE43" s="100">
        <f t="shared" si="15"/>
        <v>0</v>
      </c>
      <c r="AF43" s="101" t="str">
        <f t="shared" si="16"/>
        <v>Bajo</v>
      </c>
      <c r="AG43" s="102" t="s">
        <v>122</v>
      </c>
      <c r="AH43" s="92" t="s">
        <v>603</v>
      </c>
      <c r="AI43" s="92" t="s">
        <v>603</v>
      </c>
      <c r="AJ43" s="92" t="s">
        <v>603</v>
      </c>
      <c r="AK43" s="92" t="s">
        <v>603</v>
      </c>
      <c r="AL43" s="92" t="s">
        <v>603</v>
      </c>
      <c r="AM43" s="206" t="s">
        <v>579</v>
      </c>
      <c r="AN43" s="207" t="s">
        <v>580</v>
      </c>
      <c r="AO43" s="208">
        <v>0.5</v>
      </c>
      <c r="AP43" s="92" t="s">
        <v>603</v>
      </c>
      <c r="AQ43" s="92" t="s">
        <v>603</v>
      </c>
      <c r="AR43" s="208" t="s">
        <v>576</v>
      </c>
      <c r="AS43" s="209"/>
      <c r="AT43" s="103" t="s">
        <v>575</v>
      </c>
      <c r="AU43" s="92" t="s">
        <v>603</v>
      </c>
      <c r="AV43" s="92" t="s">
        <v>603</v>
      </c>
      <c r="AW43" s="92" t="s">
        <v>603</v>
      </c>
      <c r="AX43" s="92" t="s">
        <v>603</v>
      </c>
    </row>
    <row r="44" spans="1:50" s="114" customFormat="1" ht="183.75" customHeight="1" x14ac:dyDescent="0.25">
      <c r="A44" s="349">
        <f>1+A40</f>
        <v>13</v>
      </c>
      <c r="B44" s="384" t="s">
        <v>334</v>
      </c>
      <c r="C44" s="379" t="s">
        <v>335</v>
      </c>
      <c r="D44" s="379" t="s">
        <v>336</v>
      </c>
      <c r="E44" s="377" t="s">
        <v>120</v>
      </c>
      <c r="F44" s="378" t="s">
        <v>338</v>
      </c>
      <c r="G44" s="378" t="s">
        <v>339</v>
      </c>
      <c r="H44" s="362" t="s">
        <v>340</v>
      </c>
      <c r="I44" s="377" t="s">
        <v>217</v>
      </c>
      <c r="J44" s="370">
        <v>49</v>
      </c>
      <c r="K44" s="372" t="str">
        <f>IF(J44&lt;=0,"",IF(J44&lt;=2,"Muy Baja",IF(J44&lt;=24,"Baja",IF(J44&lt;=500,"Media",IF(J44&lt;=5000,"Alta","Muy Alta")))))</f>
        <v>Media</v>
      </c>
      <c r="L44" s="343">
        <f>IF(K44="","",IF(K44="Muy Baja",0.2,IF(K44="Baja",0.4,IF(K44="Media",0.6,IF(K44="Alta",0.8,IF(K44="Muy Alta",1,))))))</f>
        <v>0.6</v>
      </c>
      <c r="M44" s="375" t="s">
        <v>248</v>
      </c>
      <c r="N44" s="179" t="str">
        <f>IF(NOT(ISERROR(MATCH(M44,'Tabla Impacto'!$B$221:$B$223,0))),'Tabla Impacto'!$F$223&amp;"Por favor no seleccionar los criterios de impacto(Afectación Económica o presupuestal y Pérdida Reputacional)",M44)</f>
        <v xml:space="preserve"> El riesgo afecta la imagen de la entidad con algunos usuarios de relevancia frente al logro de los objetivos</v>
      </c>
      <c r="O44" s="372" t="str">
        <f>IF(OR(N44='Tabla Impacto'!$C$11,N44='Tabla Impacto'!$D$11),"Leve",IF(OR(N44='Tabla Impacto'!$C$12,N44='Tabla Impacto'!$D$12),"Menor",IF(OR(N44='Tabla Impacto'!$C$13,N44='Tabla Impacto'!$D$13),"Moderado",IF(OR(N44='Tabla Impacto'!$C$14,N44='Tabla Impacto'!$D$14),"Mayor",IF(OR(N44='Tabla Impacto'!$C$15,N44='Tabla Impacto'!$D$15),"Catastrófico","")))))</f>
        <v>Moderado</v>
      </c>
      <c r="P44" s="343">
        <f>IF(O44="","",IF(O44="Leve",0.2,IF(O44="Menor",0.4,IF(O44="Moderado",0.6,IF(O44="Mayor",0.8,IF(O44="Catastrófico",1,))))))</f>
        <v>0.6</v>
      </c>
      <c r="Q44" s="367" t="str">
        <f>IF(OR(AND(K44="Muy Baja",O44="Leve"),AND(K44="Muy Baja",O44="Menor"),AND(K44="Baja",O44="Leve")),"Bajo",IF(OR(AND(K44="Muy baja",O44="Moderado"),AND(K44="Baja",O44="Menor"),AND(K44="Baja",O44="Moderado"),AND(K44="Media",O44="Leve"),AND(K44="Media",O44="Menor"),AND(K44="Media",O44="Moderado"),AND(K44="Alta",O44="Leve"),AND(K44="Alta",O44="Menor")),"Moderado",IF(OR(AND(K44="Muy Baja",O44="Mayor"),AND(K44="Baja",O44="Mayor"),AND(K44="Media",O44="Mayor"),AND(K44="Alta",O44="Moderado"),AND(K44="Alta",O44="Mayor"),AND(K44="Muy Alta",O44="Leve"),AND(K44="Muy Alta",O44="Menor"),AND(K44="Muy Alta",O44="Moderado"),AND(K44="Muy Alta",O44="Mayor")),"Alto",IF(OR(AND(K44="Muy Baja",O44="Catastrófico"),AND(K44="Baja",O44="Catastrófico"),AND(K44="Media",O44="Catastrófico"),AND(K44="Alta",O44="Catastrófico"),AND(K44="Muy Alta",O44="Catastrófico")),"Extremo",""))))</f>
        <v>Moderado</v>
      </c>
      <c r="R44" s="94">
        <v>1</v>
      </c>
      <c r="S44" s="79" t="s">
        <v>341</v>
      </c>
      <c r="T44" s="95" t="str">
        <f t="shared" si="10"/>
        <v>Probabilidad</v>
      </c>
      <c r="U44" s="96" t="s">
        <v>14</v>
      </c>
      <c r="V44" s="96" t="s">
        <v>9</v>
      </c>
      <c r="W44" s="97" t="str">
        <f t="shared" si="11"/>
        <v>40%</v>
      </c>
      <c r="X44" s="96" t="s">
        <v>19</v>
      </c>
      <c r="Y44" s="96" t="s">
        <v>22</v>
      </c>
      <c r="Z44" s="96" t="s">
        <v>110</v>
      </c>
      <c r="AA44" s="98">
        <f>IFERROR(IF(T44="Probabilidad",(L44-(+L44*W44)),IF(T44="Impacto",L44,"")),"")</f>
        <v>0.36</v>
      </c>
      <c r="AB44" s="99" t="str">
        <f t="shared" si="12"/>
        <v>Baja</v>
      </c>
      <c r="AC44" s="100">
        <f t="shared" si="13"/>
        <v>0.36</v>
      </c>
      <c r="AD44" s="99" t="str">
        <f t="shared" si="14"/>
        <v>Moderado</v>
      </c>
      <c r="AE44" s="100">
        <f t="shared" si="15"/>
        <v>0.6</v>
      </c>
      <c r="AF44" s="101" t="str">
        <f t="shared" si="16"/>
        <v>Moderado</v>
      </c>
      <c r="AG44" s="102" t="s">
        <v>122</v>
      </c>
      <c r="AH44" s="79" t="s">
        <v>225</v>
      </c>
      <c r="AI44" s="92" t="s">
        <v>195</v>
      </c>
      <c r="AJ44" s="93">
        <v>45450</v>
      </c>
      <c r="AK44" s="93">
        <v>45657</v>
      </c>
      <c r="AL44" s="79" t="s">
        <v>226</v>
      </c>
      <c r="AM44" s="206" t="s">
        <v>581</v>
      </c>
      <c r="AN44" s="206" t="s">
        <v>582</v>
      </c>
      <c r="AO44" s="208">
        <v>0.5</v>
      </c>
      <c r="AP44" s="206" t="s">
        <v>583</v>
      </c>
      <c r="AQ44" s="206" t="s">
        <v>584</v>
      </c>
      <c r="AR44" s="208">
        <v>0.4</v>
      </c>
      <c r="AS44" s="209"/>
      <c r="AT44" s="103" t="s">
        <v>575</v>
      </c>
      <c r="AU44" s="92" t="s">
        <v>603</v>
      </c>
      <c r="AV44" s="92" t="s">
        <v>603</v>
      </c>
      <c r="AW44" s="92" t="s">
        <v>603</v>
      </c>
      <c r="AX44" s="92" t="s">
        <v>603</v>
      </c>
    </row>
    <row r="45" spans="1:50" s="114" customFormat="1" ht="151.5" hidden="1" customHeight="1" x14ac:dyDescent="0.25">
      <c r="A45" s="349"/>
      <c r="B45" s="385"/>
      <c r="C45" s="382"/>
      <c r="D45" s="382"/>
      <c r="E45" s="378"/>
      <c r="F45" s="378" t="s">
        <v>200</v>
      </c>
      <c r="G45" s="378" t="s">
        <v>201</v>
      </c>
      <c r="H45" s="363"/>
      <c r="I45" s="378"/>
      <c r="J45" s="371"/>
      <c r="K45" s="373"/>
      <c r="L45" s="344"/>
      <c r="M45" s="376"/>
      <c r="N45" s="180"/>
      <c r="O45" s="373"/>
      <c r="P45" s="344"/>
      <c r="Q45" s="368"/>
      <c r="R45" s="94">
        <v>2</v>
      </c>
      <c r="S45" s="79"/>
      <c r="T45" s="95" t="str">
        <f t="shared" si="10"/>
        <v/>
      </c>
      <c r="U45" s="96"/>
      <c r="V45" s="96"/>
      <c r="W45" s="97"/>
      <c r="X45" s="96"/>
      <c r="Y45" s="96"/>
      <c r="Z45" s="96"/>
      <c r="AA45" s="98"/>
      <c r="AB45" s="99"/>
      <c r="AC45" s="100"/>
      <c r="AD45" s="99"/>
      <c r="AE45" s="100"/>
      <c r="AF45" s="101"/>
      <c r="AG45" s="102"/>
      <c r="AH45" s="79"/>
      <c r="AI45" s="92"/>
      <c r="AJ45" s="103"/>
      <c r="AK45" s="103"/>
      <c r="AL45" s="79"/>
      <c r="AM45" s="202"/>
      <c r="AN45" s="202"/>
      <c r="AO45" s="203"/>
      <c r="AP45" s="202"/>
      <c r="AQ45" s="202"/>
      <c r="AR45" s="203"/>
      <c r="AS45" s="103"/>
      <c r="AT45" s="103" t="s">
        <v>575</v>
      </c>
      <c r="AU45" s="92" t="s">
        <v>603</v>
      </c>
      <c r="AV45" s="92" t="s">
        <v>603</v>
      </c>
      <c r="AW45" s="92" t="s">
        <v>603</v>
      </c>
      <c r="AX45" s="92" t="s">
        <v>603</v>
      </c>
    </row>
    <row r="46" spans="1:50" s="114" customFormat="1" ht="151.5" hidden="1" customHeight="1" x14ac:dyDescent="0.25">
      <c r="A46" s="349"/>
      <c r="B46" s="386"/>
      <c r="C46" s="382"/>
      <c r="D46" s="382"/>
      <c r="E46" s="378"/>
      <c r="F46" s="378" t="s">
        <v>200</v>
      </c>
      <c r="G46" s="378" t="s">
        <v>201</v>
      </c>
      <c r="H46" s="363"/>
      <c r="I46" s="378"/>
      <c r="J46" s="371"/>
      <c r="K46" s="374"/>
      <c r="L46" s="345"/>
      <c r="M46" s="376"/>
      <c r="N46" s="180"/>
      <c r="O46" s="374"/>
      <c r="P46" s="345"/>
      <c r="Q46" s="369"/>
      <c r="R46" s="94">
        <v>3</v>
      </c>
      <c r="S46" s="79"/>
      <c r="T46" s="95" t="str">
        <f t="shared" si="10"/>
        <v/>
      </c>
      <c r="U46" s="96"/>
      <c r="V46" s="96"/>
      <c r="W46" s="97"/>
      <c r="X46" s="96"/>
      <c r="Y46" s="96"/>
      <c r="Z46" s="96"/>
      <c r="AA46" s="98"/>
      <c r="AB46" s="99"/>
      <c r="AC46" s="100"/>
      <c r="AD46" s="99"/>
      <c r="AE46" s="100"/>
      <c r="AF46" s="101"/>
      <c r="AG46" s="102"/>
      <c r="AH46" s="79"/>
      <c r="AI46" s="92"/>
      <c r="AJ46" s="103"/>
      <c r="AK46" s="103"/>
      <c r="AL46" s="79"/>
      <c r="AM46" s="202"/>
      <c r="AN46" s="202"/>
      <c r="AO46" s="203"/>
      <c r="AP46" s="202"/>
      <c r="AQ46" s="202"/>
      <c r="AR46" s="203"/>
      <c r="AS46" s="103"/>
      <c r="AT46" s="103" t="s">
        <v>575</v>
      </c>
      <c r="AU46" s="92" t="s">
        <v>603</v>
      </c>
      <c r="AV46" s="92" t="s">
        <v>603</v>
      </c>
      <c r="AW46" s="92" t="s">
        <v>603</v>
      </c>
      <c r="AX46" s="92" t="s">
        <v>603</v>
      </c>
    </row>
    <row r="47" spans="1:50" s="114" customFormat="1" ht="176.25" customHeight="1" x14ac:dyDescent="0.25">
      <c r="A47" s="349">
        <f>1+A44</f>
        <v>14</v>
      </c>
      <c r="B47" s="384" t="s">
        <v>334</v>
      </c>
      <c r="C47" s="379" t="s">
        <v>335</v>
      </c>
      <c r="D47" s="379" t="s">
        <v>336</v>
      </c>
      <c r="E47" s="377" t="s">
        <v>120</v>
      </c>
      <c r="F47" s="381" t="s">
        <v>342</v>
      </c>
      <c r="G47" s="381" t="s">
        <v>348</v>
      </c>
      <c r="H47" s="362" t="s">
        <v>482</v>
      </c>
      <c r="I47" s="377" t="s">
        <v>217</v>
      </c>
      <c r="J47" s="370">
        <v>231</v>
      </c>
      <c r="K47" s="372" t="str">
        <f>IF(J47&lt;=0,"",IF(J47&lt;=2,"Muy Baja",IF(J47&lt;=24,"Baja",IF(J47&lt;=500,"Media",IF(J47&lt;=5000,"Alta","Muy Alta")))))</f>
        <v>Media</v>
      </c>
      <c r="L47" s="343">
        <f>IF(K47="","",IF(K47="Muy Baja",0.2,IF(K47="Baja",0.4,IF(K47="Media",0.6,IF(K47="Alta",0.8,IF(K47="Muy Alta",1,))))))</f>
        <v>0.6</v>
      </c>
      <c r="M47" s="375" t="s">
        <v>248</v>
      </c>
      <c r="N47" s="179" t="str">
        <f>IF(NOT(ISERROR(MATCH(M47,'Tabla Impacto'!$B$221:$B$223,0))),'Tabla Impacto'!$F$223&amp;"Por favor no seleccionar los criterios de impacto(Afectación Económica o presupuestal y Pérdida Reputacional)",M47)</f>
        <v xml:space="preserve"> El riesgo afecta la imagen de la entidad con algunos usuarios de relevancia frente al logro de los objetivos</v>
      </c>
      <c r="O47" s="372" t="str">
        <f>IF(OR(N47='Tabla Impacto'!$C$11,N47='Tabla Impacto'!$D$11),"Leve",IF(OR(N47='Tabla Impacto'!$C$12,N47='Tabla Impacto'!$D$12),"Menor",IF(OR(N47='Tabla Impacto'!$C$13,N47='Tabla Impacto'!$D$13),"Moderado",IF(OR(N47='Tabla Impacto'!$C$14,N47='Tabla Impacto'!$D$14),"Mayor",IF(OR(N47='Tabla Impacto'!$C$15,N47='Tabla Impacto'!$D$15),"Catastrófico","")))))</f>
        <v>Moderado</v>
      </c>
      <c r="P47" s="343">
        <f>IF(O47="","",IF(O47="Leve",0.2,IF(O47="Menor",0.4,IF(O47="Moderado",0.6,IF(O47="Mayor",0.8,IF(O47="Catastrófico",1,))))))</f>
        <v>0.6</v>
      </c>
      <c r="Q47" s="367" t="str">
        <f>IF(OR(AND(K47="Muy Baja",O47="Leve"),AND(K47="Muy Baja",O47="Menor"),AND(K47="Baja",O47="Leve")),"Bajo",IF(OR(AND(K47="Muy baja",O47="Moderado"),AND(K47="Baja",O47="Menor"),AND(K47="Baja",O47="Moderado"),AND(K47="Media",O47="Leve"),AND(K47="Media",O47="Menor"),AND(K47="Media",O47="Moderado"),AND(K47="Alta",O47="Leve"),AND(K47="Alta",O47="Menor")),"Moderado",IF(OR(AND(K47="Muy Baja",O47="Mayor"),AND(K47="Baja",O47="Mayor"),AND(K47="Media",O47="Mayor"),AND(K47="Alta",O47="Moderado"),AND(K47="Alta",O47="Mayor"),AND(K47="Muy Alta",O47="Leve"),AND(K47="Muy Alta",O47="Menor"),AND(K47="Muy Alta",O47="Moderado"),AND(K47="Muy Alta",O47="Mayor")),"Alto",IF(OR(AND(K47="Muy Baja",O47="Catastrófico"),AND(K47="Baja",O47="Catastrófico"),AND(K47="Media",O47="Catastrófico"),AND(K47="Alta",O47="Catastrófico"),AND(K47="Muy Alta",O47="Catastrófico")),"Extremo",""))))</f>
        <v>Moderado</v>
      </c>
      <c r="R47" s="94">
        <v>1</v>
      </c>
      <c r="S47" s="79" t="s">
        <v>483</v>
      </c>
      <c r="T47" s="95" t="str">
        <f t="shared" si="10"/>
        <v>Probabilidad</v>
      </c>
      <c r="U47" s="96" t="s">
        <v>14</v>
      </c>
      <c r="V47" s="96" t="s">
        <v>9</v>
      </c>
      <c r="W47" s="97" t="str">
        <f t="shared" ref="W47:W51" si="46">IF(AND(U47="Preventivo",V47="Automático"),"50%",IF(AND(U47="Preventivo",V47="Manual"),"40%",IF(AND(U47="Detectivo",V47="Automático"),"40%",IF(AND(U47="Detectivo",V47="Manual"),"30%",IF(AND(U47="Correctivo",V47="Automático"),"35%",IF(AND(U47="Correctivo",V47="Manual"),"25%",""))))))</f>
        <v>40%</v>
      </c>
      <c r="X47" s="96" t="s">
        <v>20</v>
      </c>
      <c r="Y47" s="96" t="s">
        <v>22</v>
      </c>
      <c r="Z47" s="96" t="s">
        <v>111</v>
      </c>
      <c r="AA47" s="98">
        <f>IFERROR(IF(T47="Probabilidad",(L47-(+L47*W47)),IF(T47="Impacto",L47,"")),"")</f>
        <v>0.36</v>
      </c>
      <c r="AB47" s="99" t="str">
        <f t="shared" ref="AB47:AB51" si="47">IFERROR(IF(AA47="","",IF(AA47&lt;=0.2,"Muy Baja",IF(AA47&lt;=0.4,"Baja",IF(AA47&lt;=0.6,"Media",IF(AA47&lt;=0.8,"Alta","Muy Alta"))))),"")</f>
        <v>Baja</v>
      </c>
      <c r="AC47" s="100">
        <f t="shared" ref="AC47:AC51" si="48">+AA47</f>
        <v>0.36</v>
      </c>
      <c r="AD47" s="99" t="str">
        <f t="shared" ref="AD47:AD51" si="49">IFERROR(IF(AE47="","",IF(AE47&lt;=0.2,"Leve",IF(AE47&lt;=0.4,"Menor",IF(AE47&lt;=0.6,"Moderado",IF(AE47&lt;=0.8,"Mayor","Catastrófico"))))),"")</f>
        <v>Moderado</v>
      </c>
      <c r="AE47" s="100">
        <f t="shared" ref="AE47:AE51" si="50">IFERROR(IF(T47="Impacto",(P47-(+P47*W47)),IF(T47="Probabilidad",P47,"")),"")</f>
        <v>0.6</v>
      </c>
      <c r="AF47" s="101" t="str">
        <f t="shared" ref="AF47:AF51" si="51">IFERROR(IF(OR(AND(AB47="Muy Baja",AD47="Leve"),AND(AB47="Muy Baja",AD47="Menor"),AND(AB47="Baja",AD47="Leve")),"Bajo",IF(OR(AND(AB47="Muy baja",AD47="Moderado"),AND(AB47="Baja",AD47="Menor"),AND(AB47="Baja",AD47="Moderado"),AND(AB47="Media",AD47="Leve"),AND(AB47="Media",AD47="Menor"),AND(AB47="Media",AD47="Moderado"),AND(AB47="Alta",AD47="Leve"),AND(AB47="Alta",AD47="Menor")),"Moderado",IF(OR(AND(AB47="Muy Baja",AD47="Mayor"),AND(AB47="Baja",AD47="Mayor"),AND(AB47="Media",AD47="Mayor"),AND(AB47="Alta",AD47="Moderado"),AND(AB47="Alta",AD47="Mayor"),AND(AB47="Muy Alta",AD47="Leve"),AND(AB47="Muy Alta",AD47="Menor"),AND(AB47="Muy Alta",AD47="Moderado"),AND(AB47="Muy Alta",AD47="Mayor")),"Alto",IF(OR(AND(AB47="Muy Baja",AD47="Catastrófico"),AND(AB47="Baja",AD47="Catastrófico"),AND(AB47="Media",AD47="Catastrófico"),AND(AB47="Alta",AD47="Catastrófico"),AND(AB47="Muy Alta",AD47="Catastrófico")),"Extremo","")))),"")</f>
        <v>Moderado</v>
      </c>
      <c r="AG47" s="102" t="s">
        <v>122</v>
      </c>
      <c r="AH47" s="79" t="s">
        <v>343</v>
      </c>
      <c r="AI47" s="92" t="s">
        <v>304</v>
      </c>
      <c r="AJ47" s="93">
        <v>45450</v>
      </c>
      <c r="AK47" s="93">
        <v>45657</v>
      </c>
      <c r="AL47" s="79" t="s">
        <v>442</v>
      </c>
      <c r="AM47" s="206" t="s">
        <v>587</v>
      </c>
      <c r="AN47" s="206" t="s">
        <v>588</v>
      </c>
      <c r="AO47" s="208">
        <v>0.5</v>
      </c>
      <c r="AP47" s="206" t="s">
        <v>702</v>
      </c>
      <c r="AQ47" s="206" t="s">
        <v>702</v>
      </c>
      <c r="AR47" s="208">
        <v>0.5</v>
      </c>
      <c r="AS47" s="209"/>
      <c r="AT47" s="103" t="s">
        <v>575</v>
      </c>
      <c r="AU47" s="92" t="s">
        <v>603</v>
      </c>
      <c r="AV47" s="92" t="s">
        <v>603</v>
      </c>
      <c r="AW47" s="92" t="s">
        <v>603</v>
      </c>
      <c r="AX47" s="92" t="s">
        <v>603</v>
      </c>
    </row>
    <row r="48" spans="1:50" s="114" customFormat="1" ht="151.5" customHeight="1" x14ac:dyDescent="0.25">
      <c r="A48" s="349"/>
      <c r="B48" s="385"/>
      <c r="C48" s="382"/>
      <c r="D48" s="382"/>
      <c r="E48" s="378"/>
      <c r="F48" s="378"/>
      <c r="G48" s="378"/>
      <c r="H48" s="363"/>
      <c r="I48" s="378"/>
      <c r="J48" s="371"/>
      <c r="K48" s="373"/>
      <c r="L48" s="344"/>
      <c r="M48" s="376"/>
      <c r="N48" s="180"/>
      <c r="O48" s="373"/>
      <c r="P48" s="344"/>
      <c r="Q48" s="368"/>
      <c r="R48" s="94">
        <v>2</v>
      </c>
      <c r="S48" s="79" t="s">
        <v>484</v>
      </c>
      <c r="T48" s="95" t="str">
        <f t="shared" si="10"/>
        <v>Impacto</v>
      </c>
      <c r="U48" s="96" t="s">
        <v>16</v>
      </c>
      <c r="V48" s="96" t="s">
        <v>9</v>
      </c>
      <c r="W48" s="97" t="str">
        <f t="shared" si="46"/>
        <v>25%</v>
      </c>
      <c r="X48" s="96" t="s">
        <v>20</v>
      </c>
      <c r="Y48" s="96" t="s">
        <v>22</v>
      </c>
      <c r="Z48" s="96" t="s">
        <v>111</v>
      </c>
      <c r="AA48" s="98">
        <f>IFERROR(IF(T48="Probabilidad",(L48-(+L48*W48)),IF(T48="Impacto",L48,"")),"")</f>
        <v>0</v>
      </c>
      <c r="AB48" s="99" t="str">
        <f t="shared" si="47"/>
        <v>Muy Baja</v>
      </c>
      <c r="AC48" s="100">
        <f t="shared" si="48"/>
        <v>0</v>
      </c>
      <c r="AD48" s="99" t="str">
        <f t="shared" si="49"/>
        <v>Leve</v>
      </c>
      <c r="AE48" s="100">
        <f t="shared" si="50"/>
        <v>0</v>
      </c>
      <c r="AF48" s="101" t="str">
        <f t="shared" si="51"/>
        <v>Bajo</v>
      </c>
      <c r="AG48" s="102" t="s">
        <v>122</v>
      </c>
      <c r="AH48" s="92" t="s">
        <v>603</v>
      </c>
      <c r="AI48" s="92" t="s">
        <v>603</v>
      </c>
      <c r="AJ48" s="92" t="s">
        <v>603</v>
      </c>
      <c r="AK48" s="92" t="s">
        <v>603</v>
      </c>
      <c r="AL48" s="92" t="s">
        <v>603</v>
      </c>
      <c r="AM48" s="206" t="s">
        <v>587</v>
      </c>
      <c r="AN48" s="206" t="s">
        <v>588</v>
      </c>
      <c r="AO48" s="203">
        <v>0.5</v>
      </c>
      <c r="AP48" s="92" t="s">
        <v>603</v>
      </c>
      <c r="AQ48" s="92" t="s">
        <v>603</v>
      </c>
      <c r="AR48" s="203" t="s">
        <v>576</v>
      </c>
      <c r="AS48" s="103"/>
      <c r="AT48" s="103" t="s">
        <v>575</v>
      </c>
      <c r="AU48" s="92" t="s">
        <v>603</v>
      </c>
      <c r="AV48" s="92" t="s">
        <v>603</v>
      </c>
      <c r="AW48" s="92" t="s">
        <v>603</v>
      </c>
      <c r="AX48" s="92" t="s">
        <v>603</v>
      </c>
    </row>
    <row r="49" spans="1:50" s="114" customFormat="1" ht="151.5" customHeight="1" x14ac:dyDescent="0.25">
      <c r="A49" s="349"/>
      <c r="B49" s="385"/>
      <c r="C49" s="382"/>
      <c r="D49" s="382"/>
      <c r="E49" s="378"/>
      <c r="F49" s="378"/>
      <c r="G49" s="378"/>
      <c r="H49" s="363"/>
      <c r="I49" s="378"/>
      <c r="J49" s="371"/>
      <c r="K49" s="373"/>
      <c r="L49" s="344"/>
      <c r="M49" s="376"/>
      <c r="N49" s="180"/>
      <c r="O49" s="373"/>
      <c r="P49" s="344"/>
      <c r="Q49" s="368"/>
      <c r="R49" s="94">
        <v>3</v>
      </c>
      <c r="S49" s="79" t="s">
        <v>485</v>
      </c>
      <c r="T49" s="95" t="s">
        <v>4</v>
      </c>
      <c r="U49" s="96" t="s">
        <v>15</v>
      </c>
      <c r="V49" s="96" t="s">
        <v>9</v>
      </c>
      <c r="W49" s="97" t="str">
        <f t="shared" si="46"/>
        <v>30%</v>
      </c>
      <c r="X49" s="96" t="s">
        <v>20</v>
      </c>
      <c r="Y49" s="96" t="s">
        <v>22</v>
      </c>
      <c r="Z49" s="96" t="s">
        <v>111</v>
      </c>
      <c r="AA49" s="98">
        <f t="shared" ref="AA49:AA50" si="52">IFERROR(IF(T49="Probabilidad",(L49-(+L49*W49)),IF(T49="Impacto",L49,"")),"")</f>
        <v>0</v>
      </c>
      <c r="AB49" s="99" t="str">
        <f t="shared" ref="AB49" si="53">IFERROR(IF(AA49="","",IF(AA49&lt;=0.2,"Muy Baja",IF(AA49&lt;=0.4,"Baja",IF(AA49&lt;=0.6,"Media",IF(AA49&lt;=0.8,"Alta","Muy Alta"))))),"")</f>
        <v>Muy Baja</v>
      </c>
      <c r="AC49" s="100">
        <f t="shared" ref="AC49" si="54">+AA49</f>
        <v>0</v>
      </c>
      <c r="AD49" s="99" t="str">
        <f t="shared" ref="AD49" si="55">IFERROR(IF(AE49="","",IF(AE49&lt;=0.2,"Leve",IF(AE49&lt;=0.4,"Menor",IF(AE49&lt;=0.6,"Moderado",IF(AE49&lt;=0.8,"Mayor","Catastrófico"))))),"")</f>
        <v>Leve</v>
      </c>
      <c r="AE49" s="100">
        <f t="shared" ref="AE49" si="56">IFERROR(IF(T49="Impacto",(P49-(+P49*W49)),IF(T49="Probabilidad",P49,"")),"")</f>
        <v>0</v>
      </c>
      <c r="AF49" s="101" t="str">
        <f t="shared" ref="AF49" si="57">IFERROR(IF(OR(AND(AB49="Muy Baja",AD49="Leve"),AND(AB49="Muy Baja",AD49="Menor"),AND(AB49="Baja",AD49="Leve")),"Bajo",IF(OR(AND(AB49="Muy baja",AD49="Moderado"),AND(AB49="Baja",AD49="Menor"),AND(AB49="Baja",AD49="Moderado"),AND(AB49="Media",AD49="Leve"),AND(AB49="Media",AD49="Menor"),AND(AB49="Media",AD49="Moderado"),AND(AB49="Alta",AD49="Leve"),AND(AB49="Alta",AD49="Menor")),"Moderado",IF(OR(AND(AB49="Muy Baja",AD49="Mayor"),AND(AB49="Baja",AD49="Mayor"),AND(AB49="Media",AD49="Mayor"),AND(AB49="Alta",AD49="Moderado"),AND(AB49="Alta",AD49="Mayor"),AND(AB49="Muy Alta",AD49="Leve"),AND(AB49="Muy Alta",AD49="Menor"),AND(AB49="Muy Alta",AD49="Moderado"),AND(AB49="Muy Alta",AD49="Mayor")),"Alto",IF(OR(AND(AB49="Muy Baja",AD49="Catastrófico"),AND(AB49="Baja",AD49="Catastrófico"),AND(AB49="Media",AD49="Catastrófico"),AND(AB49="Alta",AD49="Catastrófico"),AND(AB49="Muy Alta",AD49="Catastrófico")),"Extremo","")))),"")</f>
        <v>Bajo</v>
      </c>
      <c r="AG49" s="102" t="s">
        <v>122</v>
      </c>
      <c r="AH49" s="92" t="s">
        <v>603</v>
      </c>
      <c r="AI49" s="92" t="s">
        <v>603</v>
      </c>
      <c r="AJ49" s="92" t="s">
        <v>603</v>
      </c>
      <c r="AK49" s="92" t="s">
        <v>603</v>
      </c>
      <c r="AL49" s="92" t="s">
        <v>603</v>
      </c>
      <c r="AM49" s="206" t="s">
        <v>589</v>
      </c>
      <c r="AN49" s="206" t="s">
        <v>590</v>
      </c>
      <c r="AO49" s="203">
        <v>0.5</v>
      </c>
      <c r="AP49" s="92" t="s">
        <v>603</v>
      </c>
      <c r="AQ49" s="92" t="s">
        <v>603</v>
      </c>
      <c r="AR49" s="203" t="s">
        <v>576</v>
      </c>
      <c r="AS49" s="103"/>
      <c r="AT49" s="103" t="s">
        <v>575</v>
      </c>
      <c r="AU49" s="92" t="s">
        <v>603</v>
      </c>
      <c r="AV49" s="92" t="s">
        <v>603</v>
      </c>
      <c r="AW49" s="92" t="s">
        <v>603</v>
      </c>
      <c r="AX49" s="92" t="s">
        <v>603</v>
      </c>
    </row>
    <row r="50" spans="1:50" s="114" customFormat="1" ht="151.5" customHeight="1" x14ac:dyDescent="0.25">
      <c r="A50" s="349"/>
      <c r="B50" s="385"/>
      <c r="C50" s="382"/>
      <c r="D50" s="382"/>
      <c r="E50" s="378"/>
      <c r="F50" s="378"/>
      <c r="G50" s="378"/>
      <c r="H50" s="363"/>
      <c r="I50" s="378"/>
      <c r="J50" s="371"/>
      <c r="K50" s="373"/>
      <c r="L50" s="344"/>
      <c r="M50" s="376"/>
      <c r="N50" s="180"/>
      <c r="O50" s="373"/>
      <c r="P50" s="344"/>
      <c r="Q50" s="368"/>
      <c r="R50" s="94">
        <v>4</v>
      </c>
      <c r="S50" s="79" t="s">
        <v>486</v>
      </c>
      <c r="T50" s="95" t="s">
        <v>4</v>
      </c>
      <c r="U50" s="96" t="s">
        <v>15</v>
      </c>
      <c r="V50" s="96" t="s">
        <v>9</v>
      </c>
      <c r="W50" s="97" t="str">
        <f t="shared" si="46"/>
        <v>30%</v>
      </c>
      <c r="X50" s="96" t="s">
        <v>20</v>
      </c>
      <c r="Y50" s="96" t="s">
        <v>22</v>
      </c>
      <c r="Z50" s="96" t="s">
        <v>111</v>
      </c>
      <c r="AA50" s="98">
        <f t="shared" si="52"/>
        <v>0</v>
      </c>
      <c r="AB50" s="99" t="str">
        <f t="shared" si="47"/>
        <v>Muy Baja</v>
      </c>
      <c r="AC50" s="100">
        <f t="shared" si="48"/>
        <v>0</v>
      </c>
      <c r="AD50" s="99" t="str">
        <f t="shared" si="49"/>
        <v>Leve</v>
      </c>
      <c r="AE50" s="100">
        <f t="shared" si="50"/>
        <v>0</v>
      </c>
      <c r="AF50" s="101" t="str">
        <f t="shared" si="51"/>
        <v>Bajo</v>
      </c>
      <c r="AG50" s="102" t="s">
        <v>122</v>
      </c>
      <c r="AH50" s="92" t="s">
        <v>603</v>
      </c>
      <c r="AI50" s="92" t="s">
        <v>603</v>
      </c>
      <c r="AJ50" s="92" t="s">
        <v>603</v>
      </c>
      <c r="AK50" s="92" t="s">
        <v>603</v>
      </c>
      <c r="AL50" s="92" t="s">
        <v>603</v>
      </c>
      <c r="AM50" s="206" t="s">
        <v>589</v>
      </c>
      <c r="AN50" s="206" t="s">
        <v>590</v>
      </c>
      <c r="AO50" s="203">
        <v>0.5</v>
      </c>
      <c r="AP50" s="92" t="s">
        <v>603</v>
      </c>
      <c r="AQ50" s="92" t="s">
        <v>603</v>
      </c>
      <c r="AR50" s="203" t="s">
        <v>576</v>
      </c>
      <c r="AS50" s="103"/>
      <c r="AT50" s="103" t="s">
        <v>575</v>
      </c>
      <c r="AU50" s="92" t="s">
        <v>603</v>
      </c>
      <c r="AV50" s="92" t="s">
        <v>603</v>
      </c>
      <c r="AW50" s="92" t="s">
        <v>603</v>
      </c>
      <c r="AX50" s="92" t="s">
        <v>603</v>
      </c>
    </row>
    <row r="51" spans="1:50" s="114" customFormat="1" ht="151.5" customHeight="1" x14ac:dyDescent="0.25">
      <c r="A51" s="349"/>
      <c r="B51" s="386"/>
      <c r="C51" s="382"/>
      <c r="D51" s="382"/>
      <c r="E51" s="378"/>
      <c r="F51" s="378"/>
      <c r="G51" s="378"/>
      <c r="H51" s="363"/>
      <c r="I51" s="378"/>
      <c r="J51" s="371"/>
      <c r="K51" s="374"/>
      <c r="L51" s="345"/>
      <c r="M51" s="376"/>
      <c r="N51" s="180"/>
      <c r="O51" s="374"/>
      <c r="P51" s="345"/>
      <c r="Q51" s="369"/>
      <c r="R51" s="94">
        <v>5</v>
      </c>
      <c r="S51" s="79" t="s">
        <v>487</v>
      </c>
      <c r="T51" s="95" t="s">
        <v>4</v>
      </c>
      <c r="U51" s="96" t="s">
        <v>16</v>
      </c>
      <c r="V51" s="96" t="s">
        <v>9</v>
      </c>
      <c r="W51" s="97" t="str">
        <f t="shared" si="46"/>
        <v>25%</v>
      </c>
      <c r="X51" s="96" t="s">
        <v>20</v>
      </c>
      <c r="Y51" s="96" t="s">
        <v>22</v>
      </c>
      <c r="Z51" s="96" t="s">
        <v>111</v>
      </c>
      <c r="AA51" s="98">
        <f>IFERROR(IF(T51="Probabilidad",(L51-(+L51*W51)),IF(T51="Impacto",L51,"")),"")</f>
        <v>0</v>
      </c>
      <c r="AB51" s="99" t="str">
        <f t="shared" si="47"/>
        <v>Muy Baja</v>
      </c>
      <c r="AC51" s="100">
        <f t="shared" si="48"/>
        <v>0</v>
      </c>
      <c r="AD51" s="99" t="str">
        <f t="shared" si="49"/>
        <v>Leve</v>
      </c>
      <c r="AE51" s="100">
        <f t="shared" si="50"/>
        <v>0</v>
      </c>
      <c r="AF51" s="101" t="str">
        <f t="shared" si="51"/>
        <v>Bajo</v>
      </c>
      <c r="AG51" s="102" t="s">
        <v>122</v>
      </c>
      <c r="AH51" s="92" t="s">
        <v>603</v>
      </c>
      <c r="AI51" s="92" t="s">
        <v>603</v>
      </c>
      <c r="AJ51" s="92" t="s">
        <v>603</v>
      </c>
      <c r="AK51" s="92" t="s">
        <v>603</v>
      </c>
      <c r="AL51" s="92" t="s">
        <v>603</v>
      </c>
      <c r="AM51" s="206" t="s">
        <v>589</v>
      </c>
      <c r="AN51" s="206" t="s">
        <v>590</v>
      </c>
      <c r="AO51" s="203">
        <v>0.5</v>
      </c>
      <c r="AP51" s="92" t="s">
        <v>603</v>
      </c>
      <c r="AQ51" s="92" t="s">
        <v>603</v>
      </c>
      <c r="AR51" s="203" t="s">
        <v>576</v>
      </c>
      <c r="AS51" s="103"/>
      <c r="AT51" s="103" t="s">
        <v>575</v>
      </c>
      <c r="AU51" s="92" t="s">
        <v>603</v>
      </c>
      <c r="AV51" s="92" t="s">
        <v>603</v>
      </c>
      <c r="AW51" s="92" t="s">
        <v>603</v>
      </c>
      <c r="AX51" s="92" t="s">
        <v>603</v>
      </c>
    </row>
    <row r="52" spans="1:50" s="114" customFormat="1" ht="151.5" customHeight="1" x14ac:dyDescent="0.25">
      <c r="A52" s="349">
        <f>1+A47</f>
        <v>15</v>
      </c>
      <c r="B52" s="384" t="s">
        <v>344</v>
      </c>
      <c r="C52" s="379" t="s">
        <v>345</v>
      </c>
      <c r="D52" s="379" t="s">
        <v>346</v>
      </c>
      <c r="E52" s="377" t="s">
        <v>118</v>
      </c>
      <c r="F52" s="381" t="s">
        <v>347</v>
      </c>
      <c r="G52" s="381" t="s">
        <v>430</v>
      </c>
      <c r="H52" s="362" t="s">
        <v>445</v>
      </c>
      <c r="I52" s="377" t="s">
        <v>115</v>
      </c>
      <c r="J52" s="370">
        <v>1</v>
      </c>
      <c r="K52" s="372" t="str">
        <f>IF(J52&lt;=0,"",IF(J52&lt;=2,"Muy Baja",IF(J52&lt;=24,"Baja",IF(J52&lt;=500,"Media",IF(J52&lt;=5000,"Alta","Muy Alta")))))</f>
        <v>Muy Baja</v>
      </c>
      <c r="L52" s="343">
        <f>IF(K52="","",IF(K52="Muy Baja",0.2,IF(K52="Baja",0.4,IF(K52="Media",0.6,IF(K52="Alta",0.8,IF(K52="Muy Alta",1,))))))</f>
        <v>0.2</v>
      </c>
      <c r="M52" s="375" t="s">
        <v>248</v>
      </c>
      <c r="N52" s="179" t="str">
        <f>IF(NOT(ISERROR(MATCH(M52,'Tabla Impacto'!$B$221:$B$223,0))),'Tabla Impacto'!$F$223&amp;"Por favor no seleccionar los criterios de impacto(Afectación Económica o presupuestal y Pérdida Reputacional)",M52)</f>
        <v xml:space="preserve"> El riesgo afecta la imagen de la entidad con algunos usuarios de relevancia frente al logro de los objetivos</v>
      </c>
      <c r="O52" s="372" t="str">
        <f>IF(OR(N52='Tabla Impacto'!$C$11,N52='Tabla Impacto'!$D$11),"Leve",IF(OR(N52='Tabla Impacto'!$C$12,N52='Tabla Impacto'!$D$12),"Menor",IF(OR(N52='Tabla Impacto'!$C$13,N52='Tabla Impacto'!$D$13),"Moderado",IF(OR(N52='Tabla Impacto'!$C$14,N52='Tabla Impacto'!$D$14),"Mayor",IF(OR(N52='Tabla Impacto'!$C$15,N52='Tabla Impacto'!$D$15),"Catastrófico","")))))</f>
        <v>Moderado</v>
      </c>
      <c r="P52" s="343">
        <f>IF(O52="","",IF(O52="Leve",0.2,IF(O52="Menor",0.4,IF(O52="Moderado",0.6,IF(O52="Mayor",0.8,IF(O52="Catastrófico",1,))))))</f>
        <v>0.6</v>
      </c>
      <c r="Q52" s="367" t="str">
        <f>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Moderado</v>
      </c>
      <c r="R52" s="94">
        <v>1</v>
      </c>
      <c r="S52" s="91" t="s">
        <v>446</v>
      </c>
      <c r="T52" s="95" t="str">
        <f t="shared" si="10"/>
        <v>Probabilidad</v>
      </c>
      <c r="U52" s="96" t="s">
        <v>14</v>
      </c>
      <c r="V52" s="96" t="s">
        <v>9</v>
      </c>
      <c r="W52" s="97" t="str">
        <f t="shared" si="11"/>
        <v>40%</v>
      </c>
      <c r="X52" s="96" t="s">
        <v>19</v>
      </c>
      <c r="Y52" s="96" t="s">
        <v>22</v>
      </c>
      <c r="Z52" s="96" t="s">
        <v>110</v>
      </c>
      <c r="AA52" s="98">
        <f>IFERROR(IF(T52="Probabilidad",(L52-(+L52*W52)),IF(T52="Impacto",L52,"")),"")</f>
        <v>0.12</v>
      </c>
      <c r="AB52" s="99" t="str">
        <f t="shared" si="12"/>
        <v>Muy Baja</v>
      </c>
      <c r="AC52" s="100">
        <f t="shared" si="13"/>
        <v>0.12</v>
      </c>
      <c r="AD52" s="99" t="str">
        <f t="shared" si="14"/>
        <v>Moderado</v>
      </c>
      <c r="AE52" s="100">
        <f t="shared" si="15"/>
        <v>0.6</v>
      </c>
      <c r="AF52" s="101" t="str">
        <f t="shared" si="16"/>
        <v>Moderado</v>
      </c>
      <c r="AG52" s="102" t="s">
        <v>122</v>
      </c>
      <c r="AH52" s="79" t="s">
        <v>447</v>
      </c>
      <c r="AI52" s="92" t="s">
        <v>195</v>
      </c>
      <c r="AJ52" s="103" t="s">
        <v>281</v>
      </c>
      <c r="AK52" s="103" t="s">
        <v>205</v>
      </c>
      <c r="AL52" s="79" t="s">
        <v>224</v>
      </c>
      <c r="AM52" s="202" t="s">
        <v>704</v>
      </c>
      <c r="AN52" s="202" t="s">
        <v>781</v>
      </c>
      <c r="AO52" s="203">
        <v>0.5</v>
      </c>
      <c r="AP52" s="202" t="s">
        <v>703</v>
      </c>
      <c r="AQ52" s="202" t="s">
        <v>609</v>
      </c>
      <c r="AR52" s="203">
        <v>0.5</v>
      </c>
      <c r="AS52" s="103"/>
      <c r="AT52" s="103" t="s">
        <v>575</v>
      </c>
      <c r="AU52" s="92" t="s">
        <v>603</v>
      </c>
      <c r="AV52" s="92" t="s">
        <v>603</v>
      </c>
      <c r="AW52" s="92" t="s">
        <v>603</v>
      </c>
      <c r="AX52" s="92" t="s">
        <v>603</v>
      </c>
    </row>
    <row r="53" spans="1:50" s="114" customFormat="1" ht="151.5" hidden="1" customHeight="1" x14ac:dyDescent="0.25">
      <c r="A53" s="349"/>
      <c r="B53" s="385"/>
      <c r="C53" s="382"/>
      <c r="D53" s="380"/>
      <c r="E53" s="378"/>
      <c r="F53" s="378"/>
      <c r="G53" s="378"/>
      <c r="H53" s="363"/>
      <c r="I53" s="378"/>
      <c r="J53" s="371"/>
      <c r="K53" s="373"/>
      <c r="L53" s="344"/>
      <c r="M53" s="376"/>
      <c r="N53" s="180"/>
      <c r="O53" s="373"/>
      <c r="P53" s="344"/>
      <c r="Q53" s="368"/>
      <c r="R53" s="94">
        <v>2</v>
      </c>
      <c r="S53" s="79"/>
      <c r="T53" s="95" t="str">
        <f t="shared" si="10"/>
        <v/>
      </c>
      <c r="U53" s="96"/>
      <c r="V53" s="96"/>
      <c r="W53" s="97" t="str">
        <f t="shared" si="11"/>
        <v/>
      </c>
      <c r="X53" s="96"/>
      <c r="Y53" s="96"/>
      <c r="Z53" s="96"/>
      <c r="AA53" s="108" t="str">
        <f>IFERROR(IF(T53="Probabilidad",(AA52-(+AA52*W53)),IF(T53="Impacto",L53,"")),"")</f>
        <v/>
      </c>
      <c r="AB53" s="99" t="str">
        <f t="shared" si="12"/>
        <v/>
      </c>
      <c r="AC53" s="100" t="str">
        <f t="shared" si="13"/>
        <v/>
      </c>
      <c r="AD53" s="99" t="str">
        <f t="shared" si="14"/>
        <v/>
      </c>
      <c r="AE53" s="100" t="str">
        <f t="shared" si="15"/>
        <v/>
      </c>
      <c r="AF53" s="101" t="str">
        <f t="shared" si="16"/>
        <v/>
      </c>
      <c r="AG53" s="102"/>
      <c r="AH53" s="79"/>
      <c r="AI53" s="92"/>
      <c r="AJ53" s="103"/>
      <c r="AK53" s="103"/>
      <c r="AL53" s="79"/>
      <c r="AM53" s="202"/>
      <c r="AN53" s="202"/>
      <c r="AO53" s="203"/>
      <c r="AP53" s="202"/>
      <c r="AQ53" s="202"/>
      <c r="AR53" s="203"/>
      <c r="AS53" s="103"/>
      <c r="AT53" s="103" t="s">
        <v>575</v>
      </c>
      <c r="AU53" s="92" t="s">
        <v>603</v>
      </c>
      <c r="AV53" s="92" t="s">
        <v>603</v>
      </c>
      <c r="AW53" s="92" t="s">
        <v>603</v>
      </c>
      <c r="AX53" s="92" t="s">
        <v>603</v>
      </c>
    </row>
    <row r="54" spans="1:50" s="114" customFormat="1" ht="151.5" hidden="1" customHeight="1" x14ac:dyDescent="0.25">
      <c r="A54" s="349"/>
      <c r="B54" s="386"/>
      <c r="C54" s="382"/>
      <c r="D54" s="380"/>
      <c r="E54" s="378"/>
      <c r="F54" s="378"/>
      <c r="G54" s="378"/>
      <c r="H54" s="363"/>
      <c r="I54" s="378"/>
      <c r="J54" s="371"/>
      <c r="K54" s="374"/>
      <c r="L54" s="345"/>
      <c r="M54" s="376"/>
      <c r="N54" s="180"/>
      <c r="O54" s="374"/>
      <c r="P54" s="345"/>
      <c r="Q54" s="369"/>
      <c r="R54" s="94">
        <v>3</v>
      </c>
      <c r="S54" s="79"/>
      <c r="T54" s="95" t="str">
        <f t="shared" si="10"/>
        <v/>
      </c>
      <c r="U54" s="96"/>
      <c r="V54" s="96"/>
      <c r="W54" s="97"/>
      <c r="X54" s="96"/>
      <c r="Y54" s="96"/>
      <c r="Z54" s="96"/>
      <c r="AA54" s="98" t="str">
        <f>IFERROR(IF(T54="Probabilidad",(AA53-(+AA53*W54)),IF(T54="Impacto",L54,"")),"")</f>
        <v/>
      </c>
      <c r="AB54" s="99" t="str">
        <f t="shared" si="12"/>
        <v/>
      </c>
      <c r="AC54" s="100" t="str">
        <f t="shared" si="13"/>
        <v/>
      </c>
      <c r="AD54" s="99" t="str">
        <f t="shared" si="14"/>
        <v/>
      </c>
      <c r="AE54" s="100" t="str">
        <f t="shared" si="15"/>
        <v/>
      </c>
      <c r="AF54" s="101" t="str">
        <f t="shared" si="16"/>
        <v/>
      </c>
      <c r="AG54" s="102"/>
      <c r="AH54" s="79"/>
      <c r="AI54" s="92"/>
      <c r="AJ54" s="103"/>
      <c r="AK54" s="103"/>
      <c r="AL54" s="79"/>
      <c r="AM54" s="202"/>
      <c r="AN54" s="202"/>
      <c r="AO54" s="203"/>
      <c r="AP54" s="202"/>
      <c r="AQ54" s="202"/>
      <c r="AR54" s="203"/>
      <c r="AS54" s="103"/>
      <c r="AT54" s="103" t="s">
        <v>575</v>
      </c>
      <c r="AU54" s="92" t="s">
        <v>603</v>
      </c>
      <c r="AV54" s="92" t="s">
        <v>603</v>
      </c>
      <c r="AW54" s="92" t="s">
        <v>603</v>
      </c>
      <c r="AX54" s="92" t="s">
        <v>603</v>
      </c>
    </row>
    <row r="55" spans="1:50" s="114" customFormat="1" ht="151.5" customHeight="1" x14ac:dyDescent="0.25">
      <c r="A55" s="349">
        <f>1+A52</f>
        <v>16</v>
      </c>
      <c r="B55" s="384" t="s">
        <v>344</v>
      </c>
      <c r="C55" s="379" t="s">
        <v>345</v>
      </c>
      <c r="D55" s="379" t="s">
        <v>346</v>
      </c>
      <c r="E55" s="377" t="s">
        <v>120</v>
      </c>
      <c r="F55" s="381" t="s">
        <v>349</v>
      </c>
      <c r="G55" s="381" t="s">
        <v>350</v>
      </c>
      <c r="H55" s="362" t="s">
        <v>351</v>
      </c>
      <c r="I55" s="377" t="s">
        <v>117</v>
      </c>
      <c r="J55" s="370">
        <v>7</v>
      </c>
      <c r="K55" s="372" t="str">
        <f>IF(J55&lt;=0,"",IF(J55&lt;=2,"Muy Baja",IF(J55&lt;=24,"Baja",IF(J55&lt;=500,"Media",IF(J55&lt;=5000,"Alta","Muy Alta")))))</f>
        <v>Baja</v>
      </c>
      <c r="L55" s="343">
        <f>IF(K55="","",IF(K55="Muy Baja",0.2,IF(K55="Baja",0.4,IF(K55="Media",0.6,IF(K55="Alta",0.8,IF(K55="Muy Alta",1,))))))</f>
        <v>0.4</v>
      </c>
      <c r="M55" s="375" t="s">
        <v>248</v>
      </c>
      <c r="N55" s="179" t="str">
        <f>IF(NOT(ISERROR(MATCH(M55,'Tabla Impacto'!$B$221:$B$223,0))),'Tabla Impacto'!$F$223&amp;"Por favor no seleccionar los criterios de impacto(Afectación Económica o presupuestal y Pérdida Reputacional)",M55)</f>
        <v xml:space="preserve"> El riesgo afecta la imagen de la entidad con algunos usuarios de relevancia frente al logro de los objetivos</v>
      </c>
      <c r="O55" s="372" t="str">
        <f>IF(OR(N55='Tabla Impacto'!$C$11,N55='Tabla Impacto'!$D$11),"Leve",IF(OR(N55='Tabla Impacto'!$C$12,N55='Tabla Impacto'!$D$12),"Menor",IF(OR(N55='Tabla Impacto'!$C$13,N55='Tabla Impacto'!$D$13),"Moderado",IF(OR(N55='Tabla Impacto'!$C$14,N55='Tabla Impacto'!$D$14),"Mayor",IF(OR(N55='Tabla Impacto'!$C$15,N55='Tabla Impacto'!$D$15),"Catastrófico","")))))</f>
        <v>Moderado</v>
      </c>
      <c r="P55" s="343">
        <f>IF(O55="","",IF(O55="Leve",0.2,IF(O55="Menor",0.4,IF(O55="Moderado",0.6,IF(O55="Mayor",0.8,IF(O55="Catastrófico",1,))))))</f>
        <v>0.6</v>
      </c>
      <c r="Q55" s="367" t="str">
        <f>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Moderado</v>
      </c>
      <c r="R55" s="94">
        <v>1</v>
      </c>
      <c r="S55" s="79" t="s">
        <v>448</v>
      </c>
      <c r="T55" s="95" t="str">
        <f t="shared" ref="T55:T73" si="58">IF(OR(U55="Preventivo",U55="Detectivo"),"Probabilidad",IF(U55="Correctivo","Impacto",""))</f>
        <v>Probabilidad</v>
      </c>
      <c r="U55" s="96" t="s">
        <v>15</v>
      </c>
      <c r="V55" s="96" t="s">
        <v>9</v>
      </c>
      <c r="W55" s="97" t="str">
        <f>IF(AND(U55="Preventivo",V55="Automático"),"50%",IF(AND(U55="Preventivo",V55="Manual"),"40%",IF(AND(U55="Detectivo",V55="Automático"),"40%",IF(AND(U55="Detectivo",V55="Manual"),"30%",IF(AND(U55="Correctivo",V55="Automático"),"35%",IF(AND(U55="Correctivo",V55="Manual"),"25%",""))))))</f>
        <v>30%</v>
      </c>
      <c r="X55" s="96" t="s">
        <v>20</v>
      </c>
      <c r="Y55" s="96" t="s">
        <v>22</v>
      </c>
      <c r="Z55" s="96" t="s">
        <v>110</v>
      </c>
      <c r="AA55" s="98">
        <f>IFERROR(IF(T55="Probabilidad",(L55-(+L55*W55)),IF(T55="Impacto",L55,"")),"")</f>
        <v>0.28000000000000003</v>
      </c>
      <c r="AB55" s="99" t="str">
        <f t="shared" ref="AB55:AB73" si="59">IFERROR(IF(AA55="","",IF(AA55&lt;=0.2,"Muy Baja",IF(AA55&lt;=0.4,"Baja",IF(AA55&lt;=0.6,"Media",IF(AA55&lt;=0.8,"Alta","Muy Alta"))))),"")</f>
        <v>Baja</v>
      </c>
      <c r="AC55" s="100">
        <f t="shared" ref="AC55:AC73" si="60">+AA55</f>
        <v>0.28000000000000003</v>
      </c>
      <c r="AD55" s="99" t="str">
        <f t="shared" ref="AD55:AD73" si="61">IFERROR(IF(AE55="","",IF(AE55&lt;=0.2,"Leve",IF(AE55&lt;=0.4,"Menor",IF(AE55&lt;=0.6,"Moderado",IF(AE55&lt;=0.8,"Mayor","Catastrófico"))))),"")</f>
        <v>Moderado</v>
      </c>
      <c r="AE55" s="100">
        <f t="shared" ref="AE55:AE65" si="62">IFERROR(IF(T55="Impacto",(P55-(+P55*W55)),IF(T55="Probabilidad",P55,"")),"")</f>
        <v>0.6</v>
      </c>
      <c r="AF55" s="101" t="str">
        <f t="shared" ref="AF55:AF73" si="63">IFERROR(IF(OR(AND(AB55="Muy Baja",AD55="Leve"),AND(AB55="Muy Baja",AD55="Menor"),AND(AB55="Baja",AD55="Leve")),"Bajo",IF(OR(AND(AB55="Muy baja",AD55="Moderado"),AND(AB55="Baja",AD55="Menor"),AND(AB55="Baja",AD55="Moderado"),AND(AB55="Media",AD55="Leve"),AND(AB55="Media",AD55="Menor"),AND(AB55="Media",AD55="Moderado"),AND(AB55="Alta",AD55="Leve"),AND(AB55="Alta",AD55="Menor")),"Moderado",IF(OR(AND(AB55="Muy Baja",AD55="Mayor"),AND(AB55="Baja",AD55="Mayor"),AND(AB55="Media",AD55="Mayor"),AND(AB55="Alta",AD55="Moderado"),AND(AB55="Alta",AD55="Mayor"),AND(AB55="Muy Alta",AD55="Leve"),AND(AB55="Muy Alta",AD55="Menor"),AND(AB55="Muy Alta",AD55="Moderado"),AND(AB55="Muy Alta",AD55="Mayor")),"Alto",IF(OR(AND(AB55="Muy Baja",AD55="Catastrófico"),AND(AB55="Baja",AD55="Catastrófico"),AND(AB55="Media",AD55="Catastrófico"),AND(AB55="Alta",AD55="Catastrófico"),AND(AB55="Muy Alta",AD55="Catastrófico")),"Extremo","")))),"")</f>
        <v>Moderado</v>
      </c>
      <c r="AG55" s="102" t="s">
        <v>122</v>
      </c>
      <c r="AH55" s="79" t="s">
        <v>449</v>
      </c>
      <c r="AI55" s="92" t="s">
        <v>197</v>
      </c>
      <c r="AJ55" s="103" t="s">
        <v>281</v>
      </c>
      <c r="AK55" s="103" t="s">
        <v>205</v>
      </c>
      <c r="AL55" s="79" t="s">
        <v>425</v>
      </c>
      <c r="AM55" s="202" t="s">
        <v>789</v>
      </c>
      <c r="AN55" s="202" t="s">
        <v>782</v>
      </c>
      <c r="AO55" s="203">
        <v>0.5</v>
      </c>
      <c r="AP55" s="202" t="s">
        <v>610</v>
      </c>
      <c r="AQ55" s="202" t="s">
        <v>611</v>
      </c>
      <c r="AR55" s="203">
        <v>0.5</v>
      </c>
      <c r="AS55" s="103"/>
      <c r="AT55" s="103" t="s">
        <v>575</v>
      </c>
      <c r="AU55" s="92" t="s">
        <v>603</v>
      </c>
      <c r="AV55" s="92" t="s">
        <v>603</v>
      </c>
      <c r="AW55" s="92" t="s">
        <v>603</v>
      </c>
      <c r="AX55" s="92" t="s">
        <v>603</v>
      </c>
    </row>
    <row r="56" spans="1:50" s="114" customFormat="1" ht="151.5" hidden="1" customHeight="1" x14ac:dyDescent="0.25">
      <c r="A56" s="349"/>
      <c r="B56" s="385"/>
      <c r="C56" s="382"/>
      <c r="D56" s="380"/>
      <c r="E56" s="378"/>
      <c r="F56" s="378"/>
      <c r="G56" s="378"/>
      <c r="H56" s="363"/>
      <c r="I56" s="378"/>
      <c r="J56" s="371"/>
      <c r="K56" s="373"/>
      <c r="L56" s="344"/>
      <c r="M56" s="376"/>
      <c r="N56" s="180"/>
      <c r="O56" s="373"/>
      <c r="P56" s="344"/>
      <c r="Q56" s="368"/>
      <c r="R56" s="94">
        <v>2</v>
      </c>
      <c r="S56" s="79"/>
      <c r="T56" s="95" t="str">
        <f t="shared" si="58"/>
        <v/>
      </c>
      <c r="U56" s="96"/>
      <c r="V56" s="96"/>
      <c r="W56" s="97"/>
      <c r="X56" s="96"/>
      <c r="Y56" s="96"/>
      <c r="Z56" s="96"/>
      <c r="AA56" s="98" t="str">
        <f>IFERROR(IF(T56="Probabilidad",(AA55-(+AA55*W56)),IF(T56="Impacto",L56,"")),"")</f>
        <v/>
      </c>
      <c r="AB56" s="99" t="str">
        <f t="shared" si="59"/>
        <v/>
      </c>
      <c r="AC56" s="100" t="str">
        <f t="shared" si="60"/>
        <v/>
      </c>
      <c r="AD56" s="99" t="str">
        <f t="shared" si="61"/>
        <v/>
      </c>
      <c r="AE56" s="100" t="str">
        <f t="shared" si="62"/>
        <v/>
      </c>
      <c r="AF56" s="101" t="str">
        <f t="shared" si="63"/>
        <v/>
      </c>
      <c r="AG56" s="102"/>
      <c r="AH56" s="79"/>
      <c r="AI56" s="92"/>
      <c r="AJ56" s="103"/>
      <c r="AK56" s="103"/>
      <c r="AL56" s="79"/>
      <c r="AM56" s="202"/>
      <c r="AN56" s="202"/>
      <c r="AO56" s="203"/>
      <c r="AP56" s="202"/>
      <c r="AQ56" s="202"/>
      <c r="AR56" s="203"/>
      <c r="AS56" s="103"/>
      <c r="AT56" s="103" t="s">
        <v>575</v>
      </c>
      <c r="AU56" s="92" t="s">
        <v>603</v>
      </c>
      <c r="AV56" s="92" t="s">
        <v>603</v>
      </c>
      <c r="AW56" s="92" t="s">
        <v>603</v>
      </c>
      <c r="AX56" s="92" t="s">
        <v>603</v>
      </c>
    </row>
    <row r="57" spans="1:50" s="114" customFormat="1" ht="151.5" hidden="1" customHeight="1" x14ac:dyDescent="0.25">
      <c r="A57" s="349"/>
      <c r="B57" s="386"/>
      <c r="C57" s="382"/>
      <c r="D57" s="380"/>
      <c r="E57" s="378"/>
      <c r="F57" s="378"/>
      <c r="G57" s="378"/>
      <c r="H57" s="363"/>
      <c r="I57" s="378"/>
      <c r="J57" s="371"/>
      <c r="K57" s="374"/>
      <c r="L57" s="345"/>
      <c r="M57" s="376"/>
      <c r="N57" s="180"/>
      <c r="O57" s="374"/>
      <c r="P57" s="345"/>
      <c r="Q57" s="369"/>
      <c r="R57" s="94">
        <v>3</v>
      </c>
      <c r="S57" s="79"/>
      <c r="T57" s="95" t="str">
        <f t="shared" si="58"/>
        <v/>
      </c>
      <c r="U57" s="96"/>
      <c r="V57" s="96"/>
      <c r="W57" s="97"/>
      <c r="X57" s="96"/>
      <c r="Y57" s="96"/>
      <c r="Z57" s="96"/>
      <c r="AA57" s="98" t="str">
        <f>IFERROR(IF(T57="Probabilidad",(AA56-(+AA56*W57)),IF(T57="Impacto",L57,"")),"")</f>
        <v/>
      </c>
      <c r="AB57" s="99" t="str">
        <f t="shared" si="59"/>
        <v/>
      </c>
      <c r="AC57" s="100" t="str">
        <f t="shared" si="60"/>
        <v/>
      </c>
      <c r="AD57" s="99" t="str">
        <f t="shared" si="61"/>
        <v/>
      </c>
      <c r="AE57" s="100" t="str">
        <f t="shared" si="62"/>
        <v/>
      </c>
      <c r="AF57" s="101" t="str">
        <f t="shared" si="63"/>
        <v/>
      </c>
      <c r="AG57" s="102"/>
      <c r="AH57" s="79"/>
      <c r="AI57" s="92"/>
      <c r="AJ57" s="103"/>
      <c r="AK57" s="103"/>
      <c r="AL57" s="79"/>
      <c r="AM57" s="202"/>
      <c r="AN57" s="202"/>
      <c r="AO57" s="203"/>
      <c r="AP57" s="202"/>
      <c r="AQ57" s="202"/>
      <c r="AR57" s="203"/>
      <c r="AS57" s="103"/>
      <c r="AT57" s="103" t="s">
        <v>575</v>
      </c>
      <c r="AU57" s="92" t="s">
        <v>603</v>
      </c>
      <c r="AV57" s="92" t="s">
        <v>603</v>
      </c>
      <c r="AW57" s="92" t="s">
        <v>603</v>
      </c>
      <c r="AX57" s="92" t="s">
        <v>603</v>
      </c>
    </row>
    <row r="58" spans="1:50" s="114" customFormat="1" ht="151.5" customHeight="1" x14ac:dyDescent="0.25">
      <c r="A58" s="349">
        <f>1+A55</f>
        <v>17</v>
      </c>
      <c r="B58" s="384" t="s">
        <v>206</v>
      </c>
      <c r="C58" s="379" t="s">
        <v>222</v>
      </c>
      <c r="D58" s="379" t="s">
        <v>352</v>
      </c>
      <c r="E58" s="377" t="s">
        <v>120</v>
      </c>
      <c r="F58" s="377" t="s">
        <v>207</v>
      </c>
      <c r="G58" s="377" t="s">
        <v>208</v>
      </c>
      <c r="H58" s="362" t="s">
        <v>260</v>
      </c>
      <c r="I58" s="377" t="s">
        <v>115</v>
      </c>
      <c r="J58" s="370">
        <v>2</v>
      </c>
      <c r="K58" s="372" t="str">
        <f>IF(J58&lt;=0,"",IF(J58&lt;=2,"Muy Baja",IF(J58&lt;=24,"Baja",IF(J58&lt;=500,"Media",IF(J58&lt;=5000,"Alta","Muy Alta")))))</f>
        <v>Muy Baja</v>
      </c>
      <c r="L58" s="343">
        <f>IF(K58="","",IF(K58="Muy Baja",0.2,IF(K58="Baja",0.4,IF(K58="Media",0.6,IF(K58="Alta",0.8,IF(K58="Muy Alta",1,))))))</f>
        <v>0.2</v>
      </c>
      <c r="M58" s="375" t="s">
        <v>247</v>
      </c>
      <c r="N58" s="179" t="str">
        <f>IF(NOT(ISERROR(MATCH(M58,'Tabla Impacto'!$B$221:$B$223,0))),'Tabla Impacto'!$F$223&amp;"Por favor no seleccionar los criterios de impacto(Afectación Económica o presupuestal y Pérdida Reputacional)",M58)</f>
        <v xml:space="preserve"> Entre 50 y 100 SMLMV </v>
      </c>
      <c r="O58" s="372" t="str">
        <f>IF(OR(N58='Tabla Impacto'!$C$11,N58='Tabla Impacto'!$D$11),"Leve",IF(OR(N58='Tabla Impacto'!$C$12,N58='Tabla Impacto'!$D$12),"Menor",IF(OR(N58='Tabla Impacto'!$C$13,N58='Tabla Impacto'!$D$13),"Moderado",IF(OR(N58='Tabla Impacto'!$C$14,N58='Tabla Impacto'!$D$14),"Mayor",IF(OR(N58='Tabla Impacto'!$C$15,N58='Tabla Impacto'!$D$15),"Catastrófico","")))))</f>
        <v>Moderado</v>
      </c>
      <c r="P58" s="343">
        <f>IF(O58="","",IF(O58="Leve",0.2,IF(O58="Menor",0.4,IF(O58="Moderado",0.6,IF(O58="Mayor",0.8,IF(O58="Catastrófico",1,))))))</f>
        <v>0.6</v>
      </c>
      <c r="Q58" s="367" t="str">
        <f>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Moderado</v>
      </c>
      <c r="R58" s="94">
        <v>1</v>
      </c>
      <c r="S58" s="79" t="s">
        <v>353</v>
      </c>
      <c r="T58" s="95" t="str">
        <f t="shared" si="58"/>
        <v>Probabilidad</v>
      </c>
      <c r="U58" s="96" t="s">
        <v>14</v>
      </c>
      <c r="V58" s="96" t="s">
        <v>9</v>
      </c>
      <c r="W58" s="97" t="str">
        <f>IF(AND(U58="Preventivo",V58="Automático"),"50%",IF(AND(U58="Preventivo",V58="Manual"),"40%",IF(AND(U58="Detectivo",V58="Automático"),"40%",IF(AND(U58="Detectivo",V58="Manual"),"30%",IF(AND(U58="Correctivo",V58="Automático"),"35%",IF(AND(U58="Correctivo",V58="Manual"),"25%",""))))))</f>
        <v>40%</v>
      </c>
      <c r="X58" s="96" t="s">
        <v>20</v>
      </c>
      <c r="Y58" s="96" t="s">
        <v>22</v>
      </c>
      <c r="Z58" s="96" t="s">
        <v>110</v>
      </c>
      <c r="AA58" s="98">
        <f>IFERROR(IF(T58="Probabilidad",(L58-(+L58*W58)),IF(T58="Impacto",L58,"")),"")</f>
        <v>0.12</v>
      </c>
      <c r="AB58" s="99" t="str">
        <f t="shared" si="59"/>
        <v>Muy Baja</v>
      </c>
      <c r="AC58" s="100">
        <f t="shared" si="60"/>
        <v>0.12</v>
      </c>
      <c r="AD58" s="99" t="str">
        <f t="shared" si="61"/>
        <v>Moderado</v>
      </c>
      <c r="AE58" s="100">
        <f t="shared" si="62"/>
        <v>0.6</v>
      </c>
      <c r="AF58" s="101" t="str">
        <f t="shared" si="63"/>
        <v>Moderado</v>
      </c>
      <c r="AG58" s="102" t="s">
        <v>122</v>
      </c>
      <c r="AH58" s="91" t="s">
        <v>261</v>
      </c>
      <c r="AI58" s="92" t="s">
        <v>202</v>
      </c>
      <c r="AJ58" s="103" t="s">
        <v>281</v>
      </c>
      <c r="AK58" s="103" t="s">
        <v>205</v>
      </c>
      <c r="AL58" s="79" t="s">
        <v>224</v>
      </c>
      <c r="AM58" s="202" t="s">
        <v>591</v>
      </c>
      <c r="AN58" s="202" t="s">
        <v>592</v>
      </c>
      <c r="AO58" s="203">
        <v>0.5</v>
      </c>
      <c r="AP58" s="202" t="s">
        <v>593</v>
      </c>
      <c r="AQ58" s="202" t="s">
        <v>592</v>
      </c>
      <c r="AR58" s="203">
        <v>0.5</v>
      </c>
      <c r="AS58" s="103"/>
      <c r="AT58" s="103" t="s">
        <v>575</v>
      </c>
      <c r="AU58" s="92" t="s">
        <v>603</v>
      </c>
      <c r="AV58" s="92" t="s">
        <v>603</v>
      </c>
      <c r="AW58" s="92" t="s">
        <v>603</v>
      </c>
      <c r="AX58" s="92" t="s">
        <v>603</v>
      </c>
    </row>
    <row r="59" spans="1:50" s="114" customFormat="1" ht="151.5" hidden="1" customHeight="1" x14ac:dyDescent="0.25">
      <c r="A59" s="349"/>
      <c r="B59" s="385"/>
      <c r="C59" s="382"/>
      <c r="D59" s="380"/>
      <c r="E59" s="378"/>
      <c r="F59" s="378"/>
      <c r="G59" s="378"/>
      <c r="H59" s="363"/>
      <c r="I59" s="378"/>
      <c r="J59" s="371"/>
      <c r="K59" s="373"/>
      <c r="L59" s="344"/>
      <c r="M59" s="376"/>
      <c r="N59" s="180"/>
      <c r="O59" s="373"/>
      <c r="P59" s="344"/>
      <c r="Q59" s="368"/>
      <c r="R59" s="94">
        <v>2</v>
      </c>
      <c r="S59" s="79"/>
      <c r="T59" s="95" t="str">
        <f t="shared" si="58"/>
        <v/>
      </c>
      <c r="U59" s="96"/>
      <c r="V59" s="96"/>
      <c r="W59" s="97"/>
      <c r="X59" s="96"/>
      <c r="Y59" s="96"/>
      <c r="Z59" s="96"/>
      <c r="AA59" s="98" t="str">
        <f>IFERROR(IF(T59="Probabilidad",(AA58-(+AA58*W59)),IF(T59="Impacto",L59,"")),"")</f>
        <v/>
      </c>
      <c r="AB59" s="99" t="str">
        <f t="shared" si="59"/>
        <v/>
      </c>
      <c r="AC59" s="100" t="str">
        <f t="shared" si="60"/>
        <v/>
      </c>
      <c r="AD59" s="99" t="str">
        <f t="shared" si="61"/>
        <v/>
      </c>
      <c r="AE59" s="100" t="str">
        <f t="shared" si="62"/>
        <v/>
      </c>
      <c r="AF59" s="101" t="str">
        <f t="shared" si="63"/>
        <v/>
      </c>
      <c r="AG59" s="102"/>
      <c r="AH59" s="79"/>
      <c r="AI59" s="92"/>
      <c r="AJ59" s="103"/>
      <c r="AK59" s="103"/>
      <c r="AL59" s="79"/>
      <c r="AM59" s="202"/>
      <c r="AN59" s="202"/>
      <c r="AO59" s="203"/>
      <c r="AP59" s="202"/>
      <c r="AQ59" s="202"/>
      <c r="AR59" s="203"/>
      <c r="AS59" s="103"/>
      <c r="AT59" s="103" t="s">
        <v>575</v>
      </c>
      <c r="AU59" s="92" t="s">
        <v>603</v>
      </c>
      <c r="AV59" s="92" t="s">
        <v>603</v>
      </c>
      <c r="AW59" s="92" t="s">
        <v>603</v>
      </c>
      <c r="AX59" s="92" t="s">
        <v>603</v>
      </c>
    </row>
    <row r="60" spans="1:50" s="114" customFormat="1" ht="151.5" hidden="1" customHeight="1" x14ac:dyDescent="0.25">
      <c r="A60" s="349"/>
      <c r="B60" s="386"/>
      <c r="C60" s="382"/>
      <c r="D60" s="380"/>
      <c r="E60" s="378"/>
      <c r="F60" s="378"/>
      <c r="G60" s="378"/>
      <c r="H60" s="363"/>
      <c r="I60" s="378"/>
      <c r="J60" s="371"/>
      <c r="K60" s="374"/>
      <c r="L60" s="345"/>
      <c r="M60" s="376"/>
      <c r="N60" s="180"/>
      <c r="O60" s="374"/>
      <c r="P60" s="345"/>
      <c r="Q60" s="369"/>
      <c r="R60" s="94">
        <v>3</v>
      </c>
      <c r="S60" s="79"/>
      <c r="T60" s="95" t="str">
        <f t="shared" si="58"/>
        <v/>
      </c>
      <c r="U60" s="96"/>
      <c r="V60" s="96"/>
      <c r="W60" s="97"/>
      <c r="X60" s="96"/>
      <c r="Y60" s="96"/>
      <c r="Z60" s="96"/>
      <c r="AA60" s="98" t="str">
        <f>IFERROR(IF(T60="Probabilidad",(AA59-(+AA59*W60)),IF(T60="Impacto",L60,"")),"")</f>
        <v/>
      </c>
      <c r="AB60" s="99" t="str">
        <f t="shared" si="59"/>
        <v/>
      </c>
      <c r="AC60" s="100" t="str">
        <f t="shared" si="60"/>
        <v/>
      </c>
      <c r="AD60" s="99" t="str">
        <f t="shared" si="61"/>
        <v/>
      </c>
      <c r="AE60" s="100" t="str">
        <f t="shared" si="62"/>
        <v/>
      </c>
      <c r="AF60" s="101" t="str">
        <f t="shared" si="63"/>
        <v/>
      </c>
      <c r="AG60" s="102"/>
      <c r="AH60" s="79"/>
      <c r="AI60" s="92"/>
      <c r="AJ60" s="103"/>
      <c r="AK60" s="103"/>
      <c r="AL60" s="79"/>
      <c r="AM60" s="202"/>
      <c r="AN60" s="202"/>
      <c r="AO60" s="203"/>
      <c r="AP60" s="202"/>
      <c r="AQ60" s="202"/>
      <c r="AR60" s="203"/>
      <c r="AS60" s="103"/>
      <c r="AT60" s="103" t="s">
        <v>575</v>
      </c>
      <c r="AU60" s="92" t="s">
        <v>603</v>
      </c>
      <c r="AV60" s="92" t="s">
        <v>603</v>
      </c>
      <c r="AW60" s="92" t="s">
        <v>603</v>
      </c>
      <c r="AX60" s="92" t="s">
        <v>603</v>
      </c>
    </row>
    <row r="61" spans="1:50" s="114" customFormat="1" ht="151.5" customHeight="1" x14ac:dyDescent="0.25">
      <c r="A61" s="349">
        <f>1+A58</f>
        <v>18</v>
      </c>
      <c r="B61" s="384" t="s">
        <v>206</v>
      </c>
      <c r="C61" s="379" t="s">
        <v>222</v>
      </c>
      <c r="D61" s="379" t="s">
        <v>352</v>
      </c>
      <c r="E61" s="377" t="s">
        <v>118</v>
      </c>
      <c r="F61" s="377" t="s">
        <v>238</v>
      </c>
      <c r="G61" s="377" t="s">
        <v>239</v>
      </c>
      <c r="H61" s="362" t="s">
        <v>240</v>
      </c>
      <c r="I61" s="377" t="s">
        <v>217</v>
      </c>
      <c r="J61" s="370">
        <v>10</v>
      </c>
      <c r="K61" s="372" t="str">
        <f>IF(J61&lt;=0,"",IF(J61&lt;=2,"Muy Baja",IF(J61&lt;=24,"Baja",IF(J61&lt;=500,"Media",IF(J61&lt;=5000,"Alta","Muy Alta")))))</f>
        <v>Baja</v>
      </c>
      <c r="L61" s="343">
        <f>IF(K61="","",IF(K61="Muy Baja",0.2,IF(K61="Baja",0.4,IF(K61="Media",0.6,IF(K61="Alta",0.8,IF(K61="Muy Alta",1,))))))</f>
        <v>0.4</v>
      </c>
      <c r="M61" s="375" t="s">
        <v>248</v>
      </c>
      <c r="N61" s="179" t="str">
        <f>IF(NOT(ISERROR(MATCH(M61,'Tabla Impacto'!$B$221:$B$223,0))),'Tabla Impacto'!$F$223&amp;"Por favor no seleccionar los criterios de impacto(Afectación Económica o presupuestal y Pérdida Reputacional)",M61)</f>
        <v xml:space="preserve"> El riesgo afecta la imagen de la entidad con algunos usuarios de relevancia frente al logro de los objetivos</v>
      </c>
      <c r="O61" s="372" t="str">
        <f>IF(OR(N61='Tabla Impacto'!$C$11,N61='Tabla Impacto'!$D$11),"Leve",IF(OR(N61='Tabla Impacto'!$C$12,N61='Tabla Impacto'!$D$12),"Menor",IF(OR(N61='Tabla Impacto'!$C$13,N61='Tabla Impacto'!$D$13),"Moderado",IF(OR(N61='Tabla Impacto'!$C$14,N61='Tabla Impacto'!$D$14),"Mayor",IF(OR(N61='Tabla Impacto'!$C$15,N61='Tabla Impacto'!$D$15),"Catastrófico","")))))</f>
        <v>Moderado</v>
      </c>
      <c r="P61" s="343">
        <f>IF(O61="","",IF(O61="Leve",0.2,IF(O61="Menor",0.4,IF(O61="Moderado",0.6,IF(O61="Mayor",0.8,IF(O61="Catastrófico",1,))))))</f>
        <v>0.6</v>
      </c>
      <c r="Q61" s="367" t="str">
        <f>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Moderado</v>
      </c>
      <c r="R61" s="94">
        <v>1</v>
      </c>
      <c r="S61" s="79" t="s">
        <v>450</v>
      </c>
      <c r="T61" s="95" t="str">
        <f t="shared" si="58"/>
        <v>Probabilidad</v>
      </c>
      <c r="U61" s="96" t="s">
        <v>15</v>
      </c>
      <c r="V61" s="96" t="s">
        <v>9</v>
      </c>
      <c r="W61" s="97" t="str">
        <f>IF(AND(U61="Preventivo",V61="Automático"),"50%",IF(AND(U61="Preventivo",V61="Manual"),"40%",IF(AND(U61="Detectivo",V61="Automático"),"40%",IF(AND(U61="Detectivo",V61="Manual"),"30%",IF(AND(U61="Correctivo",V61="Automático"),"35%",IF(AND(U61="Correctivo",V61="Manual"),"25%",""))))))</f>
        <v>30%</v>
      </c>
      <c r="X61" s="96" t="s">
        <v>20</v>
      </c>
      <c r="Y61" s="96" t="s">
        <v>23</v>
      </c>
      <c r="Z61" s="96" t="s">
        <v>111</v>
      </c>
      <c r="AA61" s="98">
        <f>IFERROR(IF(T61="Probabilidad",(L61-(+L61*W61)),IF(T61="Impacto",L61,"")),"")</f>
        <v>0.28000000000000003</v>
      </c>
      <c r="AB61" s="99" t="str">
        <f t="shared" si="59"/>
        <v>Baja</v>
      </c>
      <c r="AC61" s="100">
        <f t="shared" si="60"/>
        <v>0.28000000000000003</v>
      </c>
      <c r="AD61" s="99" t="str">
        <f t="shared" si="61"/>
        <v>Moderado</v>
      </c>
      <c r="AE61" s="100">
        <f t="shared" si="62"/>
        <v>0.6</v>
      </c>
      <c r="AF61" s="101" t="str">
        <f t="shared" si="63"/>
        <v>Moderado</v>
      </c>
      <c r="AG61" s="102" t="s">
        <v>122</v>
      </c>
      <c r="AH61" s="79" t="s">
        <v>262</v>
      </c>
      <c r="AI61" s="92" t="s">
        <v>354</v>
      </c>
      <c r="AJ61" s="103" t="s">
        <v>281</v>
      </c>
      <c r="AK61" s="103" t="s">
        <v>205</v>
      </c>
      <c r="AL61" s="91" t="s">
        <v>355</v>
      </c>
      <c r="AM61" s="202" t="s">
        <v>594</v>
      </c>
      <c r="AN61" s="202" t="s">
        <v>592</v>
      </c>
      <c r="AO61" s="203">
        <v>0.5</v>
      </c>
      <c r="AP61" s="202" t="s">
        <v>595</v>
      </c>
      <c r="AQ61" s="202" t="s">
        <v>596</v>
      </c>
      <c r="AR61" s="203">
        <v>0.5</v>
      </c>
      <c r="AS61" s="103"/>
      <c r="AT61" s="103" t="s">
        <v>575</v>
      </c>
      <c r="AU61" s="92" t="s">
        <v>603</v>
      </c>
      <c r="AV61" s="92" t="s">
        <v>603</v>
      </c>
      <c r="AW61" s="92" t="s">
        <v>603</v>
      </c>
      <c r="AX61" s="92" t="s">
        <v>603</v>
      </c>
    </row>
    <row r="62" spans="1:50" s="114" customFormat="1" ht="151.5" hidden="1" customHeight="1" x14ac:dyDescent="0.25">
      <c r="A62" s="349"/>
      <c r="B62" s="385"/>
      <c r="C62" s="382"/>
      <c r="D62" s="380"/>
      <c r="E62" s="378"/>
      <c r="F62" s="378"/>
      <c r="G62" s="378"/>
      <c r="H62" s="363"/>
      <c r="I62" s="378"/>
      <c r="J62" s="371"/>
      <c r="K62" s="373"/>
      <c r="L62" s="344"/>
      <c r="M62" s="376"/>
      <c r="N62" s="180"/>
      <c r="O62" s="373"/>
      <c r="P62" s="344"/>
      <c r="Q62" s="368"/>
      <c r="R62" s="94">
        <v>2</v>
      </c>
      <c r="S62" s="79"/>
      <c r="T62" s="95" t="str">
        <f t="shared" si="58"/>
        <v/>
      </c>
      <c r="U62" s="96"/>
      <c r="V62" s="96"/>
      <c r="W62" s="97"/>
      <c r="X62" s="96"/>
      <c r="Y62" s="96"/>
      <c r="Z62" s="96"/>
      <c r="AA62" s="98" t="str">
        <f>IFERROR(IF(T62="Probabilidad",(AA61-(+AA61*W62)),IF(T62="Impacto",L62,"")),"")</f>
        <v/>
      </c>
      <c r="AB62" s="99" t="str">
        <f t="shared" si="59"/>
        <v/>
      </c>
      <c r="AC62" s="100" t="str">
        <f t="shared" si="60"/>
        <v/>
      </c>
      <c r="AD62" s="99" t="str">
        <f t="shared" si="61"/>
        <v/>
      </c>
      <c r="AE62" s="100" t="str">
        <f t="shared" si="62"/>
        <v/>
      </c>
      <c r="AF62" s="101" t="str">
        <f t="shared" si="63"/>
        <v/>
      </c>
      <c r="AG62" s="102"/>
      <c r="AH62" s="79"/>
      <c r="AI62" s="92"/>
      <c r="AJ62" s="103"/>
      <c r="AK62" s="103"/>
      <c r="AL62" s="79"/>
      <c r="AM62" s="202"/>
      <c r="AN62" s="202"/>
      <c r="AO62" s="203"/>
      <c r="AP62" s="202"/>
      <c r="AQ62" s="202"/>
      <c r="AR62" s="203"/>
      <c r="AS62" s="103"/>
      <c r="AT62" s="103" t="s">
        <v>575</v>
      </c>
      <c r="AU62" s="92" t="s">
        <v>603</v>
      </c>
      <c r="AV62" s="92" t="s">
        <v>603</v>
      </c>
      <c r="AW62" s="92" t="s">
        <v>603</v>
      </c>
      <c r="AX62" s="92" t="s">
        <v>603</v>
      </c>
    </row>
    <row r="63" spans="1:50" s="114" customFormat="1" ht="151.5" hidden="1" customHeight="1" x14ac:dyDescent="0.25">
      <c r="A63" s="349"/>
      <c r="B63" s="386"/>
      <c r="C63" s="382"/>
      <c r="D63" s="380"/>
      <c r="E63" s="378"/>
      <c r="F63" s="378"/>
      <c r="G63" s="378"/>
      <c r="H63" s="363"/>
      <c r="I63" s="378"/>
      <c r="J63" s="371"/>
      <c r="K63" s="374"/>
      <c r="L63" s="345"/>
      <c r="M63" s="376"/>
      <c r="N63" s="180"/>
      <c r="O63" s="374"/>
      <c r="P63" s="345"/>
      <c r="Q63" s="369"/>
      <c r="R63" s="94">
        <v>3</v>
      </c>
      <c r="S63" s="79"/>
      <c r="T63" s="95" t="str">
        <f t="shared" si="58"/>
        <v/>
      </c>
      <c r="U63" s="96"/>
      <c r="V63" s="96"/>
      <c r="W63" s="97"/>
      <c r="X63" s="96"/>
      <c r="Y63" s="96"/>
      <c r="Z63" s="96"/>
      <c r="AA63" s="98" t="str">
        <f>IFERROR(IF(T63="Probabilidad",(AA62-(+AA62*W63)),IF(T63="Impacto",L63,"")),"")</f>
        <v/>
      </c>
      <c r="AB63" s="99" t="str">
        <f t="shared" si="59"/>
        <v/>
      </c>
      <c r="AC63" s="100" t="str">
        <f t="shared" si="60"/>
        <v/>
      </c>
      <c r="AD63" s="99" t="str">
        <f t="shared" si="61"/>
        <v/>
      </c>
      <c r="AE63" s="100" t="str">
        <f t="shared" si="62"/>
        <v/>
      </c>
      <c r="AF63" s="101" t="str">
        <f t="shared" si="63"/>
        <v/>
      </c>
      <c r="AG63" s="102"/>
      <c r="AH63" s="79"/>
      <c r="AI63" s="92"/>
      <c r="AJ63" s="103"/>
      <c r="AK63" s="103"/>
      <c r="AL63" s="79"/>
      <c r="AM63" s="202"/>
      <c r="AN63" s="202"/>
      <c r="AO63" s="203"/>
      <c r="AP63" s="202"/>
      <c r="AQ63" s="202"/>
      <c r="AR63" s="203"/>
      <c r="AS63" s="103"/>
      <c r="AT63" s="103" t="s">
        <v>575</v>
      </c>
      <c r="AU63" s="92" t="s">
        <v>603</v>
      </c>
      <c r="AV63" s="92" t="s">
        <v>603</v>
      </c>
      <c r="AW63" s="92" t="s">
        <v>603</v>
      </c>
      <c r="AX63" s="92" t="s">
        <v>603</v>
      </c>
    </row>
    <row r="64" spans="1:50" s="114" customFormat="1" ht="151.5" customHeight="1" x14ac:dyDescent="0.25">
      <c r="A64" s="349">
        <f>1+A61</f>
        <v>19</v>
      </c>
      <c r="B64" s="384" t="s">
        <v>209</v>
      </c>
      <c r="C64" s="379" t="s">
        <v>356</v>
      </c>
      <c r="D64" s="379" t="s">
        <v>357</v>
      </c>
      <c r="E64" s="377" t="s">
        <v>118</v>
      </c>
      <c r="F64" s="377" t="s">
        <v>358</v>
      </c>
      <c r="G64" s="377" t="s">
        <v>359</v>
      </c>
      <c r="H64" s="362" t="s">
        <v>360</v>
      </c>
      <c r="I64" s="377" t="s">
        <v>217</v>
      </c>
      <c r="J64" s="370">
        <v>355</v>
      </c>
      <c r="K64" s="372" t="str">
        <f>IF(J64&lt;=0,"",IF(J64&lt;=2,"Muy Baja",IF(J64&lt;=24,"Baja",IF(J64&lt;=500,"Media",IF(J64&lt;=5000,"Alta","Muy Alta")))))</f>
        <v>Media</v>
      </c>
      <c r="L64" s="343">
        <f>IF(K64="","",IF(K64="Muy Baja",0.2,IF(K64="Baja",0.4,IF(K64="Media",0.6,IF(K64="Alta",0.8,IF(K64="Muy Alta",1,))))))</f>
        <v>0.6</v>
      </c>
      <c r="M64" s="375" t="s">
        <v>255</v>
      </c>
      <c r="N64" s="179" t="str">
        <f>IF(NOT(ISERROR(MATCH(M64,'Tabla Impacto'!$B$221:$B$223,0))),'Tabla Impacto'!$F$223&amp;"Por favor no seleccionar los criterios de impacto(Afectación Económica o presupuestal y Pérdida Reputacional)",M64)</f>
        <v xml:space="preserve"> El riesgo afecta la imagen de la entidad con efecto publicitario sostenido a nivel de sector administrativo, nivel departamental o municipal</v>
      </c>
      <c r="O64" s="372" t="str">
        <f>IF(OR(N64='Tabla Impacto'!$C$11,N64='Tabla Impacto'!$D$11),"Leve",IF(OR(N64='Tabla Impacto'!$C$12,N64='Tabla Impacto'!$D$12),"Menor",IF(OR(N64='Tabla Impacto'!$C$13,N64='Tabla Impacto'!$D$13),"Moderado",IF(OR(N64='Tabla Impacto'!$C$14,N64='Tabla Impacto'!$D$14),"Mayor",IF(OR(N64='Tabla Impacto'!$C$15,N64='Tabla Impacto'!$D$15),"Catastrófico","")))))</f>
        <v>Mayor</v>
      </c>
      <c r="P64" s="343">
        <f>IF(O64="","",IF(O64="Leve",0.2,IF(O64="Menor",0.4,IF(O64="Moderado",0.6,IF(O64="Mayor",0.8,IF(O64="Catastrófico",1,))))))</f>
        <v>0.8</v>
      </c>
      <c r="Q64" s="367" t="str">
        <f>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Alto</v>
      </c>
      <c r="R64" s="94">
        <v>1</v>
      </c>
      <c r="S64" s="79" t="s">
        <v>497</v>
      </c>
      <c r="T64" s="95" t="str">
        <f t="shared" si="58"/>
        <v>Probabilidad</v>
      </c>
      <c r="U64" s="96" t="s">
        <v>14</v>
      </c>
      <c r="V64" s="96" t="s">
        <v>9</v>
      </c>
      <c r="W64" s="97" t="str">
        <f>IF(AND(U64="Preventivo",V64="Automático"),"50%",IF(AND(U64="Preventivo",V64="Manual"),"40%",IF(AND(U64="Detectivo",V64="Automático"),"40%",IF(AND(U64="Detectivo",V64="Manual"),"30%",IF(AND(U64="Correctivo",V64="Automático"),"35%",IF(AND(U64="Correctivo",V64="Manual"),"25%",""))))))</f>
        <v>40%</v>
      </c>
      <c r="X64" s="96" t="s">
        <v>19</v>
      </c>
      <c r="Y64" s="96" t="s">
        <v>22</v>
      </c>
      <c r="Z64" s="96" t="s">
        <v>110</v>
      </c>
      <c r="AA64" s="98">
        <f>IFERROR(IF(T64="Probabilidad",(L64-(+L64*W64)),IF(T64="Impacto",L64,"")),"")</f>
        <v>0.36</v>
      </c>
      <c r="AB64" s="99" t="str">
        <f t="shared" si="59"/>
        <v>Baja</v>
      </c>
      <c r="AC64" s="100">
        <f t="shared" si="60"/>
        <v>0.36</v>
      </c>
      <c r="AD64" s="99" t="str">
        <f t="shared" si="61"/>
        <v>Mayor</v>
      </c>
      <c r="AE64" s="100">
        <f t="shared" si="62"/>
        <v>0.8</v>
      </c>
      <c r="AF64" s="101" t="str">
        <f t="shared" si="63"/>
        <v>Alto</v>
      </c>
      <c r="AG64" s="102" t="s">
        <v>122</v>
      </c>
      <c r="AH64" s="79" t="s">
        <v>361</v>
      </c>
      <c r="AI64" s="104" t="s">
        <v>304</v>
      </c>
      <c r="AJ64" s="103">
        <v>45474</v>
      </c>
      <c r="AK64" s="103">
        <v>45504</v>
      </c>
      <c r="AL64" s="79" t="s">
        <v>362</v>
      </c>
      <c r="AM64" s="202" t="s">
        <v>614</v>
      </c>
      <c r="AN64" s="202" t="s">
        <v>615</v>
      </c>
      <c r="AO64" s="203">
        <v>0.5</v>
      </c>
      <c r="AP64" s="202" t="s">
        <v>616</v>
      </c>
      <c r="AQ64" s="202" t="s">
        <v>679</v>
      </c>
      <c r="AR64" s="203">
        <v>1</v>
      </c>
      <c r="AS64" s="103"/>
      <c r="AT64" s="103" t="s">
        <v>575</v>
      </c>
      <c r="AU64" s="92" t="s">
        <v>603</v>
      </c>
      <c r="AV64" s="92" t="s">
        <v>603</v>
      </c>
      <c r="AW64" s="92" t="s">
        <v>603</v>
      </c>
      <c r="AX64" s="92" t="s">
        <v>603</v>
      </c>
    </row>
    <row r="65" spans="1:50" s="114" customFormat="1" ht="151.5" customHeight="1" x14ac:dyDescent="0.25">
      <c r="A65" s="349"/>
      <c r="B65" s="385"/>
      <c r="C65" s="382"/>
      <c r="D65" s="380"/>
      <c r="E65" s="378"/>
      <c r="F65" s="378"/>
      <c r="G65" s="378"/>
      <c r="H65" s="363"/>
      <c r="I65" s="378"/>
      <c r="J65" s="371"/>
      <c r="K65" s="373"/>
      <c r="L65" s="344"/>
      <c r="M65" s="376"/>
      <c r="N65" s="180"/>
      <c r="O65" s="373"/>
      <c r="P65" s="344"/>
      <c r="Q65" s="368"/>
      <c r="R65" s="94">
        <v>2</v>
      </c>
      <c r="S65" s="79" t="s">
        <v>498</v>
      </c>
      <c r="T65" s="95" t="str">
        <f t="shared" si="58"/>
        <v>Probabilidad</v>
      </c>
      <c r="U65" s="96" t="s">
        <v>14</v>
      </c>
      <c r="V65" s="96" t="s">
        <v>9</v>
      </c>
      <c r="W65" s="97" t="str">
        <f>IF(AND(U65="Preventivo",V65="Automático"),"50%",IF(AND(U65="Preventivo",V65="Manual"),"40%",IF(AND(U65="Detectivo",V65="Automático"),"40%",IF(AND(U65="Detectivo",V65="Manual"),"30%",IF(AND(U65="Correctivo",V65="Automático"),"35%",IF(AND(U65="Correctivo",V65="Manual"),"25%",""))))))</f>
        <v>40%</v>
      </c>
      <c r="X65" s="96" t="s">
        <v>19</v>
      </c>
      <c r="Y65" s="96" t="s">
        <v>499</v>
      </c>
      <c r="Z65" s="96" t="s">
        <v>110</v>
      </c>
      <c r="AA65" s="98">
        <f>IFERROR(IF(T65="Probabilidad",(AA64-(+AA64*W65)),IF(T65="Impacto",L65,"")),"")</f>
        <v>0.216</v>
      </c>
      <c r="AB65" s="99" t="str">
        <f t="shared" si="59"/>
        <v>Baja</v>
      </c>
      <c r="AC65" s="100">
        <f t="shared" si="60"/>
        <v>0.216</v>
      </c>
      <c r="AD65" s="99" t="str">
        <f t="shared" si="61"/>
        <v>Leve</v>
      </c>
      <c r="AE65" s="100">
        <f t="shared" si="62"/>
        <v>0</v>
      </c>
      <c r="AF65" s="101" t="str">
        <f t="shared" si="63"/>
        <v>Bajo</v>
      </c>
      <c r="AG65" s="102" t="s">
        <v>122</v>
      </c>
      <c r="AH65" s="92" t="s">
        <v>603</v>
      </c>
      <c r="AI65" s="92" t="s">
        <v>603</v>
      </c>
      <c r="AJ65" s="92" t="s">
        <v>603</v>
      </c>
      <c r="AK65" s="92" t="s">
        <v>603</v>
      </c>
      <c r="AL65" s="92" t="s">
        <v>603</v>
      </c>
      <c r="AM65" s="202" t="s">
        <v>617</v>
      </c>
      <c r="AN65" s="202" t="s">
        <v>618</v>
      </c>
      <c r="AO65" s="203">
        <v>0.5</v>
      </c>
      <c r="AP65" s="92" t="s">
        <v>603</v>
      </c>
      <c r="AQ65" s="92" t="s">
        <v>603</v>
      </c>
      <c r="AR65" s="203" t="s">
        <v>576</v>
      </c>
      <c r="AS65" s="103"/>
      <c r="AT65" s="103" t="s">
        <v>575</v>
      </c>
      <c r="AU65" s="92" t="s">
        <v>603</v>
      </c>
      <c r="AV65" s="92" t="s">
        <v>603</v>
      </c>
      <c r="AW65" s="92" t="s">
        <v>603</v>
      </c>
      <c r="AX65" s="92" t="s">
        <v>603</v>
      </c>
    </row>
    <row r="66" spans="1:50" s="114" customFormat="1" ht="151.5" hidden="1" customHeight="1" x14ac:dyDescent="0.25">
      <c r="A66" s="349"/>
      <c r="B66" s="386"/>
      <c r="C66" s="382"/>
      <c r="D66" s="380"/>
      <c r="E66" s="378"/>
      <c r="F66" s="378"/>
      <c r="G66" s="378"/>
      <c r="H66" s="363"/>
      <c r="I66" s="378"/>
      <c r="J66" s="371"/>
      <c r="K66" s="374"/>
      <c r="L66" s="345"/>
      <c r="M66" s="376"/>
      <c r="N66" s="180"/>
      <c r="O66" s="374"/>
      <c r="P66" s="345"/>
      <c r="Q66" s="369"/>
      <c r="R66" s="94">
        <v>3</v>
      </c>
      <c r="S66" s="79"/>
      <c r="T66" s="95" t="str">
        <f t="shared" si="58"/>
        <v/>
      </c>
      <c r="U66" s="96"/>
      <c r="V66" s="96"/>
      <c r="W66" s="97"/>
      <c r="X66" s="96"/>
      <c r="Y66" s="96"/>
      <c r="Z66" s="96"/>
      <c r="AA66" s="98" t="str">
        <f>IFERROR(IF(T66="Probabilidad",(AA65-(+AA65*W66)),IF(T66="Impacto",L66,"")),"")</f>
        <v/>
      </c>
      <c r="AB66" s="99" t="str">
        <f t="shared" si="59"/>
        <v/>
      </c>
      <c r="AC66" s="100" t="str">
        <f t="shared" si="60"/>
        <v/>
      </c>
      <c r="AD66" s="99" t="str">
        <f t="shared" si="61"/>
        <v/>
      </c>
      <c r="AE66" s="100" t="str">
        <f t="shared" ref="AE66:AE73" si="64">IFERROR(IF(T66="Impacto",(P66-(+P66*W66)),IF(T66="Probabilidad",P66,"")),"")</f>
        <v/>
      </c>
      <c r="AF66" s="101" t="str">
        <f t="shared" si="63"/>
        <v/>
      </c>
      <c r="AG66" s="102"/>
      <c r="AH66" s="79"/>
      <c r="AI66" s="92"/>
      <c r="AJ66" s="103"/>
      <c r="AK66" s="103"/>
      <c r="AL66" s="79"/>
      <c r="AM66" s="202"/>
      <c r="AN66" s="202"/>
      <c r="AO66" s="203"/>
      <c r="AP66" s="202"/>
      <c r="AQ66" s="202"/>
      <c r="AR66" s="203"/>
      <c r="AS66" s="103"/>
      <c r="AT66" s="103" t="s">
        <v>575</v>
      </c>
      <c r="AU66" s="92" t="s">
        <v>603</v>
      </c>
      <c r="AV66" s="92" t="s">
        <v>603</v>
      </c>
      <c r="AW66" s="92" t="s">
        <v>603</v>
      </c>
      <c r="AX66" s="92" t="s">
        <v>603</v>
      </c>
    </row>
    <row r="67" spans="1:50" s="114" customFormat="1" ht="151.5" customHeight="1" x14ac:dyDescent="0.25">
      <c r="A67" s="349">
        <f>1+A64</f>
        <v>20</v>
      </c>
      <c r="B67" s="384" t="s">
        <v>209</v>
      </c>
      <c r="C67" s="379" t="s">
        <v>356</v>
      </c>
      <c r="D67" s="379" t="s">
        <v>357</v>
      </c>
      <c r="E67" s="377" t="s">
        <v>118</v>
      </c>
      <c r="F67" s="377" t="s">
        <v>431</v>
      </c>
      <c r="G67" s="377" t="s">
        <v>241</v>
      </c>
      <c r="H67" s="362" t="s">
        <v>210</v>
      </c>
      <c r="I67" s="377" t="s">
        <v>115</v>
      </c>
      <c r="J67" s="370">
        <v>355</v>
      </c>
      <c r="K67" s="372" t="str">
        <f>IF(J67&lt;=0,"",IF(J67&lt;=2,"Muy Baja",IF(J67&lt;=24,"Baja",IF(J67&lt;=500,"Media",IF(J67&lt;=5000,"Alta","Muy Alta")))))</f>
        <v>Media</v>
      </c>
      <c r="L67" s="343">
        <f>IF(K67="","",IF(K67="Muy Baja",0.2,IF(K67="Baja",0.4,IF(K67="Media",0.6,IF(K67="Alta",0.8,IF(K67="Muy Alta",1,))))))</f>
        <v>0.6</v>
      </c>
      <c r="M67" s="375" t="s">
        <v>255</v>
      </c>
      <c r="N67" s="179" t="str">
        <f>IF(NOT(ISERROR(MATCH(M67,'Tabla Impacto'!$B$221:$B$223,0))),'Tabla Impacto'!$F$223&amp;"Por favor no seleccionar los criterios de impacto(Afectación Económica o presupuestal y Pérdida Reputacional)",M67)</f>
        <v xml:space="preserve"> El riesgo afecta la imagen de la entidad con efecto publicitario sostenido a nivel de sector administrativo, nivel departamental o municipal</v>
      </c>
      <c r="O67" s="372" t="str">
        <f>IF(OR(N67='Tabla Impacto'!$C$11,N67='Tabla Impacto'!$D$11),"Leve",IF(OR(N67='Tabla Impacto'!$C$12,N67='Tabla Impacto'!$D$12),"Menor",IF(OR(N67='Tabla Impacto'!$C$13,N67='Tabla Impacto'!$D$13),"Moderado",IF(OR(N67='Tabla Impacto'!$C$14,N67='Tabla Impacto'!$D$14),"Mayor",IF(OR(N67='Tabla Impacto'!$C$15,N67='Tabla Impacto'!$D$15),"Catastrófico","")))))</f>
        <v>Mayor</v>
      </c>
      <c r="P67" s="343">
        <f>IF(O67="","",IF(O67="Leve",0.2,IF(O67="Menor",0.4,IF(O67="Moderado",0.6,IF(O67="Mayor",0.8,IF(O67="Catastrófico",1,))))))</f>
        <v>0.8</v>
      </c>
      <c r="Q67" s="367" t="str">
        <f>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Alto</v>
      </c>
      <c r="R67" s="94">
        <v>1</v>
      </c>
      <c r="S67" s="79" t="s">
        <v>497</v>
      </c>
      <c r="T67" s="95" t="str">
        <f t="shared" ref="T67:T68" si="65">IF(OR(U67="Preventivo",U67="Detectivo"),"Probabilidad",IF(U67="Correctivo","Impacto",""))</f>
        <v>Probabilidad</v>
      </c>
      <c r="U67" s="96" t="s">
        <v>14</v>
      </c>
      <c r="V67" s="96" t="s">
        <v>9</v>
      </c>
      <c r="W67" s="97" t="str">
        <f>IF(AND(U67="Preventivo",V67="Automático"),"50%",IF(AND(U67="Preventivo",V67="Manual"),"40%",IF(AND(U67="Detectivo",V67="Automático"),"40%",IF(AND(U67="Detectivo",V67="Manual"),"30%",IF(AND(U67="Correctivo",V67="Automático"),"35%",IF(AND(U67="Correctivo",V67="Manual"),"25%",""))))))</f>
        <v>40%</v>
      </c>
      <c r="X67" s="96" t="s">
        <v>19</v>
      </c>
      <c r="Y67" s="96" t="s">
        <v>22</v>
      </c>
      <c r="Z67" s="96" t="s">
        <v>110</v>
      </c>
      <c r="AA67" s="98">
        <f>IFERROR(IF(T67="Probabilidad",(L67-(+L67*W67)),IF(T67="Impacto",L67,"")),"")</f>
        <v>0.36</v>
      </c>
      <c r="AB67" s="99" t="str">
        <f t="shared" ref="AB67:AB68" si="66">IFERROR(IF(AA67="","",IF(AA67&lt;=0.2,"Muy Baja",IF(AA67&lt;=0.4,"Baja",IF(AA67&lt;=0.6,"Media",IF(AA67&lt;=0.8,"Alta","Muy Alta"))))),"")</f>
        <v>Baja</v>
      </c>
      <c r="AC67" s="100">
        <f t="shared" ref="AC67:AC68" si="67">+AA67</f>
        <v>0.36</v>
      </c>
      <c r="AD67" s="99" t="str">
        <f t="shared" ref="AD67:AD68" si="68">IFERROR(IF(AE67="","",IF(AE67&lt;=0.2,"Leve",IF(AE67&lt;=0.4,"Menor",IF(AE67&lt;=0.6,"Moderado",IF(AE67&lt;=0.8,"Mayor","Catastrófico"))))),"")</f>
        <v>Mayor</v>
      </c>
      <c r="AE67" s="100">
        <f t="shared" si="64"/>
        <v>0.8</v>
      </c>
      <c r="AF67" s="101" t="str">
        <f t="shared" ref="AF67:AF68" si="69">IFERROR(IF(OR(AND(AB67="Muy Baja",AD67="Leve"),AND(AB67="Muy Baja",AD67="Menor"),AND(AB67="Baja",AD67="Leve")),"Bajo",IF(OR(AND(AB67="Muy baja",AD67="Moderado"),AND(AB67="Baja",AD67="Menor"),AND(AB67="Baja",AD67="Moderado"),AND(AB67="Media",AD67="Leve"),AND(AB67="Media",AD67="Menor"),AND(AB67="Media",AD67="Moderado"),AND(AB67="Alta",AD67="Leve"),AND(AB67="Alta",AD67="Menor")),"Moderado",IF(OR(AND(AB67="Muy Baja",AD67="Mayor"),AND(AB67="Baja",AD67="Mayor"),AND(AB67="Media",AD67="Mayor"),AND(AB67="Alta",AD67="Moderado"),AND(AB67="Alta",AD67="Mayor"),AND(AB67="Muy Alta",AD67="Leve"),AND(AB67="Muy Alta",AD67="Menor"),AND(AB67="Muy Alta",AD67="Moderado"),AND(AB67="Muy Alta",AD67="Mayor")),"Alto",IF(OR(AND(AB67="Muy Baja",AD67="Catastrófico"),AND(AB67="Baja",AD67="Catastrófico"),AND(AB67="Media",AD67="Catastrófico"),AND(AB67="Alta",AD67="Catastrófico"),AND(AB67="Muy Alta",AD67="Catastrófico")),"Extremo","")))),"")</f>
        <v>Alto</v>
      </c>
      <c r="AG67" s="102" t="s">
        <v>122</v>
      </c>
      <c r="AH67" s="79" t="s">
        <v>361</v>
      </c>
      <c r="AI67" s="104" t="s">
        <v>304</v>
      </c>
      <c r="AJ67" s="103">
        <v>45474</v>
      </c>
      <c r="AK67" s="103">
        <v>45504</v>
      </c>
      <c r="AL67" s="79" t="s">
        <v>362</v>
      </c>
      <c r="AM67" s="202" t="s">
        <v>614</v>
      </c>
      <c r="AN67" s="202" t="s">
        <v>615</v>
      </c>
      <c r="AO67" s="203">
        <v>0.5</v>
      </c>
      <c r="AP67" s="202" t="s">
        <v>705</v>
      </c>
      <c r="AQ67" s="202" t="s">
        <v>679</v>
      </c>
      <c r="AR67" s="203">
        <v>1</v>
      </c>
      <c r="AS67" s="103"/>
      <c r="AT67" s="103" t="s">
        <v>575</v>
      </c>
      <c r="AU67" s="92" t="s">
        <v>603</v>
      </c>
      <c r="AV67" s="92" t="s">
        <v>603</v>
      </c>
      <c r="AW67" s="92" t="s">
        <v>603</v>
      </c>
      <c r="AX67" s="92" t="s">
        <v>603</v>
      </c>
    </row>
    <row r="68" spans="1:50" s="114" customFormat="1" ht="151.5" customHeight="1" x14ac:dyDescent="0.25">
      <c r="A68" s="349"/>
      <c r="B68" s="385"/>
      <c r="C68" s="382"/>
      <c r="D68" s="380"/>
      <c r="E68" s="378"/>
      <c r="F68" s="378"/>
      <c r="G68" s="378"/>
      <c r="H68" s="363"/>
      <c r="I68" s="378"/>
      <c r="J68" s="371"/>
      <c r="K68" s="373"/>
      <c r="L68" s="344"/>
      <c r="M68" s="376"/>
      <c r="N68" s="180"/>
      <c r="O68" s="373"/>
      <c r="P68" s="344"/>
      <c r="Q68" s="368"/>
      <c r="R68" s="94">
        <v>2</v>
      </c>
      <c r="S68" s="79" t="s">
        <v>498</v>
      </c>
      <c r="T68" s="95" t="str">
        <f t="shared" si="65"/>
        <v>Probabilidad</v>
      </c>
      <c r="U68" s="96" t="s">
        <v>14</v>
      </c>
      <c r="V68" s="96" t="s">
        <v>9</v>
      </c>
      <c r="W68" s="97" t="str">
        <f>IF(AND(U68="Preventivo",V68="Automático"),"50%",IF(AND(U68="Preventivo",V68="Manual"),"40%",IF(AND(U68="Detectivo",V68="Automático"),"40%",IF(AND(U68="Detectivo",V68="Manual"),"30%",IF(AND(U68="Correctivo",V68="Automático"),"35%",IF(AND(U68="Correctivo",V68="Manual"),"25%",""))))))</f>
        <v>40%</v>
      </c>
      <c r="X68" s="96" t="s">
        <v>19</v>
      </c>
      <c r="Y68" s="96" t="s">
        <v>499</v>
      </c>
      <c r="Z68" s="96" t="s">
        <v>110</v>
      </c>
      <c r="AA68" s="98">
        <f>IFERROR(IF(T68="Probabilidad",(AA67-(+AA67*W68)),IF(T68="Impacto",L68,"")),"")</f>
        <v>0.216</v>
      </c>
      <c r="AB68" s="99" t="str">
        <f t="shared" si="66"/>
        <v>Baja</v>
      </c>
      <c r="AC68" s="100">
        <f t="shared" si="67"/>
        <v>0.216</v>
      </c>
      <c r="AD68" s="99" t="str">
        <f t="shared" si="68"/>
        <v>Leve</v>
      </c>
      <c r="AE68" s="100">
        <f t="shared" si="64"/>
        <v>0</v>
      </c>
      <c r="AF68" s="101" t="str">
        <f t="shared" si="69"/>
        <v>Bajo</v>
      </c>
      <c r="AG68" s="102" t="s">
        <v>122</v>
      </c>
      <c r="AH68" s="92" t="s">
        <v>603</v>
      </c>
      <c r="AI68" s="92" t="s">
        <v>603</v>
      </c>
      <c r="AJ68" s="92" t="s">
        <v>603</v>
      </c>
      <c r="AK68" s="92" t="s">
        <v>603</v>
      </c>
      <c r="AL68" s="92" t="s">
        <v>603</v>
      </c>
      <c r="AM68" s="202" t="s">
        <v>617</v>
      </c>
      <c r="AN68" s="202" t="s">
        <v>618</v>
      </c>
      <c r="AO68" s="203">
        <v>0.5</v>
      </c>
      <c r="AP68" s="92" t="s">
        <v>603</v>
      </c>
      <c r="AQ68" s="92" t="s">
        <v>603</v>
      </c>
      <c r="AR68" s="203" t="s">
        <v>576</v>
      </c>
      <c r="AS68" s="103"/>
      <c r="AT68" s="103" t="s">
        <v>575</v>
      </c>
      <c r="AU68" s="92" t="s">
        <v>603</v>
      </c>
      <c r="AV68" s="92" t="s">
        <v>603</v>
      </c>
      <c r="AW68" s="92" t="s">
        <v>603</v>
      </c>
      <c r="AX68" s="92" t="s">
        <v>603</v>
      </c>
    </row>
    <row r="69" spans="1:50" s="114" customFormat="1" ht="151.5" hidden="1" customHeight="1" x14ac:dyDescent="0.25">
      <c r="A69" s="349"/>
      <c r="B69" s="386"/>
      <c r="C69" s="382"/>
      <c r="D69" s="380"/>
      <c r="E69" s="378"/>
      <c r="F69" s="378"/>
      <c r="G69" s="378"/>
      <c r="H69" s="363"/>
      <c r="I69" s="378"/>
      <c r="J69" s="371"/>
      <c r="K69" s="374"/>
      <c r="L69" s="345"/>
      <c r="M69" s="398"/>
      <c r="N69" s="180"/>
      <c r="O69" s="374"/>
      <c r="P69" s="345"/>
      <c r="Q69" s="369"/>
      <c r="R69" s="94">
        <v>3</v>
      </c>
      <c r="S69" s="79"/>
      <c r="T69" s="95" t="str">
        <f t="shared" si="58"/>
        <v/>
      </c>
      <c r="U69" s="96"/>
      <c r="V69" s="96"/>
      <c r="W69" s="97"/>
      <c r="X69" s="96"/>
      <c r="Y69" s="96"/>
      <c r="Z69" s="96"/>
      <c r="AA69" s="98" t="str">
        <f>IFERROR(IF(T69="Probabilidad",(AA68-(+AA68*W69)),IF(T69="Impacto",L69,"")),"")</f>
        <v/>
      </c>
      <c r="AB69" s="99" t="str">
        <f t="shared" si="59"/>
        <v/>
      </c>
      <c r="AC69" s="100" t="str">
        <f t="shared" si="60"/>
        <v/>
      </c>
      <c r="AD69" s="99" t="str">
        <f t="shared" si="61"/>
        <v/>
      </c>
      <c r="AE69" s="100" t="str">
        <f t="shared" si="64"/>
        <v/>
      </c>
      <c r="AF69" s="101" t="str">
        <f t="shared" si="63"/>
        <v/>
      </c>
      <c r="AG69" s="102"/>
      <c r="AH69" s="79"/>
      <c r="AI69" s="92"/>
      <c r="AJ69" s="103"/>
      <c r="AK69" s="103"/>
      <c r="AL69" s="79"/>
      <c r="AM69" s="202"/>
      <c r="AN69" s="202"/>
      <c r="AO69" s="203"/>
      <c r="AP69" s="202"/>
      <c r="AQ69" s="202"/>
      <c r="AR69" s="203"/>
      <c r="AS69" s="103"/>
      <c r="AT69" s="103" t="s">
        <v>575</v>
      </c>
      <c r="AU69" s="92" t="s">
        <v>603</v>
      </c>
      <c r="AV69" s="92" t="s">
        <v>603</v>
      </c>
      <c r="AW69" s="92" t="s">
        <v>603</v>
      </c>
      <c r="AX69" s="92" t="s">
        <v>603</v>
      </c>
    </row>
    <row r="70" spans="1:50" s="114" customFormat="1" ht="151.5" customHeight="1" x14ac:dyDescent="0.25">
      <c r="A70" s="349">
        <f>1+A67</f>
        <v>21</v>
      </c>
      <c r="B70" s="384" t="s">
        <v>214</v>
      </c>
      <c r="C70" s="379" t="s">
        <v>363</v>
      </c>
      <c r="D70" s="379" t="s">
        <v>364</v>
      </c>
      <c r="E70" s="377" t="s">
        <v>120</v>
      </c>
      <c r="F70" s="381" t="s">
        <v>242</v>
      </c>
      <c r="G70" s="381" t="s">
        <v>259</v>
      </c>
      <c r="H70" s="362" t="s">
        <v>426</v>
      </c>
      <c r="I70" s="377" t="s">
        <v>115</v>
      </c>
      <c r="J70" s="370">
        <v>3000</v>
      </c>
      <c r="K70" s="372" t="str">
        <f>IF(J70&lt;=0,"",IF(J70&lt;=2,"Muy Baja",IF(J70&lt;=24,"Baja",IF(J70&lt;=500,"Media",IF(J70&lt;=5000,"Alta","Muy Alta")))))</f>
        <v>Alta</v>
      </c>
      <c r="L70" s="343">
        <f>IF(K70="","",IF(K70="Muy Baja",0.2,IF(K70="Baja",0.4,IF(K70="Media",0.6,IF(K70="Alta",0.8,IF(K70="Muy Alta",1,))))))</f>
        <v>0.8</v>
      </c>
      <c r="M70" s="375" t="s">
        <v>247</v>
      </c>
      <c r="N70" s="179" t="str">
        <f>IF(NOT(ISERROR(MATCH(M70,'Tabla Impacto'!$B$221:$B$223,0))),'Tabla Impacto'!$F$223&amp;"Por favor no seleccionar los criterios de impacto(Afectación Económica o presupuestal y Pérdida Reputacional)",M70)</f>
        <v xml:space="preserve"> Entre 50 y 100 SMLMV </v>
      </c>
      <c r="O70" s="372" t="str">
        <f>IF(OR(N70='Tabla Impacto'!$C$11,N70='Tabla Impacto'!$D$11),"Leve",IF(OR(N70='Tabla Impacto'!$C$12,N70='Tabla Impacto'!$D$12),"Menor",IF(OR(N70='Tabla Impacto'!$C$13,N70='Tabla Impacto'!$D$13),"Moderado",IF(OR(N70='Tabla Impacto'!$C$14,N70='Tabla Impacto'!$D$14),"Mayor",IF(OR(N70='Tabla Impacto'!$C$15,N70='Tabla Impacto'!$D$15),"Catastrófico","")))))</f>
        <v>Moderado</v>
      </c>
      <c r="P70" s="343">
        <f>IF(O70="","",IF(O70="Leve",0.2,IF(O70="Menor",0.4,IF(O70="Moderado",0.6,IF(O70="Mayor",0.8,IF(O70="Catastrófico",1,))))))</f>
        <v>0.6</v>
      </c>
      <c r="Q70" s="367" t="str">
        <f>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Alto</v>
      </c>
      <c r="R70" s="94">
        <v>1</v>
      </c>
      <c r="S70" s="79" t="s">
        <v>365</v>
      </c>
      <c r="T70" s="95" t="str">
        <f t="shared" si="58"/>
        <v>Probabilidad</v>
      </c>
      <c r="U70" s="96" t="s">
        <v>14</v>
      </c>
      <c r="V70" s="96" t="s">
        <v>9</v>
      </c>
      <c r="W70" s="97" t="str">
        <f>IF(AND(U70="Preventivo",V70="Automático"),"50%",IF(AND(U70="Preventivo",V70="Manual"),"40%",IF(AND(U70="Detectivo",V70="Automático"),"40%",IF(AND(U70="Detectivo",V70="Manual"),"30%",IF(AND(U70="Correctivo",V70="Automático"),"35%",IF(AND(U70="Correctivo",V70="Manual"),"25%",""))))))</f>
        <v>40%</v>
      </c>
      <c r="X70" s="96" t="s">
        <v>19</v>
      </c>
      <c r="Y70" s="96" t="s">
        <v>22</v>
      </c>
      <c r="Z70" s="96" t="s">
        <v>110</v>
      </c>
      <c r="AA70" s="98">
        <f>IFERROR(IF(T70="Probabilidad",(L70-(+L70*W70)),IF(T70="Impacto",L70,"")),"")</f>
        <v>0.48</v>
      </c>
      <c r="AB70" s="99" t="str">
        <f t="shared" si="59"/>
        <v>Media</v>
      </c>
      <c r="AC70" s="100">
        <f t="shared" si="60"/>
        <v>0.48</v>
      </c>
      <c r="AD70" s="99" t="str">
        <f t="shared" si="61"/>
        <v>Moderado</v>
      </c>
      <c r="AE70" s="100">
        <f t="shared" si="64"/>
        <v>0.6</v>
      </c>
      <c r="AF70" s="101" t="str">
        <f t="shared" si="63"/>
        <v>Moderado</v>
      </c>
      <c r="AG70" s="102" t="s">
        <v>122</v>
      </c>
      <c r="AH70" s="113" t="s">
        <v>258</v>
      </c>
      <c r="AI70" s="104" t="s">
        <v>304</v>
      </c>
      <c r="AJ70" s="93">
        <v>45474</v>
      </c>
      <c r="AK70" s="93">
        <v>45596</v>
      </c>
      <c r="AL70" s="79" t="s">
        <v>224</v>
      </c>
      <c r="AM70" s="202" t="s">
        <v>669</v>
      </c>
      <c r="AN70" s="202" t="s">
        <v>670</v>
      </c>
      <c r="AO70" s="203">
        <v>0.5</v>
      </c>
      <c r="AP70" s="202" t="s">
        <v>706</v>
      </c>
      <c r="AQ70" s="202" t="s">
        <v>707</v>
      </c>
      <c r="AR70" s="203">
        <v>0.5</v>
      </c>
      <c r="AS70" s="103"/>
      <c r="AT70" s="103" t="s">
        <v>575</v>
      </c>
      <c r="AU70" s="92" t="s">
        <v>603</v>
      </c>
      <c r="AV70" s="92" t="s">
        <v>603</v>
      </c>
      <c r="AW70" s="92" t="s">
        <v>603</v>
      </c>
      <c r="AX70" s="92" t="s">
        <v>603</v>
      </c>
    </row>
    <row r="71" spans="1:50" s="114" customFormat="1" ht="151.5" customHeight="1" x14ac:dyDescent="0.25">
      <c r="A71" s="349"/>
      <c r="B71" s="385"/>
      <c r="C71" s="380"/>
      <c r="D71" s="380"/>
      <c r="E71" s="378"/>
      <c r="F71" s="378"/>
      <c r="G71" s="378"/>
      <c r="H71" s="363"/>
      <c r="I71" s="378"/>
      <c r="J71" s="371"/>
      <c r="K71" s="373"/>
      <c r="L71" s="344"/>
      <c r="M71" s="376"/>
      <c r="N71" s="180"/>
      <c r="O71" s="373"/>
      <c r="P71" s="344"/>
      <c r="Q71" s="368"/>
      <c r="R71" s="94">
        <v>2</v>
      </c>
      <c r="S71" s="79" t="s">
        <v>443</v>
      </c>
      <c r="T71" s="95" t="str">
        <f t="shared" si="58"/>
        <v>Probabilidad</v>
      </c>
      <c r="U71" s="96" t="s">
        <v>14</v>
      </c>
      <c r="V71" s="96" t="s">
        <v>9</v>
      </c>
      <c r="W71" s="97" t="str">
        <f t="shared" ref="W71:W72" si="70">IF(AND(U71="Preventivo",V71="Automático"),"50%",IF(AND(U71="Preventivo",V71="Manual"),"40%",IF(AND(U71="Detectivo",V71="Automático"),"40%",IF(AND(U71="Detectivo",V71="Manual"),"30%",IF(AND(U71="Correctivo",V71="Automático"),"35%",IF(AND(U71="Correctivo",V71="Manual"),"25%",""))))))</f>
        <v>40%</v>
      </c>
      <c r="X71" s="96" t="s">
        <v>19</v>
      </c>
      <c r="Y71" s="96" t="s">
        <v>22</v>
      </c>
      <c r="Z71" s="96" t="s">
        <v>110</v>
      </c>
      <c r="AA71" s="98">
        <f>IFERROR(IF(T71="Probabilidad",(AA70-(+AA70*W71)),IF(T71="Impacto",L71,"")),"")</f>
        <v>0.28799999999999998</v>
      </c>
      <c r="AB71" s="99" t="str">
        <f t="shared" si="59"/>
        <v>Baja</v>
      </c>
      <c r="AC71" s="100">
        <f t="shared" si="60"/>
        <v>0.28799999999999998</v>
      </c>
      <c r="AD71" s="99" t="str">
        <f t="shared" si="61"/>
        <v>Mayor</v>
      </c>
      <c r="AE71" s="100">
        <v>0.8</v>
      </c>
      <c r="AF71" s="101" t="str">
        <f t="shared" si="63"/>
        <v>Alto</v>
      </c>
      <c r="AG71" s="102" t="s">
        <v>122</v>
      </c>
      <c r="AH71" s="92" t="s">
        <v>603</v>
      </c>
      <c r="AI71" s="92" t="s">
        <v>603</v>
      </c>
      <c r="AJ71" s="92" t="s">
        <v>603</v>
      </c>
      <c r="AK71" s="92" t="s">
        <v>603</v>
      </c>
      <c r="AL71" s="92" t="s">
        <v>603</v>
      </c>
      <c r="AM71" s="202" t="s">
        <v>758</v>
      </c>
      <c r="AN71" s="202" t="s">
        <v>759</v>
      </c>
      <c r="AO71" s="203">
        <v>0.5</v>
      </c>
      <c r="AP71" s="92" t="s">
        <v>603</v>
      </c>
      <c r="AQ71" s="92" t="s">
        <v>603</v>
      </c>
      <c r="AR71" s="203" t="s">
        <v>576</v>
      </c>
      <c r="AS71" s="103"/>
      <c r="AT71" s="103" t="s">
        <v>575</v>
      </c>
      <c r="AU71" s="92" t="s">
        <v>603</v>
      </c>
      <c r="AV71" s="92" t="s">
        <v>603</v>
      </c>
      <c r="AW71" s="92" t="s">
        <v>603</v>
      </c>
      <c r="AX71" s="92" t="s">
        <v>603</v>
      </c>
    </row>
    <row r="72" spans="1:50" s="114" customFormat="1" ht="151.5" customHeight="1" x14ac:dyDescent="0.25">
      <c r="A72" s="349"/>
      <c r="B72" s="386"/>
      <c r="C72" s="380"/>
      <c r="D72" s="380"/>
      <c r="E72" s="378"/>
      <c r="F72" s="378"/>
      <c r="G72" s="378"/>
      <c r="H72" s="363"/>
      <c r="I72" s="378"/>
      <c r="J72" s="371"/>
      <c r="K72" s="374"/>
      <c r="L72" s="345"/>
      <c r="M72" s="376"/>
      <c r="N72" s="180"/>
      <c r="O72" s="374"/>
      <c r="P72" s="345"/>
      <c r="Q72" s="369"/>
      <c r="R72" s="94">
        <v>3</v>
      </c>
      <c r="S72" s="79" t="s">
        <v>539</v>
      </c>
      <c r="T72" s="95" t="str">
        <f t="shared" si="58"/>
        <v>Probabilidad</v>
      </c>
      <c r="U72" s="96" t="s">
        <v>14</v>
      </c>
      <c r="V72" s="96" t="s">
        <v>9</v>
      </c>
      <c r="W72" s="97" t="str">
        <f t="shared" si="70"/>
        <v>40%</v>
      </c>
      <c r="X72" s="96" t="s">
        <v>19</v>
      </c>
      <c r="Y72" s="96" t="s">
        <v>22</v>
      </c>
      <c r="Z72" s="96" t="s">
        <v>110</v>
      </c>
      <c r="AA72" s="98">
        <f>IFERROR(IF(T72="Probabilidad",(AA71-(+AA71*W72)),IF(T72="Impacto",L72,"")),"")</f>
        <v>0.17279999999999998</v>
      </c>
      <c r="AB72" s="99" t="str">
        <f t="shared" si="59"/>
        <v>Muy Baja</v>
      </c>
      <c r="AC72" s="100">
        <f t="shared" si="60"/>
        <v>0.17279999999999998</v>
      </c>
      <c r="AD72" s="99" t="str">
        <f t="shared" si="61"/>
        <v>Leve</v>
      </c>
      <c r="AE72" s="100">
        <f>IFERROR(IF(T72="Impacto",(P72-(+P72*W72)),IF(T72="Probabilidad",P72,"")),"")</f>
        <v>0</v>
      </c>
      <c r="AF72" s="101" t="str">
        <f t="shared" si="63"/>
        <v>Bajo</v>
      </c>
      <c r="AG72" s="102" t="s">
        <v>122</v>
      </c>
      <c r="AH72" s="92" t="s">
        <v>603</v>
      </c>
      <c r="AI72" s="92" t="s">
        <v>603</v>
      </c>
      <c r="AJ72" s="92" t="s">
        <v>603</v>
      </c>
      <c r="AK72" s="92" t="s">
        <v>603</v>
      </c>
      <c r="AL72" s="92" t="s">
        <v>603</v>
      </c>
      <c r="AM72" s="202" t="s">
        <v>767</v>
      </c>
      <c r="AN72" s="202" t="s">
        <v>760</v>
      </c>
      <c r="AO72" s="203">
        <v>0.5</v>
      </c>
      <c r="AP72" s="92" t="s">
        <v>603</v>
      </c>
      <c r="AQ72" s="92" t="s">
        <v>603</v>
      </c>
      <c r="AR72" s="203" t="s">
        <v>576</v>
      </c>
      <c r="AS72" s="103"/>
      <c r="AT72" s="103" t="s">
        <v>575</v>
      </c>
      <c r="AU72" s="92" t="s">
        <v>603</v>
      </c>
      <c r="AV72" s="92" t="s">
        <v>603</v>
      </c>
      <c r="AW72" s="92" t="s">
        <v>603</v>
      </c>
      <c r="AX72" s="92" t="s">
        <v>603</v>
      </c>
    </row>
    <row r="73" spans="1:50" s="114" customFormat="1" ht="151.5" customHeight="1" x14ac:dyDescent="0.25">
      <c r="A73" s="349">
        <f>1+A70</f>
        <v>22</v>
      </c>
      <c r="B73" s="384" t="s">
        <v>214</v>
      </c>
      <c r="C73" s="379" t="s">
        <v>363</v>
      </c>
      <c r="D73" s="379" t="s">
        <v>364</v>
      </c>
      <c r="E73" s="377" t="s">
        <v>120</v>
      </c>
      <c r="F73" s="383" t="s">
        <v>528</v>
      </c>
      <c r="G73" s="383" t="s">
        <v>529</v>
      </c>
      <c r="H73" s="362" t="s">
        <v>366</v>
      </c>
      <c r="I73" s="377" t="s">
        <v>217</v>
      </c>
      <c r="J73" s="370">
        <v>35</v>
      </c>
      <c r="K73" s="372" t="str">
        <f>IF(J73&lt;=0,"",IF(J73&lt;=2,"Muy Baja",IF(J73&lt;=24,"Baja",IF(J73&lt;=500,"Media",IF(J73&lt;=5000,"Alta","Muy Alta")))))</f>
        <v>Media</v>
      </c>
      <c r="L73" s="343">
        <f>IF(K73="","",IF(K73="Muy Baja",0.2,IF(K73="Baja",0.4,IF(K73="Media",0.6,IF(K73="Alta",0.8,IF(K73="Muy Alta",1,))))))</f>
        <v>0.6</v>
      </c>
      <c r="M73" s="375" t="s">
        <v>253</v>
      </c>
      <c r="N73" s="179" t="str">
        <f>IF(NOT(ISERROR(MATCH(M73,'Tabla Impacto'!$B$221:$B$223,0))),'Tabla Impacto'!$F$223&amp;"Por favor no seleccionar los criterios de impacto(Afectación Económica o presupuestal y Pérdida Reputacional)",M73)</f>
        <v xml:space="preserve"> El riesgo afecta la imagen de la entidad internamente, de conocimiento general, nivel interno, de junta directiva y accionistas y/o de proveedores</v>
      </c>
      <c r="O73" s="372" t="str">
        <f>IF(OR(N73='Tabla Impacto'!$C$11,N73='Tabla Impacto'!$D$11),"Leve",IF(OR(N73='Tabla Impacto'!$C$12,N73='Tabla Impacto'!$D$12),"Menor",IF(OR(N73='Tabla Impacto'!$C$13,N73='Tabla Impacto'!$D$13),"Moderado",IF(OR(N73='Tabla Impacto'!$C$14,N73='Tabla Impacto'!$D$14),"Mayor",IF(OR(N73='Tabla Impacto'!$C$15,N73='Tabla Impacto'!$D$15),"Catastrófico","")))))</f>
        <v>Menor</v>
      </c>
      <c r="P73" s="343">
        <f>IF(O73="","",IF(O73="Leve",0.2,IF(O73="Menor",0.4,IF(O73="Moderado",0.6,IF(O73="Mayor",0.8,IF(O73="Catastrófico",1,))))))</f>
        <v>0.4</v>
      </c>
      <c r="Q73" s="367" t="str">
        <f>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Moderado</v>
      </c>
      <c r="R73" s="94">
        <v>1</v>
      </c>
      <c r="S73" s="79" t="s">
        <v>540</v>
      </c>
      <c r="T73" s="95" t="str">
        <f t="shared" si="58"/>
        <v>Probabilidad</v>
      </c>
      <c r="U73" s="96" t="s">
        <v>14</v>
      </c>
      <c r="V73" s="96" t="s">
        <v>9</v>
      </c>
      <c r="W73" s="97" t="str">
        <f>IF(AND(U73="Preventivo",V73="Automático"),"50%",IF(AND(U73="Preventivo",V73="Manual"),"40%",IF(AND(U73="Detectivo",V73="Automático"),"40%",IF(AND(U73="Detectivo",V73="Manual"),"30%",IF(AND(U73="Correctivo",V73="Automático"),"35%",IF(AND(U73="Correctivo",V73="Manual"),"25%",""))))))</f>
        <v>40%</v>
      </c>
      <c r="X73" s="96" t="s">
        <v>19</v>
      </c>
      <c r="Y73" s="96" t="s">
        <v>22</v>
      </c>
      <c r="Z73" s="96" t="s">
        <v>110</v>
      </c>
      <c r="AA73" s="98">
        <f>IFERROR(IF(T73="Probabilidad",(L73-(+L73*W73)),IF(T73="Impacto",L73,"")),"")</f>
        <v>0.36</v>
      </c>
      <c r="AB73" s="99" t="str">
        <f t="shared" si="59"/>
        <v>Baja</v>
      </c>
      <c r="AC73" s="100">
        <f t="shared" si="60"/>
        <v>0.36</v>
      </c>
      <c r="AD73" s="99" t="str">
        <f t="shared" si="61"/>
        <v>Menor</v>
      </c>
      <c r="AE73" s="100">
        <f t="shared" si="64"/>
        <v>0.4</v>
      </c>
      <c r="AF73" s="101" t="str">
        <f t="shared" si="63"/>
        <v>Moderado</v>
      </c>
      <c r="AG73" s="102" t="s">
        <v>122</v>
      </c>
      <c r="AH73" s="79" t="s">
        <v>427</v>
      </c>
      <c r="AI73" s="104" t="s">
        <v>304</v>
      </c>
      <c r="AJ73" s="103" t="s">
        <v>368</v>
      </c>
      <c r="AK73" s="103" t="s">
        <v>306</v>
      </c>
      <c r="AL73" s="110" t="s">
        <v>432</v>
      </c>
      <c r="AM73" s="202" t="s">
        <v>708</v>
      </c>
      <c r="AN73" s="202" t="s">
        <v>671</v>
      </c>
      <c r="AO73" s="203">
        <v>0.5</v>
      </c>
      <c r="AP73" s="202" t="s">
        <v>709</v>
      </c>
      <c r="AQ73" s="202" t="s">
        <v>710</v>
      </c>
      <c r="AR73" s="203">
        <v>0.5</v>
      </c>
      <c r="AS73" s="103"/>
      <c r="AT73" s="103" t="s">
        <v>575</v>
      </c>
      <c r="AU73" s="92" t="s">
        <v>603</v>
      </c>
      <c r="AV73" s="92" t="s">
        <v>603</v>
      </c>
      <c r="AW73" s="92" t="s">
        <v>603</v>
      </c>
      <c r="AX73" s="92" t="s">
        <v>603</v>
      </c>
    </row>
    <row r="74" spans="1:50" s="114" customFormat="1" ht="151.5" hidden="1" customHeight="1" x14ac:dyDescent="0.25">
      <c r="A74" s="349"/>
      <c r="B74" s="385"/>
      <c r="C74" s="380"/>
      <c r="D74" s="380"/>
      <c r="E74" s="378"/>
      <c r="F74" s="387"/>
      <c r="G74" s="387"/>
      <c r="H74" s="363"/>
      <c r="I74" s="378"/>
      <c r="J74" s="371"/>
      <c r="K74" s="373"/>
      <c r="L74" s="344"/>
      <c r="M74" s="376"/>
      <c r="N74" s="180"/>
      <c r="O74" s="373"/>
      <c r="P74" s="344"/>
      <c r="Q74" s="368"/>
      <c r="R74" s="94">
        <v>2</v>
      </c>
      <c r="S74" s="79"/>
      <c r="T74" s="95"/>
      <c r="U74" s="96"/>
      <c r="V74" s="96"/>
      <c r="W74" s="97"/>
      <c r="X74" s="96"/>
      <c r="Y74" s="96"/>
      <c r="Z74" s="96"/>
      <c r="AA74" s="98"/>
      <c r="AB74" s="99"/>
      <c r="AC74" s="100"/>
      <c r="AD74" s="99"/>
      <c r="AE74" s="100"/>
      <c r="AF74" s="101"/>
      <c r="AG74" s="102"/>
      <c r="AH74" s="79"/>
      <c r="AI74" s="92"/>
      <c r="AJ74" s="103"/>
      <c r="AK74" s="103"/>
      <c r="AL74" s="110"/>
      <c r="AM74" s="202"/>
      <c r="AN74" s="202"/>
      <c r="AO74" s="203"/>
      <c r="AP74" s="202"/>
      <c r="AQ74" s="202"/>
      <c r="AR74" s="203"/>
      <c r="AS74" s="103"/>
      <c r="AT74" s="103" t="s">
        <v>575</v>
      </c>
      <c r="AU74" s="92" t="s">
        <v>603</v>
      </c>
      <c r="AV74" s="92" t="s">
        <v>603</v>
      </c>
      <c r="AW74" s="92" t="s">
        <v>603</v>
      </c>
      <c r="AX74" s="92" t="s">
        <v>603</v>
      </c>
    </row>
    <row r="75" spans="1:50" s="114" customFormat="1" ht="151.5" hidden="1" customHeight="1" x14ac:dyDescent="0.25">
      <c r="A75" s="349"/>
      <c r="B75" s="386"/>
      <c r="C75" s="380"/>
      <c r="D75" s="380"/>
      <c r="E75" s="378"/>
      <c r="F75" s="388"/>
      <c r="G75" s="388"/>
      <c r="H75" s="394"/>
      <c r="I75" s="378"/>
      <c r="J75" s="371"/>
      <c r="K75" s="374"/>
      <c r="L75" s="345"/>
      <c r="M75" s="376"/>
      <c r="N75" s="180"/>
      <c r="O75" s="374"/>
      <c r="P75" s="345"/>
      <c r="Q75" s="369"/>
      <c r="R75" s="94">
        <v>3</v>
      </c>
      <c r="S75" s="79"/>
      <c r="T75" s="95" t="str">
        <f>IF(OR(U75="Preventivo",U75="Detectivo"),"Probabilidad",IF(U75="Correctivo","Impacto",""))</f>
        <v/>
      </c>
      <c r="U75" s="96"/>
      <c r="V75" s="96"/>
      <c r="W75" s="97"/>
      <c r="X75" s="96"/>
      <c r="Y75" s="96"/>
      <c r="Z75" s="96"/>
      <c r="AA75" s="98"/>
      <c r="AB75" s="99"/>
      <c r="AC75" s="100"/>
      <c r="AD75" s="99"/>
      <c r="AE75" s="100"/>
      <c r="AF75" s="101"/>
      <c r="AG75" s="102"/>
      <c r="AH75" s="79"/>
      <c r="AI75" s="92"/>
      <c r="AJ75" s="103"/>
      <c r="AK75" s="103"/>
      <c r="AL75" s="79"/>
      <c r="AM75" s="202"/>
      <c r="AN75" s="202"/>
      <c r="AO75" s="203"/>
      <c r="AP75" s="202"/>
      <c r="AQ75" s="202"/>
      <c r="AR75" s="203"/>
      <c r="AS75" s="103"/>
      <c r="AT75" s="103" t="s">
        <v>575</v>
      </c>
      <c r="AU75" s="92" t="s">
        <v>603</v>
      </c>
      <c r="AV75" s="92" t="s">
        <v>603</v>
      </c>
      <c r="AW75" s="92" t="s">
        <v>603</v>
      </c>
      <c r="AX75" s="92" t="s">
        <v>603</v>
      </c>
    </row>
    <row r="76" spans="1:50" s="114" customFormat="1" ht="151.5" customHeight="1" x14ac:dyDescent="0.25">
      <c r="A76" s="349">
        <f>1+A73</f>
        <v>23</v>
      </c>
      <c r="B76" s="384" t="s">
        <v>214</v>
      </c>
      <c r="C76" s="379" t="s">
        <v>363</v>
      </c>
      <c r="D76" s="379" t="s">
        <v>364</v>
      </c>
      <c r="E76" s="377" t="s">
        <v>120</v>
      </c>
      <c r="F76" s="383" t="s">
        <v>530</v>
      </c>
      <c r="G76" s="383" t="s">
        <v>444</v>
      </c>
      <c r="H76" s="362" t="s">
        <v>531</v>
      </c>
      <c r="I76" s="377" t="s">
        <v>217</v>
      </c>
      <c r="J76" s="370">
        <v>35</v>
      </c>
      <c r="K76" s="372" t="str">
        <f>IF(J76&lt;=0,"",IF(J76&lt;=2,"Muy Baja",IF(J76&lt;=24,"Baja",IF(J76&lt;=500,"Media",IF(J76&lt;=5000,"Alta","Muy Alta")))))</f>
        <v>Media</v>
      </c>
      <c r="L76" s="343">
        <f>IF(K76="","",IF(K76="Muy Baja",0.2,IF(K76="Baja",0.4,IF(K76="Media",0.6,IF(K76="Alta",0.8,IF(K76="Muy Alta",1,))))))</f>
        <v>0.6</v>
      </c>
      <c r="M76" s="375" t="s">
        <v>253</v>
      </c>
      <c r="N76" s="179" t="str">
        <f>IF(NOT(ISERROR(MATCH(M76,'Tabla Impacto'!$B$221:$B$223,0))),'Tabla Impacto'!$F$223&amp;"Por favor no seleccionar los criterios de impacto(Afectación Económica o presupuestal y Pérdida Reputacional)",M76)</f>
        <v xml:space="preserve"> El riesgo afecta la imagen de la entidad internamente, de conocimiento general, nivel interno, de junta directiva y accionistas y/o de proveedores</v>
      </c>
      <c r="O76" s="372" t="str">
        <f>IF(OR(N76='Tabla Impacto'!$C$11,N76='Tabla Impacto'!$D$11),"Leve",IF(OR(N76='Tabla Impacto'!$C$12,N76='Tabla Impacto'!$D$12),"Menor",IF(OR(N76='Tabla Impacto'!$C$13,N76='Tabla Impacto'!$D$13),"Moderado",IF(OR(N76='Tabla Impacto'!$C$14,N76='Tabla Impacto'!$D$14),"Mayor",IF(OR(N76='Tabla Impacto'!$C$15,N76='Tabla Impacto'!$D$15),"Catastrófico","")))))</f>
        <v>Menor</v>
      </c>
      <c r="P76" s="343">
        <f>IF(O76="","",IF(O76="Leve",0.2,IF(O76="Menor",0.4,IF(O76="Moderado",0.6,IF(O76="Mayor",0.8,IF(O76="Catastrófico",1,))))))</f>
        <v>0.4</v>
      </c>
      <c r="Q76" s="367" t="str">
        <f>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94">
        <v>1</v>
      </c>
      <c r="S76" s="79" t="s">
        <v>711</v>
      </c>
      <c r="T76" s="95" t="str">
        <f>IF(OR(U76="Preventivo",U76="Detectivo"),"Probabilidad",IF(U76="Correctivo","Impacto",""))</f>
        <v>Probabilidad</v>
      </c>
      <c r="U76" s="96" t="s">
        <v>14</v>
      </c>
      <c r="V76" s="96" t="s">
        <v>9</v>
      </c>
      <c r="W76" s="97" t="str">
        <f>IF(AND(U76="Preventivo",V76="Automático"),"50%",IF(AND(U76="Preventivo",V76="Manual"),"40%",IF(AND(U76="Detectivo",V76="Automático"),"40%",IF(AND(U76="Detectivo",V76="Manual"),"30%",IF(AND(U76="Correctivo",V76="Automático"),"35%",IF(AND(U76="Correctivo",V76="Manual"),"25%",""))))))</f>
        <v>40%</v>
      </c>
      <c r="X76" s="96" t="s">
        <v>19</v>
      </c>
      <c r="Y76" s="96" t="s">
        <v>22</v>
      </c>
      <c r="Z76" s="96" t="s">
        <v>110</v>
      </c>
      <c r="AA76" s="98">
        <f>IFERROR(IF(T76="Probabilidad",(L76-(+L76*W76)),IF(T76="Impacto",L76,"")),"")</f>
        <v>0.36</v>
      </c>
      <c r="AB76" s="99" t="str">
        <f>IFERROR(IF(AA76="","",IF(AA76&lt;=0.2,"Muy Baja",IF(AA76&lt;=0.4,"Baja",IF(AA76&lt;=0.6,"Media",IF(AA76&lt;=0.8,"Alta","Muy Alta"))))),"")</f>
        <v>Baja</v>
      </c>
      <c r="AC76" s="100">
        <f>+AA76</f>
        <v>0.36</v>
      </c>
      <c r="AD76" s="99" t="str">
        <f>IFERROR(IF(AE76="","",IF(AE76&lt;=0.2,"Leve",IF(AE76&lt;=0.4,"Menor",IF(AE76&lt;=0.6,"Moderado",IF(AE76&lt;=0.8,"Mayor","Catastrófico"))))),"")</f>
        <v>Menor</v>
      </c>
      <c r="AE76" s="100">
        <f>IFERROR(IF(T76="Impacto",(P76-(+P76*W76)),IF(T76="Probabilidad",P76,"")),"")</f>
        <v>0.4</v>
      </c>
      <c r="AF76" s="101" t="str">
        <f>IFERROR(IF(OR(AND(AB76="Muy Baja",AD76="Leve"),AND(AB76="Muy Baja",AD76="Menor"),AND(AB76="Baja",AD76="Leve")),"Bajo",IF(OR(AND(AB76="Muy baja",AD76="Moderado"),AND(AB76="Baja",AD76="Menor"),AND(AB76="Baja",AD76="Moderado"),AND(AB76="Media",AD76="Leve"),AND(AB76="Media",AD76="Menor"),AND(AB76="Media",AD76="Moderado"),AND(AB76="Alta",AD76="Leve"),AND(AB76="Alta",AD76="Menor")),"Moderado",IF(OR(AND(AB76="Muy Baja",AD76="Mayor"),AND(AB76="Baja",AD76="Mayor"),AND(AB76="Media",AD76="Mayor"),AND(AB76="Alta",AD76="Moderado"),AND(AB76="Alta",AD76="Mayor"),AND(AB76="Muy Alta",AD76="Leve"),AND(AB76="Muy Alta",AD76="Menor"),AND(AB76="Muy Alta",AD76="Moderado"),AND(AB76="Muy Alta",AD76="Mayor")),"Alto",IF(OR(AND(AB76="Muy Baja",AD76="Catastrófico"),AND(AB76="Baja",AD76="Catastrófico"),AND(AB76="Media",AD76="Catastrófico"),AND(AB76="Alta",AD76="Catastrófico"),AND(AB76="Muy Alta",AD76="Catastrófico")),"Extremo","")))),"")</f>
        <v>Moderado</v>
      </c>
      <c r="AG76" s="102" t="s">
        <v>122</v>
      </c>
      <c r="AH76" s="79" t="s">
        <v>532</v>
      </c>
      <c r="AI76" s="92" t="s">
        <v>202</v>
      </c>
      <c r="AJ76" s="103" t="s">
        <v>281</v>
      </c>
      <c r="AK76" s="103" t="s">
        <v>205</v>
      </c>
      <c r="AL76" s="79" t="s">
        <v>231</v>
      </c>
      <c r="AM76" s="202" t="s">
        <v>712</v>
      </c>
      <c r="AN76" s="202" t="s">
        <v>672</v>
      </c>
      <c r="AO76" s="203">
        <v>0.5</v>
      </c>
      <c r="AP76" s="202" t="s">
        <v>673</v>
      </c>
      <c r="AQ76" s="202" t="s">
        <v>674</v>
      </c>
      <c r="AR76" s="203">
        <v>0.5</v>
      </c>
      <c r="AS76" s="103"/>
      <c r="AT76" s="103" t="s">
        <v>575</v>
      </c>
      <c r="AU76" s="92" t="s">
        <v>603</v>
      </c>
      <c r="AV76" s="92" t="s">
        <v>603</v>
      </c>
      <c r="AW76" s="92" t="s">
        <v>603</v>
      </c>
      <c r="AX76" s="92" t="s">
        <v>603</v>
      </c>
    </row>
    <row r="77" spans="1:50" s="114" customFormat="1" ht="151.5" hidden="1" customHeight="1" x14ac:dyDescent="0.25">
      <c r="A77" s="349"/>
      <c r="B77" s="385"/>
      <c r="C77" s="380"/>
      <c r="D77" s="380"/>
      <c r="E77" s="378"/>
      <c r="F77" s="387"/>
      <c r="G77" s="387"/>
      <c r="H77" s="363"/>
      <c r="I77" s="378"/>
      <c r="J77" s="371"/>
      <c r="K77" s="373"/>
      <c r="L77" s="344"/>
      <c r="M77" s="376"/>
      <c r="N77" s="180"/>
      <c r="O77" s="373"/>
      <c r="P77" s="344"/>
      <c r="Q77" s="368"/>
      <c r="R77" s="94">
        <v>2</v>
      </c>
      <c r="S77" s="79"/>
      <c r="T77" s="95"/>
      <c r="U77" s="96"/>
      <c r="V77" s="96"/>
      <c r="W77" s="97"/>
      <c r="X77" s="96"/>
      <c r="Y77" s="96"/>
      <c r="Z77" s="96"/>
      <c r="AA77" s="98"/>
      <c r="AB77" s="99"/>
      <c r="AC77" s="100"/>
      <c r="AD77" s="99"/>
      <c r="AE77" s="100"/>
      <c r="AF77" s="101"/>
      <c r="AG77" s="102"/>
      <c r="AH77" s="79"/>
      <c r="AI77" s="92"/>
      <c r="AJ77" s="103"/>
      <c r="AK77" s="103"/>
      <c r="AL77" s="79"/>
      <c r="AM77" s="202"/>
      <c r="AN77" s="202"/>
      <c r="AO77" s="203"/>
      <c r="AP77" s="202"/>
      <c r="AQ77" s="202"/>
      <c r="AR77" s="203"/>
      <c r="AS77" s="103"/>
      <c r="AT77" s="103" t="s">
        <v>575</v>
      </c>
      <c r="AU77" s="92" t="s">
        <v>603</v>
      </c>
      <c r="AV77" s="92" t="s">
        <v>603</v>
      </c>
      <c r="AW77" s="92" t="s">
        <v>603</v>
      </c>
      <c r="AX77" s="92" t="s">
        <v>603</v>
      </c>
    </row>
    <row r="78" spans="1:50" s="114" customFormat="1" ht="151.5" hidden="1" customHeight="1" x14ac:dyDescent="0.25">
      <c r="A78" s="349"/>
      <c r="B78" s="386"/>
      <c r="C78" s="380"/>
      <c r="D78" s="380"/>
      <c r="E78" s="378"/>
      <c r="F78" s="388"/>
      <c r="G78" s="388"/>
      <c r="H78" s="363"/>
      <c r="I78" s="378"/>
      <c r="J78" s="371"/>
      <c r="K78" s="374"/>
      <c r="L78" s="345"/>
      <c r="M78" s="376"/>
      <c r="N78" s="180"/>
      <c r="O78" s="374"/>
      <c r="P78" s="345"/>
      <c r="Q78" s="369"/>
      <c r="R78" s="94">
        <v>3</v>
      </c>
      <c r="S78" s="79"/>
      <c r="T78" s="95"/>
      <c r="U78" s="96"/>
      <c r="V78" s="96"/>
      <c r="W78" s="97"/>
      <c r="X78" s="96"/>
      <c r="Y78" s="96"/>
      <c r="Z78" s="96"/>
      <c r="AA78" s="98"/>
      <c r="AB78" s="99"/>
      <c r="AC78" s="100"/>
      <c r="AD78" s="99"/>
      <c r="AE78" s="100"/>
      <c r="AF78" s="101"/>
      <c r="AG78" s="102"/>
      <c r="AH78" s="79"/>
      <c r="AI78" s="92"/>
      <c r="AJ78" s="103"/>
      <c r="AK78" s="103"/>
      <c r="AL78" s="79"/>
      <c r="AM78" s="202"/>
      <c r="AN78" s="202"/>
      <c r="AO78" s="203"/>
      <c r="AP78" s="202"/>
      <c r="AQ78" s="202"/>
      <c r="AR78" s="203"/>
      <c r="AS78" s="103"/>
      <c r="AT78" s="103" t="s">
        <v>575</v>
      </c>
      <c r="AU78" s="92" t="s">
        <v>603</v>
      </c>
      <c r="AV78" s="92" t="s">
        <v>603</v>
      </c>
      <c r="AW78" s="92" t="s">
        <v>603</v>
      </c>
      <c r="AX78" s="92" t="s">
        <v>603</v>
      </c>
    </row>
    <row r="79" spans="1:50" s="152" customFormat="1" ht="151.5" customHeight="1" x14ac:dyDescent="0.25">
      <c r="A79" s="349">
        <f>1+A76</f>
        <v>24</v>
      </c>
      <c r="B79" s="384" t="s">
        <v>214</v>
      </c>
      <c r="C79" s="379" t="s">
        <v>363</v>
      </c>
      <c r="D79" s="379" t="s">
        <v>364</v>
      </c>
      <c r="E79" s="377" t="s">
        <v>120</v>
      </c>
      <c r="F79" s="383" t="s">
        <v>533</v>
      </c>
      <c r="G79" s="383" t="s">
        <v>534</v>
      </c>
      <c r="H79" s="362" t="s">
        <v>367</v>
      </c>
      <c r="I79" s="377" t="s">
        <v>217</v>
      </c>
      <c r="J79" s="392">
        <v>35</v>
      </c>
      <c r="K79" s="422" t="str">
        <f>IF(J79&lt;=0,"",IF(J79&lt;=2,"Muy Baja",IF(J79&lt;=24,"Baja",IF(J79&lt;=500,"Media",IF(J79&lt;=5000,"Alta","Muy Alta")))))</f>
        <v>Media</v>
      </c>
      <c r="L79" s="425">
        <f>IF(K79="","",IF(K79="Muy Baja",0.2,IF(K79="Baja",0.4,IF(K79="Media",0.6,IF(K79="Alta",0.8,IF(K79="Muy Alta",1,))))))</f>
        <v>0.6</v>
      </c>
      <c r="M79" s="375" t="s">
        <v>253</v>
      </c>
      <c r="N79" s="181" t="str">
        <f>IF(NOT(ISERROR(MATCH(M79,'Tabla Impacto'!$B$221:$B$223,0))),'Tabla Impacto'!$F$223&amp;"Por favor no seleccionar los criterios de impacto(Afectación Económica o presupuestal y Pérdida Reputacional)",M79)</f>
        <v xml:space="preserve"> El riesgo afecta la imagen de la entidad internamente, de conocimiento general, nivel interno, de junta directiva y accionistas y/o de proveedores</v>
      </c>
      <c r="O79" s="422" t="str">
        <f>IF(OR(N79='Tabla Impacto'!$C$11,N79='Tabla Impacto'!$D$11),"Leve",IF(OR(N79='Tabla Impacto'!$C$12,N79='Tabla Impacto'!$D$12),"Menor",IF(OR(N79='Tabla Impacto'!$C$13,N79='Tabla Impacto'!$D$13),"Moderado",IF(OR(N79='Tabla Impacto'!$C$14,N79='Tabla Impacto'!$D$14),"Mayor",IF(OR(N79='Tabla Impacto'!$C$15,N79='Tabla Impacto'!$D$15),"Catastrófico","")))))</f>
        <v>Menor</v>
      </c>
      <c r="P79" s="425">
        <f>IF(O79="","",IF(O79="Leve",0.2,IF(O79="Menor",0.4,IF(O79="Moderado",0.6,IF(O79="Mayor",0.8,IF(O79="Catastrófico",1,))))))</f>
        <v>0.4</v>
      </c>
      <c r="Q79" s="389" t="str">
        <f>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42">
        <v>1</v>
      </c>
      <c r="S79" s="91" t="s">
        <v>535</v>
      </c>
      <c r="T79" s="143" t="str">
        <f t="shared" ref="T79:T85" si="71">IF(OR(U79="Preventivo",U79="Detectivo"),"Probabilidad",IF(U79="Correctivo","Impacto",""))</f>
        <v>Probabilidad</v>
      </c>
      <c r="U79" s="144" t="s">
        <v>14</v>
      </c>
      <c r="V79" s="144" t="s">
        <v>9</v>
      </c>
      <c r="W79" s="145" t="str">
        <f t="shared" ref="W79:W85" si="72">IF(AND(U79="Preventivo",V79="Automático"),"50%",IF(AND(U79="Preventivo",V79="Manual"),"40%",IF(AND(U79="Detectivo",V79="Automático"),"40%",IF(AND(U79="Detectivo",V79="Manual"),"30%",IF(AND(U79="Correctivo",V79="Automático"),"35%",IF(AND(U79="Correctivo",V79="Manual"),"25%",""))))))</f>
        <v>40%</v>
      </c>
      <c r="X79" s="144" t="s">
        <v>19</v>
      </c>
      <c r="Y79" s="144" t="s">
        <v>22</v>
      </c>
      <c r="Z79" s="144" t="s">
        <v>110</v>
      </c>
      <c r="AA79" s="111">
        <f>IFERROR(IF(T79="Probabilidad",(L79-(+L79*W79)),IF(T79="Impacto",L79,"")),"")</f>
        <v>0.36</v>
      </c>
      <c r="AB79" s="146" t="str">
        <f t="shared" ref="AB79:AB85" si="73">IFERROR(IF(AA79="","",IF(AA79&lt;=0.2,"Muy Baja",IF(AA79&lt;=0.4,"Baja",IF(AA79&lt;=0.6,"Media",IF(AA79&lt;=0.8,"Alta","Muy Alta"))))),"")</f>
        <v>Baja</v>
      </c>
      <c r="AC79" s="147">
        <f t="shared" ref="AC79:AC85" si="74">+AA79</f>
        <v>0.36</v>
      </c>
      <c r="AD79" s="146" t="str">
        <f t="shared" ref="AD79:AD85" si="75">IFERROR(IF(AE79="","",IF(AE79&lt;=0.2,"Leve",IF(AE79&lt;=0.4,"Menor",IF(AE79&lt;=0.6,"Moderado",IF(AE79&lt;=0.8,"Mayor","Catastrófico"))))),"")</f>
        <v>Menor</v>
      </c>
      <c r="AE79" s="147">
        <f>IFERROR(IF(T79="Impacto",(P79-(+P79*W79)),IF(T79="Probabilidad",P79,"")),"")</f>
        <v>0.4</v>
      </c>
      <c r="AF79" s="148" t="str">
        <f t="shared" ref="AF79:AF85" si="76">IFERROR(IF(OR(AND(AB79="Muy Baja",AD79="Leve"),AND(AB79="Muy Baja",AD79="Menor"),AND(AB79="Baja",AD79="Leve")),"Bajo",IF(OR(AND(AB79="Muy baja",AD79="Moderado"),AND(AB79="Baja",AD79="Menor"),AND(AB79="Baja",AD79="Moderado"),AND(AB79="Media",AD79="Leve"),AND(AB79="Media",AD79="Menor"),AND(AB79="Media",AD79="Moderado"),AND(AB79="Alta",AD79="Leve"),AND(AB79="Alta",AD79="Menor")),"Moderado",IF(OR(AND(AB79="Muy Baja",AD79="Mayor"),AND(AB79="Baja",AD79="Mayor"),AND(AB79="Media",AD79="Mayor"),AND(AB79="Alta",AD79="Moderado"),AND(AB79="Alta",AD79="Mayor"),AND(AB79="Muy Alta",AD79="Leve"),AND(AB79="Muy Alta",AD79="Menor"),AND(AB79="Muy Alta",AD79="Moderado"),AND(AB79="Muy Alta",AD79="Mayor")),"Alto",IF(OR(AND(AB79="Muy Baja",AD79="Catastrófico"),AND(AB79="Baja",AD79="Catastrófico"),AND(AB79="Media",AD79="Catastrófico"),AND(AB79="Alta",AD79="Catastrófico"),AND(AB79="Muy Alta",AD79="Catastrófico")),"Extremo","")))),"")</f>
        <v>Moderado</v>
      </c>
      <c r="AG79" s="149" t="s">
        <v>122</v>
      </c>
      <c r="AH79" s="91" t="s">
        <v>536</v>
      </c>
      <c r="AI79" s="187" t="s">
        <v>304</v>
      </c>
      <c r="AJ79" s="116" t="s">
        <v>368</v>
      </c>
      <c r="AK79" s="116" t="s">
        <v>306</v>
      </c>
      <c r="AL79" s="79" t="s">
        <v>231</v>
      </c>
      <c r="AM79" s="217" t="s">
        <v>675</v>
      </c>
      <c r="AN79" s="217" t="s">
        <v>676</v>
      </c>
      <c r="AO79" s="218">
        <v>0.5</v>
      </c>
      <c r="AP79" s="217" t="s">
        <v>677</v>
      </c>
      <c r="AQ79" s="217" t="s">
        <v>713</v>
      </c>
      <c r="AR79" s="218">
        <v>0.5</v>
      </c>
      <c r="AS79" s="116"/>
      <c r="AT79" s="103" t="s">
        <v>575</v>
      </c>
      <c r="AU79" s="92" t="s">
        <v>603</v>
      </c>
      <c r="AV79" s="92" t="s">
        <v>603</v>
      </c>
      <c r="AW79" s="92" t="s">
        <v>603</v>
      </c>
      <c r="AX79" s="92" t="s">
        <v>603</v>
      </c>
    </row>
    <row r="80" spans="1:50" s="152" customFormat="1" ht="151.5" hidden="1" customHeight="1" x14ac:dyDescent="0.25">
      <c r="A80" s="349"/>
      <c r="B80" s="385"/>
      <c r="C80" s="380"/>
      <c r="D80" s="380"/>
      <c r="E80" s="378"/>
      <c r="F80" s="387"/>
      <c r="G80" s="387"/>
      <c r="H80" s="363"/>
      <c r="I80" s="378"/>
      <c r="J80" s="393"/>
      <c r="K80" s="423"/>
      <c r="L80" s="426"/>
      <c r="M80" s="376"/>
      <c r="N80" s="182"/>
      <c r="O80" s="423"/>
      <c r="P80" s="426"/>
      <c r="Q80" s="390"/>
      <c r="R80" s="142">
        <v>2</v>
      </c>
      <c r="S80" s="139"/>
      <c r="T80" s="131"/>
      <c r="U80" s="132"/>
      <c r="V80" s="132"/>
      <c r="W80" s="133"/>
      <c r="X80" s="132"/>
      <c r="Y80" s="132"/>
      <c r="Z80" s="132"/>
      <c r="AA80" s="134"/>
      <c r="AB80" s="135"/>
      <c r="AC80" s="136"/>
      <c r="AD80" s="135"/>
      <c r="AE80" s="136"/>
      <c r="AF80" s="137"/>
      <c r="AG80" s="138"/>
      <c r="AH80" s="139"/>
      <c r="AI80" s="140"/>
      <c r="AJ80" s="141"/>
      <c r="AK80" s="141"/>
      <c r="AL80" s="139"/>
      <c r="AM80" s="202"/>
      <c r="AN80" s="202"/>
      <c r="AO80" s="203"/>
      <c r="AP80" s="202"/>
      <c r="AQ80" s="202"/>
      <c r="AR80" s="203"/>
      <c r="AS80" s="103"/>
      <c r="AT80" s="103" t="s">
        <v>575</v>
      </c>
      <c r="AU80" s="92" t="s">
        <v>603</v>
      </c>
      <c r="AV80" s="92" t="s">
        <v>603</v>
      </c>
      <c r="AW80" s="92" t="s">
        <v>603</v>
      </c>
      <c r="AX80" s="92" t="s">
        <v>603</v>
      </c>
    </row>
    <row r="81" spans="1:50" s="152" customFormat="1" ht="151.5" hidden="1" customHeight="1" x14ac:dyDescent="0.25">
      <c r="A81" s="349"/>
      <c r="B81" s="386"/>
      <c r="C81" s="380"/>
      <c r="D81" s="380"/>
      <c r="E81" s="378"/>
      <c r="F81" s="388"/>
      <c r="G81" s="388"/>
      <c r="H81" s="363"/>
      <c r="I81" s="378"/>
      <c r="J81" s="393"/>
      <c r="K81" s="424"/>
      <c r="L81" s="427"/>
      <c r="M81" s="376"/>
      <c r="N81" s="182"/>
      <c r="O81" s="424"/>
      <c r="P81" s="427"/>
      <c r="Q81" s="391"/>
      <c r="R81" s="142">
        <v>3</v>
      </c>
      <c r="S81" s="139"/>
      <c r="T81" s="131"/>
      <c r="U81" s="132"/>
      <c r="V81" s="132"/>
      <c r="W81" s="133"/>
      <c r="X81" s="132"/>
      <c r="Y81" s="132"/>
      <c r="Z81" s="132"/>
      <c r="AA81" s="134"/>
      <c r="AB81" s="135"/>
      <c r="AC81" s="136"/>
      <c r="AD81" s="135"/>
      <c r="AE81" s="136"/>
      <c r="AF81" s="137"/>
      <c r="AG81" s="138"/>
      <c r="AH81" s="139"/>
      <c r="AI81" s="140"/>
      <c r="AJ81" s="141"/>
      <c r="AK81" s="141"/>
      <c r="AL81" s="139"/>
      <c r="AM81" s="202"/>
      <c r="AN81" s="202"/>
      <c r="AO81" s="203"/>
      <c r="AP81" s="202"/>
      <c r="AQ81" s="202"/>
      <c r="AR81" s="203"/>
      <c r="AS81" s="103"/>
      <c r="AT81" s="103" t="s">
        <v>575</v>
      </c>
      <c r="AU81" s="92" t="s">
        <v>603</v>
      </c>
      <c r="AV81" s="92" t="s">
        <v>603</v>
      </c>
      <c r="AW81" s="92" t="s">
        <v>603</v>
      </c>
      <c r="AX81" s="92" t="s">
        <v>603</v>
      </c>
    </row>
    <row r="82" spans="1:50" s="114" customFormat="1" ht="151.5" customHeight="1" x14ac:dyDescent="0.25">
      <c r="A82" s="349">
        <f>1+A79</f>
        <v>25</v>
      </c>
      <c r="B82" s="384" t="s">
        <v>232</v>
      </c>
      <c r="C82" s="379" t="s">
        <v>369</v>
      </c>
      <c r="D82" s="379" t="s">
        <v>370</v>
      </c>
      <c r="E82" s="377" t="s">
        <v>120</v>
      </c>
      <c r="F82" s="381" t="s">
        <v>371</v>
      </c>
      <c r="G82" s="381" t="s">
        <v>372</v>
      </c>
      <c r="H82" s="362" t="s">
        <v>373</v>
      </c>
      <c r="I82" s="377" t="s">
        <v>217</v>
      </c>
      <c r="J82" s="370">
        <v>60</v>
      </c>
      <c r="K82" s="372" t="str">
        <f>IF(J82&lt;=0,"",IF(J82&lt;=2,"Muy Baja",IF(J82&lt;=24,"Baja",IF(J82&lt;=500,"Media",IF(J82&lt;=5000,"Alta","Muy Alta")))))</f>
        <v>Media</v>
      </c>
      <c r="L82" s="343">
        <f>IF(K82="","",IF(K82="Muy Baja",0.2,IF(K82="Baja",0.4,IF(K82="Media",0.6,IF(K82="Alta",0.8,IF(K82="Muy Alta",1,))))))</f>
        <v>0.6</v>
      </c>
      <c r="M82" s="375" t="s">
        <v>248</v>
      </c>
      <c r="N82" s="179" t="str">
        <f>IF(NOT(ISERROR(MATCH(M82,'Tabla Impacto'!$B$221:$B$223,0))),'Tabla Impacto'!$F$223&amp;"Por favor no seleccionar los criterios de impacto(Afectación Económica o presupuestal y Pérdida Reputacional)",M82)</f>
        <v xml:space="preserve"> El riesgo afecta la imagen de la entidad con algunos usuarios de relevancia frente al logro de los objetivos</v>
      </c>
      <c r="O82" s="372" t="str">
        <f>IF(OR(N82='Tabla Impacto'!$C$11,N82='Tabla Impacto'!$D$11),"Leve",IF(OR(N82='Tabla Impacto'!$C$12,N82='Tabla Impacto'!$D$12),"Menor",IF(OR(N82='Tabla Impacto'!$C$13,N82='Tabla Impacto'!$D$13),"Moderado",IF(OR(N82='Tabla Impacto'!$C$14,N82='Tabla Impacto'!$D$14),"Mayor",IF(OR(N82='Tabla Impacto'!$C$15,N82='Tabla Impacto'!$D$15),"Catastrófico","")))))</f>
        <v>Moderado</v>
      </c>
      <c r="P82" s="343">
        <f>IF(O82="","",IF(O82="Leve",0.2,IF(O82="Menor",0.4,IF(O82="Moderado",0.6,IF(O82="Mayor",0.8,IF(O82="Catastrófico",1,))))))</f>
        <v>0.6</v>
      </c>
      <c r="Q82" s="367" t="str">
        <f>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Moderado</v>
      </c>
      <c r="R82" s="94">
        <v>1</v>
      </c>
      <c r="S82" s="91" t="s">
        <v>538</v>
      </c>
      <c r="T82" s="95" t="str">
        <f t="shared" si="71"/>
        <v>Probabilidad</v>
      </c>
      <c r="U82" s="96" t="s">
        <v>15</v>
      </c>
      <c r="V82" s="96" t="s">
        <v>9</v>
      </c>
      <c r="W82" s="97" t="str">
        <f t="shared" si="72"/>
        <v>30%</v>
      </c>
      <c r="X82" s="96" t="s">
        <v>20</v>
      </c>
      <c r="Y82" s="96" t="s">
        <v>23</v>
      </c>
      <c r="Z82" s="96" t="s">
        <v>111</v>
      </c>
      <c r="AA82" s="106">
        <f>IFERROR(IF(T82="Probabilidad",(L82-(+L82*W82)),IF(T82="Impacto",L82,"")),"")</f>
        <v>0.42</v>
      </c>
      <c r="AB82" s="99" t="str">
        <f t="shared" si="73"/>
        <v>Media</v>
      </c>
      <c r="AC82" s="100">
        <f t="shared" si="74"/>
        <v>0.42</v>
      </c>
      <c r="AD82" s="99" t="str">
        <f t="shared" si="75"/>
        <v>Moderado</v>
      </c>
      <c r="AE82" s="100">
        <f>IFERROR(IF(T82="Impacto",(P82-(+P82*W82)),IF(T82="Probabilidad",P82,"")),"")</f>
        <v>0.6</v>
      </c>
      <c r="AF82" s="101" t="str">
        <f t="shared" si="76"/>
        <v>Moderado</v>
      </c>
      <c r="AG82" s="102" t="s">
        <v>122</v>
      </c>
      <c r="AH82" s="91" t="s">
        <v>374</v>
      </c>
      <c r="AI82" s="86" t="s">
        <v>375</v>
      </c>
      <c r="AJ82" s="93" t="s">
        <v>281</v>
      </c>
      <c r="AK82" s="93" t="s">
        <v>205</v>
      </c>
      <c r="AL82" s="91" t="s">
        <v>233</v>
      </c>
      <c r="AM82" s="202" t="s">
        <v>714</v>
      </c>
      <c r="AN82" s="202" t="s">
        <v>715</v>
      </c>
      <c r="AO82" s="203">
        <v>0.5</v>
      </c>
      <c r="AP82" s="202" t="s">
        <v>716</v>
      </c>
      <c r="AQ82" s="202" t="s">
        <v>650</v>
      </c>
      <c r="AR82" s="203">
        <v>0.5</v>
      </c>
      <c r="AS82" s="103"/>
      <c r="AT82" s="103" t="s">
        <v>575</v>
      </c>
      <c r="AU82" s="92" t="s">
        <v>603</v>
      </c>
      <c r="AV82" s="92" t="s">
        <v>603</v>
      </c>
      <c r="AW82" s="92" t="s">
        <v>603</v>
      </c>
      <c r="AX82" s="92" t="s">
        <v>603</v>
      </c>
    </row>
    <row r="83" spans="1:50" s="114" customFormat="1" ht="151.5" hidden="1" customHeight="1" x14ac:dyDescent="0.25">
      <c r="A83" s="349"/>
      <c r="B83" s="385"/>
      <c r="C83" s="380"/>
      <c r="D83" s="382"/>
      <c r="E83" s="378"/>
      <c r="F83" s="378"/>
      <c r="G83" s="378"/>
      <c r="H83" s="363"/>
      <c r="I83" s="378"/>
      <c r="J83" s="371"/>
      <c r="K83" s="373"/>
      <c r="L83" s="344"/>
      <c r="M83" s="376"/>
      <c r="N83" s="180"/>
      <c r="O83" s="373"/>
      <c r="P83" s="344"/>
      <c r="Q83" s="368"/>
      <c r="R83" s="94">
        <v>2</v>
      </c>
      <c r="S83" s="79"/>
      <c r="T83" s="95"/>
      <c r="U83" s="96"/>
      <c r="V83" s="96"/>
      <c r="W83" s="97"/>
      <c r="X83" s="96"/>
      <c r="Y83" s="96"/>
      <c r="Z83" s="96"/>
      <c r="AA83" s="98"/>
      <c r="AB83" s="99"/>
      <c r="AC83" s="100"/>
      <c r="AD83" s="99"/>
      <c r="AE83" s="100"/>
      <c r="AF83" s="101"/>
      <c r="AG83" s="102"/>
      <c r="AH83" s="91"/>
      <c r="AI83" s="86"/>
      <c r="AJ83" s="93"/>
      <c r="AK83" s="93"/>
      <c r="AL83" s="91"/>
      <c r="AM83" s="202"/>
      <c r="AN83" s="202"/>
      <c r="AO83" s="203"/>
      <c r="AP83" s="202"/>
      <c r="AQ83" s="202"/>
      <c r="AR83" s="203"/>
      <c r="AS83" s="103"/>
      <c r="AT83" s="103" t="s">
        <v>575</v>
      </c>
      <c r="AU83" s="92" t="s">
        <v>603</v>
      </c>
      <c r="AV83" s="92" t="s">
        <v>603</v>
      </c>
      <c r="AW83" s="92" t="s">
        <v>603</v>
      </c>
      <c r="AX83" s="92" t="s">
        <v>603</v>
      </c>
    </row>
    <row r="84" spans="1:50" s="114" customFormat="1" ht="151.5" hidden="1" customHeight="1" x14ac:dyDescent="0.25">
      <c r="A84" s="349"/>
      <c r="B84" s="386"/>
      <c r="C84" s="380"/>
      <c r="D84" s="382"/>
      <c r="E84" s="378"/>
      <c r="F84" s="378"/>
      <c r="G84" s="378"/>
      <c r="H84" s="363"/>
      <c r="I84" s="378"/>
      <c r="J84" s="371"/>
      <c r="K84" s="374"/>
      <c r="L84" s="345"/>
      <c r="M84" s="376"/>
      <c r="N84" s="180"/>
      <c r="O84" s="374"/>
      <c r="P84" s="345"/>
      <c r="Q84" s="369"/>
      <c r="R84" s="94">
        <v>3</v>
      </c>
      <c r="S84" s="79"/>
      <c r="T84" s="95"/>
      <c r="U84" s="96"/>
      <c r="V84" s="96"/>
      <c r="W84" s="97"/>
      <c r="X84" s="96"/>
      <c r="Y84" s="96"/>
      <c r="Z84" s="96"/>
      <c r="AA84" s="98"/>
      <c r="AB84" s="99"/>
      <c r="AC84" s="100"/>
      <c r="AD84" s="99"/>
      <c r="AE84" s="100"/>
      <c r="AF84" s="101"/>
      <c r="AG84" s="102"/>
      <c r="AH84" s="91"/>
      <c r="AI84" s="86"/>
      <c r="AJ84" s="93"/>
      <c r="AK84" s="93"/>
      <c r="AL84" s="91"/>
      <c r="AM84" s="202"/>
      <c r="AN84" s="202"/>
      <c r="AO84" s="203"/>
      <c r="AP84" s="202"/>
      <c r="AQ84" s="202"/>
      <c r="AR84" s="203"/>
      <c r="AS84" s="103"/>
      <c r="AT84" s="103" t="s">
        <v>575</v>
      </c>
      <c r="AU84" s="92" t="s">
        <v>603</v>
      </c>
      <c r="AV84" s="92" t="s">
        <v>603</v>
      </c>
      <c r="AW84" s="92" t="s">
        <v>603</v>
      </c>
      <c r="AX84" s="92" t="s">
        <v>603</v>
      </c>
    </row>
    <row r="85" spans="1:50" s="114" customFormat="1" ht="151.5" customHeight="1" x14ac:dyDescent="0.25">
      <c r="A85" s="349">
        <f>1+A82</f>
        <v>26</v>
      </c>
      <c r="B85" s="384" t="s">
        <v>232</v>
      </c>
      <c r="C85" s="379" t="s">
        <v>369</v>
      </c>
      <c r="D85" s="379" t="s">
        <v>370</v>
      </c>
      <c r="E85" s="377" t="s">
        <v>120</v>
      </c>
      <c r="F85" s="383" t="s">
        <v>523</v>
      </c>
      <c r="G85" s="383" t="s">
        <v>524</v>
      </c>
      <c r="H85" s="362" t="s">
        <v>525</v>
      </c>
      <c r="I85" s="377" t="s">
        <v>217</v>
      </c>
      <c r="J85" s="370">
        <v>1</v>
      </c>
      <c r="K85" s="372" t="str">
        <f>IF(J85&lt;=0,"",IF(J85&lt;=2,"Muy Baja",IF(J85&lt;=24,"Baja",IF(J85&lt;=500,"Media",IF(J85&lt;=5000,"Alta","Muy Alta")))))</f>
        <v>Muy Baja</v>
      </c>
      <c r="L85" s="343">
        <f>IF(K85="","",IF(K85="Muy Baja",0.2,IF(K85="Baja",0.4,IF(K85="Media",0.6,IF(K85="Alta",0.8,IF(K85="Muy Alta",1,))))))</f>
        <v>0.2</v>
      </c>
      <c r="M85" s="375" t="s">
        <v>245</v>
      </c>
      <c r="N85" s="179" t="str">
        <f>IF(NOT(ISERROR(MATCH(M85,'Tabla Impacto'!$B$221:$B$223,0))),'Tabla Impacto'!$F$223&amp;"Por favor no seleccionar los criterios de impacto(Afectación Económica o presupuestal y Pérdida Reputacional)",M85)</f>
        <v xml:space="preserve"> El riesgo afecta la imagen de alguna área de la organización</v>
      </c>
      <c r="O85" s="372" t="str">
        <f>IF(OR(N85='Tabla Impacto'!$C$11,N85='Tabla Impacto'!$D$11),"Leve",IF(OR(N85='Tabla Impacto'!$C$12,N85='Tabla Impacto'!$D$12),"Menor",IF(OR(N85='Tabla Impacto'!$C$13,N85='Tabla Impacto'!$D$13),"Moderado",IF(OR(N85='Tabla Impacto'!$C$14,N85='Tabla Impacto'!$D$14),"Mayor",IF(OR(N85='Tabla Impacto'!$C$15,N85='Tabla Impacto'!$D$15),"Catastrófico","")))))</f>
        <v>Leve</v>
      </c>
      <c r="P85" s="343">
        <f>IF(O85="","",IF(O85="Leve",0.2,IF(O85="Menor",0.4,IF(O85="Moderado",0.6,IF(O85="Mayor",0.8,IF(O85="Catastrófico",1,))))))</f>
        <v>0.2</v>
      </c>
      <c r="Q85" s="367" t="str">
        <f>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Bajo</v>
      </c>
      <c r="R85" s="94">
        <v>1</v>
      </c>
      <c r="S85" s="79" t="s">
        <v>526</v>
      </c>
      <c r="T85" s="95" t="str">
        <f t="shared" si="71"/>
        <v>Probabilidad</v>
      </c>
      <c r="U85" s="96" t="s">
        <v>15</v>
      </c>
      <c r="V85" s="96" t="s">
        <v>9</v>
      </c>
      <c r="W85" s="97" t="str">
        <f t="shared" si="72"/>
        <v>30%</v>
      </c>
      <c r="X85" s="96" t="s">
        <v>20</v>
      </c>
      <c r="Y85" s="96" t="s">
        <v>23</v>
      </c>
      <c r="Z85" s="96" t="s">
        <v>111</v>
      </c>
      <c r="AA85" s="98">
        <f>IFERROR(IF(T85="Probabilidad",(L85-(+L85*W85)),IF(T85="Impacto",L85,"")),"")</f>
        <v>0.14000000000000001</v>
      </c>
      <c r="AB85" s="99" t="str">
        <f t="shared" si="73"/>
        <v>Muy Baja</v>
      </c>
      <c r="AC85" s="100">
        <f t="shared" si="74"/>
        <v>0.14000000000000001</v>
      </c>
      <c r="AD85" s="99" t="str">
        <f t="shared" si="75"/>
        <v>Leve</v>
      </c>
      <c r="AE85" s="100">
        <f>IFERROR(IF(T85="Impacto",(P85-(+P85*W85)),IF(T85="Probabilidad",P85,"")),"")</f>
        <v>0.2</v>
      </c>
      <c r="AF85" s="101" t="str">
        <f t="shared" si="76"/>
        <v>Bajo</v>
      </c>
      <c r="AG85" s="102" t="s">
        <v>122</v>
      </c>
      <c r="AH85" s="79" t="s">
        <v>527</v>
      </c>
      <c r="AI85" s="92" t="s">
        <v>195</v>
      </c>
      <c r="AJ85" s="103" t="s">
        <v>281</v>
      </c>
      <c r="AK85" s="103" t="s">
        <v>205</v>
      </c>
      <c r="AL85" s="79" t="s">
        <v>376</v>
      </c>
      <c r="AM85" s="202" t="s">
        <v>526</v>
      </c>
      <c r="AN85" s="202" t="s">
        <v>667</v>
      </c>
      <c r="AO85" s="203">
        <v>0</v>
      </c>
      <c r="AP85" s="202" t="s">
        <v>527</v>
      </c>
      <c r="AQ85" s="202" t="s">
        <v>766</v>
      </c>
      <c r="AR85" s="203">
        <v>0</v>
      </c>
      <c r="AS85" s="103"/>
      <c r="AT85" s="103" t="s">
        <v>575</v>
      </c>
      <c r="AU85" s="92" t="s">
        <v>603</v>
      </c>
      <c r="AV85" s="92" t="s">
        <v>603</v>
      </c>
      <c r="AW85" s="92" t="s">
        <v>603</v>
      </c>
      <c r="AX85" s="202" t="s">
        <v>768</v>
      </c>
    </row>
    <row r="86" spans="1:50" s="114" customFormat="1" ht="151.5" hidden="1" customHeight="1" x14ac:dyDescent="0.25">
      <c r="A86" s="349"/>
      <c r="B86" s="385"/>
      <c r="C86" s="380"/>
      <c r="D86" s="382"/>
      <c r="E86" s="378"/>
      <c r="F86" s="363"/>
      <c r="G86" s="363"/>
      <c r="H86" s="363"/>
      <c r="I86" s="378"/>
      <c r="J86" s="371"/>
      <c r="K86" s="373"/>
      <c r="L86" s="344"/>
      <c r="M86" s="376"/>
      <c r="N86" s="180"/>
      <c r="O86" s="373"/>
      <c r="P86" s="344"/>
      <c r="Q86" s="368"/>
      <c r="R86" s="94">
        <v>2</v>
      </c>
      <c r="S86" s="79"/>
      <c r="T86" s="95" t="str">
        <f t="shared" ref="T86:T92" si="77">IF(OR(U86="Preventivo",U86="Detectivo"),"Probabilidad",IF(U86="Correctivo","Impacto",""))</f>
        <v/>
      </c>
      <c r="U86" s="96"/>
      <c r="V86" s="96"/>
      <c r="W86" s="97"/>
      <c r="X86" s="96"/>
      <c r="Y86" s="96"/>
      <c r="Z86" s="96"/>
      <c r="AA86" s="98" t="str">
        <f>IFERROR(IF(T86="Probabilidad",(AA85-(+AA85*W86)),IF(T86="Impacto",L86,"")),"")</f>
        <v/>
      </c>
      <c r="AB86" s="99" t="str">
        <f t="shared" ref="AB86:AB91" si="78">IFERROR(IF(AA86="","",IF(AA86&lt;=0.2,"Muy Baja",IF(AA86&lt;=0.4,"Baja",IF(AA86&lt;=0.6,"Media",IF(AA86&lt;=0.8,"Alta","Muy Alta"))))),"")</f>
        <v/>
      </c>
      <c r="AC86" s="100" t="str">
        <f t="shared" ref="AC86:AC91" si="79">+AA86</f>
        <v/>
      </c>
      <c r="AD86" s="99" t="str">
        <f t="shared" ref="AD86:AD91" si="80">IFERROR(IF(AE86="","",IF(AE86&lt;=0.2,"Leve",IF(AE86&lt;=0.4,"Menor",IF(AE86&lt;=0.6,"Moderado",IF(AE86&lt;=0.8,"Mayor","Catastrófico"))))),"")</f>
        <v/>
      </c>
      <c r="AE86" s="100" t="str">
        <f>IFERROR(IF(T86="Impacto",(P86-(+P86*W86)),IF(T86="Probabilidad",P86,"")),"")</f>
        <v/>
      </c>
      <c r="AF86" s="101" t="str">
        <f t="shared" ref="AF86:AF91" si="81">IFERROR(IF(OR(AND(AB86="Muy Baja",AD86="Leve"),AND(AB86="Muy Baja",AD86="Menor"),AND(AB86="Baja",AD86="Leve")),"Bajo",IF(OR(AND(AB86="Muy baja",AD86="Moderado"),AND(AB86="Baja",AD86="Menor"),AND(AB86="Baja",AD86="Moderado"),AND(AB86="Media",AD86="Leve"),AND(AB86="Media",AD86="Menor"),AND(AB86="Media",AD86="Moderado"),AND(AB86="Alta",AD86="Leve"),AND(AB86="Alta",AD86="Menor")),"Moderado",IF(OR(AND(AB86="Muy Baja",AD86="Mayor"),AND(AB86="Baja",AD86="Mayor"),AND(AB86="Media",AD86="Mayor"),AND(AB86="Alta",AD86="Moderado"),AND(AB86="Alta",AD86="Mayor"),AND(AB86="Muy Alta",AD86="Leve"),AND(AB86="Muy Alta",AD86="Menor"),AND(AB86="Muy Alta",AD86="Moderado"),AND(AB86="Muy Alta",AD86="Mayor")),"Alto",IF(OR(AND(AB86="Muy Baja",AD86="Catastrófico"),AND(AB86="Baja",AD86="Catastrófico"),AND(AB86="Media",AD86="Catastrófico"),AND(AB86="Alta",AD86="Catastrófico"),AND(AB86="Muy Alta",AD86="Catastrófico")),"Extremo","")))),"")</f>
        <v/>
      </c>
      <c r="AG86" s="102"/>
      <c r="AH86" s="79"/>
      <c r="AI86" s="92"/>
      <c r="AJ86" s="103"/>
      <c r="AK86" s="103"/>
      <c r="AL86" s="79"/>
      <c r="AM86" s="202"/>
      <c r="AN86" s="202"/>
      <c r="AO86" s="203"/>
      <c r="AP86" s="202"/>
      <c r="AQ86" s="202"/>
      <c r="AR86" s="203"/>
      <c r="AS86" s="103"/>
      <c r="AT86" s="103" t="s">
        <v>575</v>
      </c>
      <c r="AU86" s="92" t="s">
        <v>603</v>
      </c>
      <c r="AV86" s="92" t="s">
        <v>603</v>
      </c>
      <c r="AW86" s="92" t="s">
        <v>603</v>
      </c>
      <c r="AX86" s="92" t="s">
        <v>603</v>
      </c>
    </row>
    <row r="87" spans="1:50" s="114" customFormat="1" ht="151.5" hidden="1" customHeight="1" x14ac:dyDescent="0.25">
      <c r="A87" s="349"/>
      <c r="B87" s="386"/>
      <c r="C87" s="380"/>
      <c r="D87" s="382"/>
      <c r="E87" s="378"/>
      <c r="F87" s="363"/>
      <c r="G87" s="363"/>
      <c r="H87" s="363"/>
      <c r="I87" s="378"/>
      <c r="J87" s="371"/>
      <c r="K87" s="374"/>
      <c r="L87" s="345"/>
      <c r="M87" s="376"/>
      <c r="N87" s="180"/>
      <c r="O87" s="374"/>
      <c r="P87" s="345"/>
      <c r="Q87" s="369"/>
      <c r="R87" s="94">
        <v>3</v>
      </c>
      <c r="S87" s="79"/>
      <c r="T87" s="95" t="str">
        <f t="shared" si="77"/>
        <v/>
      </c>
      <c r="U87" s="96"/>
      <c r="V87" s="96"/>
      <c r="W87" s="97"/>
      <c r="X87" s="96"/>
      <c r="Y87" s="96"/>
      <c r="Z87" s="96"/>
      <c r="AA87" s="98" t="str">
        <f>IFERROR(IF(T87="Probabilidad",(AA86-(+AA86*W87)),IF(T87="Impacto",L87,"")),"")</f>
        <v/>
      </c>
      <c r="AB87" s="99" t="str">
        <f t="shared" si="78"/>
        <v/>
      </c>
      <c r="AC87" s="100" t="str">
        <f t="shared" si="79"/>
        <v/>
      </c>
      <c r="AD87" s="99" t="str">
        <f t="shared" si="80"/>
        <v/>
      </c>
      <c r="AE87" s="100" t="str">
        <f>IFERROR(IF(T87="Impacto",(P87-(+P87*W87)),IF(T87="Probabilidad",P87,"")),"")</f>
        <v/>
      </c>
      <c r="AF87" s="101" t="str">
        <f t="shared" si="81"/>
        <v/>
      </c>
      <c r="AG87" s="102"/>
      <c r="AH87" s="79"/>
      <c r="AI87" s="92"/>
      <c r="AJ87" s="103"/>
      <c r="AK87" s="103"/>
      <c r="AL87" s="79"/>
      <c r="AM87" s="202"/>
      <c r="AN87" s="202"/>
      <c r="AO87" s="203"/>
      <c r="AP87" s="202"/>
      <c r="AQ87" s="202"/>
      <c r="AR87" s="203"/>
      <c r="AS87" s="103"/>
      <c r="AT87" s="103" t="s">
        <v>575</v>
      </c>
      <c r="AU87" s="92" t="s">
        <v>603</v>
      </c>
      <c r="AV87" s="92" t="s">
        <v>603</v>
      </c>
      <c r="AW87" s="92" t="s">
        <v>603</v>
      </c>
      <c r="AX87" s="92" t="s">
        <v>603</v>
      </c>
    </row>
    <row r="88" spans="1:50" s="114" customFormat="1" ht="178.5" customHeight="1" x14ac:dyDescent="0.25">
      <c r="A88" s="349">
        <f>1+A85</f>
        <v>27</v>
      </c>
      <c r="B88" s="384" t="s">
        <v>377</v>
      </c>
      <c r="C88" s="379" t="s">
        <v>378</v>
      </c>
      <c r="D88" s="379" t="s">
        <v>379</v>
      </c>
      <c r="E88" s="377" t="s">
        <v>120</v>
      </c>
      <c r="F88" s="377" t="s">
        <v>380</v>
      </c>
      <c r="G88" s="377" t="s">
        <v>381</v>
      </c>
      <c r="H88" s="362" t="s">
        <v>382</v>
      </c>
      <c r="I88" s="377" t="s">
        <v>217</v>
      </c>
      <c r="J88" s="370">
        <v>850</v>
      </c>
      <c r="K88" s="372" t="str">
        <f>IF(J88&lt;=0,"",IF(J88&lt;=2,"Muy Baja",IF(J88&lt;=24,"Baja",IF(J88&lt;=500,"Media",IF(J88&lt;=5000,"Alta","Muy Alta")))))</f>
        <v>Alta</v>
      </c>
      <c r="L88" s="343">
        <f>IF(K88="","",IF(K88="Muy Baja",0.2,IF(K88="Baja",0.4,IF(K88="Media",0.6,IF(K88="Alta",0.8,IF(K88="Muy Alta",1,))))))</f>
        <v>0.8</v>
      </c>
      <c r="M88" s="375" t="s">
        <v>255</v>
      </c>
      <c r="N88" s="179" t="str">
        <f>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372" t="str">
        <f>IF(OR(N88='Tabla Impacto'!$C$11,N88='Tabla Impacto'!$D$11),"Leve",IF(OR(N88='Tabla Impacto'!$C$12,N88='Tabla Impacto'!$D$12),"Menor",IF(OR(N88='Tabla Impacto'!$C$13,N88='Tabla Impacto'!$D$13),"Moderado",IF(OR(N88='Tabla Impacto'!$C$14,N88='Tabla Impacto'!$D$14),"Mayor",IF(OR(N88='Tabla Impacto'!$C$15,N88='Tabla Impacto'!$D$15),"Catastrófico","")))))</f>
        <v>Mayor</v>
      </c>
      <c r="P88" s="343">
        <f>IF(O88="","",IF(O88="Leve",0.2,IF(O88="Menor",0.4,IF(O88="Moderado",0.6,IF(O88="Mayor",0.8,IF(O88="Catastrófico",1,))))))</f>
        <v>0.8</v>
      </c>
      <c r="Q88" s="367" t="str">
        <f>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94">
        <v>1</v>
      </c>
      <c r="S88" s="79" t="s">
        <v>507</v>
      </c>
      <c r="T88" s="95" t="str">
        <f t="shared" si="77"/>
        <v>Probabilidad</v>
      </c>
      <c r="U88" s="96" t="s">
        <v>14</v>
      </c>
      <c r="V88" s="96" t="s">
        <v>9</v>
      </c>
      <c r="W88" s="97" t="str">
        <f t="shared" ref="W88:W92" si="82">IF(AND(U88="Preventivo",V88="Automático"),"50%",IF(AND(U88="Preventivo",V88="Manual"),"40%",IF(AND(U88="Detectivo",V88="Automático"),"40%",IF(AND(U88="Detectivo",V88="Manual"),"30%",IF(AND(U88="Correctivo",V88="Automático"),"35%",IF(AND(U88="Correctivo",V88="Manual"),"25%",""))))))</f>
        <v>40%</v>
      </c>
      <c r="X88" s="96" t="s">
        <v>20</v>
      </c>
      <c r="Y88" s="96" t="s">
        <v>22</v>
      </c>
      <c r="Z88" s="96" t="s">
        <v>110</v>
      </c>
      <c r="AA88" s="98">
        <f>IFERROR(IF(T88="Probabilidad",(L88-(+L88*W88)),IF(T88="Impacto",L88,"")),"")</f>
        <v>0.48</v>
      </c>
      <c r="AB88" s="99" t="str">
        <f t="shared" si="78"/>
        <v>Media</v>
      </c>
      <c r="AC88" s="100">
        <f t="shared" si="79"/>
        <v>0.48</v>
      </c>
      <c r="AD88" s="99" t="str">
        <f t="shared" si="80"/>
        <v>Mayor</v>
      </c>
      <c r="AE88" s="100">
        <f>IFERROR(IF(T88="Impacto",(P88-(+P88*W88)),IF(T88="Probabilidad",P88,"")),"")</f>
        <v>0.8</v>
      </c>
      <c r="AF88" s="101" t="str">
        <f t="shared" si="81"/>
        <v>Alto</v>
      </c>
      <c r="AG88" s="102" t="s">
        <v>122</v>
      </c>
      <c r="AH88" s="113" t="s">
        <v>383</v>
      </c>
      <c r="AI88" s="104" t="s">
        <v>193</v>
      </c>
      <c r="AJ88" s="103" t="s">
        <v>281</v>
      </c>
      <c r="AK88" s="103" t="s">
        <v>205</v>
      </c>
      <c r="AL88" s="79" t="s">
        <v>385</v>
      </c>
      <c r="AM88" s="202" t="s">
        <v>717</v>
      </c>
      <c r="AN88" s="202" t="s">
        <v>685</v>
      </c>
      <c r="AO88" s="203">
        <v>0.5</v>
      </c>
      <c r="AP88" s="202" t="s">
        <v>718</v>
      </c>
      <c r="AQ88" s="202" t="s">
        <v>686</v>
      </c>
      <c r="AR88" s="203">
        <v>0.5</v>
      </c>
      <c r="AS88" s="103"/>
      <c r="AT88" s="103" t="s">
        <v>575</v>
      </c>
      <c r="AU88" s="92" t="s">
        <v>603</v>
      </c>
      <c r="AV88" s="92" t="s">
        <v>603</v>
      </c>
      <c r="AW88" s="92" t="s">
        <v>603</v>
      </c>
      <c r="AX88" s="92" t="s">
        <v>603</v>
      </c>
    </row>
    <row r="89" spans="1:50" s="114" customFormat="1" ht="151.5" customHeight="1" x14ac:dyDescent="0.25">
      <c r="A89" s="349"/>
      <c r="B89" s="385"/>
      <c r="C89" s="380"/>
      <c r="D89" s="382"/>
      <c r="E89" s="378"/>
      <c r="F89" s="378"/>
      <c r="G89" s="378"/>
      <c r="H89" s="363"/>
      <c r="I89" s="378"/>
      <c r="J89" s="371"/>
      <c r="K89" s="373"/>
      <c r="L89" s="344"/>
      <c r="M89" s="376"/>
      <c r="N89" s="180"/>
      <c r="O89" s="373"/>
      <c r="P89" s="344"/>
      <c r="Q89" s="368"/>
      <c r="R89" s="94">
        <v>2</v>
      </c>
      <c r="S89" s="91" t="s">
        <v>537</v>
      </c>
      <c r="T89" s="95" t="str">
        <f t="shared" si="77"/>
        <v>Probabilidad</v>
      </c>
      <c r="U89" s="96" t="s">
        <v>14</v>
      </c>
      <c r="V89" s="96" t="s">
        <v>9</v>
      </c>
      <c r="W89" s="97" t="str">
        <f t="shared" si="82"/>
        <v>40%</v>
      </c>
      <c r="X89" s="96" t="s">
        <v>20</v>
      </c>
      <c r="Y89" s="96" t="s">
        <v>22</v>
      </c>
      <c r="Z89" s="96" t="s">
        <v>110</v>
      </c>
      <c r="AA89" s="98">
        <f>IFERROR(IF(T89="Probabilidad",(AA88-(+AA88*W89)),IF(T89="Impacto",L89,"")),"")</f>
        <v>0.28799999999999998</v>
      </c>
      <c r="AB89" s="99" t="str">
        <f t="shared" si="78"/>
        <v>Baja</v>
      </c>
      <c r="AC89" s="100">
        <f t="shared" si="79"/>
        <v>0.28799999999999998</v>
      </c>
      <c r="AD89" s="99" t="str">
        <f t="shared" si="80"/>
        <v>Leve</v>
      </c>
      <c r="AE89" s="100">
        <f t="shared" ref="AE89:AE90" si="83">IFERROR(IF(T89="Impacto",(P89-(+P89*W89)),IF(T89="Probabilidad",P89,"")),"")</f>
        <v>0</v>
      </c>
      <c r="AF89" s="101" t="str">
        <f t="shared" si="81"/>
        <v>Bajo</v>
      </c>
      <c r="AG89" s="102" t="s">
        <v>122</v>
      </c>
      <c r="AH89" s="79" t="s">
        <v>384</v>
      </c>
      <c r="AI89" s="104" t="s">
        <v>193</v>
      </c>
      <c r="AJ89" s="103" t="s">
        <v>281</v>
      </c>
      <c r="AK89" s="103" t="s">
        <v>205</v>
      </c>
      <c r="AL89" s="79"/>
      <c r="AM89" s="202" t="s">
        <v>651</v>
      </c>
      <c r="AN89" s="202" t="s">
        <v>687</v>
      </c>
      <c r="AO89" s="203">
        <v>0.5</v>
      </c>
      <c r="AP89" s="202" t="s">
        <v>652</v>
      </c>
      <c r="AQ89" s="202" t="s">
        <v>688</v>
      </c>
      <c r="AR89" s="203">
        <v>0.5</v>
      </c>
      <c r="AS89" s="202"/>
      <c r="AT89" s="103" t="s">
        <v>575</v>
      </c>
      <c r="AU89" s="92" t="s">
        <v>603</v>
      </c>
      <c r="AV89" s="92" t="s">
        <v>603</v>
      </c>
      <c r="AW89" s="92" t="s">
        <v>603</v>
      </c>
      <c r="AX89" s="92" t="s">
        <v>603</v>
      </c>
    </row>
    <row r="90" spans="1:50" s="114" customFormat="1" ht="151.5" hidden="1" customHeight="1" x14ac:dyDescent="0.25">
      <c r="A90" s="349"/>
      <c r="B90" s="386"/>
      <c r="C90" s="380"/>
      <c r="D90" s="382"/>
      <c r="E90" s="378"/>
      <c r="F90" s="378"/>
      <c r="G90" s="378"/>
      <c r="H90" s="363"/>
      <c r="I90" s="378"/>
      <c r="J90" s="371"/>
      <c r="K90" s="374"/>
      <c r="L90" s="345"/>
      <c r="M90" s="376"/>
      <c r="N90" s="180"/>
      <c r="O90" s="374"/>
      <c r="P90" s="345"/>
      <c r="Q90" s="369"/>
      <c r="R90" s="94">
        <v>3</v>
      </c>
      <c r="S90" s="79"/>
      <c r="T90" s="95" t="str">
        <f t="shared" si="77"/>
        <v/>
      </c>
      <c r="U90" s="96"/>
      <c r="V90" s="96"/>
      <c r="W90" s="97" t="str">
        <f t="shared" si="82"/>
        <v/>
      </c>
      <c r="X90" s="96"/>
      <c r="Y90" s="96"/>
      <c r="Z90" s="96"/>
      <c r="AA90" s="98" t="str">
        <f>IFERROR(IF(T90="Probabilidad",(AA89-(+AA89*W90)),IF(T90="Impacto",L90,"")),"")</f>
        <v/>
      </c>
      <c r="AB90" s="99" t="str">
        <f t="shared" si="78"/>
        <v/>
      </c>
      <c r="AC90" s="100" t="str">
        <f t="shared" si="79"/>
        <v/>
      </c>
      <c r="AD90" s="99" t="str">
        <f t="shared" si="80"/>
        <v/>
      </c>
      <c r="AE90" s="100" t="str">
        <f t="shared" si="83"/>
        <v/>
      </c>
      <c r="AF90" s="101" t="str">
        <f t="shared" si="81"/>
        <v/>
      </c>
      <c r="AG90" s="102"/>
      <c r="AH90" s="79"/>
      <c r="AI90" s="104"/>
      <c r="AJ90" s="103"/>
      <c r="AK90" s="103"/>
      <c r="AL90" s="79"/>
      <c r="AM90" s="202"/>
      <c r="AN90" s="202"/>
      <c r="AO90" s="203"/>
      <c r="AP90" s="202"/>
      <c r="AQ90" s="202"/>
      <c r="AR90" s="203"/>
      <c r="AS90" s="103"/>
      <c r="AT90" s="103" t="s">
        <v>575</v>
      </c>
      <c r="AU90" s="92" t="s">
        <v>603</v>
      </c>
      <c r="AV90" s="92" t="s">
        <v>603</v>
      </c>
      <c r="AW90" s="92" t="s">
        <v>603</v>
      </c>
      <c r="AX90" s="92" t="s">
        <v>603</v>
      </c>
    </row>
    <row r="91" spans="1:50" s="114" customFormat="1" ht="187.5" customHeight="1" x14ac:dyDescent="0.25">
      <c r="A91" s="349">
        <f>1+A88</f>
        <v>28</v>
      </c>
      <c r="B91" s="346" t="s">
        <v>386</v>
      </c>
      <c r="C91" s="379" t="s">
        <v>387</v>
      </c>
      <c r="D91" s="379" t="s">
        <v>388</v>
      </c>
      <c r="E91" s="377" t="s">
        <v>120</v>
      </c>
      <c r="F91" s="381" t="s">
        <v>389</v>
      </c>
      <c r="G91" s="381" t="s">
        <v>392</v>
      </c>
      <c r="H91" s="362" t="s">
        <v>393</v>
      </c>
      <c r="I91" s="377" t="s">
        <v>218</v>
      </c>
      <c r="J91" s="370">
        <v>4</v>
      </c>
      <c r="K91" s="372" t="str">
        <f>IF(J91&lt;=0,"",IF(J91&lt;=2,"Muy Baja",IF(J91&lt;=24,"Baja",IF(J91&lt;=500,"Media",IF(J91&lt;=5000,"Alta","Muy Alta")))))</f>
        <v>Baja</v>
      </c>
      <c r="L91" s="343">
        <f>IF(K91="","",IF(K91="Muy Baja",0.2,IF(K91="Baja",0.4,IF(K91="Media",0.6,IF(K91="Alta",0.8,IF(K91="Muy Alta",1,))))))</f>
        <v>0.4</v>
      </c>
      <c r="M91" s="375" t="s">
        <v>244</v>
      </c>
      <c r="N91" s="179" t="str">
        <f>IF(NOT(ISERROR(MATCH(M91,'Tabla Impacto'!$B$221:$B$223,0))),'Tabla Impacto'!$F$223&amp;"Por favor no seleccionar los criterios de impacto(Afectación Económica o presupuestal y Pérdida Reputacional)",M91)</f>
        <v xml:space="preserve"> Afectación menor a 10 SMLMV .</v>
      </c>
      <c r="O91" s="372" t="str">
        <f>IF(OR(N91='Tabla Impacto'!$C$11,N91='Tabla Impacto'!$D$11),"Leve",IF(OR(N91='Tabla Impacto'!$C$12,N91='Tabla Impacto'!$D$12),"Menor",IF(OR(N91='Tabla Impacto'!$C$13,N91='Tabla Impacto'!$D$13),"Moderado",IF(OR(N91='Tabla Impacto'!$C$14,N91='Tabla Impacto'!$D$14),"Mayor",IF(OR(N91='Tabla Impacto'!$C$15,N91='Tabla Impacto'!$D$15),"Catastrófico","")))))</f>
        <v>Leve</v>
      </c>
      <c r="P91" s="343">
        <f>IF(O91="","",IF(O91="Leve",0.2,IF(O91="Menor",0.4,IF(O91="Moderado",0.6,IF(O91="Mayor",0.8,IF(O91="Catastrófico",1,))))))</f>
        <v>0.2</v>
      </c>
      <c r="Q91" s="367" t="str">
        <f>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Bajo</v>
      </c>
      <c r="R91" s="94">
        <v>1</v>
      </c>
      <c r="S91" s="91" t="s">
        <v>460</v>
      </c>
      <c r="T91" s="95" t="str">
        <f t="shared" si="77"/>
        <v>Probabilidad</v>
      </c>
      <c r="U91" s="96" t="s">
        <v>14</v>
      </c>
      <c r="V91" s="96" t="s">
        <v>9</v>
      </c>
      <c r="W91" s="97" t="str">
        <f t="shared" si="82"/>
        <v>40%</v>
      </c>
      <c r="X91" s="96" t="s">
        <v>19</v>
      </c>
      <c r="Y91" s="96" t="s">
        <v>22</v>
      </c>
      <c r="Z91" s="96" t="s">
        <v>110</v>
      </c>
      <c r="AA91" s="98">
        <f>IFERROR(IF(T91="Probabilidad",(L91-(+L91*W91)),IF(T91="Impacto",L91,"")),"")</f>
        <v>0.24</v>
      </c>
      <c r="AB91" s="99" t="str">
        <f t="shared" si="78"/>
        <v>Baja</v>
      </c>
      <c r="AC91" s="100">
        <f t="shared" si="79"/>
        <v>0.24</v>
      </c>
      <c r="AD91" s="99" t="str">
        <f t="shared" si="80"/>
        <v>Leve</v>
      </c>
      <c r="AE91" s="100">
        <f>IFERROR(IF(T91="Impacto",(P91-(+P91*W91)),IF(T91="Probabilidad",P91,"")),"")</f>
        <v>0.2</v>
      </c>
      <c r="AF91" s="101" t="str">
        <f t="shared" si="81"/>
        <v>Bajo</v>
      </c>
      <c r="AG91" s="102" t="s">
        <v>122</v>
      </c>
      <c r="AH91" s="79" t="s">
        <v>461</v>
      </c>
      <c r="AI91" s="92" t="s">
        <v>197</v>
      </c>
      <c r="AJ91" s="93" t="s">
        <v>395</v>
      </c>
      <c r="AK91" s="109" t="s">
        <v>205</v>
      </c>
      <c r="AL91" s="79" t="s">
        <v>396</v>
      </c>
      <c r="AM91" s="202" t="s">
        <v>653</v>
      </c>
      <c r="AN91" s="202" t="s">
        <v>719</v>
      </c>
      <c r="AO91" s="203">
        <v>0.5</v>
      </c>
      <c r="AP91" s="90" t="s">
        <v>720</v>
      </c>
      <c r="AQ91" s="90" t="s">
        <v>721</v>
      </c>
      <c r="AR91" s="203">
        <v>0.66</v>
      </c>
      <c r="AS91" s="103"/>
      <c r="AT91" s="103" t="s">
        <v>575</v>
      </c>
      <c r="AU91" s="92" t="s">
        <v>603</v>
      </c>
      <c r="AV91" s="92" t="s">
        <v>603</v>
      </c>
      <c r="AW91" s="92" t="s">
        <v>603</v>
      </c>
      <c r="AX91" s="92" t="s">
        <v>603</v>
      </c>
    </row>
    <row r="92" spans="1:50" s="114" customFormat="1" ht="151.5" hidden="1" customHeight="1" x14ac:dyDescent="0.25">
      <c r="A92" s="349"/>
      <c r="B92" s="347"/>
      <c r="C92" s="382"/>
      <c r="D92" s="382"/>
      <c r="E92" s="378"/>
      <c r="F92" s="378"/>
      <c r="G92" s="378"/>
      <c r="H92" s="363"/>
      <c r="I92" s="378"/>
      <c r="J92" s="371"/>
      <c r="K92" s="373"/>
      <c r="L92" s="344"/>
      <c r="M92" s="376"/>
      <c r="N92" s="180"/>
      <c r="O92" s="373"/>
      <c r="P92" s="344"/>
      <c r="Q92" s="368"/>
      <c r="R92" s="94">
        <v>2</v>
      </c>
      <c r="S92" s="79"/>
      <c r="T92" s="95" t="str">
        <f t="shared" si="77"/>
        <v/>
      </c>
      <c r="U92" s="96"/>
      <c r="V92" s="96"/>
      <c r="W92" s="97" t="str">
        <f t="shared" si="82"/>
        <v/>
      </c>
      <c r="X92" s="96"/>
      <c r="Y92" s="96"/>
      <c r="Z92" s="96"/>
      <c r="AA92" s="98" t="str">
        <f>IFERROR(IF(T92="Probabilidad",(L92-(+L92*W92)),IF(T92="Impacto",L92,"")),"")</f>
        <v/>
      </c>
      <c r="AB92" s="99" t="str">
        <f t="shared" ref="AB92" si="84">IFERROR(IF(AA92="","",IF(AA92&lt;=0.2,"Muy Baja",IF(AA92&lt;=0.4,"Baja",IF(AA92&lt;=0.6,"Media",IF(AA92&lt;=0.8,"Alta","Muy Alta"))))),"")</f>
        <v/>
      </c>
      <c r="AC92" s="100" t="str">
        <f t="shared" ref="AC92" si="85">+AA92</f>
        <v/>
      </c>
      <c r="AD92" s="99" t="str">
        <f t="shared" ref="AD92" si="86">IFERROR(IF(AE92="","",IF(AE92&lt;=0.2,"Leve",IF(AE92&lt;=0.4,"Menor",IF(AE92&lt;=0.6,"Moderado",IF(AE92&lt;=0.8,"Mayor","Catastrófico"))))),"")</f>
        <v/>
      </c>
      <c r="AE92" s="100" t="str">
        <f>IFERROR(IF(T92="Impacto",(P92-(+P92*W92)),IF(T92="Probabilidad",P92,"")),"")</f>
        <v/>
      </c>
      <c r="AF92" s="101" t="str">
        <f t="shared" ref="AF92" si="87">IFERROR(IF(OR(AND(AB92="Muy Baja",AD92="Leve"),AND(AB92="Muy Baja",AD92="Menor"),AND(AB92="Baja",AD92="Leve")),"Bajo",IF(OR(AND(AB92="Muy baja",AD92="Moderado"),AND(AB92="Baja",AD92="Menor"),AND(AB92="Baja",AD92="Moderado"),AND(AB92="Media",AD92="Leve"),AND(AB92="Media",AD92="Menor"),AND(AB92="Media",AD92="Moderado"),AND(AB92="Alta",AD92="Leve"),AND(AB92="Alta",AD92="Menor")),"Moderado",IF(OR(AND(AB92="Muy Baja",AD92="Mayor"),AND(AB92="Baja",AD92="Mayor"),AND(AB92="Media",AD92="Mayor"),AND(AB92="Alta",AD92="Moderado"),AND(AB92="Alta",AD92="Mayor"),AND(AB92="Muy Alta",AD92="Leve"),AND(AB92="Muy Alta",AD92="Menor"),AND(AB92="Muy Alta",AD92="Moderado"),AND(AB92="Muy Alta",AD92="Mayor")),"Alto",IF(OR(AND(AB92="Muy Baja",AD92="Catastrófico"),AND(AB92="Baja",AD92="Catastrófico"),AND(AB92="Media",AD92="Catastrófico"),AND(AB92="Alta",AD92="Catastrófico"),AND(AB92="Muy Alta",AD92="Catastrófico")),"Extremo","")))),"")</f>
        <v/>
      </c>
      <c r="AG92" s="102"/>
      <c r="AH92" s="79"/>
      <c r="AI92" s="92"/>
      <c r="AJ92" s="93"/>
      <c r="AK92" s="109"/>
      <c r="AL92" s="79"/>
      <c r="AM92" s="202"/>
      <c r="AN92" s="202"/>
      <c r="AO92" s="203"/>
      <c r="AP92" s="202"/>
      <c r="AQ92" s="202"/>
      <c r="AR92" s="203"/>
      <c r="AS92" s="103"/>
      <c r="AT92" s="103" t="s">
        <v>575</v>
      </c>
      <c r="AU92" s="92" t="s">
        <v>603</v>
      </c>
      <c r="AV92" s="92" t="s">
        <v>603</v>
      </c>
      <c r="AW92" s="92" t="s">
        <v>603</v>
      </c>
      <c r="AX92" s="92" t="s">
        <v>603</v>
      </c>
    </row>
    <row r="93" spans="1:50" s="114" customFormat="1" ht="151.5" hidden="1" customHeight="1" x14ac:dyDescent="0.25">
      <c r="A93" s="349"/>
      <c r="B93" s="348"/>
      <c r="C93" s="382"/>
      <c r="D93" s="382"/>
      <c r="E93" s="378"/>
      <c r="F93" s="378"/>
      <c r="G93" s="378"/>
      <c r="H93" s="363"/>
      <c r="I93" s="378"/>
      <c r="J93" s="371"/>
      <c r="K93" s="374"/>
      <c r="L93" s="345"/>
      <c r="M93" s="376"/>
      <c r="N93" s="180"/>
      <c r="O93" s="374"/>
      <c r="P93" s="345"/>
      <c r="Q93" s="369"/>
      <c r="R93" s="94">
        <v>3</v>
      </c>
      <c r="S93" s="186"/>
      <c r="T93" s="95" t="str">
        <f t="shared" ref="T93" si="88">IF(OR(U93="Preventivo",U93="Detectivo"),"Probabilidad",IF(U93="Correctivo","Impacto",""))</f>
        <v/>
      </c>
      <c r="U93" s="96"/>
      <c r="V93" s="96"/>
      <c r="W93" s="97" t="str">
        <f t="shared" ref="W93" si="89">IF(AND(U93="Preventivo",V93="Automático"),"50%",IF(AND(U93="Preventivo",V93="Manual"),"40%",IF(AND(U93="Detectivo",V93="Automático"),"40%",IF(AND(U93="Detectivo",V93="Manual"),"30%",IF(AND(U93="Correctivo",V93="Automático"),"35%",IF(AND(U93="Correctivo",V93="Manual"),"25%",""))))))</f>
        <v/>
      </c>
      <c r="X93" s="96"/>
      <c r="Y93" s="96"/>
      <c r="Z93" s="96"/>
      <c r="AA93" s="98" t="str">
        <f>IFERROR(IF(T93="Probabilidad",(L93-(+L93*W93)),IF(T93="Impacto",L93,"")),"")</f>
        <v/>
      </c>
      <c r="AB93" s="99" t="str">
        <f t="shared" ref="AB93" si="90">IFERROR(IF(AA93="","",IF(AA93&lt;=0.2,"Muy Baja",IF(AA93&lt;=0.4,"Baja",IF(AA93&lt;=0.6,"Media",IF(AA93&lt;=0.8,"Alta","Muy Alta"))))),"")</f>
        <v/>
      </c>
      <c r="AC93" s="100" t="str">
        <f t="shared" ref="AC93" si="91">+AA93</f>
        <v/>
      </c>
      <c r="AD93" s="99" t="str">
        <f t="shared" ref="AD93" si="92">IFERROR(IF(AE93="","",IF(AE93&lt;=0.2,"Leve",IF(AE93&lt;=0.4,"Menor",IF(AE93&lt;=0.6,"Moderado",IF(AE93&lt;=0.8,"Mayor","Catastrófico"))))),"")</f>
        <v/>
      </c>
      <c r="AE93" s="100" t="str">
        <f>IFERROR(IF(T93="Impacto",(P93-(+P93*W93)),IF(T93="Probabilidad",P93,"")),"")</f>
        <v/>
      </c>
      <c r="AF93" s="101" t="str">
        <f t="shared" ref="AF93" si="93">IFERROR(IF(OR(AND(AB93="Muy Baja",AD93="Leve"),AND(AB93="Muy Baja",AD93="Menor"),AND(AB93="Baja",AD93="Leve")),"Bajo",IF(OR(AND(AB93="Muy baja",AD93="Moderado"),AND(AB93="Baja",AD93="Menor"),AND(AB93="Baja",AD93="Moderado"),AND(AB93="Media",AD93="Leve"),AND(AB93="Media",AD93="Menor"),AND(AB93="Media",AD93="Moderado"),AND(AB93="Alta",AD93="Leve"),AND(AB93="Alta",AD93="Menor")),"Moderado",IF(OR(AND(AB93="Muy Baja",AD93="Mayor"),AND(AB93="Baja",AD93="Mayor"),AND(AB93="Media",AD93="Mayor"),AND(AB93="Alta",AD93="Moderado"),AND(AB93="Alta",AD93="Mayor"),AND(AB93="Muy Alta",AD93="Leve"),AND(AB93="Muy Alta",AD93="Menor"),AND(AB93="Muy Alta",AD93="Moderado"),AND(AB93="Muy Alta",AD93="Mayor")),"Alto",IF(OR(AND(AB93="Muy Baja",AD93="Catastrófico"),AND(AB93="Baja",AD93="Catastrófico"),AND(AB93="Media",AD93="Catastrófico"),AND(AB93="Alta",AD93="Catastrófico"),AND(AB93="Muy Alta",AD93="Catastrófico")),"Extremo","")))),"")</f>
        <v/>
      </c>
      <c r="AG93" s="102"/>
      <c r="AH93" s="186"/>
      <c r="AI93" s="151"/>
      <c r="AJ93" s="151"/>
      <c r="AK93" s="151"/>
      <c r="AL93" s="186"/>
      <c r="AM93" s="202"/>
      <c r="AN93" s="202"/>
      <c r="AO93" s="203"/>
      <c r="AP93" s="202"/>
      <c r="AQ93" s="202"/>
      <c r="AR93" s="203"/>
      <c r="AS93" s="103"/>
      <c r="AT93" s="103" t="s">
        <v>575</v>
      </c>
      <c r="AU93" s="92" t="s">
        <v>603</v>
      </c>
      <c r="AV93" s="92" t="s">
        <v>603</v>
      </c>
      <c r="AW93" s="92" t="s">
        <v>603</v>
      </c>
      <c r="AX93" s="92" t="s">
        <v>603</v>
      </c>
    </row>
    <row r="94" spans="1:50" s="114" customFormat="1" ht="256.5" customHeight="1" x14ac:dyDescent="0.25">
      <c r="A94" s="349">
        <f>1+A91</f>
        <v>29</v>
      </c>
      <c r="B94" s="346" t="s">
        <v>386</v>
      </c>
      <c r="C94" s="379" t="s">
        <v>387</v>
      </c>
      <c r="D94" s="379" t="s">
        <v>388</v>
      </c>
      <c r="E94" s="377" t="s">
        <v>118</v>
      </c>
      <c r="F94" s="377" t="s">
        <v>390</v>
      </c>
      <c r="G94" s="377" t="s">
        <v>463</v>
      </c>
      <c r="H94" s="362" t="s">
        <v>462</v>
      </c>
      <c r="I94" s="377" t="s">
        <v>217</v>
      </c>
      <c r="J94" s="370">
        <v>12</v>
      </c>
      <c r="K94" s="372" t="str">
        <f>IF(J94&lt;=0,"",IF(J94&lt;=2,"Muy Baja",IF(J94&lt;=24,"Baja",IF(J94&lt;=500,"Media",IF(J94&lt;=5000,"Alta","Muy Alta")))))</f>
        <v>Baja</v>
      </c>
      <c r="L94" s="343">
        <f>IF(K94="","",IF(K94="Muy Baja",0.2,IF(K94="Baja",0.4,IF(K94="Media",0.6,IF(K94="Alta",0.8,IF(K94="Muy Alta",1,))))))</f>
        <v>0.4</v>
      </c>
      <c r="M94" s="375" t="s">
        <v>253</v>
      </c>
      <c r="N94" s="179" t="str">
        <f>IF(NOT(ISERROR(MATCH(M94,'Tabla Impacto'!$B$221:$B$223,0))),'Tabla Impacto'!$F$223&amp;"Por favor no seleccionar los criterios de impacto(Afectación Económica o presupuestal y Pérdida Reputacional)",M94)</f>
        <v xml:space="preserve"> El riesgo afecta la imagen de la entidad internamente, de conocimiento general, nivel interno, de junta directiva y accionistas y/o de proveedores</v>
      </c>
      <c r="O94" s="372" t="str">
        <f>IF(OR(N94='Tabla Impacto'!$C$11,N94='Tabla Impacto'!$D$11),"Leve",IF(OR(N94='Tabla Impacto'!$C$12,N94='Tabla Impacto'!$D$12),"Menor",IF(OR(N94='Tabla Impacto'!$C$13,N94='Tabla Impacto'!$D$13),"Moderado",IF(OR(N94='Tabla Impacto'!$C$14,N94='Tabla Impacto'!$D$14),"Mayor",IF(OR(N94='Tabla Impacto'!$C$15,N94='Tabla Impacto'!$D$15),"Catastrófico","")))))</f>
        <v>Menor</v>
      </c>
      <c r="P94" s="343">
        <f>IF(O94="","",IF(O94="Leve",0.2,IF(O94="Menor",0.4,IF(O94="Moderado",0.6,IF(O94="Mayor",0.8,IF(O94="Catastrófico",1,))))))</f>
        <v>0.4</v>
      </c>
      <c r="Q94" s="367" t="str">
        <f>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Moderado</v>
      </c>
      <c r="R94" s="94">
        <v>1</v>
      </c>
      <c r="S94" s="79" t="s">
        <v>464</v>
      </c>
      <c r="T94" s="95" t="str">
        <f>IF(OR(U94="Preventivo",U94="Detectivo"),"Probabilidad",IF(U94="Correctivo","Impacto",""))</f>
        <v>Probabilidad</v>
      </c>
      <c r="U94" s="96" t="s">
        <v>15</v>
      </c>
      <c r="V94" s="96" t="s">
        <v>9</v>
      </c>
      <c r="W94" s="97" t="str">
        <f>IF(AND(U94="Preventivo",V94="Automático"),"50%",IF(AND(U94="Preventivo",V94="Manual"),"40%",IF(AND(U94="Detectivo",V94="Automático"),"40%",IF(AND(U94="Detectivo",V94="Manual"),"30%",IF(AND(U94="Correctivo",V94="Automático"),"35%",IF(AND(U94="Correctivo",V94="Manual"),"25%",""))))))</f>
        <v>30%</v>
      </c>
      <c r="X94" s="96" t="s">
        <v>19</v>
      </c>
      <c r="Y94" s="96" t="s">
        <v>22</v>
      </c>
      <c r="Z94" s="96" t="s">
        <v>110</v>
      </c>
      <c r="AA94" s="98">
        <f>IFERROR(IF(T94="Probabilidad",(AA91-(+AA91*W94)),IF(T94="Impacto",L92,"")),"")</f>
        <v>0.16799999999999998</v>
      </c>
      <c r="AB94" s="99" t="str">
        <f>IFERROR(IF(AA94="","",IF(AA94&lt;=0.2,"Muy Baja",IF(AA94&lt;=0.4,"Baja",IF(AA94&lt;=0.6,"Media",IF(AA94&lt;=0.8,"Alta","Muy Alta"))))),"")</f>
        <v>Muy Baja</v>
      </c>
      <c r="AC94" s="100">
        <f>+AA94</f>
        <v>0.16799999999999998</v>
      </c>
      <c r="AD94" s="99" t="str">
        <f>IFERROR(IF(AE94="","",IF(AE94&lt;=0.2,"Leve",IF(AE94&lt;=0.4,"Menor",IF(AE94&lt;=0.6,"Moderado",IF(AE94&lt;=0.8,"Mayor","Catastrófico"))))),"")</f>
        <v>Leve</v>
      </c>
      <c r="AE94" s="100">
        <f>+AE91</f>
        <v>0.2</v>
      </c>
      <c r="AF94" s="101" t="str">
        <f>IFERROR(IF(OR(AND(AB94="Muy Baja",AD94="Leve"),AND(AB94="Muy Baja",AD94="Menor"),AND(AB94="Baja",AD94="Leve")),"Bajo",IF(OR(AND(AB94="Muy baja",AD94="Moderado"),AND(AB94="Baja",AD94="Menor"),AND(AB94="Baja",AD94="Moderado"),AND(AB94="Media",AD94="Leve"),AND(AB94="Media",AD94="Menor"),AND(AB94="Media",AD94="Moderado"),AND(AB94="Alta",AD94="Leve"),AND(AB94="Alta",AD94="Menor")),"Moderado",IF(OR(AND(AB94="Muy Baja",AD94="Mayor"),AND(AB94="Baja",AD94="Mayor"),AND(AB94="Media",AD94="Mayor"),AND(AB94="Alta",AD94="Moderado"),AND(AB94="Alta",AD94="Mayor"),AND(AB94="Muy Alta",AD94="Leve"),AND(AB94="Muy Alta",AD94="Menor"),AND(AB94="Muy Alta",AD94="Moderado"),AND(AB94="Muy Alta",AD94="Mayor")),"Alto",IF(OR(AND(AB94="Muy Baja",AD94="Catastrófico"),AND(AB94="Baja",AD94="Catastrófico"),AND(AB94="Media",AD94="Catastrófico"),AND(AB94="Alta",AD94="Catastrófico"),AND(AB94="Muy Alta",AD94="Catastrófico")),"Extremo","")))),"")</f>
        <v>Bajo</v>
      </c>
      <c r="AG94" s="102" t="s">
        <v>122</v>
      </c>
      <c r="AH94" s="91" t="s">
        <v>465</v>
      </c>
      <c r="AI94" s="92" t="s">
        <v>202</v>
      </c>
      <c r="AJ94" s="93" t="s">
        <v>395</v>
      </c>
      <c r="AK94" s="109" t="s">
        <v>205</v>
      </c>
      <c r="AL94" s="79" t="s">
        <v>397</v>
      </c>
      <c r="AM94" s="79" t="s">
        <v>783</v>
      </c>
      <c r="AN94" s="202" t="s">
        <v>784</v>
      </c>
      <c r="AO94" s="203">
        <v>0.5</v>
      </c>
      <c r="AP94" s="202" t="s">
        <v>761</v>
      </c>
      <c r="AQ94" s="202" t="s">
        <v>763</v>
      </c>
      <c r="AR94" s="203">
        <v>0.5</v>
      </c>
      <c r="AS94" s="103"/>
      <c r="AT94" s="103" t="s">
        <v>575</v>
      </c>
      <c r="AU94" s="92" t="s">
        <v>603</v>
      </c>
      <c r="AV94" s="92" t="s">
        <v>603</v>
      </c>
      <c r="AW94" s="92" t="s">
        <v>603</v>
      </c>
      <c r="AX94" s="92" t="s">
        <v>603</v>
      </c>
    </row>
    <row r="95" spans="1:50" s="114" customFormat="1" ht="151.5" hidden="1" customHeight="1" x14ac:dyDescent="0.25">
      <c r="A95" s="349"/>
      <c r="B95" s="347"/>
      <c r="C95" s="382"/>
      <c r="D95" s="382"/>
      <c r="E95" s="378"/>
      <c r="F95" s="378"/>
      <c r="G95" s="378"/>
      <c r="H95" s="363"/>
      <c r="I95" s="378"/>
      <c r="J95" s="371"/>
      <c r="K95" s="373"/>
      <c r="L95" s="344"/>
      <c r="M95" s="376"/>
      <c r="N95" s="180"/>
      <c r="O95" s="373"/>
      <c r="P95" s="344"/>
      <c r="Q95" s="368"/>
      <c r="R95" s="94">
        <v>2</v>
      </c>
      <c r="S95" s="79"/>
      <c r="T95" s="95"/>
      <c r="U95" s="96"/>
      <c r="V95" s="96"/>
      <c r="W95" s="97"/>
      <c r="X95" s="96"/>
      <c r="Y95" s="96"/>
      <c r="Z95" s="96"/>
      <c r="AA95" s="106"/>
      <c r="AB95" s="99"/>
      <c r="AC95" s="100"/>
      <c r="AD95" s="99"/>
      <c r="AE95" s="100"/>
      <c r="AF95" s="101"/>
      <c r="AG95" s="102"/>
      <c r="AH95" s="79"/>
      <c r="AI95" s="92"/>
      <c r="AJ95" s="93"/>
      <c r="AK95" s="109"/>
      <c r="AL95" s="79"/>
      <c r="AM95" s="202"/>
      <c r="AN95" s="202"/>
      <c r="AO95" s="203"/>
      <c r="AP95" s="202"/>
      <c r="AQ95" s="202"/>
      <c r="AR95" s="203"/>
      <c r="AS95" s="103"/>
      <c r="AT95" s="103" t="s">
        <v>575</v>
      </c>
      <c r="AU95" s="92" t="s">
        <v>603</v>
      </c>
      <c r="AV95" s="92" t="s">
        <v>603</v>
      </c>
      <c r="AW95" s="92" t="s">
        <v>603</v>
      </c>
      <c r="AX95" s="92" t="s">
        <v>603</v>
      </c>
    </row>
    <row r="96" spans="1:50" s="114" customFormat="1" ht="151.5" hidden="1" customHeight="1" x14ac:dyDescent="0.25">
      <c r="A96" s="349"/>
      <c r="B96" s="348"/>
      <c r="C96" s="382"/>
      <c r="D96" s="382"/>
      <c r="E96" s="378"/>
      <c r="F96" s="378"/>
      <c r="G96" s="378"/>
      <c r="H96" s="363"/>
      <c r="I96" s="378"/>
      <c r="J96" s="371"/>
      <c r="K96" s="374"/>
      <c r="L96" s="345"/>
      <c r="M96" s="376"/>
      <c r="N96" s="180"/>
      <c r="O96" s="374"/>
      <c r="P96" s="345"/>
      <c r="Q96" s="369"/>
      <c r="R96" s="94">
        <v>3</v>
      </c>
      <c r="S96" s="79"/>
      <c r="T96" s="95"/>
      <c r="U96" s="96"/>
      <c r="V96" s="96"/>
      <c r="W96" s="97"/>
      <c r="X96" s="96"/>
      <c r="Y96" s="96"/>
      <c r="Z96" s="96"/>
      <c r="AA96" s="106"/>
      <c r="AB96" s="99"/>
      <c r="AC96" s="100"/>
      <c r="AD96" s="99"/>
      <c r="AE96" s="100"/>
      <c r="AF96" s="101"/>
      <c r="AG96" s="102"/>
      <c r="AH96" s="79"/>
      <c r="AI96" s="92"/>
      <c r="AJ96" s="93"/>
      <c r="AK96" s="109"/>
      <c r="AL96" s="79"/>
      <c r="AM96" s="202"/>
      <c r="AN96" s="202"/>
      <c r="AO96" s="203"/>
      <c r="AP96" s="202"/>
      <c r="AQ96" s="202"/>
      <c r="AR96" s="203"/>
      <c r="AS96" s="103"/>
      <c r="AT96" s="103" t="s">
        <v>575</v>
      </c>
      <c r="AU96" s="92" t="s">
        <v>603</v>
      </c>
      <c r="AV96" s="92" t="s">
        <v>603</v>
      </c>
      <c r="AW96" s="92" t="s">
        <v>603</v>
      </c>
      <c r="AX96" s="92" t="s">
        <v>603</v>
      </c>
    </row>
    <row r="97" spans="1:50" s="114" customFormat="1" ht="151.5" customHeight="1" x14ac:dyDescent="0.25">
      <c r="A97" s="349">
        <f>1+A94</f>
        <v>30</v>
      </c>
      <c r="B97" s="346" t="s">
        <v>386</v>
      </c>
      <c r="C97" s="379" t="s">
        <v>387</v>
      </c>
      <c r="D97" s="379" t="s">
        <v>388</v>
      </c>
      <c r="E97" s="377" t="s">
        <v>120</v>
      </c>
      <c r="F97" s="377" t="s">
        <v>391</v>
      </c>
      <c r="G97" s="377" t="s">
        <v>223</v>
      </c>
      <c r="H97" s="362" t="s">
        <v>394</v>
      </c>
      <c r="I97" s="377" t="s">
        <v>115</v>
      </c>
      <c r="J97" s="370">
        <v>20</v>
      </c>
      <c r="K97" s="372" t="str">
        <f>IF(J97&lt;=0,"",IF(J97&lt;=2,"Muy Baja",IF(J97&lt;=24,"Baja",IF(J97&lt;=500,"Media",IF(J97&lt;=5000,"Alta","Muy Alta")))))</f>
        <v>Baja</v>
      </c>
      <c r="L97" s="343">
        <f>IF(K97="","",IF(K97="Muy Baja",0.2,IF(K97="Baja",0.4,IF(K97="Media",0.6,IF(K97="Alta",0.8,IF(K97="Muy Alta",1,))))))</f>
        <v>0.4</v>
      </c>
      <c r="M97" s="375" t="s">
        <v>248</v>
      </c>
      <c r="N97" s="179" t="str">
        <f>IF(NOT(ISERROR(MATCH(M97,'Tabla Impacto'!$B$221:$B$223,0))),'Tabla Impacto'!$F$223&amp;"Por favor no seleccionar los criterios de impacto(Afectación Económica o presupuestal y Pérdida Reputacional)",M97)</f>
        <v xml:space="preserve"> El riesgo afecta la imagen de la entidad con algunos usuarios de relevancia frente al logro de los objetivos</v>
      </c>
      <c r="O97" s="372" t="str">
        <f>IF(OR(N97='Tabla Impacto'!$C$11,N97='Tabla Impacto'!$D$11),"Leve",IF(OR(N97='Tabla Impacto'!$C$12,N97='Tabla Impacto'!$D$12),"Menor",IF(OR(N97='Tabla Impacto'!$C$13,N97='Tabla Impacto'!$D$13),"Moderado",IF(OR(N97='Tabla Impacto'!$C$14,N97='Tabla Impacto'!$D$14),"Mayor",IF(OR(N97='Tabla Impacto'!$C$15,N97='Tabla Impacto'!$D$15),"Catastrófico","")))))</f>
        <v>Moderado</v>
      </c>
      <c r="P97" s="343">
        <f>IF(O97="","",IF(O97="Leve",0.2,IF(O97="Menor",0.4,IF(O97="Moderado",0.6,IF(O97="Mayor",0.8,IF(O97="Catastrófico",1,))))))</f>
        <v>0.6</v>
      </c>
      <c r="Q97" s="367"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Moderado</v>
      </c>
      <c r="R97" s="94">
        <v>1</v>
      </c>
      <c r="S97" s="79" t="s">
        <v>464</v>
      </c>
      <c r="T97" s="95" t="str">
        <f>IF(OR(U97="Preventivo",U97="Detectivo"),"Probabilidad",IF(U97="Correctivo","Impacto",""))</f>
        <v>Probabilidad</v>
      </c>
      <c r="U97" s="96" t="s">
        <v>15</v>
      </c>
      <c r="V97" s="96" t="s">
        <v>9</v>
      </c>
      <c r="W97" s="97" t="str">
        <f>IF(AND(U97="Preventivo",V97="Automático"),"50%",IF(AND(U97="Preventivo",V97="Manual"),"40%",IF(AND(U97="Detectivo",V97="Automático"),"40%",IF(AND(U97="Detectivo",V97="Manual"),"30%",IF(AND(U97="Correctivo",V97="Automático"),"35%",IF(AND(U97="Correctivo",V97="Manual"),"25%",""))))))</f>
        <v>30%</v>
      </c>
      <c r="X97" s="96" t="s">
        <v>19</v>
      </c>
      <c r="Y97" s="96" t="s">
        <v>22</v>
      </c>
      <c r="Z97" s="96" t="s">
        <v>110</v>
      </c>
      <c r="AA97" s="98">
        <f>IFERROR(IF(T97="Probabilidad",(AA94-(+AA94*W97)),IF(T97="Impacto",L93,"")),"")</f>
        <v>0.11759999999999998</v>
      </c>
      <c r="AB97" s="99" t="str">
        <f>IFERROR(IF(AA97="","",IF(AA97&lt;=0.2,"Muy Baja",IF(AA97&lt;=0.4,"Baja",IF(AA97&lt;=0.6,"Media",IF(AA97&lt;=0.8,"Alta","Muy Alta"))))),"")</f>
        <v>Muy Baja</v>
      </c>
      <c r="AC97" s="100">
        <f>+AA97</f>
        <v>0.11759999999999998</v>
      </c>
      <c r="AD97" s="99" t="str">
        <f>IFERROR(IF(AE97="","",IF(AE97&lt;=0.2,"Leve",IF(AE97&lt;=0.4,"Menor",IF(AE97&lt;=0.6,"Moderado",IF(AE97&lt;=0.8,"Mayor","Catastrófico"))))),"")</f>
        <v>Leve</v>
      </c>
      <c r="AE97" s="100">
        <f>+P91</f>
        <v>0.2</v>
      </c>
      <c r="AF97" s="101" t="str">
        <f>IFERROR(IF(OR(AND(AB97="Muy Baja",AD97="Leve"),AND(AB97="Muy Baja",AD97="Menor"),AND(AB97="Baja",AD97="Leve")),"Bajo",IF(OR(AND(AB97="Muy baja",AD97="Moderado"),AND(AB97="Baja",AD97="Menor"),AND(AB97="Baja",AD97="Moderado"),AND(AB97="Media",AD97="Leve"),AND(AB97="Media",AD97="Menor"),AND(AB97="Media",AD97="Moderado"),AND(AB97="Alta",AD97="Leve"),AND(AB97="Alta",AD97="Menor")),"Moderado",IF(OR(AND(AB97="Muy Baja",AD97="Mayor"),AND(AB97="Baja",AD97="Mayor"),AND(AB97="Media",AD97="Mayor"),AND(AB97="Alta",AD97="Moderado"),AND(AB97="Alta",AD97="Mayor"),AND(AB97="Muy Alta",AD97="Leve"),AND(AB97="Muy Alta",AD97="Menor"),AND(AB97="Muy Alta",AD97="Moderado"),AND(AB97="Muy Alta",AD97="Mayor")),"Alto",IF(OR(AND(AB97="Muy Baja",AD97="Catastrófico"),AND(AB97="Baja",AD97="Catastrófico"),AND(AB97="Media",AD97="Catastrófico"),AND(AB97="Alta",AD97="Catastrófico"),AND(AB97="Muy Alta",AD97="Catastrófico")),"Extremo","")))),"")</f>
        <v>Bajo</v>
      </c>
      <c r="AG97" s="102" t="s">
        <v>122</v>
      </c>
      <c r="AH97" s="79" t="s">
        <v>398</v>
      </c>
      <c r="AI97" s="92" t="s">
        <v>197</v>
      </c>
      <c r="AJ97" s="93" t="s">
        <v>395</v>
      </c>
      <c r="AK97" s="109" t="s">
        <v>205</v>
      </c>
      <c r="AL97" s="79" t="s">
        <v>224</v>
      </c>
      <c r="AM97" s="202" t="s">
        <v>764</v>
      </c>
      <c r="AN97" s="202" t="s">
        <v>785</v>
      </c>
      <c r="AO97" s="203">
        <v>0.5</v>
      </c>
      <c r="AP97" s="202" t="s">
        <v>765</v>
      </c>
      <c r="AQ97" s="202" t="s">
        <v>762</v>
      </c>
      <c r="AR97" s="203">
        <v>0.5</v>
      </c>
      <c r="AS97" s="103"/>
      <c r="AT97" s="103" t="s">
        <v>575</v>
      </c>
      <c r="AU97" s="92" t="s">
        <v>603</v>
      </c>
      <c r="AV97" s="92" t="s">
        <v>603</v>
      </c>
      <c r="AW97" s="92" t="s">
        <v>603</v>
      </c>
      <c r="AX97" s="92" t="s">
        <v>603</v>
      </c>
    </row>
    <row r="98" spans="1:50" s="114" customFormat="1" ht="151.5" hidden="1" customHeight="1" x14ac:dyDescent="0.25">
      <c r="A98" s="349"/>
      <c r="B98" s="347"/>
      <c r="C98" s="382"/>
      <c r="D98" s="382"/>
      <c r="E98" s="378"/>
      <c r="F98" s="378"/>
      <c r="G98" s="378"/>
      <c r="H98" s="363"/>
      <c r="I98" s="378"/>
      <c r="J98" s="371"/>
      <c r="K98" s="373"/>
      <c r="L98" s="344"/>
      <c r="M98" s="376"/>
      <c r="N98" s="180"/>
      <c r="O98" s="373"/>
      <c r="P98" s="344"/>
      <c r="Q98" s="368"/>
      <c r="R98" s="94">
        <v>2</v>
      </c>
      <c r="S98" s="79"/>
      <c r="T98" s="95" t="str">
        <f t="shared" ref="T98:T105" si="94">IF(OR(U98="Preventivo",U98="Detectivo"),"Probabilidad",IF(U98="Correctivo","Impacto",""))</f>
        <v/>
      </c>
      <c r="U98" s="96"/>
      <c r="V98" s="96"/>
      <c r="W98" s="97"/>
      <c r="X98" s="96"/>
      <c r="Y98" s="96"/>
      <c r="Z98" s="96"/>
      <c r="AA98" s="98" t="str">
        <f>IFERROR(IF(T98="Probabilidad",(#REF!-(+#REF!*W98)),IF(T98="Impacto",L98,"")),"")</f>
        <v/>
      </c>
      <c r="AB98" s="99" t="str">
        <f t="shared" ref="AB98:AB105" si="95">IFERROR(IF(AA98="","",IF(AA98&lt;=0.2,"Muy Baja",IF(AA98&lt;=0.4,"Baja",IF(AA98&lt;=0.6,"Media",IF(AA98&lt;=0.8,"Alta","Muy Alta"))))),"")</f>
        <v/>
      </c>
      <c r="AC98" s="100" t="str">
        <f t="shared" ref="AC98:AC105" si="96">+AA98</f>
        <v/>
      </c>
      <c r="AD98" s="99" t="str">
        <f t="shared" ref="AD98:AD105" si="97">IFERROR(IF(AE98="","",IF(AE98&lt;=0.2,"Leve",IF(AE98&lt;=0.4,"Menor",IF(AE98&lt;=0.6,"Moderado",IF(AE98&lt;=0.8,"Mayor","Catastrófico"))))),"")</f>
        <v/>
      </c>
      <c r="AE98" s="100" t="str">
        <f t="shared" ref="AE98:AE105" si="98">IFERROR(IF(T98="Impacto",(P98-(+P98*W98)),IF(T98="Probabilidad",P98,"")),"")</f>
        <v/>
      </c>
      <c r="AF98" s="101" t="str">
        <f t="shared" ref="AF98:AF105" si="99">IFERROR(IF(OR(AND(AB98="Muy Baja",AD98="Leve"),AND(AB98="Muy Baja",AD98="Menor"),AND(AB98="Baja",AD98="Leve")),"Bajo",IF(OR(AND(AB98="Muy baja",AD98="Moderado"),AND(AB98="Baja",AD98="Menor"),AND(AB98="Baja",AD98="Moderado"),AND(AB98="Media",AD98="Leve"),AND(AB98="Media",AD98="Menor"),AND(AB98="Media",AD98="Moderado"),AND(AB98="Alta",AD98="Leve"),AND(AB98="Alta",AD98="Menor")),"Moderado",IF(OR(AND(AB98="Muy Baja",AD98="Mayor"),AND(AB98="Baja",AD98="Mayor"),AND(AB98="Media",AD98="Mayor"),AND(AB98="Alta",AD98="Moderado"),AND(AB98="Alta",AD98="Mayor"),AND(AB98="Muy Alta",AD98="Leve"),AND(AB98="Muy Alta",AD98="Menor"),AND(AB98="Muy Alta",AD98="Moderado"),AND(AB98="Muy Alta",AD98="Mayor")),"Alto",IF(OR(AND(AB98="Muy Baja",AD98="Catastrófico"),AND(AB98="Baja",AD98="Catastrófico"),AND(AB98="Media",AD98="Catastrófico"),AND(AB98="Alta",AD98="Catastrófico"),AND(AB98="Muy Alta",AD98="Catastrófico")),"Extremo","")))),"")</f>
        <v/>
      </c>
      <c r="AG98" s="102"/>
      <c r="AH98" s="79"/>
      <c r="AI98" s="92"/>
      <c r="AJ98" s="103"/>
      <c r="AK98" s="103"/>
      <c r="AL98" s="79"/>
      <c r="AM98" s="202"/>
      <c r="AN98" s="202"/>
      <c r="AO98" s="203"/>
      <c r="AP98" s="202"/>
      <c r="AQ98" s="202"/>
      <c r="AR98" s="203"/>
      <c r="AS98" s="103"/>
      <c r="AT98" s="103" t="s">
        <v>575</v>
      </c>
      <c r="AU98" s="92" t="s">
        <v>603</v>
      </c>
      <c r="AV98" s="92" t="s">
        <v>603</v>
      </c>
      <c r="AW98" s="92" t="s">
        <v>603</v>
      </c>
      <c r="AX98" s="92" t="s">
        <v>603</v>
      </c>
    </row>
    <row r="99" spans="1:50" s="114" customFormat="1" ht="151.5" hidden="1" customHeight="1" x14ac:dyDescent="0.25">
      <c r="A99" s="349"/>
      <c r="B99" s="348"/>
      <c r="C99" s="382"/>
      <c r="D99" s="382"/>
      <c r="E99" s="378"/>
      <c r="F99" s="378"/>
      <c r="G99" s="378"/>
      <c r="H99" s="363"/>
      <c r="I99" s="378"/>
      <c r="J99" s="371"/>
      <c r="K99" s="374"/>
      <c r="L99" s="345"/>
      <c r="M99" s="376"/>
      <c r="N99" s="180"/>
      <c r="O99" s="374"/>
      <c r="P99" s="345"/>
      <c r="Q99" s="369"/>
      <c r="R99" s="94">
        <v>3</v>
      </c>
      <c r="S99" s="79"/>
      <c r="T99" s="95" t="str">
        <f t="shared" si="94"/>
        <v/>
      </c>
      <c r="U99" s="96"/>
      <c r="V99" s="96"/>
      <c r="W99" s="97"/>
      <c r="X99" s="96"/>
      <c r="Y99" s="96"/>
      <c r="Z99" s="96"/>
      <c r="AA99" s="98" t="str">
        <f>IFERROR(IF(T99="Probabilidad",(AA98-(+AA98*W99)),IF(T99="Impacto",L99,"")),"")</f>
        <v/>
      </c>
      <c r="AB99" s="99" t="str">
        <f t="shared" si="95"/>
        <v/>
      </c>
      <c r="AC99" s="100" t="str">
        <f t="shared" si="96"/>
        <v/>
      </c>
      <c r="AD99" s="99" t="str">
        <f t="shared" si="97"/>
        <v/>
      </c>
      <c r="AE99" s="100" t="str">
        <f t="shared" si="98"/>
        <v/>
      </c>
      <c r="AF99" s="101" t="str">
        <f t="shared" si="99"/>
        <v/>
      </c>
      <c r="AG99" s="102"/>
      <c r="AH99" s="79"/>
      <c r="AI99" s="92"/>
      <c r="AJ99" s="103"/>
      <c r="AK99" s="103"/>
      <c r="AL99" s="79"/>
      <c r="AM99" s="202"/>
      <c r="AN99" s="202"/>
      <c r="AO99" s="203"/>
      <c r="AP99" s="202"/>
      <c r="AQ99" s="202"/>
      <c r="AR99" s="203"/>
      <c r="AS99" s="103"/>
      <c r="AT99" s="103" t="s">
        <v>575</v>
      </c>
      <c r="AU99" s="92" t="s">
        <v>603</v>
      </c>
      <c r="AV99" s="92" t="s">
        <v>603</v>
      </c>
      <c r="AW99" s="92" t="s">
        <v>603</v>
      </c>
      <c r="AX99" s="92" t="s">
        <v>603</v>
      </c>
    </row>
    <row r="100" spans="1:50" s="114" customFormat="1" ht="176.45" customHeight="1" x14ac:dyDescent="0.25">
      <c r="A100" s="349">
        <f>1+A97</f>
        <v>31</v>
      </c>
      <c r="B100" s="384" t="s">
        <v>399</v>
      </c>
      <c r="C100" s="379" t="s">
        <v>428</v>
      </c>
      <c r="D100" s="379" t="s">
        <v>400</v>
      </c>
      <c r="E100" s="377" t="s">
        <v>118</v>
      </c>
      <c r="F100" s="377" t="s">
        <v>401</v>
      </c>
      <c r="G100" s="377" t="s">
        <v>402</v>
      </c>
      <c r="H100" s="362" t="s">
        <v>403</v>
      </c>
      <c r="I100" s="377" t="s">
        <v>115</v>
      </c>
      <c r="J100" s="370">
        <v>30</v>
      </c>
      <c r="K100" s="372" t="str">
        <f>IF(J100&lt;=0,"",IF(J100&lt;=2,"Muy Baja",IF(J100&lt;=24,"Baja",IF(J100&lt;=500,"Media",IF(J100&lt;=5000,"Alta","Muy Alta")))))</f>
        <v>Media</v>
      </c>
      <c r="L100" s="343">
        <f>IF(K100="","",IF(K100="Muy Baja",0.2,IF(K100="Baja",0.4,IF(K100="Media",0.6,IF(K100="Alta",0.8,IF(K100="Muy Alta",1,))))))</f>
        <v>0.6</v>
      </c>
      <c r="M100" s="375" t="s">
        <v>255</v>
      </c>
      <c r="N100" s="179" t="str">
        <f>IF(NOT(ISERROR(MATCH(M100,'Tabla Impacto'!$B$221:$B$223,0))),'Tabla Impacto'!$F$223&amp;"Por favor no seleccionar los criterios de impacto(Afectación Económica o presupuestal y Pérdida Reputacional)",M100)</f>
        <v xml:space="preserve"> El riesgo afecta la imagen de la entidad con efecto publicitario sostenido a nivel de sector administrativo, nivel departamental o municipal</v>
      </c>
      <c r="O100" s="372" t="str">
        <f>IF(OR(N100='Tabla Impacto'!$C$11,N100='Tabla Impacto'!$D$11),"Leve",IF(OR(N100='Tabla Impacto'!$C$12,N100='Tabla Impacto'!$D$12),"Menor",IF(OR(N100='Tabla Impacto'!$C$13,N100='Tabla Impacto'!$D$13),"Moderado",IF(OR(N100='Tabla Impacto'!$C$14,N100='Tabla Impacto'!$D$14),"Mayor",IF(OR(N100='Tabla Impacto'!$C$15,N100='Tabla Impacto'!$D$15),"Catastrófico","")))))</f>
        <v>Mayor</v>
      </c>
      <c r="P100" s="343">
        <f>IF(O100="","",IF(O100="Leve",0.2,IF(O100="Menor",0.4,IF(O100="Moderado",0.6,IF(O100="Mayor",0.8,IF(O100="Catastrófico",1,))))))</f>
        <v>0.8</v>
      </c>
      <c r="Q100" s="367" t="str">
        <f>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Alto</v>
      </c>
      <c r="R100" s="94">
        <v>1</v>
      </c>
      <c r="S100" s="79" t="s">
        <v>404</v>
      </c>
      <c r="T100" s="95" t="str">
        <f t="shared" si="94"/>
        <v>Probabilidad</v>
      </c>
      <c r="U100" s="96" t="s">
        <v>14</v>
      </c>
      <c r="V100" s="96" t="s">
        <v>9</v>
      </c>
      <c r="W100" s="97" t="str">
        <f>IF(AND(U100="Preventivo",V100="Automático"),"50%",IF(AND(U100="Preventivo",V100="Manual"),"40%",IF(AND(U100="Detectivo",V100="Automático"),"40%",IF(AND(U100="Detectivo",V100="Manual"),"30%",IF(AND(U100="Correctivo",V100="Automático"),"35%",IF(AND(U100="Correctivo",V100="Manual"),"25%",""))))))</f>
        <v>40%</v>
      </c>
      <c r="X100" s="96" t="s">
        <v>19</v>
      </c>
      <c r="Y100" s="96" t="s">
        <v>22</v>
      </c>
      <c r="Z100" s="96" t="s">
        <v>110</v>
      </c>
      <c r="AA100" s="111">
        <f>IFERROR(IF(T100="Probabilidad",(L100-(+L100*W100)),IF(T100="Impacto",L100,"")),"")</f>
        <v>0.36</v>
      </c>
      <c r="AB100" s="99" t="str">
        <f t="shared" si="95"/>
        <v>Baja</v>
      </c>
      <c r="AC100" s="100">
        <f t="shared" si="96"/>
        <v>0.36</v>
      </c>
      <c r="AD100" s="99" t="str">
        <f t="shared" si="97"/>
        <v>Mayor</v>
      </c>
      <c r="AE100" s="100">
        <f t="shared" si="98"/>
        <v>0.8</v>
      </c>
      <c r="AF100" s="101" t="str">
        <f t="shared" si="99"/>
        <v>Alto</v>
      </c>
      <c r="AG100" s="102" t="s">
        <v>122</v>
      </c>
      <c r="AH100" s="91" t="s">
        <v>405</v>
      </c>
      <c r="AI100" s="86" t="s">
        <v>197</v>
      </c>
      <c r="AJ100" s="93" t="s">
        <v>281</v>
      </c>
      <c r="AK100" s="93" t="s">
        <v>205</v>
      </c>
      <c r="AL100" s="91" t="s">
        <v>454</v>
      </c>
      <c r="AM100" s="202" t="s">
        <v>722</v>
      </c>
      <c r="AN100" s="202" t="s">
        <v>680</v>
      </c>
      <c r="AO100" s="203">
        <v>0.5</v>
      </c>
      <c r="AP100" s="202" t="s">
        <v>654</v>
      </c>
      <c r="AQ100" s="202" t="s">
        <v>681</v>
      </c>
      <c r="AR100" s="203">
        <v>0.5</v>
      </c>
      <c r="AS100" s="103"/>
      <c r="AT100" s="103" t="s">
        <v>575</v>
      </c>
      <c r="AU100" s="92" t="s">
        <v>603</v>
      </c>
      <c r="AV100" s="92" t="s">
        <v>603</v>
      </c>
      <c r="AW100" s="92" t="s">
        <v>603</v>
      </c>
      <c r="AX100" s="92" t="s">
        <v>603</v>
      </c>
    </row>
    <row r="101" spans="1:50" s="114" customFormat="1" ht="230.25" hidden="1" customHeight="1" x14ac:dyDescent="0.25">
      <c r="A101" s="349"/>
      <c r="B101" s="385"/>
      <c r="C101" s="380"/>
      <c r="D101" s="380"/>
      <c r="E101" s="378"/>
      <c r="F101" s="378"/>
      <c r="G101" s="378"/>
      <c r="H101" s="363"/>
      <c r="I101" s="378"/>
      <c r="J101" s="371"/>
      <c r="K101" s="373"/>
      <c r="L101" s="344"/>
      <c r="M101" s="376"/>
      <c r="N101" s="179"/>
      <c r="O101" s="373"/>
      <c r="P101" s="344"/>
      <c r="Q101" s="368"/>
      <c r="R101" s="94">
        <v>2</v>
      </c>
      <c r="S101" s="79"/>
      <c r="T101" s="95" t="str">
        <f t="shared" si="94"/>
        <v/>
      </c>
      <c r="U101" s="96"/>
      <c r="V101" s="96"/>
      <c r="W101" s="97" t="str">
        <f>IF(AND(U101="Preventivo",V101="Automático"),"50%",IF(AND(U101="Preventivo",V101="Manual"),"40%",IF(AND(U101="Detectivo",V101="Automático"),"40%",IF(AND(U101="Detectivo",V101="Manual"),"30%",IF(AND(U101="Correctivo",V101="Automático"),"35%",IF(AND(U101="Correctivo",V101="Manual"),"25%",""))))))</f>
        <v/>
      </c>
      <c r="X101" s="96"/>
      <c r="Y101" s="96"/>
      <c r="Z101" s="96"/>
      <c r="AA101" s="111" t="str">
        <f>IFERROR(IF(T101="Probabilidad",(L101-(+L101*W101)),IF(T101="Impacto",L101,"")),"")</f>
        <v/>
      </c>
      <c r="AB101" s="99" t="str">
        <f t="shared" si="95"/>
        <v/>
      </c>
      <c r="AC101" s="100" t="str">
        <f t="shared" si="96"/>
        <v/>
      </c>
      <c r="AD101" s="99" t="str">
        <f t="shared" si="97"/>
        <v/>
      </c>
      <c r="AE101" s="100" t="str">
        <f t="shared" si="98"/>
        <v/>
      </c>
      <c r="AF101" s="101" t="str">
        <f t="shared" si="99"/>
        <v/>
      </c>
      <c r="AG101" s="102"/>
      <c r="AH101" s="79"/>
      <c r="AI101" s="86"/>
      <c r="AJ101" s="93"/>
      <c r="AK101" s="93"/>
      <c r="AL101" s="91"/>
      <c r="AM101" s="202"/>
      <c r="AN101" s="202"/>
      <c r="AO101" s="203"/>
      <c r="AP101" s="202"/>
      <c r="AQ101" s="202"/>
      <c r="AR101" s="203"/>
      <c r="AS101" s="103"/>
      <c r="AT101" s="103" t="s">
        <v>575</v>
      </c>
      <c r="AU101" s="92" t="s">
        <v>603</v>
      </c>
      <c r="AV101" s="92" t="s">
        <v>603</v>
      </c>
      <c r="AW101" s="92" t="s">
        <v>603</v>
      </c>
      <c r="AX101" s="92" t="s">
        <v>603</v>
      </c>
    </row>
    <row r="102" spans="1:50" s="114" customFormat="1" ht="151.5" hidden="1" customHeight="1" x14ac:dyDescent="0.25">
      <c r="A102" s="349"/>
      <c r="B102" s="386"/>
      <c r="C102" s="397"/>
      <c r="D102" s="380"/>
      <c r="E102" s="378"/>
      <c r="F102" s="378"/>
      <c r="G102" s="378"/>
      <c r="H102" s="363"/>
      <c r="I102" s="378"/>
      <c r="J102" s="371"/>
      <c r="K102" s="374"/>
      <c r="L102" s="345"/>
      <c r="M102" s="376"/>
      <c r="N102" s="179"/>
      <c r="O102" s="374"/>
      <c r="P102" s="345"/>
      <c r="Q102" s="369"/>
      <c r="R102" s="94">
        <v>3</v>
      </c>
      <c r="S102" s="79"/>
      <c r="T102" s="95" t="str">
        <f t="shared" si="94"/>
        <v/>
      </c>
      <c r="U102" s="96"/>
      <c r="V102" s="96"/>
      <c r="W102" s="97"/>
      <c r="X102" s="96"/>
      <c r="Y102" s="96"/>
      <c r="Z102" s="96"/>
      <c r="AA102" s="98" t="str">
        <f>IFERROR(IF(T102="Probabilidad",(AA101-(+AA101*W102)),IF(T102="Impacto",L102,"")),"")</f>
        <v/>
      </c>
      <c r="AB102" s="99" t="str">
        <f t="shared" si="95"/>
        <v/>
      </c>
      <c r="AC102" s="100" t="str">
        <f t="shared" si="96"/>
        <v/>
      </c>
      <c r="AD102" s="99" t="str">
        <f t="shared" si="97"/>
        <v/>
      </c>
      <c r="AE102" s="100" t="str">
        <f t="shared" si="98"/>
        <v/>
      </c>
      <c r="AF102" s="101" t="str">
        <f t="shared" si="99"/>
        <v/>
      </c>
      <c r="AG102" s="102"/>
      <c r="AH102" s="79"/>
      <c r="AI102" s="92"/>
      <c r="AJ102" s="103"/>
      <c r="AK102" s="103"/>
      <c r="AL102" s="79"/>
      <c r="AM102" s="202"/>
      <c r="AN102" s="202"/>
      <c r="AO102" s="203"/>
      <c r="AP102" s="202"/>
      <c r="AQ102" s="202"/>
      <c r="AR102" s="203"/>
      <c r="AS102" s="103"/>
      <c r="AT102" s="103" t="s">
        <v>575</v>
      </c>
      <c r="AU102" s="92" t="s">
        <v>603</v>
      </c>
      <c r="AV102" s="92" t="s">
        <v>603</v>
      </c>
      <c r="AW102" s="92" t="s">
        <v>603</v>
      </c>
      <c r="AX102" s="92" t="s">
        <v>603</v>
      </c>
    </row>
    <row r="103" spans="1:50" s="114" customFormat="1" ht="151.5" customHeight="1" x14ac:dyDescent="0.25">
      <c r="A103" s="349">
        <f>1+A100</f>
        <v>32</v>
      </c>
      <c r="B103" s="384" t="s">
        <v>399</v>
      </c>
      <c r="C103" s="379" t="s">
        <v>428</v>
      </c>
      <c r="D103" s="379" t="s">
        <v>400</v>
      </c>
      <c r="E103" s="377" t="s">
        <v>118</v>
      </c>
      <c r="F103" s="381" t="s">
        <v>406</v>
      </c>
      <c r="G103" s="381" t="s">
        <v>407</v>
      </c>
      <c r="H103" s="362" t="s">
        <v>408</v>
      </c>
      <c r="I103" s="377" t="s">
        <v>217</v>
      </c>
      <c r="J103" s="370">
        <v>12</v>
      </c>
      <c r="K103" s="372" t="str">
        <f>IF(J103&lt;=0,"",IF(J103&lt;=2,"Muy Baja",IF(J103&lt;=24,"Baja",IF(J103&lt;=500,"Media",IF(J103&lt;=5000,"Alta","Muy Alta")))))</f>
        <v>Baja</v>
      </c>
      <c r="L103" s="343">
        <f>IF(K103="","",IF(K103="Muy Baja",0.2,IF(K103="Baja",0.4,IF(K103="Media",0.6,IF(K103="Alta",0.8,IF(K103="Muy Alta",1,))))))</f>
        <v>0.4</v>
      </c>
      <c r="M103" s="375" t="s">
        <v>248</v>
      </c>
      <c r="N103" s="179" t="str">
        <f>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372" t="str">
        <f>IF(OR(N103='Tabla Impacto'!$C$11,N103='Tabla Impacto'!$D$11),"Leve",IF(OR(N103='Tabla Impacto'!$C$12,N103='Tabla Impacto'!$D$12),"Menor",IF(OR(N103='Tabla Impacto'!$C$13,N103='Tabla Impacto'!$D$13),"Moderado",IF(OR(N103='Tabla Impacto'!$C$14,N103='Tabla Impacto'!$D$14),"Mayor",IF(OR(N103='Tabla Impacto'!$C$15,N103='Tabla Impacto'!$D$15),"Catastrófico","")))))</f>
        <v>Moderado</v>
      </c>
      <c r="P103" s="343">
        <f>IF(O103="","",IF(O103="Leve",0.2,IF(O103="Menor",0.4,IF(O103="Moderado",0.6,IF(O103="Mayor",0.8,IF(O103="Catastrófico",1,))))))</f>
        <v>0.6</v>
      </c>
      <c r="Q103" s="367"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94">
        <v>1</v>
      </c>
      <c r="S103" s="79" t="s">
        <v>409</v>
      </c>
      <c r="T103" s="95" t="str">
        <f t="shared" si="94"/>
        <v>Probabilidad</v>
      </c>
      <c r="U103" s="96" t="s">
        <v>14</v>
      </c>
      <c r="V103" s="96" t="s">
        <v>9</v>
      </c>
      <c r="W103" s="97" t="str">
        <f>IF(AND(U103="Preventivo",V103="Automático"),"50%",IF(AND(U103="Preventivo",V103="Manual"),"40%",IF(AND(U103="Detectivo",V103="Automático"),"40%",IF(AND(U103="Detectivo",V103="Manual"),"30%",IF(AND(U103="Correctivo",V103="Automático"),"35%",IF(AND(U103="Correctivo",V103="Manual"),"25%",""))))))</f>
        <v>40%</v>
      </c>
      <c r="X103" s="96" t="s">
        <v>19</v>
      </c>
      <c r="Y103" s="96" t="s">
        <v>22</v>
      </c>
      <c r="Z103" s="96" t="s">
        <v>110</v>
      </c>
      <c r="AA103" s="111">
        <f>IFERROR(IF(T103="Probabilidad",(L103-(+L103*W103)),IF(T103="Impacto",L103,"")),"")</f>
        <v>0.24</v>
      </c>
      <c r="AB103" s="99" t="str">
        <f t="shared" si="95"/>
        <v>Baja</v>
      </c>
      <c r="AC103" s="100">
        <f t="shared" si="96"/>
        <v>0.24</v>
      </c>
      <c r="AD103" s="99" t="str">
        <f t="shared" si="97"/>
        <v>Moderado</v>
      </c>
      <c r="AE103" s="100">
        <f t="shared" si="98"/>
        <v>0.6</v>
      </c>
      <c r="AF103" s="101" t="str">
        <f t="shared" si="99"/>
        <v>Moderado</v>
      </c>
      <c r="AG103" s="102" t="s">
        <v>122</v>
      </c>
      <c r="AH103" s="79" t="s">
        <v>410</v>
      </c>
      <c r="AI103" s="92" t="s">
        <v>193</v>
      </c>
      <c r="AJ103" s="103" t="s">
        <v>281</v>
      </c>
      <c r="AK103" s="103" t="s">
        <v>205</v>
      </c>
      <c r="AL103" s="79" t="s">
        <v>411</v>
      </c>
      <c r="AM103" s="103" t="s">
        <v>655</v>
      </c>
      <c r="AN103" s="219" t="s">
        <v>723</v>
      </c>
      <c r="AO103" s="203">
        <v>0.5</v>
      </c>
      <c r="AP103" s="103" t="s">
        <v>656</v>
      </c>
      <c r="AQ103" s="219" t="s">
        <v>682</v>
      </c>
      <c r="AR103" s="203">
        <v>0.5</v>
      </c>
      <c r="AS103" s="103"/>
      <c r="AT103" s="103" t="s">
        <v>575</v>
      </c>
      <c r="AU103" s="92" t="s">
        <v>603</v>
      </c>
      <c r="AV103" s="92" t="s">
        <v>603</v>
      </c>
      <c r="AW103" s="92" t="s">
        <v>603</v>
      </c>
      <c r="AX103" s="92" t="s">
        <v>603</v>
      </c>
    </row>
    <row r="104" spans="1:50" s="114" customFormat="1" ht="151.5" hidden="1" customHeight="1" x14ac:dyDescent="0.25">
      <c r="A104" s="349"/>
      <c r="B104" s="385"/>
      <c r="C104" s="380"/>
      <c r="D104" s="380"/>
      <c r="E104" s="378"/>
      <c r="F104" s="378"/>
      <c r="G104" s="378"/>
      <c r="H104" s="363"/>
      <c r="I104" s="378"/>
      <c r="J104" s="371"/>
      <c r="K104" s="373"/>
      <c r="L104" s="344"/>
      <c r="M104" s="376"/>
      <c r="N104" s="180"/>
      <c r="O104" s="373"/>
      <c r="P104" s="344"/>
      <c r="Q104" s="368"/>
      <c r="R104" s="94">
        <v>2</v>
      </c>
      <c r="S104" s="79"/>
      <c r="T104" s="95" t="str">
        <f t="shared" si="94"/>
        <v/>
      </c>
      <c r="U104" s="96"/>
      <c r="V104" s="96"/>
      <c r="W104" s="97" t="str">
        <f t="shared" ref="W104:W105" si="100">IF(AND(U104="Preventivo",V104="Automático"),"50%",IF(AND(U104="Preventivo",V104="Manual"),"40%",IF(AND(U104="Detectivo",V104="Automático"),"40%",IF(AND(U104="Detectivo",V104="Manual"),"30%",IF(AND(U104="Correctivo",V104="Automático"),"35%",IF(AND(U104="Correctivo",V104="Manual"),"25%",""))))))</f>
        <v/>
      </c>
      <c r="X104" s="96"/>
      <c r="Y104" s="96"/>
      <c r="Z104" s="96"/>
      <c r="AA104" s="98" t="str">
        <f>IFERROR(IF(T104="Probabilidad",(AA103-(+AA103*W104)),IF(T104="Impacto",L104,"")),"")</f>
        <v/>
      </c>
      <c r="AB104" s="99" t="str">
        <f t="shared" si="95"/>
        <v/>
      </c>
      <c r="AC104" s="100" t="str">
        <f t="shared" si="96"/>
        <v/>
      </c>
      <c r="AD104" s="99" t="str">
        <f t="shared" si="97"/>
        <v/>
      </c>
      <c r="AE104" s="100" t="str">
        <f t="shared" si="98"/>
        <v/>
      </c>
      <c r="AF104" s="101" t="str">
        <f t="shared" si="99"/>
        <v/>
      </c>
      <c r="AG104" s="102"/>
      <c r="AH104" s="91"/>
      <c r="AI104" s="86"/>
      <c r="AJ104" s="93"/>
      <c r="AK104" s="93"/>
      <c r="AL104" s="91"/>
      <c r="AM104" s="202"/>
      <c r="AN104" s="202"/>
      <c r="AO104" s="203"/>
      <c r="AP104" s="202"/>
      <c r="AQ104" s="202"/>
      <c r="AR104" s="203"/>
      <c r="AS104" s="103"/>
      <c r="AT104" s="103" t="s">
        <v>575</v>
      </c>
      <c r="AU104" s="92" t="s">
        <v>603</v>
      </c>
      <c r="AV104" s="92" t="s">
        <v>603</v>
      </c>
      <c r="AW104" s="92" t="s">
        <v>603</v>
      </c>
      <c r="AX104" s="92" t="s">
        <v>603</v>
      </c>
    </row>
    <row r="105" spans="1:50" s="114" customFormat="1" ht="151.5" hidden="1" customHeight="1" x14ac:dyDescent="0.25">
      <c r="A105" s="349"/>
      <c r="B105" s="386"/>
      <c r="C105" s="397"/>
      <c r="D105" s="380"/>
      <c r="E105" s="378"/>
      <c r="F105" s="378"/>
      <c r="G105" s="378"/>
      <c r="H105" s="363"/>
      <c r="I105" s="378"/>
      <c r="J105" s="371"/>
      <c r="K105" s="374"/>
      <c r="L105" s="345"/>
      <c r="M105" s="376"/>
      <c r="N105" s="180"/>
      <c r="O105" s="374"/>
      <c r="P105" s="345"/>
      <c r="Q105" s="369"/>
      <c r="R105" s="94">
        <v>3</v>
      </c>
      <c r="S105" s="79"/>
      <c r="T105" s="95" t="str">
        <f t="shared" si="94"/>
        <v/>
      </c>
      <c r="U105" s="96"/>
      <c r="V105" s="96"/>
      <c r="W105" s="97" t="str">
        <f t="shared" si="100"/>
        <v/>
      </c>
      <c r="X105" s="96"/>
      <c r="Y105" s="96"/>
      <c r="Z105" s="96"/>
      <c r="AA105" s="98" t="str">
        <f>IFERROR(IF(T105="Probabilidad",(AA104-(+AA104*W105)),IF(T105="Impacto",L105,"")),"")</f>
        <v/>
      </c>
      <c r="AB105" s="99" t="str">
        <f t="shared" si="95"/>
        <v/>
      </c>
      <c r="AC105" s="100" t="str">
        <f t="shared" si="96"/>
        <v/>
      </c>
      <c r="AD105" s="99" t="str">
        <f t="shared" si="97"/>
        <v/>
      </c>
      <c r="AE105" s="100" t="str">
        <f t="shared" si="98"/>
        <v/>
      </c>
      <c r="AF105" s="101" t="str">
        <f t="shared" si="99"/>
        <v/>
      </c>
      <c r="AG105" s="102"/>
      <c r="AH105" s="79"/>
      <c r="AI105" s="92"/>
      <c r="AJ105" s="103"/>
      <c r="AK105" s="103"/>
      <c r="AL105" s="79"/>
      <c r="AM105" s="202"/>
      <c r="AN105" s="202"/>
      <c r="AO105" s="203"/>
      <c r="AP105" s="202"/>
      <c r="AQ105" s="202"/>
      <c r="AR105" s="203"/>
      <c r="AS105" s="103"/>
      <c r="AT105" s="103" t="s">
        <v>575</v>
      </c>
      <c r="AU105" s="92" t="s">
        <v>603</v>
      </c>
      <c r="AV105" s="92" t="s">
        <v>603</v>
      </c>
      <c r="AW105" s="92" t="s">
        <v>603</v>
      </c>
      <c r="AX105" s="92" t="s">
        <v>603</v>
      </c>
    </row>
    <row r="106" spans="1:50" s="114" customFormat="1" ht="151.5" customHeight="1" x14ac:dyDescent="0.25">
      <c r="A106" s="349">
        <f>1+A103</f>
        <v>33</v>
      </c>
      <c r="B106" s="384" t="s">
        <v>399</v>
      </c>
      <c r="C106" s="379" t="s">
        <v>428</v>
      </c>
      <c r="D106" s="379" t="s">
        <v>400</v>
      </c>
      <c r="E106" s="362" t="s">
        <v>120</v>
      </c>
      <c r="F106" s="383" t="s">
        <v>455</v>
      </c>
      <c r="G106" s="383" t="s">
        <v>456</v>
      </c>
      <c r="H106" s="362" t="s">
        <v>457</v>
      </c>
      <c r="I106" s="377" t="s">
        <v>217</v>
      </c>
      <c r="J106" s="370">
        <v>12</v>
      </c>
      <c r="K106" s="372" t="str">
        <f>IF(J106&lt;=0,"",IF(J106&lt;=2,"Muy Baja",IF(J106&lt;=24,"Baja",IF(J106&lt;=500,"Media",IF(J106&lt;=5000,"Alta","Muy Alta")))))</f>
        <v>Baja</v>
      </c>
      <c r="L106" s="343">
        <f>IF(K106="","",IF(K106="Muy Baja",0.2,IF(K106="Baja",0.4,IF(K106="Media",0.6,IF(K106="Alta",0.8,IF(K106="Muy Alta",1,))))))</f>
        <v>0.4</v>
      </c>
      <c r="M106" s="375" t="s">
        <v>248</v>
      </c>
      <c r="N106" s="179" t="str">
        <f>IF(NOT(ISERROR(MATCH(M106,'Tabla Impacto'!$B$221:$B$223,0))),'Tabla Impacto'!$F$223&amp;"Por favor no seleccionar los criterios de impacto(Afectación Económica o presupuestal y Pérdida Reputacional)",M106)</f>
        <v xml:space="preserve"> El riesgo afecta la imagen de la entidad con algunos usuarios de relevancia frente al logro de los objetivos</v>
      </c>
      <c r="O106" s="372" t="str">
        <f>IF(OR(N106='Tabla Impacto'!$C$11,N106='Tabla Impacto'!$D$11),"Leve",IF(OR(N106='Tabla Impacto'!$C$12,N106='Tabla Impacto'!$D$12),"Menor",IF(OR(N106='Tabla Impacto'!$C$13,N106='Tabla Impacto'!$D$13),"Moderado",IF(OR(N106='Tabla Impacto'!$C$14,N106='Tabla Impacto'!$D$14),"Mayor",IF(OR(N106='Tabla Impacto'!$C$15,N106='Tabla Impacto'!$D$15),"Catastrófico","")))))</f>
        <v>Moderado</v>
      </c>
      <c r="P106" s="343">
        <f>IF(O106="","",IF(O106="Leve",0.2,IF(O106="Menor",0.4,IF(O106="Moderado",0.6,IF(O106="Mayor",0.8,IF(O106="Catastrófico",1,))))))</f>
        <v>0.6</v>
      </c>
      <c r="Q106" s="367" t="str">
        <f>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Moderado</v>
      </c>
      <c r="R106" s="94">
        <v>1</v>
      </c>
      <c r="S106" s="79" t="s">
        <v>412</v>
      </c>
      <c r="T106" s="95" t="str">
        <f t="shared" ref="T106:T108" si="101">IF(OR(U106="Preventivo",U106="Detectivo"),"Probabilidad",IF(U106="Correctivo","Impacto",""))</f>
        <v>Probabilidad</v>
      </c>
      <c r="U106" s="96" t="s">
        <v>14</v>
      </c>
      <c r="V106" s="96" t="s">
        <v>9</v>
      </c>
      <c r="W106" s="97" t="str">
        <f>IF(AND(U106="Preventivo",V106="Automático"),"50%",IF(AND(U106="Preventivo",V106="Manual"),"40%",IF(AND(U106="Detectivo",V106="Automático"),"40%",IF(AND(U106="Detectivo",V106="Manual"),"30%",IF(AND(U106="Correctivo",V106="Automático"),"35%",IF(AND(U106="Correctivo",V106="Manual"),"25%",""))))))</f>
        <v>40%</v>
      </c>
      <c r="X106" s="96" t="s">
        <v>19</v>
      </c>
      <c r="Y106" s="96" t="s">
        <v>22</v>
      </c>
      <c r="Z106" s="96" t="s">
        <v>110</v>
      </c>
      <c r="AA106" s="111">
        <f>IFERROR(IF(T106="Probabilidad",(L106-(+L106*W106)),IF(T106="Impacto",L106,"")),"")</f>
        <v>0.24</v>
      </c>
      <c r="AB106" s="99" t="str">
        <f t="shared" ref="AB106:AB108" si="102">IFERROR(IF(AA106="","",IF(AA106&lt;=0.2,"Muy Baja",IF(AA106&lt;=0.4,"Baja",IF(AA106&lt;=0.6,"Media",IF(AA106&lt;=0.8,"Alta","Muy Alta"))))),"")</f>
        <v>Baja</v>
      </c>
      <c r="AC106" s="100">
        <f t="shared" ref="AC106:AC108" si="103">+AA106</f>
        <v>0.24</v>
      </c>
      <c r="AD106" s="99" t="str">
        <f t="shared" ref="AD106:AD108" si="104">IFERROR(IF(AE106="","",IF(AE106&lt;=0.2,"Leve",IF(AE106&lt;=0.4,"Menor",IF(AE106&lt;=0.6,"Moderado",IF(AE106&lt;=0.8,"Mayor","Catastrófico"))))),"")</f>
        <v>Moderado</v>
      </c>
      <c r="AE106" s="100">
        <f t="shared" ref="AE106:AE108" si="105">IFERROR(IF(T106="Impacto",(P106-(+P106*W106)),IF(T106="Probabilidad",P106,"")),"")</f>
        <v>0.6</v>
      </c>
      <c r="AF106" s="101" t="str">
        <f t="shared" ref="AF106:AF108" si="106">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Moderado</v>
      </c>
      <c r="AG106" s="102" t="s">
        <v>122</v>
      </c>
      <c r="AH106" s="79" t="s">
        <v>413</v>
      </c>
      <c r="AI106" s="104" t="s">
        <v>202</v>
      </c>
      <c r="AJ106" s="103" t="s">
        <v>281</v>
      </c>
      <c r="AK106" s="103" t="s">
        <v>205</v>
      </c>
      <c r="AL106" s="79" t="s">
        <v>414</v>
      </c>
      <c r="AM106" s="217" t="s">
        <v>657</v>
      </c>
      <c r="AN106" s="217" t="s">
        <v>658</v>
      </c>
      <c r="AO106" s="218">
        <v>0.5</v>
      </c>
      <c r="AP106" s="217" t="s">
        <v>659</v>
      </c>
      <c r="AQ106" s="217" t="s">
        <v>660</v>
      </c>
      <c r="AR106" s="218">
        <v>0.5</v>
      </c>
      <c r="AS106" s="116"/>
      <c r="AT106" s="116" t="s">
        <v>575</v>
      </c>
      <c r="AU106" s="92" t="s">
        <v>603</v>
      </c>
      <c r="AV106" s="92" t="s">
        <v>603</v>
      </c>
      <c r="AW106" s="92" t="s">
        <v>603</v>
      </c>
      <c r="AX106" s="92" t="s">
        <v>603</v>
      </c>
    </row>
    <row r="107" spans="1:50" s="114" customFormat="1" ht="151.5" customHeight="1" x14ac:dyDescent="0.25">
      <c r="A107" s="349"/>
      <c r="B107" s="385"/>
      <c r="C107" s="380"/>
      <c r="D107" s="380"/>
      <c r="E107" s="363"/>
      <c r="F107" s="363"/>
      <c r="G107" s="363"/>
      <c r="H107" s="363"/>
      <c r="I107" s="378"/>
      <c r="J107" s="371"/>
      <c r="K107" s="373"/>
      <c r="L107" s="344"/>
      <c r="M107" s="376"/>
      <c r="N107" s="180"/>
      <c r="O107" s="373"/>
      <c r="P107" s="344"/>
      <c r="Q107" s="368"/>
      <c r="R107" s="94">
        <v>2</v>
      </c>
      <c r="S107" s="91" t="s">
        <v>458</v>
      </c>
      <c r="T107" s="95" t="str">
        <f t="shared" si="101"/>
        <v>Probabilidad</v>
      </c>
      <c r="U107" s="96" t="s">
        <v>15</v>
      </c>
      <c r="V107" s="96" t="s">
        <v>9</v>
      </c>
      <c r="W107" s="97" t="str">
        <f t="shared" ref="W107:W108" si="107">IF(AND(U107="Preventivo",V107="Automático"),"50%",IF(AND(U107="Preventivo",V107="Manual"),"40%",IF(AND(U107="Detectivo",V107="Automático"),"40%",IF(AND(U107="Detectivo",V107="Manual"),"30%",IF(AND(U107="Correctivo",V107="Automático"),"35%",IF(AND(U107="Correctivo",V107="Manual"),"25%",""))))))</f>
        <v>30%</v>
      </c>
      <c r="X107" s="96" t="s">
        <v>20</v>
      </c>
      <c r="Y107" s="96" t="s">
        <v>23</v>
      </c>
      <c r="Z107" s="96" t="s">
        <v>110</v>
      </c>
      <c r="AA107" s="98">
        <f>IFERROR(IF(T107="Probabilidad",(AA106-(+AA106*W107)),IF(T107="Impacto",L107,"")),"")</f>
        <v>0.16799999999999998</v>
      </c>
      <c r="AB107" s="99" t="str">
        <f t="shared" si="102"/>
        <v>Muy Baja</v>
      </c>
      <c r="AC107" s="100">
        <f t="shared" si="103"/>
        <v>0.16799999999999998</v>
      </c>
      <c r="AD107" s="99" t="str">
        <f t="shared" si="104"/>
        <v>Leve</v>
      </c>
      <c r="AE107" s="100">
        <f t="shared" si="105"/>
        <v>0</v>
      </c>
      <c r="AF107" s="101" t="str">
        <f t="shared" si="106"/>
        <v>Bajo</v>
      </c>
      <c r="AG107" s="102" t="s">
        <v>122</v>
      </c>
      <c r="AH107" s="92" t="s">
        <v>603</v>
      </c>
      <c r="AI107" s="92" t="s">
        <v>603</v>
      </c>
      <c r="AJ107" s="92" t="s">
        <v>603</v>
      </c>
      <c r="AK107" s="92" t="s">
        <v>603</v>
      </c>
      <c r="AL107" s="92" t="s">
        <v>603</v>
      </c>
      <c r="AM107" s="217" t="s">
        <v>661</v>
      </c>
      <c r="AN107" s="202" t="s">
        <v>683</v>
      </c>
      <c r="AO107" s="218">
        <v>0.5</v>
      </c>
      <c r="AP107" s="217" t="s">
        <v>724</v>
      </c>
      <c r="AQ107" s="217" t="s">
        <v>662</v>
      </c>
      <c r="AR107" s="218">
        <v>0.5</v>
      </c>
      <c r="AS107" s="116"/>
      <c r="AT107" s="116" t="s">
        <v>575</v>
      </c>
      <c r="AU107" s="92" t="s">
        <v>603</v>
      </c>
      <c r="AV107" s="92" t="s">
        <v>603</v>
      </c>
      <c r="AW107" s="92" t="s">
        <v>603</v>
      </c>
      <c r="AX107" s="92" t="s">
        <v>603</v>
      </c>
    </row>
    <row r="108" spans="1:50" s="114" customFormat="1" ht="151.5" customHeight="1" x14ac:dyDescent="0.25">
      <c r="A108" s="349"/>
      <c r="B108" s="386"/>
      <c r="C108" s="397"/>
      <c r="D108" s="380"/>
      <c r="E108" s="363"/>
      <c r="F108" s="363"/>
      <c r="G108" s="363"/>
      <c r="H108" s="363"/>
      <c r="I108" s="378"/>
      <c r="J108" s="371"/>
      <c r="K108" s="374"/>
      <c r="L108" s="345"/>
      <c r="M108" s="376"/>
      <c r="N108" s="180"/>
      <c r="O108" s="374"/>
      <c r="P108" s="345"/>
      <c r="Q108" s="369"/>
      <c r="R108" s="94">
        <v>3</v>
      </c>
      <c r="S108" s="91" t="s">
        <v>459</v>
      </c>
      <c r="T108" s="95" t="str">
        <f t="shared" si="101"/>
        <v>Probabilidad</v>
      </c>
      <c r="U108" s="96" t="s">
        <v>14</v>
      </c>
      <c r="V108" s="96" t="s">
        <v>9</v>
      </c>
      <c r="W108" s="97" t="str">
        <f t="shared" si="107"/>
        <v>40%</v>
      </c>
      <c r="X108" s="96" t="s">
        <v>19</v>
      </c>
      <c r="Y108" s="96" t="s">
        <v>22</v>
      </c>
      <c r="Z108" s="96" t="s">
        <v>110</v>
      </c>
      <c r="AA108" s="98">
        <f>IFERROR(IF(T108="Probabilidad",(AA107-(+AA107*W108)),IF(T108="Impacto",L108,"")),"")</f>
        <v>0.10079999999999999</v>
      </c>
      <c r="AB108" s="99" t="str">
        <f t="shared" si="102"/>
        <v>Muy Baja</v>
      </c>
      <c r="AC108" s="100">
        <f t="shared" si="103"/>
        <v>0.10079999999999999</v>
      </c>
      <c r="AD108" s="99" t="str">
        <f t="shared" si="104"/>
        <v>Leve</v>
      </c>
      <c r="AE108" s="100">
        <f t="shared" si="105"/>
        <v>0</v>
      </c>
      <c r="AF108" s="101" t="str">
        <f t="shared" si="106"/>
        <v>Bajo</v>
      </c>
      <c r="AG108" s="102" t="s">
        <v>122</v>
      </c>
      <c r="AH108" s="92" t="s">
        <v>603</v>
      </c>
      <c r="AI108" s="92" t="s">
        <v>603</v>
      </c>
      <c r="AJ108" s="92" t="s">
        <v>603</v>
      </c>
      <c r="AK108" s="92" t="s">
        <v>603</v>
      </c>
      <c r="AL108" s="92" t="s">
        <v>603</v>
      </c>
      <c r="AM108" s="217" t="s">
        <v>663</v>
      </c>
      <c r="AN108" s="217" t="s">
        <v>664</v>
      </c>
      <c r="AO108" s="218">
        <v>0.5</v>
      </c>
      <c r="AP108" s="217" t="s">
        <v>665</v>
      </c>
      <c r="AQ108" s="217" t="s">
        <v>666</v>
      </c>
      <c r="AR108" s="218">
        <v>0.5</v>
      </c>
      <c r="AS108" s="116"/>
      <c r="AT108" s="116" t="s">
        <v>575</v>
      </c>
      <c r="AU108" s="92" t="s">
        <v>603</v>
      </c>
      <c r="AV108" s="92" t="s">
        <v>603</v>
      </c>
      <c r="AW108" s="92" t="s">
        <v>603</v>
      </c>
      <c r="AX108" s="92" t="s">
        <v>603</v>
      </c>
    </row>
    <row r="109" spans="1:50" s="114" customFormat="1" ht="151.5" customHeight="1" x14ac:dyDescent="0.25">
      <c r="A109" s="349">
        <f>1+A106</f>
        <v>34</v>
      </c>
      <c r="B109" s="346" t="s">
        <v>211</v>
      </c>
      <c r="C109" s="359" t="s">
        <v>415</v>
      </c>
      <c r="D109" s="359" t="s">
        <v>416</v>
      </c>
      <c r="E109" s="350" t="s">
        <v>118</v>
      </c>
      <c r="F109" s="362" t="s">
        <v>548</v>
      </c>
      <c r="G109" s="362" t="s">
        <v>549</v>
      </c>
      <c r="H109" s="362" t="s">
        <v>550</v>
      </c>
      <c r="I109" s="350" t="s">
        <v>117</v>
      </c>
      <c r="J109" s="328">
        <v>365</v>
      </c>
      <c r="K109" s="331" t="str">
        <f>IF(J109&lt;=0,"",IF(J109&lt;=2,"Muy Baja",IF(J109&lt;=24,"Baja",IF(J109&lt;=500,"Media",IF(J109&lt;=5000,"Alta","Muy Alta")))))</f>
        <v>Media</v>
      </c>
      <c r="L109" s="334">
        <f>IF(K109="","",IF(K109="Muy Baja",0.2,IF(K109="Baja",0.4,IF(K109="Media",0.6,IF(K109="Alta",0.8,IF(K109="Muy Alta",1,))))))</f>
        <v>0.6</v>
      </c>
      <c r="M109" s="337" t="s">
        <v>248</v>
      </c>
      <c r="N109" s="183" t="str">
        <f>IF(NOT(ISERROR(MATCH(M109,'Tabla Impacto'!$B$221:$B$223,0))),'Tabla Impacto'!$F$223&amp;"Por favor no seleccionar los criterios de impacto(Afectación Económica o presupuestal y Pérdida Reputacional)",M109)</f>
        <v xml:space="preserve"> El riesgo afecta la imagen de la entidad con algunos usuarios de relevancia frente al logro de los objetivos</v>
      </c>
      <c r="O109" s="331" t="str">
        <f>IF(OR(N109='Tabla Impacto'!$C$11,N109='Tabla Impacto'!$D$11),"Leve",IF(OR(N109='Tabla Impacto'!$C$12,N109='Tabla Impacto'!$D$12),"Menor",IF(OR(N109='Tabla Impacto'!$C$13,N109='Tabla Impacto'!$D$13),"Moderado",IF(OR(N109='Tabla Impacto'!$C$14,N109='Tabla Impacto'!$D$14),"Mayor",IF(OR(N109='Tabla Impacto'!$C$15,N109='Tabla Impacto'!$D$15),"Catastrófico","")))))</f>
        <v>Moderado</v>
      </c>
      <c r="P109" s="334">
        <f>IF(O109="","",IF(O109="Leve",0.2,IF(O109="Menor",0.4,IF(O109="Moderado",0.6,IF(O109="Mayor",0.8,IF(O109="Catastrófico",1,))))))</f>
        <v>0.6</v>
      </c>
      <c r="Q109" s="340" t="str">
        <f>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Moderado</v>
      </c>
      <c r="R109" s="123">
        <v>1</v>
      </c>
      <c r="S109" s="91" t="s">
        <v>725</v>
      </c>
      <c r="T109" s="122" t="str">
        <f t="shared" ref="T109:T117" si="108">IF(OR(U109="Preventivo",U109="Detectivo"),"Probabilidad",IF(U109="Correctivo","Impacto",""))</f>
        <v>Probabilidad</v>
      </c>
      <c r="U109" s="124" t="s">
        <v>15</v>
      </c>
      <c r="V109" s="124" t="s">
        <v>9</v>
      </c>
      <c r="W109" s="125" t="str">
        <f>IF(AND(U109="Preventivo",V109="Automático"),"50%",IF(AND(U109="Preventivo",V109="Manual"),"40%",IF(AND(U109="Detectivo",V109="Automático"),"40%",IF(AND(U109="Detectivo",V109="Manual"),"30%",IF(AND(U109="Correctivo",V109="Automático"),"35%",IF(AND(U109="Correctivo",V109="Manual"),"25%",""))))))</f>
        <v>30%</v>
      </c>
      <c r="X109" s="124" t="s">
        <v>19</v>
      </c>
      <c r="Y109" s="124" t="s">
        <v>22</v>
      </c>
      <c r="Z109" s="124" t="s">
        <v>110</v>
      </c>
      <c r="AA109" s="108">
        <f>IFERROR(IF(T109="Probabilidad",(L109-(+L109*W109)),IF(T109="Impacto",L109,"")),"")</f>
        <v>0.42</v>
      </c>
      <c r="AB109" s="117" t="str">
        <f t="shared" ref="AB109:AB117" si="109">IFERROR(IF(AA109="","",IF(AA109&lt;=0.2,"Muy Baja",IF(AA109&lt;=0.4,"Baja",IF(AA109&lt;=0.6,"Media",IF(AA109&lt;=0.8,"Alta","Muy Alta"))))),"")</f>
        <v>Media</v>
      </c>
      <c r="AC109" s="118">
        <f t="shared" ref="AC109:AC117" si="110">+AA109</f>
        <v>0.42</v>
      </c>
      <c r="AD109" s="117" t="str">
        <f t="shared" ref="AD109:AD117" si="111">IFERROR(IF(AE109="","",IF(AE109&lt;=0.2,"Leve",IF(AE109&lt;=0.4,"Menor",IF(AE109&lt;=0.6,"Moderado",IF(AE109&lt;=0.8,"Mayor","Catastrófico"))))),"")</f>
        <v>Moderado</v>
      </c>
      <c r="AE109" s="118">
        <f>IFERROR(IF(T109="Impacto",(P109-(+P109*W109)),IF(T109="Probabilidad",P109,"")),"")</f>
        <v>0.6</v>
      </c>
      <c r="AF109" s="119" t="str">
        <f t="shared" ref="AF109:AF117" si="112">IFERROR(IF(OR(AND(AB109="Muy Baja",AD109="Leve"),AND(AB109="Muy Baja",AD109="Menor"),AND(AB109="Baja",AD109="Leve")),"Bajo",IF(OR(AND(AB109="Muy baja",AD109="Moderado"),AND(AB109="Baja",AD109="Menor"),AND(AB109="Baja",AD109="Moderado"),AND(AB109="Media",AD109="Leve"),AND(AB109="Media",AD109="Menor"),AND(AB109="Media",AD109="Moderado"),AND(AB109="Alta",AD109="Leve"),AND(AB109="Alta",AD109="Menor")),"Moderado",IF(OR(AND(AB109="Muy Baja",AD109="Mayor"),AND(AB109="Baja",AD109="Mayor"),AND(AB109="Media",AD109="Mayor"),AND(AB109="Alta",AD109="Moderado"),AND(AB109="Alta",AD109="Mayor"),AND(AB109="Muy Alta",AD109="Leve"),AND(AB109="Muy Alta",AD109="Menor"),AND(AB109="Muy Alta",AD109="Moderado"),AND(AB109="Muy Alta",AD109="Mayor")),"Alto",IF(OR(AND(AB109="Muy Baja",AD109="Catastrófico"),AND(AB109="Baja",AD109="Catastrófico"),AND(AB109="Media",AD109="Catastrófico"),AND(AB109="Alta",AD109="Catastrófico"),AND(AB109="Muy Alta",AD109="Catastrófico")),"Extremo","")))),"")</f>
        <v>Moderado</v>
      </c>
      <c r="AG109" s="120" t="s">
        <v>122</v>
      </c>
      <c r="AH109" s="129" t="s">
        <v>726</v>
      </c>
      <c r="AI109" s="115" t="s">
        <v>197</v>
      </c>
      <c r="AJ109" s="116" t="s">
        <v>281</v>
      </c>
      <c r="AK109" s="116" t="s">
        <v>205</v>
      </c>
      <c r="AL109" s="129" t="s">
        <v>552</v>
      </c>
      <c r="AM109" s="202" t="s">
        <v>727</v>
      </c>
      <c r="AN109" s="202" t="s">
        <v>728</v>
      </c>
      <c r="AO109" s="203">
        <v>0.5</v>
      </c>
      <c r="AP109" s="202" t="s">
        <v>729</v>
      </c>
      <c r="AQ109" s="202" t="s">
        <v>729</v>
      </c>
      <c r="AR109" s="203">
        <v>0.5</v>
      </c>
      <c r="AS109" s="103"/>
      <c r="AT109" s="103" t="s">
        <v>575</v>
      </c>
      <c r="AU109" s="92" t="s">
        <v>603</v>
      </c>
      <c r="AV109" s="92" t="s">
        <v>603</v>
      </c>
      <c r="AW109" s="92" t="s">
        <v>603</v>
      </c>
      <c r="AX109" s="92" t="s">
        <v>603</v>
      </c>
    </row>
    <row r="110" spans="1:50" s="114" customFormat="1" ht="151.5" customHeight="1" x14ac:dyDescent="0.25">
      <c r="A110" s="349"/>
      <c r="B110" s="347"/>
      <c r="C110" s="357"/>
      <c r="D110" s="357"/>
      <c r="E110" s="351"/>
      <c r="F110" s="363"/>
      <c r="G110" s="363"/>
      <c r="H110" s="363"/>
      <c r="I110" s="351"/>
      <c r="J110" s="329"/>
      <c r="K110" s="332"/>
      <c r="L110" s="335"/>
      <c r="M110" s="338"/>
      <c r="N110" s="184"/>
      <c r="O110" s="332"/>
      <c r="P110" s="335"/>
      <c r="Q110" s="341"/>
      <c r="R110" s="123">
        <v>2</v>
      </c>
      <c r="S110" s="91" t="s">
        <v>517</v>
      </c>
      <c r="T110" s="122" t="str">
        <f t="shared" si="108"/>
        <v>Probabilidad</v>
      </c>
      <c r="U110" s="124" t="s">
        <v>14</v>
      </c>
      <c r="V110" s="124" t="s">
        <v>9</v>
      </c>
      <c r="W110" s="125" t="str">
        <f>IF(AND(U110="Preventivo",V110="Automático"),"50%",IF(AND(U110="Preventivo",V110="Manual"),"40%",IF(AND(U110="Detectivo",V110="Automático"),"40%",IF(AND(U110="Detectivo",V110="Manual"),"30%",IF(AND(U110="Correctivo",V110="Automático"),"35%",IF(AND(U110="Correctivo",V110="Manual"),"25%",""))))))</f>
        <v>40%</v>
      </c>
      <c r="X110" s="124" t="s">
        <v>20</v>
      </c>
      <c r="Y110" s="124" t="s">
        <v>22</v>
      </c>
      <c r="Z110" s="124" t="s">
        <v>110</v>
      </c>
      <c r="AA110" s="108">
        <f>IFERROR(IF(T110="Probabilidad",(AA109-(+AA109*W110)),IF(T110="Impacto",L110,"")),"")</f>
        <v>0.252</v>
      </c>
      <c r="AB110" s="117" t="str">
        <f t="shared" si="109"/>
        <v>Baja</v>
      </c>
      <c r="AC110" s="118">
        <f t="shared" si="110"/>
        <v>0.252</v>
      </c>
      <c r="AD110" s="117" t="str">
        <f t="shared" si="111"/>
        <v>Moderado</v>
      </c>
      <c r="AE110" s="118">
        <v>0.6</v>
      </c>
      <c r="AF110" s="119" t="str">
        <f t="shared" si="112"/>
        <v>Moderado</v>
      </c>
      <c r="AG110" s="120" t="s">
        <v>122</v>
      </c>
      <c r="AH110" s="126" t="s">
        <v>212</v>
      </c>
      <c r="AI110" s="127" t="s">
        <v>197</v>
      </c>
      <c r="AJ110" s="116" t="s">
        <v>281</v>
      </c>
      <c r="AK110" s="116" t="s">
        <v>205</v>
      </c>
      <c r="AL110" s="128" t="s">
        <v>551</v>
      </c>
      <c r="AM110" s="114" t="s">
        <v>626</v>
      </c>
      <c r="AN110" s="114" t="s">
        <v>627</v>
      </c>
      <c r="AO110" s="203">
        <v>0.5</v>
      </c>
      <c r="AP110" s="202" t="s">
        <v>628</v>
      </c>
      <c r="AQ110" s="202" t="s">
        <v>629</v>
      </c>
      <c r="AR110" s="203">
        <v>0.5</v>
      </c>
      <c r="AS110" s="103"/>
      <c r="AT110" s="103" t="s">
        <v>575</v>
      </c>
      <c r="AU110" s="92" t="s">
        <v>603</v>
      </c>
      <c r="AV110" s="92" t="s">
        <v>603</v>
      </c>
      <c r="AW110" s="92" t="s">
        <v>603</v>
      </c>
      <c r="AX110" s="92" t="s">
        <v>603</v>
      </c>
    </row>
    <row r="111" spans="1:50" s="114" customFormat="1" ht="99.75" hidden="1" customHeight="1" x14ac:dyDescent="0.25">
      <c r="A111" s="349"/>
      <c r="B111" s="348"/>
      <c r="C111" s="357"/>
      <c r="D111" s="357"/>
      <c r="E111" s="351"/>
      <c r="F111" s="363"/>
      <c r="G111" s="363"/>
      <c r="H111" s="363"/>
      <c r="I111" s="351"/>
      <c r="J111" s="329"/>
      <c r="K111" s="333"/>
      <c r="L111" s="336"/>
      <c r="M111" s="338"/>
      <c r="N111" s="184"/>
      <c r="O111" s="333"/>
      <c r="P111" s="336"/>
      <c r="Q111" s="342"/>
      <c r="R111" s="123">
        <v>3</v>
      </c>
      <c r="S111" s="121"/>
      <c r="T111" s="122" t="str">
        <f t="shared" si="108"/>
        <v/>
      </c>
      <c r="U111" s="124"/>
      <c r="V111" s="124"/>
      <c r="W111" s="125"/>
      <c r="X111" s="124"/>
      <c r="Y111" s="124"/>
      <c r="Z111" s="124"/>
      <c r="AA111" s="108" t="str">
        <f>IFERROR(IF(T111="Probabilidad",(AA110-(+AA110*W111)),IF(T111="Impacto",L111,"")),"")</f>
        <v/>
      </c>
      <c r="AB111" s="117" t="str">
        <f t="shared" si="109"/>
        <v/>
      </c>
      <c r="AC111" s="118" t="str">
        <f t="shared" si="110"/>
        <v/>
      </c>
      <c r="AD111" s="117" t="str">
        <f t="shared" si="111"/>
        <v/>
      </c>
      <c r="AE111" s="118" t="str">
        <f>IFERROR(IF(T111="Impacto",(P111-(+P111*W111)),IF(T111="Probabilidad",P111,"")),"")</f>
        <v/>
      </c>
      <c r="AF111" s="119" t="str">
        <f t="shared" si="112"/>
        <v/>
      </c>
      <c r="AG111" s="120"/>
      <c r="AH111" s="121"/>
      <c r="AI111" s="115"/>
      <c r="AJ111" s="116"/>
      <c r="AK111" s="116"/>
      <c r="AL111" s="121"/>
      <c r="AM111" s="202"/>
      <c r="AN111" s="202"/>
      <c r="AO111" s="203"/>
      <c r="AP111" s="202"/>
      <c r="AQ111" s="202"/>
      <c r="AR111" s="203"/>
      <c r="AS111" s="103"/>
      <c r="AT111" s="103"/>
      <c r="AU111" s="92" t="s">
        <v>603</v>
      </c>
      <c r="AV111" s="92" t="s">
        <v>603</v>
      </c>
      <c r="AW111" s="92" t="s">
        <v>603</v>
      </c>
      <c r="AX111" s="92" t="s">
        <v>603</v>
      </c>
    </row>
    <row r="112" spans="1:50" s="114" customFormat="1" ht="151.5" customHeight="1" x14ac:dyDescent="0.25">
      <c r="A112" s="349">
        <f>1+A109</f>
        <v>35</v>
      </c>
      <c r="B112" s="346" t="s">
        <v>211</v>
      </c>
      <c r="C112" s="359" t="s">
        <v>415</v>
      </c>
      <c r="D112" s="359" t="s">
        <v>416</v>
      </c>
      <c r="E112" s="350" t="s">
        <v>118</v>
      </c>
      <c r="F112" s="362" t="s">
        <v>516</v>
      </c>
      <c r="G112" s="362" t="s">
        <v>541</v>
      </c>
      <c r="H112" s="362" t="s">
        <v>542</v>
      </c>
      <c r="I112" s="350" t="s">
        <v>217</v>
      </c>
      <c r="J112" s="328">
        <v>365</v>
      </c>
      <c r="K112" s="331" t="str">
        <f>IF(J112&lt;=0,"",IF(J112&lt;=2,"Muy Baja",IF(J112&lt;=24,"Baja",IF(J112&lt;=500,"Media",IF(J112&lt;=5000,"Alta","Muy Alta")))))</f>
        <v>Media</v>
      </c>
      <c r="L112" s="334">
        <f>IF(K112="","",IF(K112="Muy Baja",0.2,IF(K112="Baja",0.4,IF(K112="Media",0.6,IF(K112="Alta",0.8,IF(K112="Muy Alta",1,))))))</f>
        <v>0.6</v>
      </c>
      <c r="M112" s="337" t="s">
        <v>248</v>
      </c>
      <c r="N112" s="183" t="str">
        <f>IF(NOT(ISERROR(MATCH(M112,'Tabla Impacto'!$B$221:$B$223,0))),'Tabla Impacto'!$F$223&amp;"Por favor no seleccionar los criterios de impacto(Afectación Económica o presupuestal y Pérdida Reputacional)",M112)</f>
        <v xml:space="preserve"> El riesgo afecta la imagen de la entidad con algunos usuarios de relevancia frente al logro de los objetivos</v>
      </c>
      <c r="O112" s="331" t="str">
        <f>IF(OR(N112='Tabla Impacto'!$C$11,N112='Tabla Impacto'!$D$11),"Leve",IF(OR(N112='Tabla Impacto'!$C$12,N112='Tabla Impacto'!$D$12),"Menor",IF(OR(N112='Tabla Impacto'!$C$13,N112='Tabla Impacto'!$D$13),"Moderado",IF(OR(N112='Tabla Impacto'!$C$14,N112='Tabla Impacto'!$D$14),"Mayor",IF(OR(N112='Tabla Impacto'!$C$15,N112='Tabla Impacto'!$D$15),"Catastrófico","")))))</f>
        <v>Moderado</v>
      </c>
      <c r="P112" s="334">
        <f>IF(O112="","",IF(O112="Leve",0.2,IF(O112="Menor",0.4,IF(O112="Moderado",0.6,IF(O112="Mayor",0.8,IF(O112="Catastrófico",1,))))))</f>
        <v>0.6</v>
      </c>
      <c r="Q112" s="340" t="str">
        <f>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Moderado</v>
      </c>
      <c r="R112" s="123">
        <v>1</v>
      </c>
      <c r="S112" s="79" t="s">
        <v>543</v>
      </c>
      <c r="T112" s="122" t="str">
        <f t="shared" si="108"/>
        <v>Probabilidad</v>
      </c>
      <c r="U112" s="124" t="s">
        <v>14</v>
      </c>
      <c r="V112" s="124" t="s">
        <v>9</v>
      </c>
      <c r="W112" s="125" t="str">
        <f>IF(AND(U112="Preventivo",V112="Automático"),"50%",IF(AND(U112="Preventivo",V112="Manual"),"40%",IF(AND(U112="Detectivo",V112="Automático"),"40%",IF(AND(U112="Detectivo",V112="Manual"),"30%",IF(AND(U112="Correctivo",V112="Automático"),"35%",IF(AND(U112="Correctivo",V112="Manual"),"25%",""))))))</f>
        <v>40%</v>
      </c>
      <c r="X112" s="124" t="s">
        <v>19</v>
      </c>
      <c r="Y112" s="124" t="s">
        <v>23</v>
      </c>
      <c r="Z112" s="124" t="s">
        <v>110</v>
      </c>
      <c r="AA112" s="108">
        <f>IFERROR(IF(T112="Probabilidad",(L112-(+L112*W112)),IF(T112="Impacto",L112,"")),"")</f>
        <v>0.36</v>
      </c>
      <c r="AB112" s="117" t="str">
        <f t="shared" si="109"/>
        <v>Baja</v>
      </c>
      <c r="AC112" s="118">
        <f t="shared" si="110"/>
        <v>0.36</v>
      </c>
      <c r="AD112" s="117" t="str">
        <f t="shared" si="111"/>
        <v>Moderado</v>
      </c>
      <c r="AE112" s="118">
        <f>IFERROR(IF(T112="Impacto",(P112-(+P112*W112)),IF(T112="Probabilidad",P112,"")),"")</f>
        <v>0.6</v>
      </c>
      <c r="AF112" s="119" t="str">
        <f t="shared" si="112"/>
        <v>Moderado</v>
      </c>
      <c r="AG112" s="120" t="s">
        <v>122</v>
      </c>
      <c r="AH112" s="126" t="s">
        <v>212</v>
      </c>
      <c r="AI112" s="127" t="s">
        <v>197</v>
      </c>
      <c r="AJ112" s="185" t="s">
        <v>281</v>
      </c>
      <c r="AK112" s="185" t="s">
        <v>205</v>
      </c>
      <c r="AL112" s="126" t="s">
        <v>228</v>
      </c>
      <c r="AM112" s="202" t="s">
        <v>630</v>
      </c>
      <c r="AN112" s="202" t="s">
        <v>730</v>
      </c>
      <c r="AO112" s="203">
        <v>0.5</v>
      </c>
      <c r="AP112" s="202" t="s">
        <v>731</v>
      </c>
      <c r="AQ112" s="202" t="s">
        <v>631</v>
      </c>
      <c r="AR112" s="203">
        <v>0.5</v>
      </c>
      <c r="AS112" s="103"/>
      <c r="AT112" s="103" t="s">
        <v>575</v>
      </c>
      <c r="AU112" s="92" t="s">
        <v>603</v>
      </c>
      <c r="AV112" s="92" t="s">
        <v>603</v>
      </c>
      <c r="AW112" s="92" t="s">
        <v>603</v>
      </c>
      <c r="AX112" s="92" t="s">
        <v>603</v>
      </c>
    </row>
    <row r="113" spans="1:50" s="114" customFormat="1" ht="151.5" customHeight="1" x14ac:dyDescent="0.25">
      <c r="A113" s="349"/>
      <c r="B113" s="347"/>
      <c r="C113" s="357"/>
      <c r="D113" s="357"/>
      <c r="E113" s="351"/>
      <c r="F113" s="363"/>
      <c r="G113" s="363"/>
      <c r="H113" s="363"/>
      <c r="I113" s="351"/>
      <c r="J113" s="329"/>
      <c r="K113" s="332"/>
      <c r="L113" s="335"/>
      <c r="M113" s="338"/>
      <c r="N113" s="184"/>
      <c r="O113" s="332"/>
      <c r="P113" s="335"/>
      <c r="Q113" s="341"/>
      <c r="R113" s="123">
        <v>2</v>
      </c>
      <c r="S113" s="79" t="s">
        <v>544</v>
      </c>
      <c r="T113" s="122" t="str">
        <f t="shared" si="108"/>
        <v>Probabilidad</v>
      </c>
      <c r="U113" s="124" t="s">
        <v>14</v>
      </c>
      <c r="V113" s="124" t="s">
        <v>9</v>
      </c>
      <c r="W113" s="125" t="str">
        <f>IF(AND(U113="Preventivo",V113="Automático"),"50%",IF(AND(U113="Preventivo",V113="Manual"),"40%",IF(AND(U113="Detectivo",V113="Automático"),"40%",IF(AND(U113="Detectivo",V113="Manual"),"30%",IF(AND(U113="Correctivo",V113="Automático"),"35%",IF(AND(U113="Correctivo",V113="Manual"),"25%",""))))))</f>
        <v>40%</v>
      </c>
      <c r="X113" s="124" t="s">
        <v>20</v>
      </c>
      <c r="Y113" s="124" t="s">
        <v>22</v>
      </c>
      <c r="Z113" s="124" t="s">
        <v>110</v>
      </c>
      <c r="AA113" s="108">
        <f>IFERROR(IF(T113="Probabilidad",(AA112-(+AA112*W113)),IF(T113="Impacto",L113,"")),"")</f>
        <v>0.216</v>
      </c>
      <c r="AB113" s="117" t="str">
        <f t="shared" si="109"/>
        <v>Baja</v>
      </c>
      <c r="AC113" s="118">
        <f t="shared" si="110"/>
        <v>0.216</v>
      </c>
      <c r="AD113" s="117" t="str">
        <f t="shared" si="111"/>
        <v>Moderado</v>
      </c>
      <c r="AE113" s="118">
        <v>0.6</v>
      </c>
      <c r="AF113" s="119" t="str">
        <f t="shared" si="112"/>
        <v>Moderado</v>
      </c>
      <c r="AG113" s="120" t="s">
        <v>122</v>
      </c>
      <c r="AH113" s="126" t="s">
        <v>229</v>
      </c>
      <c r="AI113" s="127" t="s">
        <v>195</v>
      </c>
      <c r="AJ113" s="185" t="s">
        <v>281</v>
      </c>
      <c r="AK113" s="185" t="s">
        <v>205</v>
      </c>
      <c r="AL113" s="129" t="s">
        <v>230</v>
      </c>
      <c r="AM113" s="202" t="s">
        <v>632</v>
      </c>
      <c r="AN113" s="215" t="s">
        <v>732</v>
      </c>
      <c r="AO113" s="203">
        <v>0.5</v>
      </c>
      <c r="AP113" s="214" t="s">
        <v>733</v>
      </c>
      <c r="AQ113" s="202" t="s">
        <v>734</v>
      </c>
      <c r="AR113" s="203">
        <v>0.5</v>
      </c>
      <c r="AS113" s="103"/>
      <c r="AT113" s="103" t="s">
        <v>575</v>
      </c>
      <c r="AU113" s="92" t="s">
        <v>603</v>
      </c>
      <c r="AV113" s="92" t="s">
        <v>603</v>
      </c>
      <c r="AW113" s="92" t="s">
        <v>603</v>
      </c>
      <c r="AX113" s="92" t="s">
        <v>603</v>
      </c>
    </row>
    <row r="114" spans="1:50" s="114" customFormat="1" ht="151.5" hidden="1" customHeight="1" x14ac:dyDescent="0.25">
      <c r="A114" s="349"/>
      <c r="B114" s="348"/>
      <c r="C114" s="357"/>
      <c r="D114" s="357"/>
      <c r="E114" s="351"/>
      <c r="F114" s="363"/>
      <c r="G114" s="363"/>
      <c r="H114" s="363"/>
      <c r="I114" s="351"/>
      <c r="J114" s="329"/>
      <c r="K114" s="333"/>
      <c r="L114" s="336"/>
      <c r="M114" s="338"/>
      <c r="N114" s="184"/>
      <c r="O114" s="333"/>
      <c r="P114" s="336"/>
      <c r="Q114" s="342"/>
      <c r="R114" s="123">
        <v>3</v>
      </c>
      <c r="S114" s="121"/>
      <c r="T114" s="122" t="str">
        <f t="shared" si="108"/>
        <v/>
      </c>
      <c r="U114" s="124"/>
      <c r="V114" s="124"/>
      <c r="W114" s="125"/>
      <c r="X114" s="124"/>
      <c r="Y114" s="124"/>
      <c r="Z114" s="124"/>
      <c r="AA114" s="108" t="str">
        <f>IFERROR(IF(T114="Probabilidad",(AA113-(+AA113*W114)),IF(T114="Impacto",L114,"")),"")</f>
        <v/>
      </c>
      <c r="AB114" s="117" t="str">
        <f t="shared" si="109"/>
        <v/>
      </c>
      <c r="AC114" s="118" t="str">
        <f t="shared" si="110"/>
        <v/>
      </c>
      <c r="AD114" s="117" t="str">
        <f t="shared" si="111"/>
        <v/>
      </c>
      <c r="AE114" s="118" t="str">
        <f>IFERROR(IF(T114="Impacto",(P114-(+P114*W114)),IF(T114="Probabilidad",P114,"")),"")</f>
        <v/>
      </c>
      <c r="AF114" s="119" t="str">
        <f t="shared" si="112"/>
        <v/>
      </c>
      <c r="AG114" s="120"/>
      <c r="AH114" s="121"/>
      <c r="AI114" s="115"/>
      <c r="AJ114" s="116"/>
      <c r="AK114" s="116"/>
      <c r="AL114" s="121"/>
      <c r="AM114" s="202"/>
      <c r="AN114" s="202"/>
      <c r="AO114" s="203"/>
      <c r="AP114" s="202"/>
      <c r="AQ114" s="202"/>
      <c r="AR114" s="203"/>
      <c r="AS114" s="103"/>
      <c r="AT114" s="103"/>
      <c r="AU114" s="103"/>
      <c r="AV114" s="103"/>
      <c r="AW114" s="103"/>
      <c r="AX114" s="103"/>
    </row>
    <row r="115" spans="1:50" s="114" customFormat="1" ht="151.5" customHeight="1" x14ac:dyDescent="0.25">
      <c r="A115" s="349">
        <f>1+A112</f>
        <v>36</v>
      </c>
      <c r="B115" s="346" t="s">
        <v>211</v>
      </c>
      <c r="C115" s="359" t="s">
        <v>415</v>
      </c>
      <c r="D115" s="359" t="s">
        <v>416</v>
      </c>
      <c r="E115" s="350" t="s">
        <v>120</v>
      </c>
      <c r="F115" s="362" t="s">
        <v>545</v>
      </c>
      <c r="G115" s="362" t="s">
        <v>213</v>
      </c>
      <c r="H115" s="362" t="s">
        <v>546</v>
      </c>
      <c r="I115" s="350" t="s">
        <v>219</v>
      </c>
      <c r="J115" s="328">
        <v>365</v>
      </c>
      <c r="K115" s="331" t="str">
        <f>IF(J115&lt;=0,"",IF(J115&lt;=2,"Muy Baja",IF(J115&lt;=24,"Baja",IF(J115&lt;=500,"Media",IF(J115&lt;=5000,"Alta","Muy Alta")))))</f>
        <v>Media</v>
      </c>
      <c r="L115" s="334">
        <f>IF(K115="","",IF(K115="Muy Baja",0.2,IF(K115="Baja",0.4,IF(K115="Media",0.6,IF(K115="Alta",0.8,IF(K115="Muy Alta",1,))))))</f>
        <v>0.6</v>
      </c>
      <c r="M115" s="337" t="s">
        <v>255</v>
      </c>
      <c r="N115" s="183" t="str">
        <f>IF(NOT(ISERROR(MATCH(M115,'Tabla Impacto'!$B$221:$B$223,0))),'Tabla Impacto'!$F$223&amp;"Por favor no seleccionar los criterios de impacto(Afectación Económica o presupuestal y Pérdida Reputacional)",M115)</f>
        <v xml:space="preserve"> El riesgo afecta la imagen de la entidad con efecto publicitario sostenido a nivel de sector administrativo, nivel departamental o municipal</v>
      </c>
      <c r="O115" s="331" t="str">
        <f>IF(OR(N115='Tabla Impacto'!$C$11,N115='Tabla Impacto'!$D$11),"Leve",IF(OR(N115='Tabla Impacto'!$C$12,N115='Tabla Impacto'!$D$12),"Menor",IF(OR(N115='Tabla Impacto'!$C$13,N115='Tabla Impacto'!$D$13),"Moderado",IF(OR(N115='Tabla Impacto'!$C$14,N115='Tabla Impacto'!$D$14),"Mayor",IF(OR(N115='Tabla Impacto'!$C$15,N115='Tabla Impacto'!$D$15),"Catastrófico","")))))</f>
        <v>Mayor</v>
      </c>
      <c r="P115" s="334">
        <f>IF(O115="","",IF(O115="Leve",0.2,IF(O115="Menor",0.4,IF(O115="Moderado",0.6,IF(O115="Mayor",0.8,IF(O115="Catastrófico",1,))))))</f>
        <v>0.8</v>
      </c>
      <c r="Q115" s="340" t="str">
        <f>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Alto</v>
      </c>
      <c r="R115" s="123">
        <v>1</v>
      </c>
      <c r="S115" s="91" t="s">
        <v>547</v>
      </c>
      <c r="T115" s="122" t="str">
        <f t="shared" si="108"/>
        <v>Probabilidad</v>
      </c>
      <c r="U115" s="124" t="s">
        <v>14</v>
      </c>
      <c r="V115" s="124" t="s">
        <v>9</v>
      </c>
      <c r="W115" s="125" t="str">
        <f>IF(AND(U115="Preventivo",V115="Automático"),"50%",IF(AND(U115="Preventivo",V115="Manual"),"40%",IF(AND(U115="Detectivo",V115="Automático"),"40%",IF(AND(U115="Detectivo",V115="Manual"),"30%",IF(AND(U115="Correctivo",V115="Automático"),"35%",IF(AND(U115="Correctivo",V115="Manual"),"25%",""))))))</f>
        <v>40%</v>
      </c>
      <c r="X115" s="124" t="s">
        <v>19</v>
      </c>
      <c r="Y115" s="124" t="s">
        <v>22</v>
      </c>
      <c r="Z115" s="124" t="s">
        <v>110</v>
      </c>
      <c r="AA115" s="108">
        <f>IFERROR(IF(T115="Probabilidad",(L115-(+L115*W115)),IF(T115="Impacto",L115,"")),"")</f>
        <v>0.36</v>
      </c>
      <c r="AB115" s="117" t="str">
        <f t="shared" si="109"/>
        <v>Baja</v>
      </c>
      <c r="AC115" s="118">
        <f t="shared" si="110"/>
        <v>0.36</v>
      </c>
      <c r="AD115" s="117" t="str">
        <f t="shared" si="111"/>
        <v>Mayor</v>
      </c>
      <c r="AE115" s="118">
        <f>IFERROR(IF(T115="Impacto",(P115-(+P115*W115)),IF(T115="Probabilidad",P115,"")),"")</f>
        <v>0.8</v>
      </c>
      <c r="AF115" s="119" t="str">
        <f t="shared" si="112"/>
        <v>Alto</v>
      </c>
      <c r="AG115" s="120" t="s">
        <v>122</v>
      </c>
      <c r="AH115" s="126" t="s">
        <v>212</v>
      </c>
      <c r="AI115" s="127" t="s">
        <v>197</v>
      </c>
      <c r="AJ115" s="185" t="s">
        <v>281</v>
      </c>
      <c r="AK115" s="185" t="s">
        <v>205</v>
      </c>
      <c r="AL115" s="126" t="s">
        <v>228</v>
      </c>
      <c r="AM115" s="202" t="s">
        <v>633</v>
      </c>
      <c r="AN115" s="202"/>
      <c r="AO115" s="203">
        <v>0</v>
      </c>
      <c r="AP115" s="202" t="s">
        <v>634</v>
      </c>
      <c r="AQ115" s="202"/>
      <c r="AR115" s="203">
        <v>0</v>
      </c>
      <c r="AS115" s="103" t="s">
        <v>575</v>
      </c>
      <c r="AT115" s="103"/>
      <c r="AU115" s="103" t="s">
        <v>635</v>
      </c>
      <c r="AV115" s="103" t="s">
        <v>636</v>
      </c>
      <c r="AW115" s="103" t="s">
        <v>637</v>
      </c>
      <c r="AX115" s="103" t="s">
        <v>790</v>
      </c>
    </row>
    <row r="116" spans="1:50" s="114" customFormat="1" ht="151.5" customHeight="1" x14ac:dyDescent="0.25">
      <c r="A116" s="349"/>
      <c r="B116" s="347"/>
      <c r="C116" s="357"/>
      <c r="D116" s="357"/>
      <c r="E116" s="351"/>
      <c r="F116" s="363"/>
      <c r="G116" s="363"/>
      <c r="H116" s="363"/>
      <c r="I116" s="351"/>
      <c r="J116" s="329"/>
      <c r="K116" s="332"/>
      <c r="L116" s="335"/>
      <c r="M116" s="338"/>
      <c r="N116" s="184"/>
      <c r="O116" s="332"/>
      <c r="P116" s="335"/>
      <c r="Q116" s="341"/>
      <c r="R116" s="123">
        <v>2</v>
      </c>
      <c r="S116" s="121" t="s">
        <v>220</v>
      </c>
      <c r="T116" s="122" t="str">
        <f t="shared" si="108"/>
        <v>Probabilidad</v>
      </c>
      <c r="U116" s="124" t="s">
        <v>15</v>
      </c>
      <c r="V116" s="124" t="s">
        <v>10</v>
      </c>
      <c r="W116" s="125" t="str">
        <f>IF(AND(U116="Preventivo",V116="Automático"),"50%",IF(AND(U116="Preventivo",V116="Manual"),"40%",IF(AND(U116="Detectivo",V116="Automático"),"40%",IF(AND(U116="Detectivo",V116="Manual"),"30%",IF(AND(U116="Correctivo",V116="Automático"),"35%",IF(AND(U116="Correctivo",V116="Manual"),"25%",""))))))</f>
        <v>40%</v>
      </c>
      <c r="X116" s="124" t="s">
        <v>19</v>
      </c>
      <c r="Y116" s="124" t="s">
        <v>22</v>
      </c>
      <c r="Z116" s="124" t="s">
        <v>110</v>
      </c>
      <c r="AA116" s="108">
        <f>IFERROR(IF(T116="Probabilidad",(AA115-(+AA115*W116)),IF(T116="Impacto",L116,"")),"")</f>
        <v>0.216</v>
      </c>
      <c r="AB116" s="117" t="str">
        <f t="shared" si="109"/>
        <v>Baja</v>
      </c>
      <c r="AC116" s="118">
        <f t="shared" si="110"/>
        <v>0.216</v>
      </c>
      <c r="AD116" s="117" t="str">
        <f t="shared" si="111"/>
        <v>Mayor</v>
      </c>
      <c r="AE116" s="118">
        <v>0.8</v>
      </c>
      <c r="AF116" s="119" t="str">
        <f t="shared" si="112"/>
        <v>Alto</v>
      </c>
      <c r="AG116" s="120" t="s">
        <v>122</v>
      </c>
      <c r="AH116" s="128" t="s">
        <v>229</v>
      </c>
      <c r="AI116" s="127" t="s">
        <v>197</v>
      </c>
      <c r="AJ116" s="185" t="s">
        <v>281</v>
      </c>
      <c r="AK116" s="185" t="s">
        <v>205</v>
      </c>
      <c r="AL116" s="126" t="s">
        <v>230</v>
      </c>
      <c r="AM116" s="220" t="s">
        <v>735</v>
      </c>
      <c r="AN116" s="114" t="s">
        <v>638</v>
      </c>
      <c r="AO116" s="203">
        <v>0.5</v>
      </c>
      <c r="AP116" s="220" t="s">
        <v>736</v>
      </c>
      <c r="AQ116" s="114" t="s">
        <v>639</v>
      </c>
      <c r="AR116" s="203">
        <v>0.5</v>
      </c>
      <c r="AS116" s="103"/>
      <c r="AT116" s="103" t="s">
        <v>575</v>
      </c>
      <c r="AU116" s="92" t="s">
        <v>603</v>
      </c>
      <c r="AV116" s="92" t="s">
        <v>603</v>
      </c>
      <c r="AW116" s="92" t="s">
        <v>603</v>
      </c>
      <c r="AX116" s="92" t="s">
        <v>603</v>
      </c>
    </row>
    <row r="117" spans="1:50" s="114" customFormat="1" ht="151.5" hidden="1" customHeight="1" x14ac:dyDescent="0.25">
      <c r="A117" s="349"/>
      <c r="B117" s="348"/>
      <c r="C117" s="357"/>
      <c r="D117" s="357"/>
      <c r="E117" s="351"/>
      <c r="F117" s="363"/>
      <c r="G117" s="363"/>
      <c r="H117" s="363"/>
      <c r="I117" s="351"/>
      <c r="J117" s="329"/>
      <c r="K117" s="333"/>
      <c r="L117" s="336"/>
      <c r="M117" s="338"/>
      <c r="N117" s="184"/>
      <c r="O117" s="333"/>
      <c r="P117" s="336"/>
      <c r="Q117" s="342"/>
      <c r="R117" s="123">
        <v>3</v>
      </c>
      <c r="S117" s="121"/>
      <c r="T117" s="122" t="str">
        <f t="shared" si="108"/>
        <v/>
      </c>
      <c r="U117" s="124"/>
      <c r="V117" s="124"/>
      <c r="W117" s="125"/>
      <c r="X117" s="124"/>
      <c r="Y117" s="124"/>
      <c r="Z117" s="124"/>
      <c r="AA117" s="108" t="str">
        <f>IFERROR(IF(T117="Probabilidad",(AA116-(+AA116*W117)),IF(T117="Impacto",L117,"")),"")</f>
        <v/>
      </c>
      <c r="AB117" s="117" t="str">
        <f t="shared" si="109"/>
        <v/>
      </c>
      <c r="AC117" s="118" t="str">
        <f t="shared" si="110"/>
        <v/>
      </c>
      <c r="AD117" s="117" t="str">
        <f t="shared" si="111"/>
        <v/>
      </c>
      <c r="AE117" s="118" t="str">
        <f>IFERROR(IF(T117="Impacto",(P117-(+P117*W117)),IF(T117="Probabilidad",P117,"")),"")</f>
        <v/>
      </c>
      <c r="AF117" s="119" t="str">
        <f t="shared" si="112"/>
        <v/>
      </c>
      <c r="AG117" s="120"/>
      <c r="AH117" s="121"/>
      <c r="AI117" s="115"/>
      <c r="AJ117" s="116"/>
      <c r="AK117" s="116"/>
      <c r="AL117" s="121"/>
      <c r="AM117" s="202"/>
      <c r="AN117" s="202"/>
      <c r="AO117" s="203"/>
      <c r="AP117" s="202"/>
      <c r="AQ117" s="202"/>
      <c r="AR117" s="203"/>
      <c r="AS117" s="103"/>
      <c r="AT117" s="103"/>
      <c r="AU117" s="92" t="s">
        <v>603</v>
      </c>
      <c r="AV117" s="92" t="s">
        <v>603</v>
      </c>
      <c r="AW117" s="92" t="s">
        <v>603</v>
      </c>
      <c r="AX117" s="92" t="s">
        <v>603</v>
      </c>
    </row>
    <row r="118" spans="1:50" s="114" customFormat="1" ht="151.5" customHeight="1" x14ac:dyDescent="0.25">
      <c r="A118" s="349">
        <f>1+A115</f>
        <v>37</v>
      </c>
      <c r="B118" s="346" t="s">
        <v>417</v>
      </c>
      <c r="C118" s="359" t="s">
        <v>418</v>
      </c>
      <c r="D118" s="359" t="s">
        <v>419</v>
      </c>
      <c r="E118" s="350" t="s">
        <v>118</v>
      </c>
      <c r="F118" s="395" t="s">
        <v>509</v>
      </c>
      <c r="G118" s="395" t="s">
        <v>243</v>
      </c>
      <c r="H118" s="353" t="s">
        <v>510</v>
      </c>
      <c r="I118" s="350" t="s">
        <v>217</v>
      </c>
      <c r="J118" s="364">
        <v>1096</v>
      </c>
      <c r="K118" s="331" t="str">
        <f>IF(J118&lt;=0,"",IF(J118&lt;=2,"Muy Baja",IF(J118&lt;=24,"Baja",IF(J118&lt;=500,"Media",IF(J118&lt;=5000,"Alta","Muy Alta")))))</f>
        <v>Alta</v>
      </c>
      <c r="L118" s="334">
        <f>IF(K118="","",IF(K118="Muy Baja",0.2,IF(K118="Baja",0.4,IF(K118="Media",0.6,IF(K118="Alta",0.8,IF(K118="Muy Alta",1,))))))</f>
        <v>0.8</v>
      </c>
      <c r="M118" s="337" t="s">
        <v>248</v>
      </c>
      <c r="N118" s="183" t="str">
        <f>IF(NOT(ISERROR(MATCH(M118,'Tabla Impacto'!$B$221:$B$223,0))),'Tabla Impacto'!$F$223&amp;"Por favor no seleccionar los criterios de impacto(Afectación Económica o presupuestal y Pérdida Reputacional)",M118)</f>
        <v xml:space="preserve"> El riesgo afecta la imagen de la entidad con algunos usuarios de relevancia frente al logro de los objetivos</v>
      </c>
      <c r="O118" s="331" t="str">
        <f>IF(OR(N118='Tabla Impacto'!$C$11,N118='Tabla Impacto'!$D$11),"Leve",IF(OR(N118='Tabla Impacto'!$C$12,N118='Tabla Impacto'!$D$12),"Menor",IF(OR(N118='Tabla Impacto'!$C$13,N118='Tabla Impacto'!$D$13),"Moderado",IF(OR(N118='Tabla Impacto'!$C$14,N118='Tabla Impacto'!$D$14),"Mayor",IF(OR(N118='Tabla Impacto'!$C$15,N118='Tabla Impacto'!$D$15),"Catastrófico","")))))</f>
        <v>Moderado</v>
      </c>
      <c r="P118" s="334">
        <f>IF(O118="","",IF(O118="Leve",0.2,IF(O118="Menor",0.4,IF(O118="Moderado",0.6,IF(O118="Mayor",0.8,IF(O118="Catastrófico",1,))))))</f>
        <v>0.6</v>
      </c>
      <c r="Q118" s="340" t="str">
        <f>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Alto</v>
      </c>
      <c r="R118" s="123">
        <v>1</v>
      </c>
      <c r="S118" s="91" t="s">
        <v>511</v>
      </c>
      <c r="T118" s="122" t="str">
        <f>IF(OR(U118="Preventivo",U118="Detectivo"),"Probabilidad",IF(U118="Correctivo","Impacto",""))</f>
        <v>Probabilidad</v>
      </c>
      <c r="U118" s="124" t="s">
        <v>15</v>
      </c>
      <c r="V118" s="124" t="s">
        <v>9</v>
      </c>
      <c r="W118" s="125" t="str">
        <f>IF(AND(U118="Preventivo",V118="Automático"),"50%",IF(AND(U118="Preventivo",V118="Manual"),"40%",IF(AND(U118="Detectivo",V118="Automático"),"40%",IF(AND(U118="Detectivo",V118="Manual"),"30%",IF(AND(U118="Correctivo",V118="Automático"),"35%",IF(AND(U118="Correctivo",V118="Manual"),"25%",""))))))</f>
        <v>30%</v>
      </c>
      <c r="X118" s="124" t="s">
        <v>19</v>
      </c>
      <c r="Y118" s="124" t="s">
        <v>22</v>
      </c>
      <c r="Z118" s="124" t="s">
        <v>110</v>
      </c>
      <c r="AA118" s="108">
        <f>IFERROR(IF(T118="Probabilidad",(L118-(+L118*W118)),IF(T118="Impacto",L118,"")),"")</f>
        <v>0.56000000000000005</v>
      </c>
      <c r="AB118" s="117" t="str">
        <f>IFERROR(IF(AA118="","",IF(AA118&lt;=0.2,"Muy Baja",IF(AA118&lt;=0.4,"Baja",IF(AA118&lt;=0.6,"Media",IF(AA118&lt;=0.8,"Alta","Muy Alta"))))),"")</f>
        <v>Media</v>
      </c>
      <c r="AC118" s="118">
        <f>+AA118</f>
        <v>0.56000000000000005</v>
      </c>
      <c r="AD118" s="117" t="str">
        <f>IFERROR(IF(AE118="","",IF(AE118&lt;=0.2,"Leve",IF(AE118&lt;=0.4,"Menor",IF(AE118&lt;=0.6,"Moderado",IF(AE118&lt;=0.8,"Mayor","Catastrófico"))))),"")</f>
        <v>Moderado</v>
      </c>
      <c r="AE118" s="118">
        <f>IFERROR(IF(T118="Impacto",(P118-(+P118*W118)),IF(T118="Probabilidad",P118,"")),"")</f>
        <v>0.6</v>
      </c>
      <c r="AF118" s="119" t="str">
        <f>IFERROR(IF(OR(AND(AB118="Muy Baja",AD118="Leve"),AND(AB118="Muy Baja",AD118="Menor"),AND(AB118="Baja",AD118="Leve")),"Bajo",IF(OR(AND(AB118="Muy baja",AD118="Moderado"),AND(AB118="Baja",AD118="Menor"),AND(AB118="Baja",AD118="Moderado"),AND(AB118="Media",AD118="Leve"),AND(AB118="Media",AD118="Menor"),AND(AB118="Media",AD118="Moderado"),AND(AB118="Alta",AD118="Leve"),AND(AB118="Alta",AD118="Menor")),"Moderado",IF(OR(AND(AB118="Muy Baja",AD118="Mayor"),AND(AB118="Baja",AD118="Mayor"),AND(AB118="Media",AD118="Mayor"),AND(AB118="Alta",AD118="Moderado"),AND(AB118="Alta",AD118="Mayor"),AND(AB118="Muy Alta",AD118="Leve"),AND(AB118="Muy Alta",AD118="Menor"),AND(AB118="Muy Alta",AD118="Moderado"),AND(AB118="Muy Alta",AD118="Mayor")),"Alto",IF(OR(AND(AB118="Muy Baja",AD118="Catastrófico"),AND(AB118="Baja",AD118="Catastrófico"),AND(AB118="Media",AD118="Catastrófico"),AND(AB118="Alta",AD118="Catastrófico"),AND(AB118="Muy Alta",AD118="Catastrófico")),"Extremo","")))),"")</f>
        <v>Moderado</v>
      </c>
      <c r="AG118" s="120" t="s">
        <v>122</v>
      </c>
      <c r="AH118" s="129" t="s">
        <v>271</v>
      </c>
      <c r="AI118" s="115" t="s">
        <v>270</v>
      </c>
      <c r="AJ118" s="116" t="s">
        <v>204</v>
      </c>
      <c r="AK118" s="116" t="s">
        <v>205</v>
      </c>
      <c r="AL118" s="121" t="s">
        <v>522</v>
      </c>
      <c r="AM118" s="202" t="s">
        <v>737</v>
      </c>
      <c r="AN118" s="202" t="s">
        <v>577</v>
      </c>
      <c r="AO118" s="203">
        <v>0.5</v>
      </c>
      <c r="AP118" s="202" t="s">
        <v>738</v>
      </c>
      <c r="AQ118" s="202" t="s">
        <v>578</v>
      </c>
      <c r="AR118" s="203">
        <v>0.5</v>
      </c>
      <c r="AS118" s="103"/>
      <c r="AT118" s="103" t="s">
        <v>575</v>
      </c>
      <c r="AU118" s="92" t="s">
        <v>603</v>
      </c>
      <c r="AV118" s="92" t="s">
        <v>603</v>
      </c>
      <c r="AW118" s="92" t="s">
        <v>603</v>
      </c>
      <c r="AX118" s="92" t="s">
        <v>603</v>
      </c>
    </row>
    <row r="119" spans="1:50" s="114" customFormat="1" ht="151.5" customHeight="1" x14ac:dyDescent="0.25">
      <c r="A119" s="349"/>
      <c r="B119" s="347"/>
      <c r="C119" s="360"/>
      <c r="D119" s="360"/>
      <c r="E119" s="351"/>
      <c r="F119" s="396"/>
      <c r="G119" s="396"/>
      <c r="H119" s="354"/>
      <c r="I119" s="351"/>
      <c r="J119" s="365"/>
      <c r="K119" s="332"/>
      <c r="L119" s="335"/>
      <c r="M119" s="338"/>
      <c r="N119" s="184"/>
      <c r="O119" s="332"/>
      <c r="P119" s="335"/>
      <c r="Q119" s="341"/>
      <c r="R119" s="123">
        <v>2</v>
      </c>
      <c r="S119" s="121" t="s">
        <v>512</v>
      </c>
      <c r="T119" s="122" t="str">
        <f>IF(OR(U119="Preventivo",U119="Detectivo"),"Probabilidad",IF(U119="Correctivo","Impacto",""))</f>
        <v>Probabilidad</v>
      </c>
      <c r="U119" s="124" t="s">
        <v>14</v>
      </c>
      <c r="V119" s="124" t="s">
        <v>9</v>
      </c>
      <c r="W119" s="125" t="str">
        <f>IF(AND(U119="Preventivo",V119="Automático"),"50%",IF(AND(U119="Preventivo",V119="Manual"),"40%",IF(AND(U119="Detectivo",V119="Automático"),"40%",IF(AND(U119="Detectivo",V119="Manual"),"30%",IF(AND(U119="Correctivo",V119="Automático"),"35%",IF(AND(U119="Correctivo",V119="Manual"),"25%",""))))))</f>
        <v>40%</v>
      </c>
      <c r="X119" s="124" t="s">
        <v>20</v>
      </c>
      <c r="Y119" s="124" t="s">
        <v>22</v>
      </c>
      <c r="Z119" s="124" t="s">
        <v>110</v>
      </c>
      <c r="AA119" s="108">
        <f>IFERROR(IF(T119="Probabilidad",(L119-(+L119*W119)),IF(T119="Impacto",L119,"")),"")</f>
        <v>0</v>
      </c>
      <c r="AB119" s="117" t="str">
        <f>IFERROR(IF(AA119="","",IF(AA119&lt;=0.2,"Muy Baja",IF(AA119&lt;=0.4,"Baja",IF(AA119&lt;=0.6,"Media",IF(AA119&lt;=0.8,"Alta","Muy Alta"))))),"")</f>
        <v>Muy Baja</v>
      </c>
      <c r="AC119" s="118">
        <f>+AA119</f>
        <v>0</v>
      </c>
      <c r="AD119" s="117" t="str">
        <f>IFERROR(IF(AE119="","",IF(AE119&lt;=0.2,"Leve",IF(AE119&lt;=0.4,"Menor",IF(AE119&lt;=0.6,"Moderado",IF(AE119&lt;=0.8,"Mayor","Catastrófico"))))),"")</f>
        <v>Leve</v>
      </c>
      <c r="AE119" s="118">
        <f>IFERROR(IF(T119="Impacto",(P119-(+P119*W119)),IF(T119="Probabilidad",P119,"")),"")</f>
        <v>0</v>
      </c>
      <c r="AF119" s="119" t="str">
        <f>IFERROR(IF(OR(AND(AB119="Muy Baja",AD119="Leve"),AND(AB119="Muy Baja",AD119="Menor"),AND(AB119="Baja",AD119="Leve")),"Bajo",IF(OR(AND(AB119="Muy baja",AD119="Moderado"),AND(AB119="Baja",AD119="Menor"),AND(AB119="Baja",AD119="Moderado"),AND(AB119="Media",AD119="Leve"),AND(AB119="Media",AD119="Menor"),AND(AB119="Media",AD119="Moderado"),AND(AB119="Alta",AD119="Leve"),AND(AB119="Alta",AD119="Menor")),"Moderado",IF(OR(AND(AB119="Muy Baja",AD119="Mayor"),AND(AB119="Baja",AD119="Mayor"),AND(AB119="Media",AD119="Mayor"),AND(AB119="Alta",AD119="Moderado"),AND(AB119="Alta",AD119="Mayor"),AND(AB119="Muy Alta",AD119="Leve"),AND(AB119="Muy Alta",AD119="Menor"),AND(AB119="Muy Alta",AD119="Moderado"),AND(AB119="Muy Alta",AD119="Mayor")),"Alto",IF(OR(AND(AB119="Muy Baja",AD119="Catastrófico"),AND(AB119="Baja",AD119="Catastrófico"),AND(AB119="Media",AD119="Catastrófico"),AND(AB119="Alta",AD119="Catastrófico"),AND(AB119="Muy Alta",AD119="Catastrófico")),"Extremo","")))),"")</f>
        <v>Bajo</v>
      </c>
      <c r="AG119" s="120" t="s">
        <v>122</v>
      </c>
      <c r="AH119" s="129" t="s">
        <v>513</v>
      </c>
      <c r="AI119" s="130" t="s">
        <v>514</v>
      </c>
      <c r="AJ119" s="116" t="s">
        <v>368</v>
      </c>
      <c r="AK119" s="116" t="s">
        <v>515</v>
      </c>
      <c r="AL119" s="121" t="s">
        <v>603</v>
      </c>
      <c r="AM119" s="202" t="s">
        <v>739</v>
      </c>
      <c r="AN119" s="202" t="s">
        <v>667</v>
      </c>
      <c r="AO119" s="203">
        <v>0</v>
      </c>
      <c r="AP119" s="202" t="s">
        <v>739</v>
      </c>
      <c r="AQ119" s="202" t="s">
        <v>668</v>
      </c>
      <c r="AR119" s="203">
        <v>0</v>
      </c>
      <c r="AS119" s="103"/>
      <c r="AT119" s="103" t="s">
        <v>575</v>
      </c>
      <c r="AU119" s="92" t="s">
        <v>603</v>
      </c>
      <c r="AV119" s="92" t="s">
        <v>603</v>
      </c>
      <c r="AW119" s="92" t="s">
        <v>603</v>
      </c>
      <c r="AX119" s="79" t="s">
        <v>740</v>
      </c>
    </row>
    <row r="120" spans="1:50" s="114" customFormat="1" ht="151.5" hidden="1" customHeight="1" x14ac:dyDescent="0.25">
      <c r="A120" s="349"/>
      <c r="B120" s="348"/>
      <c r="C120" s="361"/>
      <c r="D120" s="361"/>
      <c r="E120" s="351"/>
      <c r="F120" s="351"/>
      <c r="G120" s="351"/>
      <c r="H120" s="354"/>
      <c r="I120" s="351"/>
      <c r="J120" s="366"/>
      <c r="K120" s="332"/>
      <c r="L120" s="335"/>
      <c r="M120" s="338"/>
      <c r="N120" s="184"/>
      <c r="O120" s="332"/>
      <c r="P120" s="335"/>
      <c r="Q120" s="341"/>
      <c r="R120" s="154">
        <v>3</v>
      </c>
      <c r="S120" s="121"/>
      <c r="T120" s="122"/>
      <c r="U120" s="124"/>
      <c r="V120" s="124"/>
      <c r="W120" s="125"/>
      <c r="X120" s="124"/>
      <c r="Y120" s="124"/>
      <c r="Z120" s="124"/>
      <c r="AA120" s="108"/>
      <c r="AB120" s="117"/>
      <c r="AC120" s="118"/>
      <c r="AD120" s="117"/>
      <c r="AE120" s="118"/>
      <c r="AF120" s="119"/>
      <c r="AG120" s="120"/>
      <c r="AH120" s="129"/>
      <c r="AI120" s="115"/>
      <c r="AJ120" s="116"/>
      <c r="AK120" s="116"/>
      <c r="AL120" s="121"/>
      <c r="AM120" s="202"/>
      <c r="AN120" s="202"/>
      <c r="AO120" s="203"/>
      <c r="AP120" s="202"/>
      <c r="AQ120" s="202"/>
      <c r="AR120" s="203"/>
      <c r="AS120" s="103"/>
      <c r="AT120" s="103" t="s">
        <v>575</v>
      </c>
      <c r="AU120" s="92" t="s">
        <v>603</v>
      </c>
      <c r="AV120" s="92" t="s">
        <v>603</v>
      </c>
      <c r="AW120" s="92" t="s">
        <v>603</v>
      </c>
      <c r="AX120" s="92" t="s">
        <v>603</v>
      </c>
    </row>
    <row r="121" spans="1:50" s="114" customFormat="1" ht="237" customHeight="1" x14ac:dyDescent="0.25">
      <c r="A121" s="349">
        <f>1+A118</f>
        <v>38</v>
      </c>
      <c r="B121" s="346" t="s">
        <v>215</v>
      </c>
      <c r="C121" s="359" t="s">
        <v>420</v>
      </c>
      <c r="D121" s="359" t="s">
        <v>216</v>
      </c>
      <c r="E121" s="350" t="s">
        <v>120</v>
      </c>
      <c r="F121" s="381" t="s">
        <v>467</v>
      </c>
      <c r="G121" s="395" t="s">
        <v>234</v>
      </c>
      <c r="H121" s="353" t="s">
        <v>466</v>
      </c>
      <c r="I121" s="350" t="s">
        <v>115</v>
      </c>
      <c r="J121" s="328">
        <v>56</v>
      </c>
      <c r="K121" s="331" t="str">
        <f>IF(J121&lt;=0,"",IF(J121&lt;=2,"Muy Baja",IF(J121&lt;=24,"Baja",IF(J121&lt;=500,"Media",IF(J121&lt;=5000,"Alta","Muy Alta")))))</f>
        <v>Media</v>
      </c>
      <c r="L121" s="334">
        <f>IF(K121="","",IF(K121="Muy Baja",0.2,IF(K121="Baja",0.4,IF(K121="Media",0.6,IF(K121="Alta",0.8,IF(K121="Muy Alta",1,))))))</f>
        <v>0.6</v>
      </c>
      <c r="M121" s="337" t="s">
        <v>248</v>
      </c>
      <c r="N121" s="183" t="str">
        <f>IF(NOT(ISERROR(MATCH(M121,'Tabla Impacto'!$B$221:$B$223,0))),'Tabla Impacto'!$F$223&amp;"Por favor no seleccionar los criterios de impacto(Afectación Económica o presupuestal y Pérdida Reputacional)",M121)</f>
        <v xml:space="preserve"> El riesgo afecta la imagen de la entidad con algunos usuarios de relevancia frente al logro de los objetivos</v>
      </c>
      <c r="O121" s="331" t="str">
        <f>IF(OR(N121='Tabla Impacto'!$C$11,N121='Tabla Impacto'!$D$11),"Leve",IF(OR(N121='Tabla Impacto'!$C$12,N121='Tabla Impacto'!$D$12),"Menor",IF(OR(N121='Tabla Impacto'!$C$13,N121='Tabla Impacto'!$D$13),"Moderado",IF(OR(N121='Tabla Impacto'!$C$14,N121='Tabla Impacto'!$D$14),"Mayor",IF(OR(N121='Tabla Impacto'!$C$15,N121='Tabla Impacto'!$D$15),"Catastrófico","")))))</f>
        <v>Moderado</v>
      </c>
      <c r="P121" s="334">
        <f>IF(O121="","",IF(O121="Leve",0.2,IF(O121="Menor",0.4,IF(O121="Moderado",0.6,IF(O121="Mayor",0.8,IF(O121="Catastrófico",1,))))))</f>
        <v>0.6</v>
      </c>
      <c r="Q121" s="340" t="str">
        <f>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Moderado</v>
      </c>
      <c r="R121" s="123">
        <v>1</v>
      </c>
      <c r="S121" s="121" t="s">
        <v>429</v>
      </c>
      <c r="T121" s="122" t="str">
        <f t="shared" ref="T121:T129" si="113">IF(OR(U121="Preventivo",U121="Detectivo"),"Probabilidad",IF(U121="Correctivo","Impacto",""))</f>
        <v>Probabilidad</v>
      </c>
      <c r="U121" s="124" t="s">
        <v>15</v>
      </c>
      <c r="V121" s="124" t="s">
        <v>9</v>
      </c>
      <c r="W121" s="125" t="str">
        <f t="shared" ref="W121:W129" si="114">IF(AND(U121="Preventivo",V121="Automático"),"50%",IF(AND(U121="Preventivo",V121="Manual"),"40%",IF(AND(U121="Detectivo",V121="Automático"),"40%",IF(AND(U121="Detectivo",V121="Manual"),"30%",IF(AND(U121="Correctivo",V121="Automático"),"35%",IF(AND(U121="Correctivo",V121="Manual"),"25%",""))))))</f>
        <v>30%</v>
      </c>
      <c r="X121" s="96" t="s">
        <v>19</v>
      </c>
      <c r="Y121" s="96" t="s">
        <v>22</v>
      </c>
      <c r="Z121" s="96" t="s">
        <v>110</v>
      </c>
      <c r="AA121" s="108">
        <f>IFERROR(IF(T121="Probabilidad",(L121-(+L121*W121)),IF(T121="Impacto",L121,"")),"")</f>
        <v>0.42</v>
      </c>
      <c r="AB121" s="117" t="str">
        <f t="shared" ref="AB121:AB129" si="115">IFERROR(IF(AA121="","",IF(AA121&lt;=0.2,"Muy Baja",IF(AA121&lt;=0.4,"Baja",IF(AA121&lt;=0.6,"Media",IF(AA121&lt;=0.8,"Alta","Muy Alta"))))),"")</f>
        <v>Media</v>
      </c>
      <c r="AC121" s="118">
        <f t="shared" ref="AC121:AC129" si="116">+AA121</f>
        <v>0.42</v>
      </c>
      <c r="AD121" s="117" t="str">
        <f t="shared" ref="AD121:AD129" si="117">IFERROR(IF(AE121="","",IF(AE121&lt;=0.2,"Leve",IF(AE121&lt;=0.4,"Menor",IF(AE121&lt;=0.6,"Moderado",IF(AE121&lt;=0.8,"Mayor","Catastrófico"))))),"")</f>
        <v>Moderado</v>
      </c>
      <c r="AE121" s="118">
        <f t="shared" ref="AE121:AE129" si="118">IFERROR(IF(T121="Impacto",(P121-(+P121*W121)),IF(T121="Probabilidad",P121,"")),"")</f>
        <v>0.6</v>
      </c>
      <c r="AF121" s="119" t="str">
        <f t="shared" ref="AF121:AF129" si="119">IFERROR(IF(OR(AND(AB121="Muy Baja",AD121="Leve"),AND(AB121="Muy Baja",AD121="Menor"),AND(AB121="Baja",AD121="Leve")),"Bajo",IF(OR(AND(AB121="Muy baja",AD121="Moderado"),AND(AB121="Baja",AD121="Menor"),AND(AB121="Baja",AD121="Moderado"),AND(AB121="Media",AD121="Leve"),AND(AB121="Media",AD121="Menor"),AND(AB121="Media",AD121="Moderado"),AND(AB121="Alta",AD121="Leve"),AND(AB121="Alta",AD121="Menor")),"Moderado",IF(OR(AND(AB121="Muy Baja",AD121="Mayor"),AND(AB121="Baja",AD121="Mayor"),AND(AB121="Media",AD121="Mayor"),AND(AB121="Alta",AD121="Moderado"),AND(AB121="Alta",AD121="Mayor"),AND(AB121="Muy Alta",AD121="Leve"),AND(AB121="Muy Alta",AD121="Menor"),AND(AB121="Muy Alta",AD121="Moderado"),AND(AB121="Muy Alta",AD121="Mayor")),"Alto",IF(OR(AND(AB121="Muy Baja",AD121="Catastrófico"),AND(AB121="Baja",AD121="Catastrófico"),AND(AB121="Media",AD121="Catastrófico"),AND(AB121="Alta",AD121="Catastrófico"),AND(AB121="Muy Alta",AD121="Catastrófico")),"Extremo","")))),"")</f>
        <v>Moderado</v>
      </c>
      <c r="AG121" s="120" t="s">
        <v>122</v>
      </c>
      <c r="AH121" s="129" t="s">
        <v>468</v>
      </c>
      <c r="AI121" s="92" t="s">
        <v>470</v>
      </c>
      <c r="AJ121" s="103" t="s">
        <v>281</v>
      </c>
      <c r="AK121" s="103" t="s">
        <v>205</v>
      </c>
      <c r="AL121" s="91" t="s">
        <v>471</v>
      </c>
      <c r="AM121" s="202" t="s">
        <v>741</v>
      </c>
      <c r="AN121" s="202" t="s">
        <v>742</v>
      </c>
      <c r="AO121" s="203">
        <v>0.5</v>
      </c>
      <c r="AP121" s="202" t="s">
        <v>743</v>
      </c>
      <c r="AQ121" s="202" t="s">
        <v>743</v>
      </c>
      <c r="AR121" s="203">
        <v>0.5</v>
      </c>
      <c r="AS121" s="103"/>
      <c r="AT121" s="103" t="s">
        <v>575</v>
      </c>
      <c r="AU121" s="92" t="s">
        <v>603</v>
      </c>
      <c r="AV121" s="92" t="s">
        <v>603</v>
      </c>
      <c r="AW121" s="92" t="s">
        <v>603</v>
      </c>
      <c r="AX121" s="92" t="s">
        <v>603</v>
      </c>
    </row>
    <row r="122" spans="1:50" s="114" customFormat="1" ht="151.5" customHeight="1" x14ac:dyDescent="0.25">
      <c r="A122" s="349"/>
      <c r="B122" s="347"/>
      <c r="C122" s="360"/>
      <c r="D122" s="357"/>
      <c r="E122" s="351"/>
      <c r="F122" s="378"/>
      <c r="G122" s="351"/>
      <c r="H122" s="354"/>
      <c r="I122" s="351"/>
      <c r="J122" s="329"/>
      <c r="K122" s="332"/>
      <c r="L122" s="335"/>
      <c r="M122" s="338"/>
      <c r="N122" s="184"/>
      <c r="O122" s="332"/>
      <c r="P122" s="335"/>
      <c r="Q122" s="341"/>
      <c r="R122" s="123">
        <v>2</v>
      </c>
      <c r="S122" s="121"/>
      <c r="T122" s="122" t="str">
        <f t="shared" si="113"/>
        <v/>
      </c>
      <c r="U122" s="124"/>
      <c r="V122" s="124"/>
      <c r="W122" s="125" t="str">
        <f t="shared" si="114"/>
        <v/>
      </c>
      <c r="X122" s="124"/>
      <c r="Y122" s="124"/>
      <c r="Z122" s="124"/>
      <c r="AA122" s="108" t="str">
        <f>IFERROR(IF(T122="Probabilidad",(AA121-(+AA121*W122)),IF(T122="Impacto",L122,"")),"")</f>
        <v/>
      </c>
      <c r="AB122" s="117" t="str">
        <f t="shared" si="115"/>
        <v/>
      </c>
      <c r="AC122" s="118" t="str">
        <f t="shared" si="116"/>
        <v/>
      </c>
      <c r="AD122" s="117" t="str">
        <f t="shared" si="117"/>
        <v/>
      </c>
      <c r="AE122" s="118" t="str">
        <f t="shared" si="118"/>
        <v/>
      </c>
      <c r="AF122" s="119" t="str">
        <f t="shared" si="119"/>
        <v/>
      </c>
      <c r="AG122" s="120"/>
      <c r="AH122" s="129" t="s">
        <v>469</v>
      </c>
      <c r="AI122" s="92" t="s">
        <v>195</v>
      </c>
      <c r="AJ122" s="103" t="s">
        <v>281</v>
      </c>
      <c r="AK122" s="103" t="s">
        <v>205</v>
      </c>
      <c r="AL122" s="92" t="s">
        <v>603</v>
      </c>
      <c r="AM122" s="92" t="s">
        <v>603</v>
      </c>
      <c r="AN122" s="92" t="s">
        <v>603</v>
      </c>
      <c r="AO122" s="203" t="s">
        <v>604</v>
      </c>
      <c r="AP122" s="202" t="s">
        <v>786</v>
      </c>
      <c r="AQ122" s="202" t="s">
        <v>744</v>
      </c>
      <c r="AR122" s="203">
        <v>0.5</v>
      </c>
      <c r="AS122" s="103"/>
      <c r="AT122" s="103" t="s">
        <v>575</v>
      </c>
      <c r="AU122" s="92" t="s">
        <v>603</v>
      </c>
      <c r="AV122" s="92" t="s">
        <v>603</v>
      </c>
      <c r="AW122" s="92" t="s">
        <v>603</v>
      </c>
      <c r="AX122" s="92" t="s">
        <v>603</v>
      </c>
    </row>
    <row r="123" spans="1:50" s="114" customFormat="1" ht="151.5" hidden="1" customHeight="1" x14ac:dyDescent="0.25">
      <c r="A123" s="349"/>
      <c r="B123" s="348"/>
      <c r="C123" s="360"/>
      <c r="D123" s="357"/>
      <c r="E123" s="351"/>
      <c r="F123" s="378"/>
      <c r="G123" s="351"/>
      <c r="H123" s="354"/>
      <c r="I123" s="351"/>
      <c r="J123" s="329"/>
      <c r="K123" s="333"/>
      <c r="L123" s="336"/>
      <c r="M123" s="338"/>
      <c r="N123" s="184"/>
      <c r="O123" s="333"/>
      <c r="P123" s="336"/>
      <c r="Q123" s="342"/>
      <c r="R123" s="123">
        <v>3</v>
      </c>
      <c r="S123" s="121"/>
      <c r="T123" s="122" t="str">
        <f t="shared" si="113"/>
        <v/>
      </c>
      <c r="U123" s="124"/>
      <c r="V123" s="124"/>
      <c r="W123" s="125"/>
      <c r="X123" s="124"/>
      <c r="Y123" s="124"/>
      <c r="Z123" s="124"/>
      <c r="AA123" s="108" t="str">
        <f>IFERROR(IF(T123="Probabilidad",(AA122-(+AA122*W123)),IF(T123="Impacto",L123,"")),"")</f>
        <v/>
      </c>
      <c r="AB123" s="117" t="str">
        <f t="shared" si="115"/>
        <v/>
      </c>
      <c r="AC123" s="118" t="str">
        <f t="shared" si="116"/>
        <v/>
      </c>
      <c r="AD123" s="117" t="str">
        <f t="shared" si="117"/>
        <v/>
      </c>
      <c r="AE123" s="118" t="str">
        <f t="shared" si="118"/>
        <v/>
      </c>
      <c r="AF123" s="119" t="str">
        <f t="shared" si="119"/>
        <v/>
      </c>
      <c r="AG123" s="120"/>
      <c r="AH123" s="121"/>
      <c r="AI123" s="115"/>
      <c r="AJ123" s="116"/>
      <c r="AK123" s="116"/>
      <c r="AL123" s="121"/>
      <c r="AM123" s="202"/>
      <c r="AN123" s="202"/>
      <c r="AO123" s="203"/>
      <c r="AP123" s="202"/>
      <c r="AQ123" s="202"/>
      <c r="AR123" s="203"/>
      <c r="AS123" s="103"/>
      <c r="AT123" s="103" t="s">
        <v>575</v>
      </c>
      <c r="AU123" s="92" t="s">
        <v>603</v>
      </c>
      <c r="AV123" s="92" t="s">
        <v>603</v>
      </c>
      <c r="AW123" s="92" t="s">
        <v>603</v>
      </c>
      <c r="AX123" s="92" t="s">
        <v>603</v>
      </c>
    </row>
    <row r="124" spans="1:50" s="114" customFormat="1" ht="151.5" customHeight="1" x14ac:dyDescent="0.25">
      <c r="A124" s="349">
        <f>1+A121</f>
        <v>39</v>
      </c>
      <c r="B124" s="346" t="s">
        <v>215</v>
      </c>
      <c r="C124" s="359" t="s">
        <v>420</v>
      </c>
      <c r="D124" s="359" t="s">
        <v>216</v>
      </c>
      <c r="E124" s="350" t="s">
        <v>120</v>
      </c>
      <c r="F124" s="362" t="s">
        <v>472</v>
      </c>
      <c r="G124" s="362" t="s">
        <v>473</v>
      </c>
      <c r="H124" s="353" t="s">
        <v>433</v>
      </c>
      <c r="I124" s="350" t="s">
        <v>217</v>
      </c>
      <c r="J124" s="328">
        <v>150</v>
      </c>
      <c r="K124" s="331" t="str">
        <f>IF(J124&lt;=0,"",IF(J124&lt;=2,"Muy Baja",IF(J124&lt;=24,"Baja",IF(J124&lt;=500,"Media",IF(J124&lt;=5000,"Alta","Muy Alta")))))</f>
        <v>Media</v>
      </c>
      <c r="L124" s="334">
        <f>IF(K124="","",IF(K124="Muy Baja",0.2,IF(K124="Baja",0.4,IF(K124="Media",0.6,IF(K124="Alta",0.8,IF(K124="Muy Alta",1,))))))</f>
        <v>0.6</v>
      </c>
      <c r="M124" s="337" t="s">
        <v>255</v>
      </c>
      <c r="N124" s="183" t="str">
        <f>IF(NOT(ISERROR(MATCH(M124,'Tabla Impacto'!$B$221:$B$223,0))),'Tabla Impacto'!$F$223&amp;"Por favor no seleccionar los criterios de impacto(Afectación Económica o presupuestal y Pérdida Reputacional)",M124)</f>
        <v xml:space="preserve"> El riesgo afecta la imagen de la entidad con efecto publicitario sostenido a nivel de sector administrativo, nivel departamental o municipal</v>
      </c>
      <c r="O124" s="331" t="str">
        <f>IF(OR(N124='Tabla Impacto'!$C$11,N124='Tabla Impacto'!$D$11),"Leve",IF(OR(N124='Tabla Impacto'!$C$12,N124='Tabla Impacto'!$D$12),"Menor",IF(OR(N124='Tabla Impacto'!$C$13,N124='Tabla Impacto'!$D$13),"Moderado",IF(OR(N124='Tabla Impacto'!$C$14,N124='Tabla Impacto'!$D$14),"Mayor",IF(OR(N124='Tabla Impacto'!$C$15,N124='Tabla Impacto'!$D$15),"Catastrófico","")))))</f>
        <v>Mayor</v>
      </c>
      <c r="P124" s="334">
        <f>IF(O124="","",IF(O124="Leve",0.2,IF(O124="Menor",0.4,IF(O124="Moderado",0.6,IF(O124="Mayor",0.8,IF(O124="Catastrófico",1,))))))</f>
        <v>0.8</v>
      </c>
      <c r="Q124" s="340" t="str">
        <f>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Alto</v>
      </c>
      <c r="R124" s="123">
        <v>1</v>
      </c>
      <c r="S124" s="79" t="s">
        <v>474</v>
      </c>
      <c r="T124" s="122" t="str">
        <f t="shared" si="113"/>
        <v>Probabilidad</v>
      </c>
      <c r="U124" s="124" t="s">
        <v>14</v>
      </c>
      <c r="V124" s="124" t="s">
        <v>9</v>
      </c>
      <c r="W124" s="125" t="str">
        <f t="shared" si="114"/>
        <v>40%</v>
      </c>
      <c r="X124" s="124" t="s">
        <v>19</v>
      </c>
      <c r="Y124" s="124" t="s">
        <v>22</v>
      </c>
      <c r="Z124" s="124" t="s">
        <v>110</v>
      </c>
      <c r="AA124" s="108">
        <f>IFERROR(IF(T124="Probabilidad",(L124-(+L124*W124)),IF(T124="Impacto",L124,"")),"")</f>
        <v>0.36</v>
      </c>
      <c r="AB124" s="117" t="str">
        <f t="shared" si="115"/>
        <v>Baja</v>
      </c>
      <c r="AC124" s="118">
        <f t="shared" si="116"/>
        <v>0.36</v>
      </c>
      <c r="AD124" s="117" t="str">
        <f t="shared" si="117"/>
        <v>Mayor</v>
      </c>
      <c r="AE124" s="118">
        <f t="shared" si="118"/>
        <v>0.8</v>
      </c>
      <c r="AF124" s="119" t="str">
        <f t="shared" si="119"/>
        <v>Alto</v>
      </c>
      <c r="AG124" s="120" t="s">
        <v>122</v>
      </c>
      <c r="AH124" s="91" t="s">
        <v>475</v>
      </c>
      <c r="AI124" s="115" t="s">
        <v>375</v>
      </c>
      <c r="AJ124" s="116" t="s">
        <v>281</v>
      </c>
      <c r="AK124" s="116" t="s">
        <v>205</v>
      </c>
      <c r="AL124" s="121" t="s">
        <v>434</v>
      </c>
      <c r="AM124" s="202" t="s">
        <v>642</v>
      </c>
      <c r="AN124" s="202" t="s">
        <v>570</v>
      </c>
      <c r="AO124" s="203">
        <v>0.5</v>
      </c>
      <c r="AP124" s="202" t="s">
        <v>571</v>
      </c>
      <c r="AQ124" s="202" t="s">
        <v>745</v>
      </c>
      <c r="AR124" s="203">
        <v>0.5</v>
      </c>
      <c r="AS124" s="103"/>
      <c r="AT124" s="103" t="s">
        <v>575</v>
      </c>
      <c r="AU124" s="92" t="s">
        <v>603</v>
      </c>
      <c r="AV124" s="92" t="s">
        <v>603</v>
      </c>
      <c r="AW124" s="92" t="s">
        <v>603</v>
      </c>
      <c r="AX124" s="92" t="s">
        <v>603</v>
      </c>
    </row>
    <row r="125" spans="1:50" s="114" customFormat="1" ht="151.5" customHeight="1" x14ac:dyDescent="0.25">
      <c r="A125" s="349"/>
      <c r="B125" s="347"/>
      <c r="C125" s="360"/>
      <c r="D125" s="357"/>
      <c r="E125" s="351"/>
      <c r="F125" s="363"/>
      <c r="G125" s="363"/>
      <c r="H125" s="354"/>
      <c r="I125" s="351"/>
      <c r="J125" s="329"/>
      <c r="K125" s="332"/>
      <c r="L125" s="335"/>
      <c r="M125" s="338"/>
      <c r="N125" s="184"/>
      <c r="O125" s="332"/>
      <c r="P125" s="335"/>
      <c r="Q125" s="341"/>
      <c r="R125" s="123">
        <v>2</v>
      </c>
      <c r="T125" s="122" t="str">
        <f t="shared" si="113"/>
        <v/>
      </c>
      <c r="U125" s="124"/>
      <c r="V125" s="124"/>
      <c r="W125" s="125" t="str">
        <f t="shared" si="114"/>
        <v/>
      </c>
      <c r="X125" s="124"/>
      <c r="Y125" s="124"/>
      <c r="Z125" s="124"/>
      <c r="AA125" s="108" t="str">
        <f>IFERROR(IF(T125="Probabilidad",(AA124-(+AA124*W125)),IF(T125="Impacto",L125,"")),"")</f>
        <v/>
      </c>
      <c r="AB125" s="117" t="str">
        <f t="shared" si="115"/>
        <v/>
      </c>
      <c r="AC125" s="118" t="str">
        <f t="shared" si="116"/>
        <v/>
      </c>
      <c r="AD125" s="117" t="str">
        <f t="shared" si="117"/>
        <v/>
      </c>
      <c r="AE125" s="118" t="str">
        <f t="shared" si="118"/>
        <v/>
      </c>
      <c r="AF125" s="119" t="str">
        <f t="shared" si="119"/>
        <v/>
      </c>
      <c r="AG125" s="120" t="s">
        <v>122</v>
      </c>
      <c r="AH125" s="79" t="s">
        <v>476</v>
      </c>
      <c r="AI125" s="92" t="s">
        <v>203</v>
      </c>
      <c r="AJ125" s="103" t="s">
        <v>281</v>
      </c>
      <c r="AK125" s="103" t="s">
        <v>205</v>
      </c>
      <c r="AL125" s="92" t="s">
        <v>603</v>
      </c>
      <c r="AM125" s="92" t="s">
        <v>603</v>
      </c>
      <c r="AN125" s="92" t="s">
        <v>603</v>
      </c>
      <c r="AO125" s="203" t="s">
        <v>604</v>
      </c>
      <c r="AP125" s="202" t="s">
        <v>746</v>
      </c>
      <c r="AQ125" s="202" t="s">
        <v>747</v>
      </c>
      <c r="AR125" s="203">
        <v>0.5</v>
      </c>
      <c r="AS125" s="103"/>
      <c r="AT125" s="103" t="s">
        <v>575</v>
      </c>
      <c r="AU125" s="92" t="s">
        <v>603</v>
      </c>
      <c r="AV125" s="92" t="s">
        <v>603</v>
      </c>
      <c r="AW125" s="92" t="s">
        <v>603</v>
      </c>
      <c r="AX125" s="92" t="s">
        <v>603</v>
      </c>
    </row>
    <row r="126" spans="1:50" s="114" customFormat="1" ht="151.5" hidden="1" customHeight="1" x14ac:dyDescent="0.25">
      <c r="A126" s="349"/>
      <c r="B126" s="348"/>
      <c r="C126" s="360"/>
      <c r="D126" s="357"/>
      <c r="E126" s="351"/>
      <c r="F126" s="363"/>
      <c r="G126" s="363"/>
      <c r="H126" s="354"/>
      <c r="I126" s="351"/>
      <c r="J126" s="329"/>
      <c r="K126" s="333"/>
      <c r="L126" s="336"/>
      <c r="M126" s="338"/>
      <c r="N126" s="184"/>
      <c r="O126" s="333"/>
      <c r="P126" s="336"/>
      <c r="Q126" s="342"/>
      <c r="R126" s="123">
        <v>3</v>
      </c>
      <c r="S126" s="121"/>
      <c r="T126" s="122" t="str">
        <f t="shared" si="113"/>
        <v/>
      </c>
      <c r="U126" s="124"/>
      <c r="V126" s="124"/>
      <c r="W126" s="125"/>
      <c r="X126" s="124"/>
      <c r="Y126" s="124"/>
      <c r="Z126" s="124"/>
      <c r="AA126" s="108" t="str">
        <f>IFERROR(IF(T126="Probabilidad",(AA125-(+AA125*W126)),IF(T126="Impacto",L126,"")),"")</f>
        <v/>
      </c>
      <c r="AB126" s="117" t="str">
        <f t="shared" si="115"/>
        <v/>
      </c>
      <c r="AC126" s="118" t="str">
        <f t="shared" si="116"/>
        <v/>
      </c>
      <c r="AD126" s="117" t="str">
        <f t="shared" si="117"/>
        <v/>
      </c>
      <c r="AE126" s="118" t="str">
        <f t="shared" si="118"/>
        <v/>
      </c>
      <c r="AF126" s="119" t="str">
        <f t="shared" si="119"/>
        <v/>
      </c>
      <c r="AG126" s="120"/>
      <c r="AH126" s="121"/>
      <c r="AI126" s="115"/>
      <c r="AJ126" s="116"/>
      <c r="AK126" s="116"/>
      <c r="AL126" s="121"/>
      <c r="AM126" s="202"/>
      <c r="AN126" s="202"/>
      <c r="AO126" s="203"/>
      <c r="AP126" s="202"/>
      <c r="AQ126" s="202"/>
      <c r="AR126" s="203"/>
      <c r="AS126" s="103"/>
      <c r="AT126" s="103" t="s">
        <v>575</v>
      </c>
      <c r="AU126" s="92" t="s">
        <v>603</v>
      </c>
      <c r="AV126" s="92" t="s">
        <v>603</v>
      </c>
      <c r="AW126" s="92" t="s">
        <v>603</v>
      </c>
      <c r="AX126" s="92" t="s">
        <v>603</v>
      </c>
    </row>
    <row r="127" spans="1:50" s="114" customFormat="1" ht="258.75" customHeight="1" x14ac:dyDescent="0.25">
      <c r="A127" s="349">
        <f>1+A124</f>
        <v>40</v>
      </c>
      <c r="B127" s="346" t="s">
        <v>215</v>
      </c>
      <c r="C127" s="359" t="s">
        <v>420</v>
      </c>
      <c r="D127" s="359" t="s">
        <v>216</v>
      </c>
      <c r="E127" s="350" t="s">
        <v>120</v>
      </c>
      <c r="F127" s="377" t="s">
        <v>489</v>
      </c>
      <c r="G127" s="377" t="s">
        <v>490</v>
      </c>
      <c r="H127" s="362" t="s">
        <v>488</v>
      </c>
      <c r="I127" s="350" t="s">
        <v>217</v>
      </c>
      <c r="J127" s="328">
        <v>150</v>
      </c>
      <c r="K127" s="331" t="str">
        <f>IF(J127&lt;=0,"",IF(J127&lt;=2,"Muy Baja",IF(J127&lt;=24,"Baja",IF(J127&lt;=500,"Media",IF(J127&lt;=5000,"Alta","Muy Alta")))))</f>
        <v>Media</v>
      </c>
      <c r="L127" s="334">
        <f>IF(K127="","",IF(K127="Muy Baja",0.2,IF(K127="Baja",0.4,IF(K127="Media",0.6,IF(K127="Alta",0.8,IF(K127="Muy Alta",1,))))))</f>
        <v>0.6</v>
      </c>
      <c r="M127" s="337" t="s">
        <v>255</v>
      </c>
      <c r="N127" s="183" t="str">
        <f>IF(NOT(ISERROR(MATCH(M127,'Tabla Impacto'!$B$221:$B$223,0))),'Tabla Impacto'!$F$223&amp;"Por favor no seleccionar los criterios de impacto(Afectación Económica o presupuestal y Pérdida Reputacional)",M127)</f>
        <v xml:space="preserve"> El riesgo afecta la imagen de la entidad con efecto publicitario sostenido a nivel de sector administrativo, nivel departamental o municipal</v>
      </c>
      <c r="O127" s="331" t="str">
        <f>IF(OR(N127='Tabla Impacto'!$C$11,N127='Tabla Impacto'!$D$11),"Leve",IF(OR(N127='Tabla Impacto'!$C$12,N127='Tabla Impacto'!$D$12),"Menor",IF(OR(N127='Tabla Impacto'!$C$13,N127='Tabla Impacto'!$D$13),"Moderado",IF(OR(N127='Tabla Impacto'!$C$14,N127='Tabla Impacto'!$D$14),"Mayor",IF(OR(N127='Tabla Impacto'!$C$15,N127='Tabla Impacto'!$D$15),"Catastrófico","")))))</f>
        <v>Mayor</v>
      </c>
      <c r="P127" s="334">
        <f>IF(O127="","",IF(O127="Leve",0.2,IF(O127="Menor",0.4,IF(O127="Moderado",0.6,IF(O127="Mayor",0.8,IF(O127="Catastrófico",1,))))))</f>
        <v>0.8</v>
      </c>
      <c r="Q127" s="340" t="str">
        <f>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Alto</v>
      </c>
      <c r="R127" s="123">
        <v>1</v>
      </c>
      <c r="S127" s="79" t="s">
        <v>491</v>
      </c>
      <c r="T127" s="122" t="str">
        <f t="shared" si="113"/>
        <v>Probabilidad</v>
      </c>
      <c r="U127" s="124" t="s">
        <v>14</v>
      </c>
      <c r="V127" s="124" t="s">
        <v>9</v>
      </c>
      <c r="W127" s="125" t="str">
        <f t="shared" si="114"/>
        <v>40%</v>
      </c>
      <c r="X127" s="124" t="s">
        <v>19</v>
      </c>
      <c r="Y127" s="124" t="s">
        <v>22</v>
      </c>
      <c r="Z127" s="124" t="s">
        <v>110</v>
      </c>
      <c r="AA127" s="108">
        <f>IFERROR(IF(T127="Probabilidad",(L127-(+L127*W127)),IF(T127="Impacto",L127,"")),"")</f>
        <v>0.36</v>
      </c>
      <c r="AB127" s="117" t="str">
        <f t="shared" si="115"/>
        <v>Baja</v>
      </c>
      <c r="AC127" s="118">
        <f t="shared" si="116"/>
        <v>0.36</v>
      </c>
      <c r="AD127" s="117" t="str">
        <f t="shared" si="117"/>
        <v>Mayor</v>
      </c>
      <c r="AE127" s="118">
        <f t="shared" si="118"/>
        <v>0.8</v>
      </c>
      <c r="AF127" s="119" t="str">
        <f t="shared" si="119"/>
        <v>Alto</v>
      </c>
      <c r="AG127" s="120" t="s">
        <v>122</v>
      </c>
      <c r="AH127" s="79" t="s">
        <v>493</v>
      </c>
      <c r="AI127" s="92" t="s">
        <v>470</v>
      </c>
      <c r="AJ127" s="103" t="s">
        <v>281</v>
      </c>
      <c r="AK127" s="103" t="s">
        <v>205</v>
      </c>
      <c r="AL127" s="79" t="s">
        <v>495</v>
      </c>
      <c r="AM127" s="202" t="s">
        <v>572</v>
      </c>
      <c r="AN127" s="202" t="s">
        <v>748</v>
      </c>
      <c r="AO127" s="203">
        <v>0.5</v>
      </c>
      <c r="AP127" s="202" t="s">
        <v>749</v>
      </c>
      <c r="AQ127" s="202" t="s">
        <v>750</v>
      </c>
      <c r="AR127" s="203">
        <v>0.5</v>
      </c>
      <c r="AS127" s="103"/>
      <c r="AT127" s="103" t="s">
        <v>575</v>
      </c>
      <c r="AU127" s="92" t="s">
        <v>603</v>
      </c>
      <c r="AV127" s="92" t="s">
        <v>603</v>
      </c>
      <c r="AW127" s="92" t="s">
        <v>603</v>
      </c>
      <c r="AX127" s="92" t="s">
        <v>603</v>
      </c>
    </row>
    <row r="128" spans="1:50" s="114" customFormat="1" ht="151.5" customHeight="1" x14ac:dyDescent="0.25">
      <c r="A128" s="349"/>
      <c r="B128" s="347"/>
      <c r="C128" s="360"/>
      <c r="D128" s="357"/>
      <c r="E128" s="351"/>
      <c r="F128" s="378"/>
      <c r="G128" s="378"/>
      <c r="H128" s="363"/>
      <c r="I128" s="351"/>
      <c r="J128" s="329"/>
      <c r="K128" s="332"/>
      <c r="L128" s="335"/>
      <c r="M128" s="338"/>
      <c r="N128" s="184"/>
      <c r="O128" s="332"/>
      <c r="P128" s="335"/>
      <c r="Q128" s="341"/>
      <c r="R128" s="123">
        <v>2</v>
      </c>
      <c r="S128" s="79" t="s">
        <v>492</v>
      </c>
      <c r="T128" s="122" t="str">
        <f t="shared" si="113"/>
        <v>Probabilidad</v>
      </c>
      <c r="U128" s="124" t="s">
        <v>14</v>
      </c>
      <c r="V128" s="124" t="s">
        <v>9</v>
      </c>
      <c r="W128" s="125" t="str">
        <f t="shared" si="114"/>
        <v>40%</v>
      </c>
      <c r="X128" s="124" t="s">
        <v>19</v>
      </c>
      <c r="Y128" s="124" t="s">
        <v>22</v>
      </c>
      <c r="Z128" s="124" t="s">
        <v>110</v>
      </c>
      <c r="AA128" s="108">
        <f>IFERROR(IF(T128="Probabilidad",(AA127-(+AA127*W128)),IF(T128="Impacto",L128,"")),"")</f>
        <v>0.216</v>
      </c>
      <c r="AB128" s="117" t="str">
        <f t="shared" si="115"/>
        <v>Baja</v>
      </c>
      <c r="AC128" s="118">
        <f t="shared" si="116"/>
        <v>0.216</v>
      </c>
      <c r="AD128" s="117" t="str">
        <f t="shared" si="117"/>
        <v>Leve</v>
      </c>
      <c r="AE128" s="118">
        <f t="shared" si="118"/>
        <v>0</v>
      </c>
      <c r="AF128" s="119" t="str">
        <f t="shared" si="119"/>
        <v>Bajo</v>
      </c>
      <c r="AG128" s="120" t="s">
        <v>122</v>
      </c>
      <c r="AH128" s="79" t="s">
        <v>494</v>
      </c>
      <c r="AI128" s="115" t="s">
        <v>195</v>
      </c>
      <c r="AJ128" s="116" t="s">
        <v>281</v>
      </c>
      <c r="AK128" s="116" t="s">
        <v>205</v>
      </c>
      <c r="AL128" s="79" t="s">
        <v>496</v>
      </c>
      <c r="AM128" s="202" t="s">
        <v>751</v>
      </c>
      <c r="AN128" s="202" t="s">
        <v>752</v>
      </c>
      <c r="AO128" s="203">
        <v>0.5</v>
      </c>
      <c r="AP128" s="202" t="s">
        <v>753</v>
      </c>
      <c r="AQ128" s="92" t="s">
        <v>603</v>
      </c>
      <c r="AR128" s="203" t="s">
        <v>576</v>
      </c>
      <c r="AS128" s="103"/>
      <c r="AT128" s="103" t="s">
        <v>575</v>
      </c>
      <c r="AU128" s="92" t="s">
        <v>603</v>
      </c>
      <c r="AV128" s="92" t="s">
        <v>603</v>
      </c>
      <c r="AW128" s="92" t="s">
        <v>603</v>
      </c>
      <c r="AX128" s="92" t="s">
        <v>603</v>
      </c>
    </row>
    <row r="129" spans="1:50" s="114" customFormat="1" ht="151.5" hidden="1" customHeight="1" x14ac:dyDescent="0.25">
      <c r="A129" s="349"/>
      <c r="B129" s="348"/>
      <c r="C129" s="360"/>
      <c r="D129" s="357"/>
      <c r="E129" s="351"/>
      <c r="F129" s="378"/>
      <c r="G129" s="378"/>
      <c r="H129" s="363"/>
      <c r="I129" s="351"/>
      <c r="J129" s="329"/>
      <c r="K129" s="333"/>
      <c r="L129" s="336"/>
      <c r="M129" s="338"/>
      <c r="N129" s="184"/>
      <c r="O129" s="333"/>
      <c r="P129" s="336"/>
      <c r="Q129" s="342"/>
      <c r="R129" s="123">
        <v>3</v>
      </c>
      <c r="S129" s="79"/>
      <c r="T129" s="122" t="str">
        <f t="shared" si="113"/>
        <v/>
      </c>
      <c r="U129" s="124"/>
      <c r="V129" s="124"/>
      <c r="W129" s="125" t="str">
        <f t="shared" si="114"/>
        <v/>
      </c>
      <c r="X129" s="124"/>
      <c r="Y129" s="124"/>
      <c r="Z129" s="124"/>
      <c r="AA129" s="108" t="str">
        <f>IFERROR(IF(T129="Probabilidad",(AA128-(+A128*W129)),IF(T129="Impacto",L129,"")),"")</f>
        <v/>
      </c>
      <c r="AB129" s="117" t="str">
        <f t="shared" si="115"/>
        <v/>
      </c>
      <c r="AC129" s="118" t="str">
        <f t="shared" si="116"/>
        <v/>
      </c>
      <c r="AD129" s="117" t="str">
        <f t="shared" si="117"/>
        <v/>
      </c>
      <c r="AE129" s="118" t="str">
        <f t="shared" si="118"/>
        <v/>
      </c>
      <c r="AF129" s="119" t="str">
        <f t="shared" si="119"/>
        <v/>
      </c>
      <c r="AG129" s="120"/>
      <c r="AH129" s="79"/>
      <c r="AI129" s="115"/>
      <c r="AJ129" s="116"/>
      <c r="AK129" s="116"/>
      <c r="AL129" s="79"/>
      <c r="AM129" s="202"/>
      <c r="AN129" s="202"/>
      <c r="AO129" s="203"/>
      <c r="AP129" s="202"/>
      <c r="AQ129" s="202"/>
      <c r="AR129" s="203"/>
      <c r="AS129" s="103"/>
      <c r="AT129" s="103" t="s">
        <v>575</v>
      </c>
      <c r="AU129" s="92" t="s">
        <v>603</v>
      </c>
      <c r="AV129" s="92" t="s">
        <v>603</v>
      </c>
      <c r="AW129" s="92" t="s">
        <v>603</v>
      </c>
      <c r="AX129" s="92" t="s">
        <v>603</v>
      </c>
    </row>
    <row r="130" spans="1:50" s="114" customFormat="1" ht="151.5" customHeight="1" x14ac:dyDescent="0.25">
      <c r="A130" s="349">
        <f>1+A127</f>
        <v>41</v>
      </c>
      <c r="B130" s="346" t="s">
        <v>423</v>
      </c>
      <c r="C130" s="359" t="s">
        <v>421</v>
      </c>
      <c r="D130" s="359" t="s">
        <v>422</v>
      </c>
      <c r="E130" s="350" t="s">
        <v>118</v>
      </c>
      <c r="F130" s="350" t="s">
        <v>268</v>
      </c>
      <c r="G130" s="350" t="s">
        <v>267</v>
      </c>
      <c r="H130" s="353" t="s">
        <v>263</v>
      </c>
      <c r="I130" s="350" t="s">
        <v>115</v>
      </c>
      <c r="J130" s="328">
        <v>10</v>
      </c>
      <c r="K130" s="331" t="str">
        <f>IF(J130&lt;=0,"",IF(J130&lt;=2,"Muy Baja",IF(J130&lt;=24,"Baja",IF(J130&lt;=500,"Media",IF(J130&lt;=5000,"Alta","Muy Alta")))))</f>
        <v>Baja</v>
      </c>
      <c r="L130" s="334">
        <f>IF(K130="","",IF(K130="Muy Baja",0.2,IF(K130="Baja",0.4,IF(K130="Media",0.6,IF(K130="Alta",0.8,IF(K130="Muy Alta",1,))))))</f>
        <v>0.4</v>
      </c>
      <c r="M130" s="337" t="s">
        <v>255</v>
      </c>
      <c r="N130" s="183" t="str">
        <f>IF(NOT(ISERROR(MATCH(M130,'Tabla Impacto'!$B$221:$B$223,0))),'Tabla Impacto'!$F$223&amp;"Por favor no seleccionar los criterios de impacto(Afectación Económica o presupuestal y Pérdida Reputacional)",M130)</f>
        <v xml:space="preserve"> El riesgo afecta la imagen de la entidad con efecto publicitario sostenido a nivel de sector administrativo, nivel departamental o municipal</v>
      </c>
      <c r="O130" s="331" t="str">
        <f>IF(OR(N130='Tabla Impacto'!$C$11,N130='Tabla Impacto'!$D$11),"Leve",IF(OR(N130='Tabla Impacto'!$C$12,N130='Tabla Impacto'!$D$12),"Menor",IF(OR(N130='Tabla Impacto'!$C$13,N130='Tabla Impacto'!$D$13),"Moderado",IF(OR(N130='Tabla Impacto'!$C$14,N130='Tabla Impacto'!$D$14),"Mayor",IF(OR(N130='Tabla Impacto'!$C$15,N130='Tabla Impacto'!$D$15),"Catastrófico","")))))</f>
        <v>Mayor</v>
      </c>
      <c r="P130" s="334">
        <f>IF(O130="","",IF(O130="Leve",0.2,IF(O130="Menor",0.4,IF(O130="Moderado",0.6,IF(O130="Mayor",0.8,IF(O130="Catastrófico",1,))))))</f>
        <v>0.8</v>
      </c>
      <c r="Q130" s="340" t="str">
        <f>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Alto</v>
      </c>
      <c r="R130" s="123">
        <v>1</v>
      </c>
      <c r="S130" s="121" t="s">
        <v>500</v>
      </c>
      <c r="T130" s="122" t="str">
        <f t="shared" ref="T130:T138" si="120">IF(OR(U130="Preventivo",U130="Detectivo"),"Probabilidad",IF(U130="Correctivo","Impacto",""))</f>
        <v>Probabilidad</v>
      </c>
      <c r="U130" s="124" t="s">
        <v>14</v>
      </c>
      <c r="V130" s="124" t="s">
        <v>9</v>
      </c>
      <c r="W130" s="125" t="str">
        <f t="shared" ref="W130:W138" si="121">IF(AND(U130="Preventivo",V130="Automático"),"50%",IF(AND(U130="Preventivo",V130="Manual"),"40%",IF(AND(U130="Detectivo",V130="Automático"),"40%",IF(AND(U130="Detectivo",V130="Manual"),"30%",IF(AND(U130="Correctivo",V130="Automático"),"35%",IF(AND(U130="Correctivo",V130="Manual"),"25%",""))))))</f>
        <v>40%</v>
      </c>
      <c r="X130" s="124" t="s">
        <v>19</v>
      </c>
      <c r="Y130" s="124" t="s">
        <v>22</v>
      </c>
      <c r="Z130" s="124" t="s">
        <v>110</v>
      </c>
      <c r="AA130" s="108">
        <f t="shared" ref="AA130:AA138" si="122">IFERROR(IF(T130="Probabilidad",(L130-(+L130*W130)),IF(T130="Impacto",L130,"")),"")</f>
        <v>0.24</v>
      </c>
      <c r="AB130" s="117" t="str">
        <f t="shared" ref="AB130:AB138" si="123">IFERROR(IF(AA130="","",IF(AA130&lt;=0.2,"Muy Baja",IF(AA130&lt;=0.4,"Baja",IF(AA130&lt;=0.6,"Media",IF(AA130&lt;=0.8,"Alta","Muy Alta"))))),"")</f>
        <v>Baja</v>
      </c>
      <c r="AC130" s="118">
        <f t="shared" ref="AC130:AC138" si="124">+AA130</f>
        <v>0.24</v>
      </c>
      <c r="AD130" s="117" t="str">
        <f t="shared" ref="AD130:AD138" si="125">IFERROR(IF(AE130="","",IF(AE130&lt;=0.2,"Leve",IF(AE130&lt;=0.4,"Menor",IF(AE130&lt;=0.6,"Moderado",IF(AE130&lt;=0.8,"Mayor","Catastrófico"))))),"")</f>
        <v>Mayor</v>
      </c>
      <c r="AE130" s="118">
        <f t="shared" ref="AE130:AE138" si="126">IFERROR(IF(T130="Impacto",(P130-(+P130*W130)),IF(T130="Probabilidad",P130,"")),"")</f>
        <v>0.8</v>
      </c>
      <c r="AF130" s="119" t="str">
        <f t="shared" ref="AF130:AF138" si="127">IFERROR(IF(OR(AND(AB130="Muy Baja",AD130="Leve"),AND(AB130="Muy Baja",AD130="Menor"),AND(AB130="Baja",AD130="Leve")),"Bajo",IF(OR(AND(AB130="Muy baja",AD130="Moderado"),AND(AB130="Baja",AD130="Menor"),AND(AB130="Baja",AD130="Moderado"),AND(AB130="Media",AD130="Leve"),AND(AB130="Media",AD130="Menor"),AND(AB130="Media",AD130="Moderado"),AND(AB130="Alta",AD130="Leve"),AND(AB130="Alta",AD130="Menor")),"Moderado",IF(OR(AND(AB130="Muy Baja",AD130="Mayor"),AND(AB130="Baja",AD130="Mayor"),AND(AB130="Media",AD130="Mayor"),AND(AB130="Alta",AD130="Moderado"),AND(AB130="Alta",AD130="Mayor"),AND(AB130="Muy Alta",AD130="Leve"),AND(AB130="Muy Alta",AD130="Menor"),AND(AB130="Muy Alta",AD130="Moderado"),AND(AB130="Muy Alta",AD130="Mayor")),"Alto",IF(OR(AND(AB130="Muy Baja",AD130="Catastrófico"),AND(AB130="Baja",AD130="Catastrófico"),AND(AB130="Media",AD130="Catastrófico"),AND(AB130="Alta",AD130="Catastrófico"),AND(AB130="Muy Alta",AD130="Catastrófico")),"Extremo","")))),"")</f>
        <v>Alto</v>
      </c>
      <c r="AG130" s="120" t="s">
        <v>122</v>
      </c>
      <c r="AH130" s="79" t="s">
        <v>501</v>
      </c>
      <c r="AI130" s="115" t="s">
        <v>470</v>
      </c>
      <c r="AJ130" s="116" t="s">
        <v>281</v>
      </c>
      <c r="AK130" s="116" t="s">
        <v>205</v>
      </c>
      <c r="AL130" s="91" t="s">
        <v>502</v>
      </c>
      <c r="AM130" s="202" t="s">
        <v>622</v>
      </c>
      <c r="AN130" s="202" t="s">
        <v>623</v>
      </c>
      <c r="AO130" s="203">
        <v>0.5</v>
      </c>
      <c r="AP130" s="202" t="s">
        <v>624</v>
      </c>
      <c r="AQ130" s="202" t="s">
        <v>625</v>
      </c>
      <c r="AR130" s="203">
        <v>0.5</v>
      </c>
      <c r="AS130" s="103"/>
      <c r="AT130" s="103" t="s">
        <v>575</v>
      </c>
      <c r="AU130" s="92" t="s">
        <v>603</v>
      </c>
      <c r="AV130" s="92" t="s">
        <v>603</v>
      </c>
      <c r="AW130" s="92" t="s">
        <v>603</v>
      </c>
      <c r="AX130" s="92" t="s">
        <v>603</v>
      </c>
    </row>
    <row r="131" spans="1:50" s="114" customFormat="1" ht="151.5" hidden="1" customHeight="1" x14ac:dyDescent="0.25">
      <c r="A131" s="349"/>
      <c r="B131" s="347"/>
      <c r="C131" s="360"/>
      <c r="D131" s="360"/>
      <c r="E131" s="351"/>
      <c r="F131" s="351"/>
      <c r="G131" s="351"/>
      <c r="H131" s="354"/>
      <c r="I131" s="351"/>
      <c r="J131" s="329"/>
      <c r="K131" s="332"/>
      <c r="L131" s="335"/>
      <c r="M131" s="338"/>
      <c r="N131" s="184"/>
      <c r="O131" s="332"/>
      <c r="P131" s="335"/>
      <c r="Q131" s="341"/>
      <c r="R131" s="123">
        <v>2</v>
      </c>
      <c r="S131" s="121"/>
      <c r="T131" s="122" t="str">
        <f t="shared" si="120"/>
        <v/>
      </c>
      <c r="U131" s="124"/>
      <c r="V131" s="124"/>
      <c r="W131" s="125" t="str">
        <f t="shared" si="121"/>
        <v/>
      </c>
      <c r="X131" s="124"/>
      <c r="Y131" s="124"/>
      <c r="Z131" s="124"/>
      <c r="AA131" s="108" t="str">
        <f t="shared" si="122"/>
        <v/>
      </c>
      <c r="AB131" s="117" t="str">
        <f t="shared" si="123"/>
        <v/>
      </c>
      <c r="AC131" s="118" t="str">
        <f t="shared" si="124"/>
        <v/>
      </c>
      <c r="AD131" s="117" t="str">
        <f t="shared" si="125"/>
        <v/>
      </c>
      <c r="AE131" s="118" t="str">
        <f t="shared" si="126"/>
        <v/>
      </c>
      <c r="AF131" s="119" t="str">
        <f t="shared" si="127"/>
        <v/>
      </c>
      <c r="AG131" s="120"/>
      <c r="AH131" s="121"/>
      <c r="AI131" s="115"/>
      <c r="AJ131" s="116"/>
      <c r="AK131" s="116"/>
      <c r="AL131" s="121"/>
      <c r="AM131" s="202"/>
      <c r="AN131" s="202"/>
      <c r="AO131" s="203"/>
      <c r="AP131" s="202"/>
      <c r="AQ131" s="202"/>
      <c r="AR131" s="203"/>
      <c r="AS131" s="103"/>
      <c r="AT131" s="103" t="s">
        <v>575</v>
      </c>
      <c r="AU131" s="92" t="s">
        <v>603</v>
      </c>
      <c r="AV131" s="92" t="s">
        <v>603</v>
      </c>
      <c r="AW131" s="92" t="s">
        <v>603</v>
      </c>
      <c r="AX131" s="92" t="s">
        <v>603</v>
      </c>
    </row>
    <row r="132" spans="1:50" s="114" customFormat="1" ht="151.5" hidden="1" customHeight="1" x14ac:dyDescent="0.25">
      <c r="A132" s="349"/>
      <c r="B132" s="348"/>
      <c r="C132" s="361"/>
      <c r="D132" s="361"/>
      <c r="E132" s="352"/>
      <c r="F132" s="352"/>
      <c r="G132" s="352"/>
      <c r="H132" s="355"/>
      <c r="I132" s="352"/>
      <c r="J132" s="330"/>
      <c r="K132" s="333"/>
      <c r="L132" s="336"/>
      <c r="M132" s="339"/>
      <c r="N132" s="184"/>
      <c r="O132" s="333"/>
      <c r="P132" s="336"/>
      <c r="Q132" s="342"/>
      <c r="R132" s="123">
        <v>3</v>
      </c>
      <c r="S132" s="121"/>
      <c r="T132" s="122" t="str">
        <f t="shared" si="120"/>
        <v/>
      </c>
      <c r="U132" s="124"/>
      <c r="V132" s="124"/>
      <c r="W132" s="125" t="str">
        <f t="shared" si="121"/>
        <v/>
      </c>
      <c r="X132" s="124"/>
      <c r="Y132" s="124"/>
      <c r="Z132" s="124"/>
      <c r="AA132" s="108" t="str">
        <f t="shared" si="122"/>
        <v/>
      </c>
      <c r="AB132" s="117" t="str">
        <f t="shared" si="123"/>
        <v/>
      </c>
      <c r="AC132" s="118" t="str">
        <f t="shared" si="124"/>
        <v/>
      </c>
      <c r="AD132" s="117" t="str">
        <f t="shared" si="125"/>
        <v/>
      </c>
      <c r="AE132" s="118" t="str">
        <f t="shared" si="126"/>
        <v/>
      </c>
      <c r="AF132" s="119" t="str">
        <f t="shared" si="127"/>
        <v/>
      </c>
      <c r="AG132" s="120"/>
      <c r="AH132" s="121"/>
      <c r="AI132" s="115"/>
      <c r="AJ132" s="116"/>
      <c r="AK132" s="116"/>
      <c r="AL132" s="121"/>
      <c r="AM132" s="202"/>
      <c r="AN132" s="202"/>
      <c r="AO132" s="203"/>
      <c r="AP132" s="202"/>
      <c r="AQ132" s="202"/>
      <c r="AR132" s="203"/>
      <c r="AS132" s="103"/>
      <c r="AT132" s="103" t="s">
        <v>575</v>
      </c>
      <c r="AU132" s="92" t="s">
        <v>603</v>
      </c>
      <c r="AV132" s="92" t="s">
        <v>603</v>
      </c>
      <c r="AW132" s="92" t="s">
        <v>603</v>
      </c>
      <c r="AX132" s="92" t="s">
        <v>603</v>
      </c>
    </row>
    <row r="133" spans="1:50" s="114" customFormat="1" ht="151.5" customHeight="1" x14ac:dyDescent="0.25">
      <c r="A133" s="349">
        <f>1+A130</f>
        <v>42</v>
      </c>
      <c r="B133" s="346" t="s">
        <v>423</v>
      </c>
      <c r="C133" s="359" t="s">
        <v>787</v>
      </c>
      <c r="D133" s="359" t="s">
        <v>265</v>
      </c>
      <c r="E133" s="350" t="s">
        <v>118</v>
      </c>
      <c r="F133" s="350" t="s">
        <v>266</v>
      </c>
      <c r="G133" s="350" t="s">
        <v>424</v>
      </c>
      <c r="H133" s="353" t="s">
        <v>503</v>
      </c>
      <c r="I133" s="350" t="s">
        <v>217</v>
      </c>
      <c r="J133" s="328">
        <v>20</v>
      </c>
      <c r="K133" s="331" t="str">
        <f>IF(J133&lt;=0,"",IF(J133&lt;=2,"Muy Baja",IF(J133&lt;=24,"Baja",IF(J133&lt;=500,"Media",IF(J133&lt;=5000,"Alta","Muy Alta")))))</f>
        <v>Baja</v>
      </c>
      <c r="L133" s="334">
        <f>IF(K133="","",IF(K133="Muy Baja",0.2,IF(K133="Baja",0.4,IF(K133="Media",0.6,IF(K133="Alta",0.8,IF(K133="Muy Alta",1,))))))</f>
        <v>0.4</v>
      </c>
      <c r="M133" s="337" t="s">
        <v>248</v>
      </c>
      <c r="N133" s="183" t="str">
        <f>IF(NOT(ISERROR(MATCH(M133,'Tabla Impacto'!$B$221:$B$223,0))),'Tabla Impacto'!$F$223&amp;"Por favor no seleccionar los criterios de impacto(Afectación Económica o presupuestal y Pérdida Reputacional)",M133)</f>
        <v xml:space="preserve"> El riesgo afecta la imagen de la entidad con algunos usuarios de relevancia frente al logro de los objetivos</v>
      </c>
      <c r="O133" s="331" t="str">
        <f>IF(OR(N133='Tabla Impacto'!$C$11,N133='Tabla Impacto'!$D$11),"Leve",IF(OR(N133='Tabla Impacto'!$C$12,N133='Tabla Impacto'!$D$12),"Menor",IF(OR(N133='Tabla Impacto'!$C$13,N133='Tabla Impacto'!$D$13),"Moderado",IF(OR(N133='Tabla Impacto'!$C$14,N133='Tabla Impacto'!$D$14),"Mayor",IF(OR(N133='Tabla Impacto'!$C$15,N133='Tabla Impacto'!$D$15),"Catastrófico","")))))</f>
        <v>Moderado</v>
      </c>
      <c r="P133" s="334">
        <f>IF(O133="","",IF(O133="Leve",0.2,IF(O133="Menor",0.4,IF(O133="Moderado",0.6,IF(O133="Mayor",0.8,IF(O133="Catastrófico",1,))))))</f>
        <v>0.6</v>
      </c>
      <c r="Q133" s="340" t="str">
        <f>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Moderado</v>
      </c>
      <c r="R133" s="123">
        <v>1</v>
      </c>
      <c r="S133" s="121" t="s">
        <v>504</v>
      </c>
      <c r="T133" s="122" t="str">
        <f t="shared" si="120"/>
        <v>Probabilidad</v>
      </c>
      <c r="U133" s="124" t="s">
        <v>15</v>
      </c>
      <c r="V133" s="124" t="s">
        <v>9</v>
      </c>
      <c r="W133" s="125" t="str">
        <f t="shared" si="121"/>
        <v>30%</v>
      </c>
      <c r="X133" s="124" t="s">
        <v>19</v>
      </c>
      <c r="Y133" s="124" t="s">
        <v>22</v>
      </c>
      <c r="Z133" s="124" t="s">
        <v>110</v>
      </c>
      <c r="AA133" s="108">
        <f t="shared" si="122"/>
        <v>0.28000000000000003</v>
      </c>
      <c r="AB133" s="117" t="str">
        <f t="shared" si="123"/>
        <v>Baja</v>
      </c>
      <c r="AC133" s="118">
        <f t="shared" si="124"/>
        <v>0.28000000000000003</v>
      </c>
      <c r="AD133" s="117" t="str">
        <f t="shared" si="125"/>
        <v>Moderado</v>
      </c>
      <c r="AE133" s="118">
        <f t="shared" si="126"/>
        <v>0.6</v>
      </c>
      <c r="AF133" s="119" t="str">
        <f t="shared" si="127"/>
        <v>Moderado</v>
      </c>
      <c r="AG133" s="120" t="s">
        <v>122</v>
      </c>
      <c r="AH133" s="121" t="s">
        <v>264</v>
      </c>
      <c r="AI133" s="115" t="s">
        <v>202</v>
      </c>
      <c r="AJ133" s="116" t="s">
        <v>281</v>
      </c>
      <c r="AK133" s="116" t="s">
        <v>205</v>
      </c>
      <c r="AL133" s="121" t="s">
        <v>272</v>
      </c>
      <c r="AM133" s="202" t="s">
        <v>754</v>
      </c>
      <c r="AN133" s="202" t="s">
        <v>619</v>
      </c>
      <c r="AO133" s="203">
        <v>0.5</v>
      </c>
      <c r="AP133" s="202" t="s">
        <v>620</v>
      </c>
      <c r="AQ133" s="202" t="s">
        <v>621</v>
      </c>
      <c r="AR133" s="203">
        <v>0.5</v>
      </c>
      <c r="AS133" s="103"/>
      <c r="AT133" s="103" t="s">
        <v>575</v>
      </c>
      <c r="AU133" s="92" t="s">
        <v>603</v>
      </c>
      <c r="AV133" s="92" t="s">
        <v>603</v>
      </c>
      <c r="AW133" s="92" t="s">
        <v>603</v>
      </c>
      <c r="AX133" s="92" t="s">
        <v>603</v>
      </c>
    </row>
    <row r="134" spans="1:50" s="114" customFormat="1" ht="151.5" hidden="1" customHeight="1" x14ac:dyDescent="0.25">
      <c r="A134" s="349"/>
      <c r="B134" s="347"/>
      <c r="C134" s="360"/>
      <c r="D134" s="360"/>
      <c r="E134" s="351"/>
      <c r="F134" s="351"/>
      <c r="G134" s="351"/>
      <c r="H134" s="354"/>
      <c r="I134" s="351"/>
      <c r="J134" s="329"/>
      <c r="K134" s="332"/>
      <c r="L134" s="335"/>
      <c r="M134" s="338"/>
      <c r="N134" s="184"/>
      <c r="O134" s="332"/>
      <c r="P134" s="335"/>
      <c r="Q134" s="341"/>
      <c r="R134" s="123">
        <v>2</v>
      </c>
      <c r="S134" s="121"/>
      <c r="T134" s="122" t="str">
        <f t="shared" si="120"/>
        <v/>
      </c>
      <c r="U134" s="124"/>
      <c r="V134" s="124"/>
      <c r="W134" s="125" t="str">
        <f t="shared" si="121"/>
        <v/>
      </c>
      <c r="X134" s="124"/>
      <c r="Y134" s="124"/>
      <c r="Z134" s="124"/>
      <c r="AA134" s="108" t="str">
        <f t="shared" si="122"/>
        <v/>
      </c>
      <c r="AB134" s="117" t="str">
        <f t="shared" si="123"/>
        <v/>
      </c>
      <c r="AC134" s="118" t="str">
        <f t="shared" si="124"/>
        <v/>
      </c>
      <c r="AD134" s="117" t="str">
        <f t="shared" si="125"/>
        <v/>
      </c>
      <c r="AE134" s="118" t="str">
        <f t="shared" si="126"/>
        <v/>
      </c>
      <c r="AF134" s="119" t="str">
        <f t="shared" si="127"/>
        <v/>
      </c>
      <c r="AG134" s="120"/>
      <c r="AH134" s="121"/>
      <c r="AI134" s="115"/>
      <c r="AJ134" s="116"/>
      <c r="AK134" s="116"/>
      <c r="AL134" s="121"/>
      <c r="AM134" s="202"/>
      <c r="AN134" s="202"/>
      <c r="AO134" s="203"/>
      <c r="AP134" s="202"/>
      <c r="AQ134" s="202"/>
      <c r="AR134" s="203"/>
      <c r="AS134" s="103"/>
      <c r="AT134" s="103"/>
      <c r="AU134" s="103"/>
      <c r="AV134" s="103"/>
      <c r="AW134" s="103"/>
      <c r="AX134" s="103"/>
    </row>
    <row r="135" spans="1:50" s="114" customFormat="1" ht="151.5" hidden="1" customHeight="1" x14ac:dyDescent="0.25">
      <c r="A135" s="349"/>
      <c r="B135" s="348"/>
      <c r="C135" s="361"/>
      <c r="D135" s="361"/>
      <c r="E135" s="352"/>
      <c r="F135" s="352"/>
      <c r="G135" s="352"/>
      <c r="H135" s="355"/>
      <c r="I135" s="352"/>
      <c r="J135" s="330"/>
      <c r="K135" s="333"/>
      <c r="L135" s="336"/>
      <c r="M135" s="339"/>
      <c r="N135" s="184"/>
      <c r="O135" s="333"/>
      <c r="P135" s="336"/>
      <c r="Q135" s="342"/>
      <c r="R135" s="123">
        <v>3</v>
      </c>
      <c r="S135" s="121"/>
      <c r="T135" s="122" t="str">
        <f t="shared" si="120"/>
        <v/>
      </c>
      <c r="U135" s="124"/>
      <c r="V135" s="124"/>
      <c r="W135" s="125" t="str">
        <f t="shared" si="121"/>
        <v/>
      </c>
      <c r="X135" s="124"/>
      <c r="Y135" s="124"/>
      <c r="Z135" s="124"/>
      <c r="AA135" s="108" t="str">
        <f t="shared" si="122"/>
        <v/>
      </c>
      <c r="AB135" s="117" t="str">
        <f t="shared" si="123"/>
        <v/>
      </c>
      <c r="AC135" s="118" t="str">
        <f t="shared" si="124"/>
        <v/>
      </c>
      <c r="AD135" s="117" t="str">
        <f t="shared" si="125"/>
        <v/>
      </c>
      <c r="AE135" s="118" t="str">
        <f t="shared" si="126"/>
        <v/>
      </c>
      <c r="AF135" s="119" t="str">
        <f t="shared" si="127"/>
        <v/>
      </c>
      <c r="AG135" s="120"/>
      <c r="AH135" s="121"/>
      <c r="AI135" s="115"/>
      <c r="AJ135" s="116"/>
      <c r="AK135" s="116"/>
      <c r="AL135" s="121"/>
      <c r="AM135" s="202"/>
      <c r="AN135" s="202"/>
      <c r="AO135" s="203"/>
      <c r="AP135" s="202"/>
      <c r="AQ135" s="202"/>
      <c r="AR135" s="203"/>
      <c r="AS135" s="103"/>
      <c r="AT135" s="103"/>
      <c r="AU135" s="103"/>
      <c r="AV135" s="103"/>
      <c r="AW135" s="103"/>
      <c r="AX135" s="103"/>
    </row>
    <row r="136" spans="1:50" s="114" customFormat="1" ht="151.5" hidden="1" customHeight="1" x14ac:dyDescent="0.25">
      <c r="A136" s="349">
        <f>1+A133</f>
        <v>43</v>
      </c>
      <c r="B136" s="346"/>
      <c r="C136" s="356"/>
      <c r="D136" s="356"/>
      <c r="E136" s="350"/>
      <c r="F136" s="350"/>
      <c r="G136" s="350"/>
      <c r="H136" s="353"/>
      <c r="I136" s="350"/>
      <c r="J136" s="328"/>
      <c r="K136" s="331" t="str">
        <f>IF(J136&lt;=0,"",IF(J136&lt;=2,"Muy Baja",IF(J136&lt;=24,"Baja",IF(J136&lt;=500,"Media",IF(J136&lt;=5000,"Alta","Muy Alta")))))</f>
        <v/>
      </c>
      <c r="L136" s="334" t="str">
        <f>IF(K136="","",IF(K136="Muy Baja",0.2,IF(K136="Baja",0.4,IF(K136="Media",0.6,IF(K136="Alta",0.8,IF(K136="Muy Alta",1,))))))</f>
        <v/>
      </c>
      <c r="M136" s="337"/>
      <c r="N136" s="183">
        <f>IF(NOT(ISERROR(MATCH(M136,'Tabla Impacto'!$B$221:$B$223,0))),'Tabla Impacto'!$F$223&amp;"Por favor no seleccionar los criterios de impacto(Afectación Económica o presupuestal y Pérdida Reputacional)",M136)</f>
        <v>0</v>
      </c>
      <c r="O136" s="331" t="str">
        <f>IF(OR(N136='Tabla Impacto'!$C$11,N136='Tabla Impacto'!$D$11),"Leve",IF(OR(N136='Tabla Impacto'!$C$12,N136='Tabla Impacto'!$D$12),"Menor",IF(OR(N136='Tabla Impacto'!$C$13,N136='Tabla Impacto'!$D$13),"Moderado",IF(OR(N136='Tabla Impacto'!$C$14,N136='Tabla Impacto'!$D$14),"Mayor",IF(OR(N136='Tabla Impacto'!$C$15,N136='Tabla Impacto'!$D$15),"Catastrófico","")))))</f>
        <v/>
      </c>
      <c r="P136" s="334" t="str">
        <f>IF(O136="","",IF(O136="Leve",0.2,IF(O136="Menor",0.4,IF(O136="Moderado",0.6,IF(O136="Mayor",0.8,IF(O136="Catastrófico",1,))))))</f>
        <v/>
      </c>
      <c r="Q136" s="340" t="str">
        <f>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
      </c>
      <c r="R136" s="123">
        <v>1</v>
      </c>
      <c r="S136" s="121"/>
      <c r="T136" s="122" t="str">
        <f t="shared" si="120"/>
        <v/>
      </c>
      <c r="U136" s="124"/>
      <c r="V136" s="124"/>
      <c r="W136" s="125" t="str">
        <f t="shared" si="121"/>
        <v/>
      </c>
      <c r="X136" s="124"/>
      <c r="Y136" s="124"/>
      <c r="Z136" s="124"/>
      <c r="AA136" s="108" t="str">
        <f t="shared" si="122"/>
        <v/>
      </c>
      <c r="AB136" s="117" t="str">
        <f t="shared" si="123"/>
        <v/>
      </c>
      <c r="AC136" s="118" t="str">
        <f t="shared" si="124"/>
        <v/>
      </c>
      <c r="AD136" s="117" t="str">
        <f t="shared" si="125"/>
        <v/>
      </c>
      <c r="AE136" s="118" t="str">
        <f t="shared" si="126"/>
        <v/>
      </c>
      <c r="AF136" s="119" t="str">
        <f t="shared" si="127"/>
        <v/>
      </c>
      <c r="AG136" s="120"/>
      <c r="AH136" s="121"/>
      <c r="AI136" s="115"/>
      <c r="AJ136" s="116"/>
      <c r="AK136" s="116"/>
      <c r="AL136" s="121"/>
      <c r="AM136" s="202"/>
      <c r="AN136" s="202"/>
      <c r="AO136" s="203"/>
      <c r="AP136" s="202"/>
      <c r="AQ136" s="202"/>
      <c r="AR136" s="203"/>
      <c r="AS136" s="103"/>
      <c r="AT136" s="103"/>
      <c r="AU136" s="103"/>
      <c r="AV136" s="103"/>
      <c r="AW136" s="103"/>
      <c r="AX136" s="103"/>
    </row>
    <row r="137" spans="1:50" s="114" customFormat="1" ht="151.5" hidden="1" customHeight="1" x14ac:dyDescent="0.25">
      <c r="A137" s="349"/>
      <c r="B137" s="347"/>
      <c r="C137" s="357"/>
      <c r="D137" s="357"/>
      <c r="E137" s="351"/>
      <c r="F137" s="351"/>
      <c r="G137" s="351"/>
      <c r="H137" s="354"/>
      <c r="I137" s="351"/>
      <c r="J137" s="329"/>
      <c r="K137" s="332"/>
      <c r="L137" s="335"/>
      <c r="M137" s="338"/>
      <c r="N137" s="184"/>
      <c r="O137" s="332"/>
      <c r="P137" s="335"/>
      <c r="Q137" s="341"/>
      <c r="R137" s="123">
        <v>2</v>
      </c>
      <c r="S137" s="121"/>
      <c r="T137" s="122" t="str">
        <f t="shared" si="120"/>
        <v/>
      </c>
      <c r="U137" s="124"/>
      <c r="V137" s="124"/>
      <c r="W137" s="125" t="str">
        <f t="shared" si="121"/>
        <v/>
      </c>
      <c r="X137" s="124"/>
      <c r="Y137" s="124"/>
      <c r="Z137" s="124"/>
      <c r="AA137" s="108" t="str">
        <f t="shared" si="122"/>
        <v/>
      </c>
      <c r="AB137" s="117" t="str">
        <f t="shared" si="123"/>
        <v/>
      </c>
      <c r="AC137" s="118" t="str">
        <f t="shared" si="124"/>
        <v/>
      </c>
      <c r="AD137" s="117" t="str">
        <f t="shared" si="125"/>
        <v/>
      </c>
      <c r="AE137" s="118" t="str">
        <f t="shared" si="126"/>
        <v/>
      </c>
      <c r="AF137" s="119" t="str">
        <f t="shared" si="127"/>
        <v/>
      </c>
      <c r="AG137" s="120"/>
      <c r="AH137" s="121"/>
      <c r="AI137" s="115"/>
      <c r="AJ137" s="116"/>
      <c r="AK137" s="116"/>
      <c r="AL137" s="121"/>
      <c r="AM137" s="202"/>
      <c r="AN137" s="202"/>
      <c r="AO137" s="203"/>
      <c r="AP137" s="202"/>
      <c r="AQ137" s="202"/>
      <c r="AR137" s="203"/>
      <c r="AS137" s="103"/>
      <c r="AT137" s="103"/>
      <c r="AU137" s="103"/>
      <c r="AV137" s="103"/>
      <c r="AW137" s="103"/>
      <c r="AX137" s="103"/>
    </row>
    <row r="138" spans="1:50" s="114" customFormat="1" ht="151.5" hidden="1" customHeight="1" x14ac:dyDescent="0.25">
      <c r="A138" s="349"/>
      <c r="B138" s="348"/>
      <c r="C138" s="358"/>
      <c r="D138" s="358"/>
      <c r="E138" s="352"/>
      <c r="F138" s="352"/>
      <c r="G138" s="352"/>
      <c r="H138" s="355"/>
      <c r="I138" s="352"/>
      <c r="J138" s="330"/>
      <c r="K138" s="333"/>
      <c r="L138" s="336"/>
      <c r="M138" s="339"/>
      <c r="N138" s="184"/>
      <c r="O138" s="333"/>
      <c r="P138" s="336"/>
      <c r="Q138" s="342"/>
      <c r="R138" s="123">
        <v>3</v>
      </c>
      <c r="S138" s="121"/>
      <c r="T138" s="122" t="str">
        <f t="shared" si="120"/>
        <v/>
      </c>
      <c r="U138" s="124"/>
      <c r="V138" s="124"/>
      <c r="W138" s="125" t="str">
        <f t="shared" si="121"/>
        <v/>
      </c>
      <c r="X138" s="124"/>
      <c r="Y138" s="124"/>
      <c r="Z138" s="124"/>
      <c r="AA138" s="108" t="str">
        <f t="shared" si="122"/>
        <v/>
      </c>
      <c r="AB138" s="117" t="str">
        <f t="shared" si="123"/>
        <v/>
      </c>
      <c r="AC138" s="118" t="str">
        <f t="shared" si="124"/>
        <v/>
      </c>
      <c r="AD138" s="117" t="str">
        <f t="shared" si="125"/>
        <v/>
      </c>
      <c r="AE138" s="118" t="str">
        <f t="shared" si="126"/>
        <v/>
      </c>
      <c r="AF138" s="119" t="str">
        <f t="shared" si="127"/>
        <v/>
      </c>
      <c r="AG138" s="120"/>
      <c r="AH138" s="121"/>
      <c r="AI138" s="115"/>
      <c r="AJ138" s="116"/>
      <c r="AK138" s="116"/>
      <c r="AL138" s="121"/>
      <c r="AM138" s="202"/>
      <c r="AN138" s="202"/>
      <c r="AO138" s="203"/>
      <c r="AP138" s="202"/>
      <c r="AQ138" s="202"/>
      <c r="AR138" s="203"/>
      <c r="AS138" s="103"/>
      <c r="AT138" s="103"/>
      <c r="AU138" s="103"/>
      <c r="AV138" s="103"/>
      <c r="AW138" s="103"/>
      <c r="AX138" s="103"/>
    </row>
    <row r="139" spans="1:50" ht="49.5" customHeight="1" x14ac:dyDescent="0.25">
      <c r="A139" s="3"/>
      <c r="B139" s="78"/>
      <c r="C139" s="78"/>
      <c r="D139" s="78"/>
      <c r="E139" s="401" t="s">
        <v>257</v>
      </c>
      <c r="F139" s="402"/>
      <c r="G139" s="402"/>
      <c r="H139" s="402"/>
      <c r="I139" s="402"/>
      <c r="J139" s="402"/>
      <c r="K139" s="402"/>
      <c r="L139" s="402"/>
      <c r="M139" s="402"/>
      <c r="N139" s="402"/>
      <c r="O139" s="402"/>
      <c r="P139" s="402"/>
      <c r="Q139" s="402"/>
      <c r="R139" s="402"/>
      <c r="S139" s="402"/>
      <c r="T139" s="402"/>
      <c r="U139" s="402"/>
      <c r="V139" s="402"/>
      <c r="W139" s="402"/>
      <c r="X139" s="402"/>
      <c r="Y139" s="402"/>
      <c r="Z139" s="402"/>
      <c r="AA139" s="402"/>
      <c r="AB139" s="402"/>
      <c r="AC139" s="402"/>
      <c r="AD139" s="402"/>
      <c r="AE139" s="402"/>
      <c r="AF139" s="402"/>
      <c r="AG139" s="402"/>
      <c r="AH139" s="402"/>
      <c r="AI139" s="402"/>
      <c r="AJ139" s="402"/>
      <c r="AK139" s="402"/>
      <c r="AL139" s="402"/>
      <c r="AN139" s="221" t="s">
        <v>755</v>
      </c>
      <c r="AO139" s="542">
        <f>AVERAGE(AO7:AO133)</f>
        <v>0.47580645161290325</v>
      </c>
      <c r="AP139" s="222"/>
      <c r="AQ139" s="221" t="s">
        <v>755</v>
      </c>
      <c r="AR139" s="542">
        <f>AVERAGE(AR7:AR133)</f>
        <v>0.48352941176470587</v>
      </c>
    </row>
    <row r="140" spans="1:50" ht="63" customHeight="1" x14ac:dyDescent="0.25">
      <c r="E140" s="430" t="s">
        <v>788</v>
      </c>
      <c r="F140" s="431"/>
      <c r="G140" s="431"/>
      <c r="H140" s="431"/>
      <c r="I140" s="431"/>
      <c r="J140" s="431"/>
      <c r="K140" s="431"/>
      <c r="L140" s="431"/>
      <c r="M140" s="431"/>
      <c r="N140" s="431"/>
      <c r="O140" s="431"/>
      <c r="P140" s="431"/>
      <c r="Q140" s="431"/>
      <c r="R140" s="431"/>
      <c r="S140" s="431"/>
      <c r="T140" s="431"/>
      <c r="U140" s="431"/>
      <c r="V140" s="431"/>
      <c r="W140" s="431"/>
      <c r="X140" s="431"/>
      <c r="Y140" s="431"/>
      <c r="Z140" s="431"/>
      <c r="AA140" s="431"/>
      <c r="AB140" s="431"/>
      <c r="AC140" s="431"/>
      <c r="AD140" s="431"/>
      <c r="AE140" s="431"/>
      <c r="AF140" s="431"/>
      <c r="AG140" s="431"/>
      <c r="AH140" s="431"/>
      <c r="AI140" s="431"/>
      <c r="AJ140" s="431"/>
      <c r="AK140" s="431"/>
      <c r="AL140" s="431"/>
    </row>
    <row r="141" spans="1:50" x14ac:dyDescent="0.25">
      <c r="C141" s="2"/>
      <c r="D141" s="2"/>
      <c r="E141" s="150" t="s">
        <v>221</v>
      </c>
    </row>
  </sheetData>
  <autoFilter ref="A6:CO139" xr:uid="{00000000-0009-0000-0000-000002000000}"/>
  <dataConsolidate/>
  <mergeCells count="735">
    <mergeCell ref="E140:AL140"/>
    <mergeCell ref="Q94:Q96"/>
    <mergeCell ref="K37:K39"/>
    <mergeCell ref="L37:L39"/>
    <mergeCell ref="Q40:Q43"/>
    <mergeCell ref="P40:P43"/>
    <mergeCell ref="A106:A108"/>
    <mergeCell ref="B106:B108"/>
    <mergeCell ref="C106:C108"/>
    <mergeCell ref="D106:D108"/>
    <mergeCell ref="E106:E108"/>
    <mergeCell ref="F106:F108"/>
    <mergeCell ref="G106:G108"/>
    <mergeCell ref="H106:H108"/>
    <mergeCell ref="I106:I108"/>
    <mergeCell ref="M37:M39"/>
    <mergeCell ref="O37:O39"/>
    <mergeCell ref="P37:P39"/>
    <mergeCell ref="Q37:Q39"/>
    <mergeCell ref="J47:J51"/>
    <mergeCell ref="K47:K51"/>
    <mergeCell ref="L47:L51"/>
    <mergeCell ref="M47:M51"/>
    <mergeCell ref="O47:O51"/>
    <mergeCell ref="P47:P51"/>
    <mergeCell ref="Q47:Q51"/>
    <mergeCell ref="E22:E24"/>
    <mergeCell ref="F22:F24"/>
    <mergeCell ref="G22:G24"/>
    <mergeCell ref="H31:H33"/>
    <mergeCell ref="I31:I33"/>
    <mergeCell ref="A47:A51"/>
    <mergeCell ref="B47:B51"/>
    <mergeCell ref="C47:C51"/>
    <mergeCell ref="D47:D51"/>
    <mergeCell ref="E47:E51"/>
    <mergeCell ref="F47:F51"/>
    <mergeCell ref="G47:G51"/>
    <mergeCell ref="H47:H51"/>
    <mergeCell ref="I47:I51"/>
    <mergeCell ref="I22:I24"/>
    <mergeCell ref="J22:J24"/>
    <mergeCell ref="C34:C36"/>
    <mergeCell ref="H22:H24"/>
    <mergeCell ref="J40:J43"/>
    <mergeCell ref="I40:I43"/>
    <mergeCell ref="H40:H43"/>
    <mergeCell ref="J37:J39"/>
    <mergeCell ref="A28:A30"/>
    <mergeCell ref="J13:J15"/>
    <mergeCell ref="K13:K15"/>
    <mergeCell ref="L13:L15"/>
    <mergeCell ref="M13:M15"/>
    <mergeCell ref="O13:O15"/>
    <mergeCell ref="G13:G15"/>
    <mergeCell ref="H13:H15"/>
    <mergeCell ref="I13:I15"/>
    <mergeCell ref="B19:B21"/>
    <mergeCell ref="C19:C21"/>
    <mergeCell ref="D19:D21"/>
    <mergeCell ref="E19:E21"/>
    <mergeCell ref="F19:F21"/>
    <mergeCell ref="G19:G21"/>
    <mergeCell ref="H19:H21"/>
    <mergeCell ref="M19:M21"/>
    <mergeCell ref="O19:O21"/>
    <mergeCell ref="I19:I21"/>
    <mergeCell ref="M22:M24"/>
    <mergeCell ref="O22:O24"/>
    <mergeCell ref="A22:A24"/>
    <mergeCell ref="B22:B24"/>
    <mergeCell ref="C22:C24"/>
    <mergeCell ref="P13:P15"/>
    <mergeCell ref="Q13:Q15"/>
    <mergeCell ref="A25:A27"/>
    <mergeCell ref="B25:B27"/>
    <mergeCell ref="C25:C27"/>
    <mergeCell ref="D25:D27"/>
    <mergeCell ref="E25:E27"/>
    <mergeCell ref="F25:F27"/>
    <mergeCell ref="G25:G27"/>
    <mergeCell ref="H25:H27"/>
    <mergeCell ref="I25:I27"/>
    <mergeCell ref="J25:J27"/>
    <mergeCell ref="K25:K27"/>
    <mergeCell ref="L25:L27"/>
    <mergeCell ref="M25:M27"/>
    <mergeCell ref="O25:O27"/>
    <mergeCell ref="P25:P27"/>
    <mergeCell ref="Q25:Q27"/>
    <mergeCell ref="A13:A15"/>
    <mergeCell ref="B13:B15"/>
    <mergeCell ref="C13:C15"/>
    <mergeCell ref="D13:D15"/>
    <mergeCell ref="E13:E15"/>
    <mergeCell ref="F13:F15"/>
    <mergeCell ref="P22:P24"/>
    <mergeCell ref="P31:P33"/>
    <mergeCell ref="Q31:Q33"/>
    <mergeCell ref="P34:P36"/>
    <mergeCell ref="O34:O36"/>
    <mergeCell ref="Q34:Q36"/>
    <mergeCell ref="Q22:Q24"/>
    <mergeCell ref="M28:M30"/>
    <mergeCell ref="O28:O30"/>
    <mergeCell ref="P28:P30"/>
    <mergeCell ref="Q28:Q30"/>
    <mergeCell ref="M31:M33"/>
    <mergeCell ref="O31:O33"/>
    <mergeCell ref="M34:M36"/>
    <mergeCell ref="O79:O81"/>
    <mergeCell ref="P79:P81"/>
    <mergeCell ref="O88:O90"/>
    <mergeCell ref="P88:P90"/>
    <mergeCell ref="F91:F93"/>
    <mergeCell ref="E91:E93"/>
    <mergeCell ref="D91:D93"/>
    <mergeCell ref="C91:C93"/>
    <mergeCell ref="B94:B96"/>
    <mergeCell ref="C94:C96"/>
    <mergeCell ref="D94:D96"/>
    <mergeCell ref="D79:D81"/>
    <mergeCell ref="E79:E81"/>
    <mergeCell ref="F79:F81"/>
    <mergeCell ref="G79:G81"/>
    <mergeCell ref="H79:H81"/>
    <mergeCell ref="I79:I81"/>
    <mergeCell ref="K79:K81"/>
    <mergeCell ref="L79:L81"/>
    <mergeCell ref="M79:M81"/>
    <mergeCell ref="AH5:AH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I7:I9"/>
    <mergeCell ref="J7:J9"/>
    <mergeCell ref="A7:A9"/>
    <mergeCell ref="B7:B9"/>
    <mergeCell ref="C7:C9"/>
    <mergeCell ref="D7:D9"/>
    <mergeCell ref="E139:AL139"/>
    <mergeCell ref="A1:AL2"/>
    <mergeCell ref="A4:J4"/>
    <mergeCell ref="K4:Q4"/>
    <mergeCell ref="R4:Z4"/>
    <mergeCell ref="AA4:AG4"/>
    <mergeCell ref="AH4:AL4"/>
    <mergeCell ref="R5:R6"/>
    <mergeCell ref="AF5:AF6"/>
    <mergeCell ref="AE5:AE6"/>
    <mergeCell ref="AA5:AA6"/>
    <mergeCell ref="S5:S6"/>
    <mergeCell ref="A5:A6"/>
    <mergeCell ref="I5:I6"/>
    <mergeCell ref="H5:H6"/>
    <mergeCell ref="G5:G6"/>
    <mergeCell ref="F5:F6"/>
    <mergeCell ref="U5:Z5"/>
    <mergeCell ref="Q7:Q9"/>
    <mergeCell ref="E7:E9"/>
    <mergeCell ref="A16:A18"/>
    <mergeCell ref="B16:B18"/>
    <mergeCell ref="C16:C18"/>
    <mergeCell ref="D16:D18"/>
    <mergeCell ref="E16:E18"/>
    <mergeCell ref="F16:F18"/>
    <mergeCell ref="G16:G18"/>
    <mergeCell ref="H16:H18"/>
    <mergeCell ref="I16:I18"/>
    <mergeCell ref="J16:J18"/>
    <mergeCell ref="K16:K18"/>
    <mergeCell ref="L16:L18"/>
    <mergeCell ref="M16:M18"/>
    <mergeCell ref="O16:O18"/>
    <mergeCell ref="K7:K9"/>
    <mergeCell ref="L7:L9"/>
    <mergeCell ref="M7:M9"/>
    <mergeCell ref="O7:O9"/>
    <mergeCell ref="P7:P9"/>
    <mergeCell ref="F7:F9"/>
    <mergeCell ref="G7:G9"/>
    <mergeCell ref="H7:H9"/>
    <mergeCell ref="P19:P21"/>
    <mergeCell ref="Q19:Q21"/>
    <mergeCell ref="J19:J21"/>
    <mergeCell ref="A19:A21"/>
    <mergeCell ref="Q16:Q18"/>
    <mergeCell ref="G10:G12"/>
    <mergeCell ref="H10:H12"/>
    <mergeCell ref="I10:I12"/>
    <mergeCell ref="J10:J12"/>
    <mergeCell ref="K10:K12"/>
    <mergeCell ref="L10:L12"/>
    <mergeCell ref="M10:M12"/>
    <mergeCell ref="O10:O12"/>
    <mergeCell ref="P16:P18"/>
    <mergeCell ref="P10:P12"/>
    <mergeCell ref="Q10:Q12"/>
    <mergeCell ref="A10:A12"/>
    <mergeCell ref="B10:B12"/>
    <mergeCell ref="C10:C12"/>
    <mergeCell ref="D10:D12"/>
    <mergeCell ref="E10:E12"/>
    <mergeCell ref="F10:F12"/>
    <mergeCell ref="K19:K21"/>
    <mergeCell ref="L19:L21"/>
    <mergeCell ref="D22:D24"/>
    <mergeCell ref="B34:B36"/>
    <mergeCell ref="A34:A36"/>
    <mergeCell ref="J31:J33"/>
    <mergeCell ref="K31:K33"/>
    <mergeCell ref="L31:L33"/>
    <mergeCell ref="B28:B30"/>
    <mergeCell ref="C28:C30"/>
    <mergeCell ref="D28:D30"/>
    <mergeCell ref="E28:E30"/>
    <mergeCell ref="F28:F30"/>
    <mergeCell ref="G28:G30"/>
    <mergeCell ref="H28:H30"/>
    <mergeCell ref="I28:I30"/>
    <mergeCell ref="J28:J30"/>
    <mergeCell ref="K22:K24"/>
    <mergeCell ref="L22:L24"/>
    <mergeCell ref="K28:K30"/>
    <mergeCell ref="L28:L30"/>
    <mergeCell ref="L34:L36"/>
    <mergeCell ref="K34:K36"/>
    <mergeCell ref="J34:J36"/>
    <mergeCell ref="A31:A33"/>
    <mergeCell ref="B31:B33"/>
    <mergeCell ref="C31:C33"/>
    <mergeCell ref="D31:D33"/>
    <mergeCell ref="E31:E33"/>
    <mergeCell ref="F31:F33"/>
    <mergeCell ref="G31:G33"/>
    <mergeCell ref="H34:H36"/>
    <mergeCell ref="G34:G36"/>
    <mergeCell ref="F34:F36"/>
    <mergeCell ref="E34:E36"/>
    <mergeCell ref="D34:D36"/>
    <mergeCell ref="I34:I36"/>
    <mergeCell ref="A37:A39"/>
    <mergeCell ref="B37:B39"/>
    <mergeCell ref="C37:C39"/>
    <mergeCell ref="D37:D39"/>
    <mergeCell ref="E37:E39"/>
    <mergeCell ref="F37:F39"/>
    <mergeCell ref="G37:G39"/>
    <mergeCell ref="H37:H39"/>
    <mergeCell ref="I37:I39"/>
    <mergeCell ref="O40:O43"/>
    <mergeCell ref="M40:M43"/>
    <mergeCell ref="A44:A46"/>
    <mergeCell ref="B44:B46"/>
    <mergeCell ref="C44:C46"/>
    <mergeCell ref="D44:D46"/>
    <mergeCell ref="E44:E46"/>
    <mergeCell ref="G40:G43"/>
    <mergeCell ref="F40:F43"/>
    <mergeCell ref="E40:E43"/>
    <mergeCell ref="D40:D43"/>
    <mergeCell ref="C40:C43"/>
    <mergeCell ref="A40:A43"/>
    <mergeCell ref="B40:B43"/>
    <mergeCell ref="L40:L43"/>
    <mergeCell ref="K40:K43"/>
    <mergeCell ref="Q44:Q46"/>
    <mergeCell ref="K44:K46"/>
    <mergeCell ref="L44:L46"/>
    <mergeCell ref="M44:M46"/>
    <mergeCell ref="O44:O46"/>
    <mergeCell ref="P44:P46"/>
    <mergeCell ref="F44:F46"/>
    <mergeCell ref="G44:G46"/>
    <mergeCell ref="H44:H46"/>
    <mergeCell ref="I44:I46"/>
    <mergeCell ref="J44:J46"/>
    <mergeCell ref="A52:A54"/>
    <mergeCell ref="B52:B54"/>
    <mergeCell ref="C52:C54"/>
    <mergeCell ref="D52:D54"/>
    <mergeCell ref="E52:E54"/>
    <mergeCell ref="F52:F54"/>
    <mergeCell ref="G52:G54"/>
    <mergeCell ref="H52:H54"/>
    <mergeCell ref="I52:I54"/>
    <mergeCell ref="I55:I57"/>
    <mergeCell ref="J52:J54"/>
    <mergeCell ref="K52:K54"/>
    <mergeCell ref="L52:L54"/>
    <mergeCell ref="M52:M54"/>
    <mergeCell ref="O52:O54"/>
    <mergeCell ref="P52:P54"/>
    <mergeCell ref="Q52:Q54"/>
    <mergeCell ref="J55:J57"/>
    <mergeCell ref="K55:K57"/>
    <mergeCell ref="L55:L57"/>
    <mergeCell ref="M55:M57"/>
    <mergeCell ref="O55:O57"/>
    <mergeCell ref="P55:P57"/>
    <mergeCell ref="Q55:Q57"/>
    <mergeCell ref="A55:A57"/>
    <mergeCell ref="A61:A63"/>
    <mergeCell ref="B61:B63"/>
    <mergeCell ref="C61:C63"/>
    <mergeCell ref="D61:D63"/>
    <mergeCell ref="E61:E63"/>
    <mergeCell ref="F61:F63"/>
    <mergeCell ref="G61:G63"/>
    <mergeCell ref="H61:H63"/>
    <mergeCell ref="B58:B60"/>
    <mergeCell ref="A58:A60"/>
    <mergeCell ref="C58:C60"/>
    <mergeCell ref="D58:D60"/>
    <mergeCell ref="E58:E60"/>
    <mergeCell ref="F58:F60"/>
    <mergeCell ref="G58:G60"/>
    <mergeCell ref="H58:H60"/>
    <mergeCell ref="B55:B57"/>
    <mergeCell ref="C55:C57"/>
    <mergeCell ref="D55:D57"/>
    <mergeCell ref="E55:E57"/>
    <mergeCell ref="F55:F57"/>
    <mergeCell ref="G55:G57"/>
    <mergeCell ref="H55:H57"/>
    <mergeCell ref="Q67:Q69"/>
    <mergeCell ref="I64:I66"/>
    <mergeCell ref="J58:J60"/>
    <mergeCell ref="K58:K60"/>
    <mergeCell ref="L58:L60"/>
    <mergeCell ref="M58:M60"/>
    <mergeCell ref="O58:O60"/>
    <mergeCell ref="P58:P60"/>
    <mergeCell ref="Q58:Q60"/>
    <mergeCell ref="I61:I63"/>
    <mergeCell ref="I58:I60"/>
    <mergeCell ref="I67:I69"/>
    <mergeCell ref="J67:J69"/>
    <mergeCell ref="K67:K69"/>
    <mergeCell ref="L67:L69"/>
    <mergeCell ref="K64:K66"/>
    <mergeCell ref="J64:J66"/>
    <mergeCell ref="O67:O69"/>
    <mergeCell ref="M67:M69"/>
    <mergeCell ref="A73:A75"/>
    <mergeCell ref="A70:A72"/>
    <mergeCell ref="B70:B72"/>
    <mergeCell ref="C70:C72"/>
    <mergeCell ref="B73:B75"/>
    <mergeCell ref="C73:C75"/>
    <mergeCell ref="P61:P63"/>
    <mergeCell ref="Q61:Q63"/>
    <mergeCell ref="Q64:Q66"/>
    <mergeCell ref="P64:P66"/>
    <mergeCell ref="O64:O66"/>
    <mergeCell ref="D67:D69"/>
    <mergeCell ref="E67:E69"/>
    <mergeCell ref="F67:F69"/>
    <mergeCell ref="G67:G69"/>
    <mergeCell ref="H67:H69"/>
    <mergeCell ref="J61:J63"/>
    <mergeCell ref="K61:K63"/>
    <mergeCell ref="L61:L63"/>
    <mergeCell ref="M61:M63"/>
    <mergeCell ref="O61:O63"/>
    <mergeCell ref="M64:M66"/>
    <mergeCell ref="L64:L66"/>
    <mergeCell ref="P67:P69"/>
    <mergeCell ref="A64:A66"/>
    <mergeCell ref="A67:A69"/>
    <mergeCell ref="B67:B69"/>
    <mergeCell ref="C67:C69"/>
    <mergeCell ref="H64:H66"/>
    <mergeCell ref="G64:G66"/>
    <mergeCell ref="F64:F66"/>
    <mergeCell ref="E64:E66"/>
    <mergeCell ref="D64:D66"/>
    <mergeCell ref="C64:C66"/>
    <mergeCell ref="B64:B66"/>
    <mergeCell ref="L76:L78"/>
    <mergeCell ref="M76:M78"/>
    <mergeCell ref="M88:M90"/>
    <mergeCell ref="L97:L99"/>
    <mergeCell ref="M97:M99"/>
    <mergeCell ref="J73:J75"/>
    <mergeCell ref="L94:L96"/>
    <mergeCell ref="K73:K75"/>
    <mergeCell ref="L88:L90"/>
    <mergeCell ref="J94:J96"/>
    <mergeCell ref="K94:K96"/>
    <mergeCell ref="Q70:Q72"/>
    <mergeCell ref="O73:O75"/>
    <mergeCell ref="P73:P75"/>
    <mergeCell ref="Q73:Q75"/>
    <mergeCell ref="A124:A126"/>
    <mergeCell ref="A121:A123"/>
    <mergeCell ref="B121:B123"/>
    <mergeCell ref="C121:C123"/>
    <mergeCell ref="H124:H126"/>
    <mergeCell ref="G124:G126"/>
    <mergeCell ref="F124:F126"/>
    <mergeCell ref="E124:E126"/>
    <mergeCell ref="D124:D126"/>
    <mergeCell ref="D121:D123"/>
    <mergeCell ref="E121:E123"/>
    <mergeCell ref="F121:F123"/>
    <mergeCell ref="G121:G123"/>
    <mergeCell ref="H121:H123"/>
    <mergeCell ref="H112:H114"/>
    <mergeCell ref="I112:I114"/>
    <mergeCell ref="J112:J114"/>
    <mergeCell ref="K112:K114"/>
    <mergeCell ref="L112:L114"/>
    <mergeCell ref="O106:O108"/>
    <mergeCell ref="A133:A135"/>
    <mergeCell ref="A127:A129"/>
    <mergeCell ref="B127:B129"/>
    <mergeCell ref="B85:B87"/>
    <mergeCell ref="B91:B93"/>
    <mergeCell ref="B109:B111"/>
    <mergeCell ref="C127:C129"/>
    <mergeCell ref="D127:D129"/>
    <mergeCell ref="E127:E129"/>
    <mergeCell ref="A112:A114"/>
    <mergeCell ref="B112:B114"/>
    <mergeCell ref="C112:C114"/>
    <mergeCell ref="D112:D114"/>
    <mergeCell ref="E112:E114"/>
    <mergeCell ref="C118:C120"/>
    <mergeCell ref="D118:D120"/>
    <mergeCell ref="E118:E120"/>
    <mergeCell ref="D115:D117"/>
    <mergeCell ref="E115:E117"/>
    <mergeCell ref="C124:C126"/>
    <mergeCell ref="B115:B117"/>
    <mergeCell ref="A97:A99"/>
    <mergeCell ref="A91:A93"/>
    <mergeCell ref="A88:A90"/>
    <mergeCell ref="A85:A87"/>
    <mergeCell ref="A82:A84"/>
    <mergeCell ref="A109:A111"/>
    <mergeCell ref="A118:A120"/>
    <mergeCell ref="A103:A105"/>
    <mergeCell ref="A100:A102"/>
    <mergeCell ref="A94:A96"/>
    <mergeCell ref="A115:A117"/>
    <mergeCell ref="C76:C78"/>
    <mergeCell ref="C100:C102"/>
    <mergeCell ref="C115:C117"/>
    <mergeCell ref="C109:C111"/>
    <mergeCell ref="A76:A78"/>
    <mergeCell ref="A79:A81"/>
    <mergeCell ref="B79:B81"/>
    <mergeCell ref="C79:C81"/>
    <mergeCell ref="B97:B99"/>
    <mergeCell ref="C97:C99"/>
    <mergeCell ref="B133:B135"/>
    <mergeCell ref="B88:B90"/>
    <mergeCell ref="B100:B102"/>
    <mergeCell ref="B118:B120"/>
    <mergeCell ref="B103:B105"/>
    <mergeCell ref="B124:B126"/>
    <mergeCell ref="F127:F129"/>
    <mergeCell ref="G127:G129"/>
    <mergeCell ref="F112:F114"/>
    <mergeCell ref="G112:G114"/>
    <mergeCell ref="F115:F117"/>
    <mergeCell ref="F118:F120"/>
    <mergeCell ref="G118:G120"/>
    <mergeCell ref="C88:C90"/>
    <mergeCell ref="D88:D90"/>
    <mergeCell ref="E88:E90"/>
    <mergeCell ref="F88:F90"/>
    <mergeCell ref="E94:E96"/>
    <mergeCell ref="F94:F96"/>
    <mergeCell ref="G97:G99"/>
    <mergeCell ref="G94:G96"/>
    <mergeCell ref="C103:C105"/>
    <mergeCell ref="D109:D111"/>
    <mergeCell ref="E109:E111"/>
    <mergeCell ref="I70:I72"/>
    <mergeCell ref="J70:J72"/>
    <mergeCell ref="D73:D75"/>
    <mergeCell ref="E73:E75"/>
    <mergeCell ref="F73:F75"/>
    <mergeCell ref="G73:G75"/>
    <mergeCell ref="H73:H75"/>
    <mergeCell ref="P76:P78"/>
    <mergeCell ref="O76:O78"/>
    <mergeCell ref="E70:E72"/>
    <mergeCell ref="F70:F72"/>
    <mergeCell ref="G70:G72"/>
    <mergeCell ref="H70:H72"/>
    <mergeCell ref="G76:G78"/>
    <mergeCell ref="H76:H78"/>
    <mergeCell ref="I73:I75"/>
    <mergeCell ref="D70:D72"/>
    <mergeCell ref="P70:P72"/>
    <mergeCell ref="O70:O72"/>
    <mergeCell ref="K70:K72"/>
    <mergeCell ref="L70:L72"/>
    <mergeCell ref="M70:M72"/>
    <mergeCell ref="L73:L75"/>
    <mergeCell ref="M73:M75"/>
    <mergeCell ref="Q76:Q78"/>
    <mergeCell ref="B82:B84"/>
    <mergeCell ref="C82:C84"/>
    <mergeCell ref="D82:D84"/>
    <mergeCell ref="E82:E84"/>
    <mergeCell ref="F82:F84"/>
    <mergeCell ref="G82:G84"/>
    <mergeCell ref="H82:H84"/>
    <mergeCell ref="I82:I84"/>
    <mergeCell ref="J82:J84"/>
    <mergeCell ref="K82:K84"/>
    <mergeCell ref="L82:L84"/>
    <mergeCell ref="M82:M84"/>
    <mergeCell ref="O82:O84"/>
    <mergeCell ref="P82:P84"/>
    <mergeCell ref="I76:I78"/>
    <mergeCell ref="J76:J78"/>
    <mergeCell ref="D76:D78"/>
    <mergeCell ref="E76:E78"/>
    <mergeCell ref="F76:F78"/>
    <mergeCell ref="Q79:Q81"/>
    <mergeCell ref="B76:B78"/>
    <mergeCell ref="K76:K78"/>
    <mergeCell ref="J79:J81"/>
    <mergeCell ref="Q82:Q84"/>
    <mergeCell ref="C85:C87"/>
    <mergeCell ref="D85:D87"/>
    <mergeCell ref="E85:E87"/>
    <mergeCell ref="F85:F87"/>
    <mergeCell ref="G85:G87"/>
    <mergeCell ref="H85:H87"/>
    <mergeCell ref="I85:I87"/>
    <mergeCell ref="J85:J87"/>
    <mergeCell ref="K85:K87"/>
    <mergeCell ref="L85:L87"/>
    <mergeCell ref="M85:M87"/>
    <mergeCell ref="O85:O87"/>
    <mergeCell ref="P85:P87"/>
    <mergeCell ref="Q85:Q87"/>
    <mergeCell ref="D97:D99"/>
    <mergeCell ref="E97:E99"/>
    <mergeCell ref="F97:F99"/>
    <mergeCell ref="Q88:Q90"/>
    <mergeCell ref="G88:G90"/>
    <mergeCell ref="H88:H90"/>
    <mergeCell ref="I88:I90"/>
    <mergeCell ref="J88:J90"/>
    <mergeCell ref="K88:K90"/>
    <mergeCell ref="K91:K93"/>
    <mergeCell ref="J91:J93"/>
    <mergeCell ref="I91:I93"/>
    <mergeCell ref="H91:H93"/>
    <mergeCell ref="G91:G93"/>
    <mergeCell ref="Q91:Q93"/>
    <mergeCell ref="P91:P93"/>
    <mergeCell ref="O91:O93"/>
    <mergeCell ref="M91:M93"/>
    <mergeCell ref="L91:L93"/>
    <mergeCell ref="M94:M96"/>
    <mergeCell ref="O94:O96"/>
    <mergeCell ref="P94:P96"/>
    <mergeCell ref="H94:H96"/>
    <mergeCell ref="I94:I96"/>
    <mergeCell ref="P97:P99"/>
    <mergeCell ref="L100:L102"/>
    <mergeCell ref="M100:M102"/>
    <mergeCell ref="O100:O102"/>
    <mergeCell ref="P100:P102"/>
    <mergeCell ref="H97:H99"/>
    <mergeCell ref="I97:I99"/>
    <mergeCell ref="J97:J99"/>
    <mergeCell ref="K97:K99"/>
    <mergeCell ref="Q97:Q99"/>
    <mergeCell ref="Q100:Q102"/>
    <mergeCell ref="G100:G102"/>
    <mergeCell ref="H100:H102"/>
    <mergeCell ref="I100:I102"/>
    <mergeCell ref="J100:J102"/>
    <mergeCell ref="K100:K102"/>
    <mergeCell ref="E103:E105"/>
    <mergeCell ref="D103:D105"/>
    <mergeCell ref="Q103:Q105"/>
    <mergeCell ref="P103:P105"/>
    <mergeCell ref="O103:O105"/>
    <mergeCell ref="M103:M105"/>
    <mergeCell ref="L103:L105"/>
    <mergeCell ref="K103:K105"/>
    <mergeCell ref="J103:J105"/>
    <mergeCell ref="I103:I105"/>
    <mergeCell ref="H103:H105"/>
    <mergeCell ref="G103:G105"/>
    <mergeCell ref="F103:F105"/>
    <mergeCell ref="D100:D102"/>
    <mergeCell ref="E100:E102"/>
    <mergeCell ref="F100:F102"/>
    <mergeCell ref="O97:O99"/>
    <mergeCell ref="Q106:Q108"/>
    <mergeCell ref="K109:K111"/>
    <mergeCell ref="M112:M114"/>
    <mergeCell ref="G115:G117"/>
    <mergeCell ref="H115:H117"/>
    <mergeCell ref="I115:I117"/>
    <mergeCell ref="J115:J117"/>
    <mergeCell ref="P112:P114"/>
    <mergeCell ref="Q112:Q114"/>
    <mergeCell ref="L109:L111"/>
    <mergeCell ref="M109:M111"/>
    <mergeCell ref="O109:O111"/>
    <mergeCell ref="P109:P111"/>
    <mergeCell ref="Q109:Q111"/>
    <mergeCell ref="Q115:Q117"/>
    <mergeCell ref="P115:P117"/>
    <mergeCell ref="O112:O114"/>
    <mergeCell ref="K115:K117"/>
    <mergeCell ref="J106:J108"/>
    <mergeCell ref="K106:K108"/>
    <mergeCell ref="L106:L108"/>
    <mergeCell ref="M106:M108"/>
    <mergeCell ref="F109:F111"/>
    <mergeCell ref="G109:G111"/>
    <mergeCell ref="H109:H111"/>
    <mergeCell ref="I109:I111"/>
    <mergeCell ref="J109:J111"/>
    <mergeCell ref="P127:P129"/>
    <mergeCell ref="O115:O117"/>
    <mergeCell ref="K124:K126"/>
    <mergeCell ref="I127:I129"/>
    <mergeCell ref="L115:L117"/>
    <mergeCell ref="M115:M117"/>
    <mergeCell ref="H118:H120"/>
    <mergeCell ref="I118:I120"/>
    <mergeCell ref="J118:J120"/>
    <mergeCell ref="K118:K120"/>
    <mergeCell ref="J124:J126"/>
    <mergeCell ref="I124:I126"/>
    <mergeCell ref="H127:H129"/>
    <mergeCell ref="I121:I123"/>
    <mergeCell ref="J121:J123"/>
    <mergeCell ref="K121:K123"/>
    <mergeCell ref="J127:J129"/>
    <mergeCell ref="K127:K129"/>
    <mergeCell ref="G133:G135"/>
    <mergeCell ref="K130:K132"/>
    <mergeCell ref="L130:L132"/>
    <mergeCell ref="H133:H135"/>
    <mergeCell ref="I133:I135"/>
    <mergeCell ref="M130:M132"/>
    <mergeCell ref="Q127:Q129"/>
    <mergeCell ref="L118:L120"/>
    <mergeCell ref="M118:M120"/>
    <mergeCell ref="O118:O120"/>
    <mergeCell ref="P118:P120"/>
    <mergeCell ref="Q118:Q120"/>
    <mergeCell ref="P121:P123"/>
    <mergeCell ref="Q121:Q123"/>
    <mergeCell ref="P124:P126"/>
    <mergeCell ref="Q124:Q126"/>
    <mergeCell ref="L121:L123"/>
    <mergeCell ref="M121:M123"/>
    <mergeCell ref="M124:M126"/>
    <mergeCell ref="L124:L126"/>
    <mergeCell ref="O121:O123"/>
    <mergeCell ref="O124:O126"/>
    <mergeCell ref="O127:O129"/>
    <mergeCell ref="M127:M129"/>
    <mergeCell ref="B130:B132"/>
    <mergeCell ref="A130:A132"/>
    <mergeCell ref="J130:J132"/>
    <mergeCell ref="I130:I132"/>
    <mergeCell ref="H130:H132"/>
    <mergeCell ref="G130:G132"/>
    <mergeCell ref="F130:F132"/>
    <mergeCell ref="E130:E132"/>
    <mergeCell ref="A136:A138"/>
    <mergeCell ref="B136:B138"/>
    <mergeCell ref="C136:C138"/>
    <mergeCell ref="D136:D138"/>
    <mergeCell ref="E136:E138"/>
    <mergeCell ref="F136:F138"/>
    <mergeCell ref="G136:G138"/>
    <mergeCell ref="H136:H138"/>
    <mergeCell ref="I136:I138"/>
    <mergeCell ref="D130:D132"/>
    <mergeCell ref="C130:C132"/>
    <mergeCell ref="J133:J135"/>
    <mergeCell ref="C133:C135"/>
    <mergeCell ref="D133:D135"/>
    <mergeCell ref="E133:E135"/>
    <mergeCell ref="F133:F135"/>
    <mergeCell ref="AM4:AX4"/>
    <mergeCell ref="AM5:AO5"/>
    <mergeCell ref="AP5:AR5"/>
    <mergeCell ref="AS5:AU5"/>
    <mergeCell ref="AV5:AW5"/>
    <mergeCell ref="AX5:AX6"/>
    <mergeCell ref="J136:J138"/>
    <mergeCell ref="K136:K138"/>
    <mergeCell ref="L136:L138"/>
    <mergeCell ref="M136:M138"/>
    <mergeCell ref="O136:O138"/>
    <mergeCell ref="P136:P138"/>
    <mergeCell ref="Q136:Q138"/>
    <mergeCell ref="O130:O132"/>
    <mergeCell ref="P130:P132"/>
    <mergeCell ref="Q130:Q132"/>
    <mergeCell ref="K133:K135"/>
    <mergeCell ref="L133:L135"/>
    <mergeCell ref="M133:M135"/>
    <mergeCell ref="O133:O135"/>
    <mergeCell ref="P133:P135"/>
    <mergeCell ref="Q133:Q135"/>
    <mergeCell ref="L127:L129"/>
    <mergeCell ref="P106:P108"/>
  </mergeCells>
  <conditionalFormatting sqref="K7">
    <cfRule type="cellIs" dxfId="616" priority="3768" operator="equal">
      <formula>"Media"</formula>
    </cfRule>
    <cfRule type="cellIs" dxfId="615" priority="3767" operator="equal">
      <formula>"Alta"</formula>
    </cfRule>
    <cfRule type="cellIs" dxfId="614" priority="3766" operator="equal">
      <formula>"Muy Alta"</formula>
    </cfRule>
    <cfRule type="cellIs" dxfId="613" priority="3769" operator="equal">
      <formula>"Baja"</formula>
    </cfRule>
    <cfRule type="cellIs" dxfId="612" priority="3770" operator="equal">
      <formula>"Muy Baja"</formula>
    </cfRule>
  </conditionalFormatting>
  <conditionalFormatting sqref="K10">
    <cfRule type="cellIs" dxfId="611" priority="2315" operator="equal">
      <formula>"Muy Alta"</formula>
    </cfRule>
    <cfRule type="cellIs" dxfId="610" priority="2316" operator="equal">
      <formula>"Alta"</formula>
    </cfRule>
    <cfRule type="cellIs" dxfId="609" priority="2317" operator="equal">
      <formula>"Media"</formula>
    </cfRule>
    <cfRule type="cellIs" dxfId="608" priority="2318" operator="equal">
      <formula>"Baja"</formula>
    </cfRule>
    <cfRule type="cellIs" dxfId="607" priority="2319" operator="equal">
      <formula>"Muy Baja"</formula>
    </cfRule>
  </conditionalFormatting>
  <conditionalFormatting sqref="K13">
    <cfRule type="cellIs" dxfId="606" priority="442" operator="equal">
      <formula>"Baja"</formula>
    </cfRule>
    <cfRule type="cellIs" dxfId="605" priority="439" operator="equal">
      <formula>"Muy Alta"</formula>
    </cfRule>
    <cfRule type="cellIs" dxfId="604" priority="443" operator="equal">
      <formula>"Muy Baja"</formula>
    </cfRule>
    <cfRule type="cellIs" dxfId="603" priority="440" operator="equal">
      <formula>"Alta"</formula>
    </cfRule>
    <cfRule type="cellIs" dxfId="602" priority="441" operator="equal">
      <formula>"Media"</formula>
    </cfRule>
  </conditionalFormatting>
  <conditionalFormatting sqref="K16">
    <cfRule type="cellIs" dxfId="601" priority="2301" operator="equal">
      <formula>"Alta"</formula>
    </cfRule>
    <cfRule type="cellIs" dxfId="600" priority="2304" operator="equal">
      <formula>"Muy Baja"</formula>
    </cfRule>
    <cfRule type="cellIs" dxfId="599" priority="2303" operator="equal">
      <formula>"Baja"</formula>
    </cfRule>
    <cfRule type="cellIs" dxfId="598" priority="2302" operator="equal">
      <formula>"Media"</formula>
    </cfRule>
    <cfRule type="cellIs" dxfId="597" priority="2300" operator="equal">
      <formula>"Muy Alta"</formula>
    </cfRule>
  </conditionalFormatting>
  <conditionalFormatting sqref="K19">
    <cfRule type="cellIs" dxfId="596" priority="2255" operator="equal">
      <formula>"Muy Alta"</formula>
    </cfRule>
    <cfRule type="cellIs" dxfId="595" priority="2259" operator="equal">
      <formula>"Muy Baja"</formula>
    </cfRule>
    <cfRule type="cellIs" dxfId="594" priority="2258" operator="equal">
      <formula>"Baja"</formula>
    </cfRule>
    <cfRule type="cellIs" dxfId="593" priority="2257" operator="equal">
      <formula>"Media"</formula>
    </cfRule>
    <cfRule type="cellIs" dxfId="592" priority="2256" operator="equal">
      <formula>"Alta"</formula>
    </cfRule>
  </conditionalFormatting>
  <conditionalFormatting sqref="K22">
    <cfRule type="cellIs" dxfId="591" priority="2243" operator="equal">
      <formula>"Baja"</formula>
    </cfRule>
    <cfRule type="cellIs" dxfId="590" priority="2244" operator="equal">
      <formula>"Muy Baja"</formula>
    </cfRule>
    <cfRule type="cellIs" dxfId="589" priority="2240" operator="equal">
      <formula>"Muy Alta"</formula>
    </cfRule>
    <cfRule type="cellIs" dxfId="588" priority="2241" operator="equal">
      <formula>"Alta"</formula>
    </cfRule>
    <cfRule type="cellIs" dxfId="587" priority="2242" operator="equal">
      <formula>"Media"</formula>
    </cfRule>
  </conditionalFormatting>
  <conditionalFormatting sqref="K25">
    <cfRule type="cellIs" dxfId="586" priority="386" operator="equal">
      <formula>"Muy Baja"</formula>
    </cfRule>
    <cfRule type="cellIs" dxfId="585" priority="385" operator="equal">
      <formula>"Baja"</formula>
    </cfRule>
    <cfRule type="cellIs" dxfId="584" priority="384" operator="equal">
      <formula>"Media"</formula>
    </cfRule>
    <cfRule type="cellIs" dxfId="583" priority="383" operator="equal">
      <formula>"Alta"</formula>
    </cfRule>
    <cfRule type="cellIs" dxfId="582" priority="382" operator="equal">
      <formula>"Muy Alta"</formula>
    </cfRule>
  </conditionalFormatting>
  <conditionalFormatting sqref="K28">
    <cfRule type="cellIs" dxfId="581" priority="2225" operator="equal">
      <formula>"Muy Alta"</formula>
    </cfRule>
    <cfRule type="cellIs" dxfId="580" priority="2226" operator="equal">
      <formula>"Alta"</formula>
    </cfRule>
    <cfRule type="cellIs" dxfId="579" priority="2227" operator="equal">
      <formula>"Media"</formula>
    </cfRule>
    <cfRule type="cellIs" dxfId="578" priority="2228" operator="equal">
      <formula>"Baja"</formula>
    </cfRule>
    <cfRule type="cellIs" dxfId="577" priority="2229" operator="equal">
      <formula>"Muy Baja"</formula>
    </cfRule>
  </conditionalFormatting>
  <conditionalFormatting sqref="K31">
    <cfRule type="cellIs" dxfId="576" priority="2210" operator="equal">
      <formula>"Muy Alta"</formula>
    </cfRule>
    <cfRule type="cellIs" dxfId="575" priority="2211" operator="equal">
      <formula>"Alta"</formula>
    </cfRule>
    <cfRule type="cellIs" dxfId="574" priority="2212" operator="equal">
      <formula>"Media"</formula>
    </cfRule>
    <cfRule type="cellIs" dxfId="573" priority="2213" operator="equal">
      <formula>"Baja"</formula>
    </cfRule>
    <cfRule type="cellIs" dxfId="572" priority="2214" operator="equal">
      <formula>"Muy Baja"</formula>
    </cfRule>
  </conditionalFormatting>
  <conditionalFormatting sqref="K34">
    <cfRule type="cellIs" dxfId="571" priority="2196" operator="equal">
      <formula>"Alta"</formula>
    </cfRule>
    <cfRule type="cellIs" dxfId="570" priority="2195" operator="equal">
      <formula>"Muy Alta"</formula>
    </cfRule>
    <cfRule type="cellIs" dxfId="569" priority="2199" operator="equal">
      <formula>"Muy Baja"</formula>
    </cfRule>
    <cfRule type="cellIs" dxfId="568" priority="2198" operator="equal">
      <formula>"Baja"</formula>
    </cfRule>
    <cfRule type="cellIs" dxfId="567" priority="2197" operator="equal">
      <formula>"Media"</formula>
    </cfRule>
  </conditionalFormatting>
  <conditionalFormatting sqref="K37">
    <cfRule type="cellIs" dxfId="566" priority="330" operator="equal">
      <formula>"Muy Alta"</formula>
    </cfRule>
    <cfRule type="cellIs" dxfId="565" priority="331" operator="equal">
      <formula>"Alta"</formula>
    </cfRule>
    <cfRule type="cellIs" dxfId="564" priority="332" operator="equal">
      <formula>"Media"</formula>
    </cfRule>
    <cfRule type="cellIs" dxfId="563" priority="333" operator="equal">
      <formula>"Baja"</formula>
    </cfRule>
    <cfRule type="cellIs" dxfId="562" priority="334" operator="equal">
      <formula>"Muy Baja"</formula>
    </cfRule>
  </conditionalFormatting>
  <conditionalFormatting sqref="K40">
    <cfRule type="cellIs" dxfId="561" priority="2167" operator="equal">
      <formula>"Media"</formula>
    </cfRule>
    <cfRule type="cellIs" dxfId="560" priority="2166" operator="equal">
      <formula>"Alta"</formula>
    </cfRule>
    <cfRule type="cellIs" dxfId="559" priority="2169" operator="equal">
      <formula>"Muy Baja"</formula>
    </cfRule>
    <cfRule type="cellIs" dxfId="558" priority="2165" operator="equal">
      <formula>"Muy Alta"</formula>
    </cfRule>
    <cfRule type="cellIs" dxfId="557" priority="2168" operator="equal">
      <formula>"Baja"</formula>
    </cfRule>
  </conditionalFormatting>
  <conditionalFormatting sqref="K44">
    <cfRule type="cellIs" dxfId="556" priority="2152" operator="equal">
      <formula>"Media"</formula>
    </cfRule>
    <cfRule type="cellIs" dxfId="555" priority="2151" operator="equal">
      <formula>"Alta"</formula>
    </cfRule>
    <cfRule type="cellIs" dxfId="554" priority="2154" operator="equal">
      <formula>"Muy Baja"</formula>
    </cfRule>
    <cfRule type="cellIs" dxfId="553" priority="2153" operator="equal">
      <formula>"Baja"</formula>
    </cfRule>
    <cfRule type="cellIs" dxfId="552" priority="2150" operator="equal">
      <formula>"Muy Alta"</formula>
    </cfRule>
  </conditionalFormatting>
  <conditionalFormatting sqref="K47">
    <cfRule type="cellIs" dxfId="551" priority="257" operator="equal">
      <formula>"Muy Baja"</formula>
    </cfRule>
    <cfRule type="cellIs" dxfId="550" priority="255" operator="equal">
      <formula>"Media"</formula>
    </cfRule>
    <cfRule type="cellIs" dxfId="549" priority="254" operator="equal">
      <formula>"Alta"</formula>
    </cfRule>
    <cfRule type="cellIs" dxfId="548" priority="256" operator="equal">
      <formula>"Baja"</formula>
    </cfRule>
    <cfRule type="cellIs" dxfId="547" priority="253" operator="equal">
      <formula>"Muy Alta"</formula>
    </cfRule>
  </conditionalFormatting>
  <conditionalFormatting sqref="K52">
    <cfRule type="cellIs" dxfId="546" priority="2124" operator="equal">
      <formula>"Muy Baja"</formula>
    </cfRule>
    <cfRule type="cellIs" dxfId="545" priority="2123" operator="equal">
      <formula>"Baja"</formula>
    </cfRule>
    <cfRule type="cellIs" dxfId="544" priority="2120" operator="equal">
      <formula>"Muy Alta"</formula>
    </cfRule>
    <cfRule type="cellIs" dxfId="543" priority="2122" operator="equal">
      <formula>"Media"</formula>
    </cfRule>
    <cfRule type="cellIs" dxfId="542" priority="2121" operator="equal">
      <formula>"Alta"</formula>
    </cfRule>
  </conditionalFormatting>
  <conditionalFormatting sqref="K55">
    <cfRule type="cellIs" dxfId="541" priority="2109" operator="equal">
      <formula>"Muy Baja"</formula>
    </cfRule>
    <cfRule type="cellIs" dxfId="540" priority="2106" operator="equal">
      <formula>"Alta"</formula>
    </cfRule>
    <cfRule type="cellIs" dxfId="539" priority="2108" operator="equal">
      <formula>"Baja"</formula>
    </cfRule>
    <cfRule type="cellIs" dxfId="538" priority="2105" operator="equal">
      <formula>"Muy Alta"</formula>
    </cfRule>
    <cfRule type="cellIs" dxfId="537" priority="2107" operator="equal">
      <formula>"Media"</formula>
    </cfRule>
  </conditionalFormatting>
  <conditionalFormatting sqref="K58">
    <cfRule type="cellIs" dxfId="536" priority="2094" operator="equal">
      <formula>"Muy Baja"</formula>
    </cfRule>
    <cfRule type="cellIs" dxfId="535" priority="2093" operator="equal">
      <formula>"Baja"</formula>
    </cfRule>
    <cfRule type="cellIs" dxfId="534" priority="2091" operator="equal">
      <formula>"Alta"</formula>
    </cfRule>
    <cfRule type="cellIs" dxfId="533" priority="2092" operator="equal">
      <formula>"Media"</formula>
    </cfRule>
    <cfRule type="cellIs" dxfId="532" priority="2090" operator="equal">
      <formula>"Muy Alta"</formula>
    </cfRule>
  </conditionalFormatting>
  <conditionalFormatting sqref="K61">
    <cfRule type="cellIs" dxfId="531" priority="2076" operator="equal">
      <formula>"Alta"</formula>
    </cfRule>
    <cfRule type="cellIs" dxfId="530" priority="2075" operator="equal">
      <formula>"Muy Alta"</formula>
    </cfRule>
    <cfRule type="cellIs" dxfId="529" priority="2077" operator="equal">
      <formula>"Media"</formula>
    </cfRule>
    <cfRule type="cellIs" dxfId="528" priority="2078" operator="equal">
      <formula>"Baja"</formula>
    </cfRule>
    <cfRule type="cellIs" dxfId="527" priority="2079" operator="equal">
      <formula>"Muy Baja"</formula>
    </cfRule>
  </conditionalFormatting>
  <conditionalFormatting sqref="K64">
    <cfRule type="cellIs" dxfId="526" priority="2061" operator="equal">
      <formula>"Alta"</formula>
    </cfRule>
    <cfRule type="cellIs" dxfId="525" priority="2062" operator="equal">
      <formula>"Media"</formula>
    </cfRule>
    <cfRule type="cellIs" dxfId="524" priority="2063" operator="equal">
      <formula>"Baja"</formula>
    </cfRule>
    <cfRule type="cellIs" dxfId="523" priority="2064" operator="equal">
      <formula>"Muy Baja"</formula>
    </cfRule>
    <cfRule type="cellIs" dxfId="522" priority="2060" operator="equal">
      <formula>"Muy Alta"</formula>
    </cfRule>
  </conditionalFormatting>
  <conditionalFormatting sqref="K67">
    <cfRule type="cellIs" dxfId="521" priority="2048" operator="equal">
      <formula>"Baja"</formula>
    </cfRule>
    <cfRule type="cellIs" dxfId="520" priority="2049" operator="equal">
      <formula>"Muy Baja"</formula>
    </cfRule>
    <cfRule type="cellIs" dxfId="519" priority="2046" operator="equal">
      <formula>"Alta"</formula>
    </cfRule>
    <cfRule type="cellIs" dxfId="518" priority="2047" operator="equal">
      <formula>"Media"</formula>
    </cfRule>
    <cfRule type="cellIs" dxfId="517" priority="2045" operator="equal">
      <formula>"Muy Alta"</formula>
    </cfRule>
  </conditionalFormatting>
  <conditionalFormatting sqref="K70">
    <cfRule type="cellIs" dxfId="516" priority="167" operator="equal">
      <formula>"Alta"</formula>
    </cfRule>
    <cfRule type="cellIs" dxfId="515" priority="168" operator="equal">
      <formula>"Media"</formula>
    </cfRule>
    <cfRule type="cellIs" dxfId="514" priority="169" operator="equal">
      <formula>"Baja"</formula>
    </cfRule>
    <cfRule type="cellIs" dxfId="513" priority="170" operator="equal">
      <formula>"Muy Baja"</formula>
    </cfRule>
    <cfRule type="cellIs" dxfId="512" priority="166" operator="equal">
      <formula>"Muy Alta"</formula>
    </cfRule>
  </conditionalFormatting>
  <conditionalFormatting sqref="K73">
    <cfRule type="cellIs" dxfId="511" priority="2018" operator="equal">
      <formula>"Baja"</formula>
    </cfRule>
    <cfRule type="cellIs" dxfId="510" priority="2017" operator="equal">
      <formula>"Media"</formula>
    </cfRule>
    <cfRule type="cellIs" dxfId="509" priority="2016" operator="equal">
      <formula>"Alta"</formula>
    </cfRule>
    <cfRule type="cellIs" dxfId="508" priority="2015" operator="equal">
      <formula>"Muy Alta"</formula>
    </cfRule>
    <cfRule type="cellIs" dxfId="507" priority="2019" operator="equal">
      <formula>"Muy Baja"</formula>
    </cfRule>
  </conditionalFormatting>
  <conditionalFormatting sqref="K76">
    <cfRule type="cellIs" dxfId="506" priority="2003" operator="equal">
      <formula>"Baja"</formula>
    </cfRule>
    <cfRule type="cellIs" dxfId="505" priority="2004" operator="equal">
      <formula>"Muy Baja"</formula>
    </cfRule>
    <cfRule type="cellIs" dxfId="504" priority="2000" operator="equal">
      <formula>"Muy Alta"</formula>
    </cfRule>
    <cfRule type="cellIs" dxfId="503" priority="2001" operator="equal">
      <formula>"Alta"</formula>
    </cfRule>
    <cfRule type="cellIs" dxfId="502" priority="2002" operator="equal">
      <formula>"Media"</formula>
    </cfRule>
  </conditionalFormatting>
  <conditionalFormatting sqref="K79">
    <cfRule type="cellIs" dxfId="501" priority="468" operator="equal">
      <formula>"Muy Alta"</formula>
    </cfRule>
    <cfRule type="cellIs" dxfId="500" priority="469" operator="equal">
      <formula>"Alta"</formula>
    </cfRule>
    <cfRule type="cellIs" dxfId="499" priority="470" operator="equal">
      <formula>"Media"</formula>
    </cfRule>
    <cfRule type="cellIs" dxfId="498" priority="472" operator="equal">
      <formula>"Muy Baja"</formula>
    </cfRule>
    <cfRule type="cellIs" dxfId="497" priority="471" operator="equal">
      <formula>"Baja"</formula>
    </cfRule>
  </conditionalFormatting>
  <conditionalFormatting sqref="K82">
    <cfRule type="cellIs" dxfId="496" priority="1985" operator="equal">
      <formula>"Muy Alta"</formula>
    </cfRule>
    <cfRule type="cellIs" dxfId="495" priority="1987" operator="equal">
      <formula>"Media"</formula>
    </cfRule>
    <cfRule type="cellIs" dxfId="494" priority="1988" operator="equal">
      <formula>"Baja"</formula>
    </cfRule>
    <cfRule type="cellIs" dxfId="493" priority="1989" operator="equal">
      <formula>"Muy Baja"</formula>
    </cfRule>
    <cfRule type="cellIs" dxfId="492" priority="1986" operator="equal">
      <formula>"Alta"</formula>
    </cfRule>
  </conditionalFormatting>
  <conditionalFormatting sqref="K85">
    <cfRule type="cellIs" dxfId="491" priority="1974" operator="equal">
      <formula>"Muy Baja"</formula>
    </cfRule>
    <cfRule type="cellIs" dxfId="490" priority="1973" operator="equal">
      <formula>"Baja"</formula>
    </cfRule>
    <cfRule type="cellIs" dxfId="489" priority="1972" operator="equal">
      <formula>"Media"</formula>
    </cfRule>
    <cfRule type="cellIs" dxfId="488" priority="1971" operator="equal">
      <formula>"Alta"</formula>
    </cfRule>
    <cfRule type="cellIs" dxfId="487" priority="1970" operator="equal">
      <formula>"Muy Alta"</formula>
    </cfRule>
  </conditionalFormatting>
  <conditionalFormatting sqref="K88">
    <cfRule type="cellIs" dxfId="486" priority="1955" operator="equal">
      <formula>"Muy Alta"</formula>
    </cfRule>
    <cfRule type="cellIs" dxfId="485" priority="1956" operator="equal">
      <formula>"Alta"</formula>
    </cfRule>
    <cfRule type="cellIs" dxfId="484" priority="1957" operator="equal">
      <formula>"Media"</formula>
    </cfRule>
    <cfRule type="cellIs" dxfId="483" priority="1958" operator="equal">
      <formula>"Baja"</formula>
    </cfRule>
    <cfRule type="cellIs" dxfId="482" priority="1959" operator="equal">
      <formula>"Muy Baja"</formula>
    </cfRule>
  </conditionalFormatting>
  <conditionalFormatting sqref="K91">
    <cfRule type="cellIs" dxfId="481" priority="1944" operator="equal">
      <formula>"Muy Baja"</formula>
    </cfRule>
    <cfRule type="cellIs" dxfId="480" priority="1940" operator="equal">
      <formula>"Muy Alta"</formula>
    </cfRule>
    <cfRule type="cellIs" dxfId="479" priority="1942" operator="equal">
      <formula>"Media"</formula>
    </cfRule>
    <cfRule type="cellIs" dxfId="478" priority="1943" operator="equal">
      <formula>"Baja"</formula>
    </cfRule>
    <cfRule type="cellIs" dxfId="477" priority="1941" operator="equal">
      <formula>"Alta"</formula>
    </cfRule>
  </conditionalFormatting>
  <conditionalFormatting sqref="K94">
    <cfRule type="cellIs" dxfId="476" priority="628" operator="equal">
      <formula>"Baja"</formula>
    </cfRule>
    <cfRule type="cellIs" dxfId="475" priority="629" operator="equal">
      <formula>"Muy Baja"</formula>
    </cfRule>
    <cfRule type="cellIs" dxfId="474" priority="625" operator="equal">
      <formula>"Muy Alta"</formula>
    </cfRule>
    <cfRule type="cellIs" dxfId="473" priority="626" operator="equal">
      <formula>"Alta"</formula>
    </cfRule>
    <cfRule type="cellIs" dxfId="472" priority="627" operator="equal">
      <formula>"Media"</formula>
    </cfRule>
  </conditionalFormatting>
  <conditionalFormatting sqref="K97">
    <cfRule type="cellIs" dxfId="471" priority="1928" operator="equal">
      <formula>"Baja"</formula>
    </cfRule>
    <cfRule type="cellIs" dxfId="470" priority="1929" operator="equal">
      <formula>"Muy Baja"</formula>
    </cfRule>
    <cfRule type="cellIs" dxfId="469" priority="1927" operator="equal">
      <formula>"Media"</formula>
    </cfRule>
    <cfRule type="cellIs" dxfId="468" priority="1926" operator="equal">
      <formula>"Alta"</formula>
    </cfRule>
    <cfRule type="cellIs" dxfId="467" priority="1925" operator="equal">
      <formula>"Muy Alta"</formula>
    </cfRule>
  </conditionalFormatting>
  <conditionalFormatting sqref="K100">
    <cfRule type="cellIs" dxfId="466" priority="1913" operator="equal">
      <formula>"Baja"</formula>
    </cfRule>
    <cfRule type="cellIs" dxfId="465" priority="1914" operator="equal">
      <formula>"Muy Baja"</formula>
    </cfRule>
    <cfRule type="cellIs" dxfId="464" priority="1912" operator="equal">
      <formula>"Media"</formula>
    </cfRule>
    <cfRule type="cellIs" dxfId="463" priority="1911" operator="equal">
      <formula>"Alta"</formula>
    </cfRule>
    <cfRule type="cellIs" dxfId="462" priority="1910" operator="equal">
      <formula>"Muy Alta"</formula>
    </cfRule>
  </conditionalFormatting>
  <conditionalFormatting sqref="K103">
    <cfRule type="cellIs" dxfId="461" priority="1896" operator="equal">
      <formula>"Alta"</formula>
    </cfRule>
    <cfRule type="cellIs" dxfId="460" priority="1895" operator="equal">
      <formula>"Muy Alta"</formula>
    </cfRule>
    <cfRule type="cellIs" dxfId="459" priority="1899" operator="equal">
      <formula>"Muy Baja"</formula>
    </cfRule>
    <cfRule type="cellIs" dxfId="458" priority="1898" operator="equal">
      <formula>"Baja"</formula>
    </cfRule>
    <cfRule type="cellIs" dxfId="457" priority="1897" operator="equal">
      <formula>"Media"</formula>
    </cfRule>
  </conditionalFormatting>
  <conditionalFormatting sqref="K106">
    <cfRule type="cellIs" dxfId="456" priority="67" operator="equal">
      <formula>"Muy Alta"</formula>
    </cfRule>
    <cfRule type="cellIs" dxfId="455" priority="68" operator="equal">
      <formula>"Alta"</formula>
    </cfRule>
    <cfRule type="cellIs" dxfId="454" priority="69" operator="equal">
      <formula>"Media"</formula>
    </cfRule>
    <cfRule type="cellIs" dxfId="453" priority="71" operator="equal">
      <formula>"Muy Baja"</formula>
    </cfRule>
    <cfRule type="cellIs" dxfId="452" priority="70" operator="equal">
      <formula>"Baja"</formula>
    </cfRule>
  </conditionalFormatting>
  <conditionalFormatting sqref="K109">
    <cfRule type="cellIs" dxfId="451" priority="1850" operator="equal">
      <formula>"Muy Alta"</formula>
    </cfRule>
    <cfRule type="cellIs" dxfId="450" priority="1854" operator="equal">
      <formula>"Muy Baja"</formula>
    </cfRule>
    <cfRule type="cellIs" dxfId="449" priority="1853" operator="equal">
      <formula>"Baja"</formula>
    </cfRule>
    <cfRule type="cellIs" dxfId="448" priority="1852" operator="equal">
      <formula>"Media"</formula>
    </cfRule>
    <cfRule type="cellIs" dxfId="447" priority="1851" operator="equal">
      <formula>"Alta"</formula>
    </cfRule>
  </conditionalFormatting>
  <conditionalFormatting sqref="K112">
    <cfRule type="cellIs" dxfId="446" priority="1839" operator="equal">
      <formula>"Muy Baja"</formula>
    </cfRule>
    <cfRule type="cellIs" dxfId="445" priority="1838" operator="equal">
      <formula>"Baja"</formula>
    </cfRule>
    <cfRule type="cellIs" dxfId="444" priority="1837" operator="equal">
      <formula>"Media"</formula>
    </cfRule>
    <cfRule type="cellIs" dxfId="443" priority="1836" operator="equal">
      <formula>"Alta"</formula>
    </cfRule>
    <cfRule type="cellIs" dxfId="442" priority="1835" operator="equal">
      <formula>"Muy Alta"</formula>
    </cfRule>
  </conditionalFormatting>
  <conditionalFormatting sqref="K115">
    <cfRule type="cellIs" dxfId="441" priority="1765" operator="equal">
      <formula>"Media"</formula>
    </cfRule>
    <cfRule type="cellIs" dxfId="440" priority="1763" operator="equal">
      <formula>"Muy Alta"</formula>
    </cfRule>
    <cfRule type="cellIs" dxfId="439" priority="1764" operator="equal">
      <formula>"Alta"</formula>
    </cfRule>
    <cfRule type="cellIs" dxfId="438" priority="1766" operator="equal">
      <formula>"Baja"</formula>
    </cfRule>
    <cfRule type="cellIs" dxfId="437" priority="1767" operator="equal">
      <formula>"Muy Baja"</formula>
    </cfRule>
  </conditionalFormatting>
  <conditionalFormatting sqref="K118:K119">
    <cfRule type="cellIs" dxfId="436" priority="1884" operator="equal">
      <formula>"Muy Baja"</formula>
    </cfRule>
    <cfRule type="cellIs" dxfId="435" priority="1883" operator="equal">
      <formula>"Baja"</formula>
    </cfRule>
    <cfRule type="cellIs" dxfId="434" priority="1882" operator="equal">
      <formula>"Media"</formula>
    </cfRule>
    <cfRule type="cellIs" dxfId="433" priority="1881" operator="equal">
      <formula>"Alta"</formula>
    </cfRule>
    <cfRule type="cellIs" dxfId="432" priority="1880" operator="equal">
      <formula>"Muy Alta"</formula>
    </cfRule>
  </conditionalFormatting>
  <conditionalFormatting sqref="K121">
    <cfRule type="cellIs" dxfId="431" priority="1706" operator="equal">
      <formula>"Muy Alta"</formula>
    </cfRule>
    <cfRule type="cellIs" dxfId="430" priority="1707" operator="equal">
      <formula>"Alta"</formula>
    </cfRule>
    <cfRule type="cellIs" dxfId="429" priority="1708" operator="equal">
      <formula>"Media"</formula>
    </cfRule>
    <cfRule type="cellIs" dxfId="428" priority="1709" operator="equal">
      <formula>"Baja"</formula>
    </cfRule>
    <cfRule type="cellIs" dxfId="427" priority="1710" operator="equal">
      <formula>"Muy Baja"</formula>
    </cfRule>
  </conditionalFormatting>
  <conditionalFormatting sqref="K124">
    <cfRule type="cellIs" dxfId="426" priority="1649" operator="equal">
      <formula>"Muy Alta"</formula>
    </cfRule>
    <cfRule type="cellIs" dxfId="425" priority="1650" operator="equal">
      <formula>"Alta"</formula>
    </cfRule>
    <cfRule type="cellIs" dxfId="424" priority="1651" operator="equal">
      <formula>"Media"</formula>
    </cfRule>
    <cfRule type="cellIs" dxfId="423" priority="1652" operator="equal">
      <formula>"Baja"</formula>
    </cfRule>
    <cfRule type="cellIs" dxfId="422" priority="1653" operator="equal">
      <formula>"Muy Baja"</formula>
    </cfRule>
  </conditionalFormatting>
  <conditionalFormatting sqref="K127">
    <cfRule type="cellIs" dxfId="421" priority="1593" operator="equal">
      <formula>"Alta"</formula>
    </cfRule>
    <cfRule type="cellIs" dxfId="420" priority="1595" operator="equal">
      <formula>"Baja"</formula>
    </cfRule>
    <cfRule type="cellIs" dxfId="419" priority="1596" operator="equal">
      <formula>"Muy Baja"</formula>
    </cfRule>
    <cfRule type="cellIs" dxfId="418" priority="1594" operator="equal">
      <formula>"Media"</formula>
    </cfRule>
    <cfRule type="cellIs" dxfId="417" priority="1592" operator="equal">
      <formula>"Muy Alta"</formula>
    </cfRule>
  </conditionalFormatting>
  <conditionalFormatting sqref="K130">
    <cfRule type="cellIs" dxfId="416" priority="1122" operator="equal">
      <formula>"Muy Baja"</formula>
    </cfRule>
    <cfRule type="cellIs" dxfId="415" priority="1121" operator="equal">
      <formula>"Baja"</formula>
    </cfRule>
    <cfRule type="cellIs" dxfId="414" priority="1120" operator="equal">
      <formula>"Media"</formula>
    </cfRule>
    <cfRule type="cellIs" dxfId="413" priority="1119" operator="equal">
      <formula>"Alta"</formula>
    </cfRule>
    <cfRule type="cellIs" dxfId="412" priority="1118" operator="equal">
      <formula>"Muy Alta"</formula>
    </cfRule>
  </conditionalFormatting>
  <conditionalFormatting sqref="K133">
    <cfRule type="cellIs" dxfId="411" priority="1048" operator="equal">
      <formula>"Media"</formula>
    </cfRule>
    <cfRule type="cellIs" dxfId="410" priority="1046" operator="equal">
      <formula>"Muy Alta"</formula>
    </cfRule>
    <cfRule type="cellIs" dxfId="409" priority="1047" operator="equal">
      <formula>"Alta"</formula>
    </cfRule>
    <cfRule type="cellIs" dxfId="408" priority="1049" operator="equal">
      <formula>"Baja"</formula>
    </cfRule>
    <cfRule type="cellIs" dxfId="407" priority="1050" operator="equal">
      <formula>"Muy Baja"</formula>
    </cfRule>
  </conditionalFormatting>
  <conditionalFormatting sqref="K136">
    <cfRule type="cellIs" dxfId="406" priority="834" operator="equal">
      <formula>"Muy Baja"</formula>
    </cfRule>
    <cfRule type="cellIs" dxfId="405" priority="830" operator="equal">
      <formula>"Muy Alta"</formula>
    </cfRule>
    <cfRule type="cellIs" dxfId="404" priority="831" operator="equal">
      <formula>"Alta"</formula>
    </cfRule>
    <cfRule type="cellIs" dxfId="403" priority="832" operator="equal">
      <formula>"Media"</formula>
    </cfRule>
    <cfRule type="cellIs" dxfId="402" priority="833" operator="equal">
      <formula>"Baja"</formula>
    </cfRule>
  </conditionalFormatting>
  <conditionalFormatting sqref="N7:N138">
    <cfRule type="containsText" dxfId="401" priority="57" operator="containsText" text="❌">
      <formula>NOT(ISERROR(SEARCH("❌",N7)))</formula>
    </cfRule>
  </conditionalFormatting>
  <conditionalFormatting sqref="O7">
    <cfRule type="cellIs" dxfId="400" priority="744" operator="equal">
      <formula>"Catastrófico"</formula>
    </cfRule>
    <cfRule type="cellIs" dxfId="399" priority="745" operator="equal">
      <formula>"Mayor"</formula>
    </cfRule>
    <cfRule type="cellIs" dxfId="398" priority="746" operator="equal">
      <formula>"Moderado"</formula>
    </cfRule>
    <cfRule type="cellIs" dxfId="397" priority="747" operator="equal">
      <formula>"Menor"</formula>
    </cfRule>
    <cfRule type="cellIs" dxfId="396" priority="748" operator="equal">
      <formula>"Leve"</formula>
    </cfRule>
  </conditionalFormatting>
  <conditionalFormatting sqref="O10">
    <cfRule type="cellIs" dxfId="395" priority="2310" operator="equal">
      <formula>"Catastrófico"</formula>
    </cfRule>
    <cfRule type="cellIs" dxfId="394" priority="2311" operator="equal">
      <formula>"Mayor"</formula>
    </cfRule>
    <cfRule type="cellIs" dxfId="393" priority="2312" operator="equal">
      <formula>"Moderado"</formula>
    </cfRule>
    <cfRule type="cellIs" dxfId="392" priority="2313" operator="equal">
      <formula>"Menor"</formula>
    </cfRule>
    <cfRule type="cellIs" dxfId="391" priority="2314" operator="equal">
      <formula>"Leve"</formula>
    </cfRule>
  </conditionalFormatting>
  <conditionalFormatting sqref="O13">
    <cfRule type="cellIs" dxfId="390" priority="434" operator="equal">
      <formula>"Catastrófico"</formula>
    </cfRule>
    <cfRule type="cellIs" dxfId="389" priority="435" operator="equal">
      <formula>"Mayor"</formula>
    </cfRule>
    <cfRule type="cellIs" dxfId="388" priority="437" operator="equal">
      <formula>"Menor"</formula>
    </cfRule>
    <cfRule type="cellIs" dxfId="387" priority="438" operator="equal">
      <formula>"Leve"</formula>
    </cfRule>
    <cfRule type="cellIs" dxfId="386" priority="436" operator="equal">
      <formula>"Moderado"</formula>
    </cfRule>
  </conditionalFormatting>
  <conditionalFormatting sqref="O16">
    <cfRule type="cellIs" dxfId="385" priority="2296" operator="equal">
      <formula>"Mayor"</formula>
    </cfRule>
    <cfRule type="cellIs" dxfId="384" priority="2297" operator="equal">
      <formula>"Moderado"</formula>
    </cfRule>
    <cfRule type="cellIs" dxfId="383" priority="2298" operator="equal">
      <formula>"Menor"</formula>
    </cfRule>
    <cfRule type="cellIs" dxfId="382" priority="2299" operator="equal">
      <formula>"Leve"</formula>
    </cfRule>
    <cfRule type="cellIs" dxfId="381" priority="2295" operator="equal">
      <formula>"Catastrófico"</formula>
    </cfRule>
  </conditionalFormatting>
  <conditionalFormatting sqref="O19">
    <cfRule type="cellIs" dxfId="380" priority="2253" operator="equal">
      <formula>"Menor"</formula>
    </cfRule>
    <cfRule type="cellIs" dxfId="379" priority="2254" operator="equal">
      <formula>"Leve"</formula>
    </cfRule>
    <cfRule type="cellIs" dxfId="378" priority="2252" operator="equal">
      <formula>"Moderado"</formula>
    </cfRule>
    <cfRule type="cellIs" dxfId="377" priority="2250" operator="equal">
      <formula>"Catastrófico"</formula>
    </cfRule>
    <cfRule type="cellIs" dxfId="376" priority="2251" operator="equal">
      <formula>"Mayor"</formula>
    </cfRule>
  </conditionalFormatting>
  <conditionalFormatting sqref="O22">
    <cfRule type="cellIs" dxfId="375" priority="2237" operator="equal">
      <formula>"Moderado"</formula>
    </cfRule>
    <cfRule type="cellIs" dxfId="374" priority="2239" operator="equal">
      <formula>"Leve"</formula>
    </cfRule>
    <cfRule type="cellIs" dxfId="373" priority="2238" operator="equal">
      <formula>"Menor"</formula>
    </cfRule>
    <cfRule type="cellIs" dxfId="372" priority="2235" operator="equal">
      <formula>"Catastrófico"</formula>
    </cfRule>
    <cfRule type="cellIs" dxfId="371" priority="2236" operator="equal">
      <formula>"Mayor"</formula>
    </cfRule>
  </conditionalFormatting>
  <conditionalFormatting sqref="O25">
    <cfRule type="cellIs" dxfId="370" priority="377" operator="equal">
      <formula>"Catastrófico"</formula>
    </cfRule>
    <cfRule type="cellIs" dxfId="369" priority="378" operator="equal">
      <formula>"Mayor"</formula>
    </cfRule>
    <cfRule type="cellIs" dxfId="368" priority="380" operator="equal">
      <formula>"Menor"</formula>
    </cfRule>
    <cfRule type="cellIs" dxfId="367" priority="381" operator="equal">
      <formula>"Leve"</formula>
    </cfRule>
    <cfRule type="cellIs" dxfId="366" priority="379" operator="equal">
      <formula>"Moderado"</formula>
    </cfRule>
  </conditionalFormatting>
  <conditionalFormatting sqref="O28">
    <cfRule type="cellIs" dxfId="365" priority="2220" operator="equal">
      <formula>"Catastrófico"</formula>
    </cfRule>
    <cfRule type="cellIs" dxfId="364" priority="2222" operator="equal">
      <formula>"Moderado"</formula>
    </cfRule>
    <cfRule type="cellIs" dxfId="363" priority="2221" operator="equal">
      <formula>"Mayor"</formula>
    </cfRule>
    <cfRule type="cellIs" dxfId="362" priority="2224" operator="equal">
      <formula>"Leve"</formula>
    </cfRule>
    <cfRule type="cellIs" dxfId="361" priority="2223" operator="equal">
      <formula>"Menor"</formula>
    </cfRule>
  </conditionalFormatting>
  <conditionalFormatting sqref="O31">
    <cfRule type="cellIs" dxfId="360" priority="2209" operator="equal">
      <formula>"Leve"</formula>
    </cfRule>
    <cfRule type="cellIs" dxfId="359" priority="2208" operator="equal">
      <formula>"Menor"</formula>
    </cfRule>
    <cfRule type="cellIs" dxfId="358" priority="2207" operator="equal">
      <formula>"Moderado"</formula>
    </cfRule>
    <cfRule type="cellIs" dxfId="357" priority="2206" operator="equal">
      <formula>"Mayor"</formula>
    </cfRule>
    <cfRule type="cellIs" dxfId="356" priority="2205" operator="equal">
      <formula>"Catastrófico"</formula>
    </cfRule>
  </conditionalFormatting>
  <conditionalFormatting sqref="O34">
    <cfRule type="cellIs" dxfId="355" priority="2190" operator="equal">
      <formula>"Catastrófico"</formula>
    </cfRule>
    <cfRule type="cellIs" dxfId="354" priority="2194" operator="equal">
      <formula>"Leve"</formula>
    </cfRule>
    <cfRule type="cellIs" dxfId="353" priority="2193" operator="equal">
      <formula>"Menor"</formula>
    </cfRule>
    <cfRule type="cellIs" dxfId="352" priority="2192" operator="equal">
      <formula>"Moderado"</formula>
    </cfRule>
    <cfRule type="cellIs" dxfId="351" priority="2191" operator="equal">
      <formula>"Mayor"</formula>
    </cfRule>
  </conditionalFormatting>
  <conditionalFormatting sqref="O37">
    <cfRule type="cellIs" dxfId="350" priority="325" operator="equal">
      <formula>"Catastrófico"</formula>
    </cfRule>
    <cfRule type="cellIs" dxfId="349" priority="326" operator="equal">
      <formula>"Mayor"</formula>
    </cfRule>
    <cfRule type="cellIs" dxfId="348" priority="327" operator="equal">
      <formula>"Moderado"</formula>
    </cfRule>
    <cfRule type="cellIs" dxfId="347" priority="328" operator="equal">
      <formula>"Menor"</formula>
    </cfRule>
    <cfRule type="cellIs" dxfId="346" priority="329" operator="equal">
      <formula>"Leve"</formula>
    </cfRule>
  </conditionalFormatting>
  <conditionalFormatting sqref="O40">
    <cfRule type="cellIs" dxfId="345" priority="2160" operator="equal">
      <formula>"Catastrófico"</formula>
    </cfRule>
    <cfRule type="cellIs" dxfId="344" priority="2161" operator="equal">
      <formula>"Mayor"</formula>
    </cfRule>
    <cfRule type="cellIs" dxfId="343" priority="2164" operator="equal">
      <formula>"Leve"</formula>
    </cfRule>
    <cfRule type="cellIs" dxfId="342" priority="2163" operator="equal">
      <formula>"Menor"</formula>
    </cfRule>
    <cfRule type="cellIs" dxfId="341" priority="2162" operator="equal">
      <formula>"Moderado"</formula>
    </cfRule>
  </conditionalFormatting>
  <conditionalFormatting sqref="O44">
    <cfRule type="cellIs" dxfId="340" priority="2148" operator="equal">
      <formula>"Menor"</formula>
    </cfRule>
    <cfRule type="cellIs" dxfId="339" priority="2149" operator="equal">
      <formula>"Leve"</formula>
    </cfRule>
    <cfRule type="cellIs" dxfId="338" priority="2147" operator="equal">
      <formula>"Moderado"</formula>
    </cfRule>
    <cfRule type="cellIs" dxfId="337" priority="2145" operator="equal">
      <formula>"Catastrófico"</formula>
    </cfRule>
    <cfRule type="cellIs" dxfId="336" priority="2146" operator="equal">
      <formula>"Mayor"</formula>
    </cfRule>
  </conditionalFormatting>
  <conditionalFormatting sqref="O47">
    <cfRule type="cellIs" dxfId="335" priority="248" operator="equal">
      <formula>"Catastrófico"</formula>
    </cfRule>
    <cfRule type="cellIs" dxfId="334" priority="252" operator="equal">
      <formula>"Leve"</formula>
    </cfRule>
    <cfRule type="cellIs" dxfId="333" priority="251" operator="equal">
      <formula>"Menor"</formula>
    </cfRule>
    <cfRule type="cellIs" dxfId="332" priority="249" operator="equal">
      <formula>"Mayor"</formula>
    </cfRule>
    <cfRule type="cellIs" dxfId="331" priority="250" operator="equal">
      <formula>"Moderado"</formula>
    </cfRule>
  </conditionalFormatting>
  <conditionalFormatting sqref="O52">
    <cfRule type="cellIs" dxfId="330" priority="2116" operator="equal">
      <formula>"Mayor"</formula>
    </cfRule>
    <cfRule type="cellIs" dxfId="329" priority="2117" operator="equal">
      <formula>"Moderado"</formula>
    </cfRule>
    <cfRule type="cellIs" dxfId="328" priority="2118" operator="equal">
      <formula>"Menor"</formula>
    </cfRule>
    <cfRule type="cellIs" dxfId="327" priority="2119" operator="equal">
      <formula>"Leve"</formula>
    </cfRule>
    <cfRule type="cellIs" dxfId="326" priority="2115" operator="equal">
      <formula>"Catastrófico"</formula>
    </cfRule>
  </conditionalFormatting>
  <conditionalFormatting sqref="O55">
    <cfRule type="cellIs" dxfId="325" priority="2101" operator="equal">
      <formula>"Mayor"</formula>
    </cfRule>
    <cfRule type="cellIs" dxfId="324" priority="2100" operator="equal">
      <formula>"Catastrófico"</formula>
    </cfRule>
    <cfRule type="cellIs" dxfId="323" priority="2104" operator="equal">
      <formula>"Leve"</formula>
    </cfRule>
    <cfRule type="cellIs" dxfId="322" priority="2103" operator="equal">
      <formula>"Menor"</formula>
    </cfRule>
    <cfRule type="cellIs" dxfId="321" priority="2102" operator="equal">
      <formula>"Moderado"</formula>
    </cfRule>
  </conditionalFormatting>
  <conditionalFormatting sqref="O58">
    <cfRule type="cellIs" dxfId="320" priority="2088" operator="equal">
      <formula>"Menor"</formula>
    </cfRule>
    <cfRule type="cellIs" dxfId="319" priority="2085" operator="equal">
      <formula>"Catastrófico"</formula>
    </cfRule>
    <cfRule type="cellIs" dxfId="318" priority="2086" operator="equal">
      <formula>"Mayor"</formula>
    </cfRule>
    <cfRule type="cellIs" dxfId="317" priority="2087" operator="equal">
      <formula>"Moderado"</formula>
    </cfRule>
    <cfRule type="cellIs" dxfId="316" priority="2089" operator="equal">
      <formula>"Leve"</formula>
    </cfRule>
  </conditionalFormatting>
  <conditionalFormatting sqref="O61">
    <cfRule type="cellIs" dxfId="315" priority="2074" operator="equal">
      <formula>"Leve"</formula>
    </cfRule>
    <cfRule type="cellIs" dxfId="314" priority="2073" operator="equal">
      <formula>"Menor"</formula>
    </cfRule>
    <cfRule type="cellIs" dxfId="313" priority="2072" operator="equal">
      <formula>"Moderado"</formula>
    </cfRule>
    <cfRule type="cellIs" dxfId="312" priority="2071" operator="equal">
      <formula>"Mayor"</formula>
    </cfRule>
    <cfRule type="cellIs" dxfId="311" priority="2070" operator="equal">
      <formula>"Catastrófico"</formula>
    </cfRule>
  </conditionalFormatting>
  <conditionalFormatting sqref="O64">
    <cfRule type="cellIs" dxfId="310" priority="2056" operator="equal">
      <formula>"Mayor"</formula>
    </cfRule>
    <cfRule type="cellIs" dxfId="309" priority="2057" operator="equal">
      <formula>"Moderado"</formula>
    </cfRule>
    <cfRule type="cellIs" dxfId="308" priority="2058" operator="equal">
      <formula>"Menor"</formula>
    </cfRule>
    <cfRule type="cellIs" dxfId="307" priority="2059" operator="equal">
      <formula>"Leve"</formula>
    </cfRule>
    <cfRule type="cellIs" dxfId="306" priority="2055" operator="equal">
      <formula>"Catastrófico"</formula>
    </cfRule>
  </conditionalFormatting>
  <conditionalFormatting sqref="O67">
    <cfRule type="cellIs" dxfId="305" priority="2043" operator="equal">
      <formula>"Menor"</formula>
    </cfRule>
    <cfRule type="cellIs" dxfId="304" priority="2044" operator="equal">
      <formula>"Leve"</formula>
    </cfRule>
    <cfRule type="cellIs" dxfId="303" priority="2042" operator="equal">
      <formula>"Moderado"</formula>
    </cfRule>
    <cfRule type="cellIs" dxfId="302" priority="2041" operator="equal">
      <formula>"Mayor"</formula>
    </cfRule>
    <cfRule type="cellIs" dxfId="301" priority="2040" operator="equal">
      <formula>"Catastrófico"</formula>
    </cfRule>
  </conditionalFormatting>
  <conditionalFormatting sqref="O70">
    <cfRule type="cellIs" dxfId="300" priority="163" operator="equal">
      <formula>"Moderado"</formula>
    </cfRule>
    <cfRule type="cellIs" dxfId="299" priority="162" operator="equal">
      <formula>"Mayor"</formula>
    </cfRule>
    <cfRule type="cellIs" dxfId="298" priority="161" operator="equal">
      <formula>"Catastrófico"</formula>
    </cfRule>
    <cfRule type="cellIs" dxfId="297" priority="164" operator="equal">
      <formula>"Menor"</formula>
    </cfRule>
    <cfRule type="cellIs" dxfId="296" priority="165" operator="equal">
      <formula>"Leve"</formula>
    </cfRule>
  </conditionalFormatting>
  <conditionalFormatting sqref="O73">
    <cfRule type="cellIs" dxfId="295" priority="2010" operator="equal">
      <formula>"Catastrófico"</formula>
    </cfRule>
    <cfRule type="cellIs" dxfId="294" priority="2012" operator="equal">
      <formula>"Moderado"</formula>
    </cfRule>
    <cfRule type="cellIs" dxfId="293" priority="2011" operator="equal">
      <formula>"Mayor"</formula>
    </cfRule>
    <cfRule type="cellIs" dxfId="292" priority="2014" operator="equal">
      <formula>"Leve"</formula>
    </cfRule>
    <cfRule type="cellIs" dxfId="291" priority="2013" operator="equal">
      <formula>"Menor"</formula>
    </cfRule>
  </conditionalFormatting>
  <conditionalFormatting sqref="O76">
    <cfRule type="cellIs" dxfId="290" priority="1997" operator="equal">
      <formula>"Moderado"</formula>
    </cfRule>
    <cfRule type="cellIs" dxfId="289" priority="1999" operator="equal">
      <formula>"Leve"</formula>
    </cfRule>
    <cfRule type="cellIs" dxfId="288" priority="1995" operator="equal">
      <formula>"Catastrófico"</formula>
    </cfRule>
    <cfRule type="cellIs" dxfId="287" priority="1996" operator="equal">
      <formula>"Mayor"</formula>
    </cfRule>
    <cfRule type="cellIs" dxfId="286" priority="1998" operator="equal">
      <formula>"Menor"</formula>
    </cfRule>
  </conditionalFormatting>
  <conditionalFormatting sqref="O79">
    <cfRule type="cellIs" dxfId="285" priority="464" operator="equal">
      <formula>"Mayor"</formula>
    </cfRule>
    <cfRule type="cellIs" dxfId="284" priority="465" operator="equal">
      <formula>"Moderado"</formula>
    </cfRule>
    <cfRule type="cellIs" dxfId="283" priority="466" operator="equal">
      <formula>"Menor"</formula>
    </cfRule>
    <cfRule type="cellIs" dxfId="282" priority="467" operator="equal">
      <formula>"Leve"</formula>
    </cfRule>
    <cfRule type="cellIs" dxfId="281" priority="463" operator="equal">
      <formula>"Catastrófico"</formula>
    </cfRule>
  </conditionalFormatting>
  <conditionalFormatting sqref="O82">
    <cfRule type="cellIs" dxfId="280" priority="1983" operator="equal">
      <formula>"Menor"</formula>
    </cfRule>
    <cfRule type="cellIs" dxfId="279" priority="1980" operator="equal">
      <formula>"Catastrófico"</formula>
    </cfRule>
    <cfRule type="cellIs" dxfId="278" priority="1984" operator="equal">
      <formula>"Leve"</formula>
    </cfRule>
    <cfRule type="cellIs" dxfId="277" priority="1982" operator="equal">
      <formula>"Moderado"</formula>
    </cfRule>
    <cfRule type="cellIs" dxfId="276" priority="1981" operator="equal">
      <formula>"Mayor"</formula>
    </cfRule>
  </conditionalFormatting>
  <conditionalFormatting sqref="O85">
    <cfRule type="cellIs" dxfId="275" priority="1966" operator="equal">
      <formula>"Mayor"</formula>
    </cfRule>
    <cfRule type="cellIs" dxfId="274" priority="1969" operator="equal">
      <formula>"Leve"</formula>
    </cfRule>
    <cfRule type="cellIs" dxfId="273" priority="1968" operator="equal">
      <formula>"Menor"</formula>
    </cfRule>
    <cfRule type="cellIs" dxfId="272" priority="1965" operator="equal">
      <formula>"Catastrófico"</formula>
    </cfRule>
    <cfRule type="cellIs" dxfId="271" priority="1967" operator="equal">
      <formula>"Moderado"</formula>
    </cfRule>
  </conditionalFormatting>
  <conditionalFormatting sqref="O88">
    <cfRule type="cellIs" dxfId="270" priority="1952" operator="equal">
      <formula>"Moderado"</formula>
    </cfRule>
    <cfRule type="cellIs" dxfId="269" priority="1951" operator="equal">
      <formula>"Mayor"</formula>
    </cfRule>
    <cfRule type="cellIs" dxfId="268" priority="1950" operator="equal">
      <formula>"Catastrófico"</formula>
    </cfRule>
    <cfRule type="cellIs" dxfId="267" priority="1954" operator="equal">
      <formula>"Leve"</formula>
    </cfRule>
    <cfRule type="cellIs" dxfId="266" priority="1953" operator="equal">
      <formula>"Menor"</formula>
    </cfRule>
  </conditionalFormatting>
  <conditionalFormatting sqref="O91">
    <cfRule type="cellIs" dxfId="265" priority="1939" operator="equal">
      <formula>"Leve"</formula>
    </cfRule>
    <cfRule type="cellIs" dxfId="264" priority="1938" operator="equal">
      <formula>"Menor"</formula>
    </cfRule>
    <cfRule type="cellIs" dxfId="263" priority="1935" operator="equal">
      <formula>"Catastrófico"</formula>
    </cfRule>
    <cfRule type="cellIs" dxfId="262" priority="1937" operator="equal">
      <formula>"Moderado"</formula>
    </cfRule>
    <cfRule type="cellIs" dxfId="261" priority="1936" operator="equal">
      <formula>"Mayor"</formula>
    </cfRule>
  </conditionalFormatting>
  <conditionalFormatting sqref="O94">
    <cfRule type="cellIs" dxfId="260" priority="622" operator="equal">
      <formula>"Moderado"</formula>
    </cfRule>
    <cfRule type="cellIs" dxfId="259" priority="620" operator="equal">
      <formula>"Catastrófico"</formula>
    </cfRule>
    <cfRule type="cellIs" dxfId="258" priority="621" operator="equal">
      <formula>"Mayor"</formula>
    </cfRule>
    <cfRule type="cellIs" dxfId="257" priority="624" operator="equal">
      <formula>"Leve"</formula>
    </cfRule>
    <cfRule type="cellIs" dxfId="256" priority="623" operator="equal">
      <formula>"Menor"</formula>
    </cfRule>
  </conditionalFormatting>
  <conditionalFormatting sqref="O97">
    <cfRule type="cellIs" dxfId="255" priority="1924" operator="equal">
      <formula>"Leve"</formula>
    </cfRule>
    <cfRule type="cellIs" dxfId="254" priority="1923" operator="equal">
      <formula>"Menor"</formula>
    </cfRule>
    <cfRule type="cellIs" dxfId="253" priority="1922" operator="equal">
      <formula>"Moderado"</formula>
    </cfRule>
    <cfRule type="cellIs" dxfId="252" priority="1921" operator="equal">
      <formula>"Mayor"</formula>
    </cfRule>
    <cfRule type="cellIs" dxfId="251" priority="1920" operator="equal">
      <formula>"Catastrófico"</formula>
    </cfRule>
  </conditionalFormatting>
  <conditionalFormatting sqref="O100">
    <cfRule type="cellIs" dxfId="250" priority="1908" operator="equal">
      <formula>"Menor"</formula>
    </cfRule>
    <cfRule type="cellIs" dxfId="249" priority="1907" operator="equal">
      <formula>"Moderado"</formula>
    </cfRule>
    <cfRule type="cellIs" dxfId="248" priority="1905" operator="equal">
      <formula>"Catastrófico"</formula>
    </cfRule>
    <cfRule type="cellIs" dxfId="247" priority="1909" operator="equal">
      <formula>"Leve"</formula>
    </cfRule>
    <cfRule type="cellIs" dxfId="246" priority="1906" operator="equal">
      <formula>"Mayor"</formula>
    </cfRule>
  </conditionalFormatting>
  <conditionalFormatting sqref="O103">
    <cfRule type="cellIs" dxfId="245" priority="1893" operator="equal">
      <formula>"Menor"</formula>
    </cfRule>
    <cfRule type="cellIs" dxfId="244" priority="1894" operator="equal">
      <formula>"Leve"</formula>
    </cfRule>
    <cfRule type="cellIs" dxfId="243" priority="1892" operator="equal">
      <formula>"Moderado"</formula>
    </cfRule>
    <cfRule type="cellIs" dxfId="242" priority="1890" operator="equal">
      <formula>"Catastrófico"</formula>
    </cfRule>
    <cfRule type="cellIs" dxfId="241" priority="1891" operator="equal">
      <formula>"Mayor"</formula>
    </cfRule>
  </conditionalFormatting>
  <conditionalFormatting sqref="O106">
    <cfRule type="cellIs" dxfId="240" priority="64" operator="equal">
      <formula>"Moderado"</formula>
    </cfRule>
    <cfRule type="cellIs" dxfId="239" priority="63" operator="equal">
      <formula>"Mayor"</formula>
    </cfRule>
    <cfRule type="cellIs" dxfId="238" priority="62" operator="equal">
      <formula>"Catastrófico"</formula>
    </cfRule>
    <cfRule type="cellIs" dxfId="237" priority="65" operator="equal">
      <formula>"Menor"</formula>
    </cfRule>
    <cfRule type="cellIs" dxfId="236" priority="66" operator="equal">
      <formula>"Leve"</formula>
    </cfRule>
  </conditionalFormatting>
  <conditionalFormatting sqref="O109">
    <cfRule type="cellIs" dxfId="235" priority="1848" operator="equal">
      <formula>"Menor"</formula>
    </cfRule>
    <cfRule type="cellIs" dxfId="234" priority="1849" operator="equal">
      <formula>"Leve"</formula>
    </cfRule>
    <cfRule type="cellIs" dxfId="233" priority="1845" operator="equal">
      <formula>"Catastrófico"</formula>
    </cfRule>
    <cfRule type="cellIs" dxfId="232" priority="1846" operator="equal">
      <formula>"Mayor"</formula>
    </cfRule>
    <cfRule type="cellIs" dxfId="231" priority="1847" operator="equal">
      <formula>"Moderado"</formula>
    </cfRule>
  </conditionalFormatting>
  <conditionalFormatting sqref="O112">
    <cfRule type="cellIs" dxfId="230" priority="1830" operator="equal">
      <formula>"Catastrófico"</formula>
    </cfRule>
    <cfRule type="cellIs" dxfId="229" priority="1831" operator="equal">
      <formula>"Mayor"</formula>
    </cfRule>
    <cfRule type="cellIs" dxfId="228" priority="1832" operator="equal">
      <formula>"Moderado"</formula>
    </cfRule>
    <cfRule type="cellIs" dxfId="227" priority="1834" operator="equal">
      <formula>"Leve"</formula>
    </cfRule>
    <cfRule type="cellIs" dxfId="226" priority="1833" operator="equal">
      <formula>"Menor"</formula>
    </cfRule>
  </conditionalFormatting>
  <conditionalFormatting sqref="O115">
    <cfRule type="cellIs" dxfId="225" priority="1759" operator="equal">
      <formula>"Mayor"</formula>
    </cfRule>
    <cfRule type="cellIs" dxfId="224" priority="1758" operator="equal">
      <formula>"Catastrófico"</formula>
    </cfRule>
    <cfRule type="cellIs" dxfId="223" priority="1760" operator="equal">
      <formula>"Moderado"</formula>
    </cfRule>
    <cfRule type="cellIs" dxfId="222" priority="1761" operator="equal">
      <formula>"Menor"</formula>
    </cfRule>
    <cfRule type="cellIs" dxfId="221" priority="1762" operator="equal">
      <formula>"Leve"</formula>
    </cfRule>
  </conditionalFormatting>
  <conditionalFormatting sqref="O118:O119">
    <cfRule type="cellIs" dxfId="220" priority="1877" operator="equal">
      <formula>"Moderado"</formula>
    </cfRule>
    <cfRule type="cellIs" dxfId="219" priority="1878" operator="equal">
      <formula>"Menor"</formula>
    </cfRule>
    <cfRule type="cellIs" dxfId="218" priority="1876" operator="equal">
      <formula>"Mayor"</formula>
    </cfRule>
    <cfRule type="cellIs" dxfId="217" priority="1879" operator="equal">
      <formula>"Leve"</formula>
    </cfRule>
    <cfRule type="cellIs" dxfId="216" priority="1875" operator="equal">
      <formula>"Catastrófico"</formula>
    </cfRule>
  </conditionalFormatting>
  <conditionalFormatting sqref="O121">
    <cfRule type="cellIs" dxfId="215" priority="1702" operator="equal">
      <formula>"Mayor"</formula>
    </cfRule>
    <cfRule type="cellIs" dxfId="214" priority="1701" operator="equal">
      <formula>"Catastrófico"</formula>
    </cfRule>
    <cfRule type="cellIs" dxfId="213" priority="1705" operator="equal">
      <formula>"Leve"</formula>
    </cfRule>
    <cfRule type="cellIs" dxfId="212" priority="1704" operator="equal">
      <formula>"Menor"</formula>
    </cfRule>
    <cfRule type="cellIs" dxfId="211" priority="1703" operator="equal">
      <formula>"Moderado"</formula>
    </cfRule>
  </conditionalFormatting>
  <conditionalFormatting sqref="O124">
    <cfRule type="cellIs" dxfId="210" priority="1644" operator="equal">
      <formula>"Catastrófico"</formula>
    </cfRule>
    <cfRule type="cellIs" dxfId="209" priority="1645" operator="equal">
      <formula>"Mayor"</formula>
    </cfRule>
    <cfRule type="cellIs" dxfId="208" priority="1646" operator="equal">
      <formula>"Moderado"</formula>
    </cfRule>
    <cfRule type="cellIs" dxfId="207" priority="1647" operator="equal">
      <formula>"Menor"</formula>
    </cfRule>
    <cfRule type="cellIs" dxfId="206" priority="1648" operator="equal">
      <formula>"Leve"</formula>
    </cfRule>
  </conditionalFormatting>
  <conditionalFormatting sqref="O127">
    <cfRule type="cellIs" dxfId="205" priority="1588" operator="equal">
      <formula>"Mayor"</formula>
    </cfRule>
    <cfRule type="cellIs" dxfId="204" priority="1587" operator="equal">
      <formula>"Catastrófico"</formula>
    </cfRule>
    <cfRule type="cellIs" dxfId="203" priority="1589" operator="equal">
      <formula>"Moderado"</formula>
    </cfRule>
    <cfRule type="cellIs" dxfId="202" priority="1590" operator="equal">
      <formula>"Menor"</formula>
    </cfRule>
    <cfRule type="cellIs" dxfId="201" priority="1591" operator="equal">
      <formula>"Leve"</formula>
    </cfRule>
  </conditionalFormatting>
  <conditionalFormatting sqref="O130">
    <cfRule type="cellIs" dxfId="200" priority="1113" operator="equal">
      <formula>"Catastrófico"</formula>
    </cfRule>
    <cfRule type="cellIs" dxfId="199" priority="1114" operator="equal">
      <formula>"Mayor"</formula>
    </cfRule>
    <cfRule type="cellIs" dxfId="198" priority="1117" operator="equal">
      <formula>"Leve"</formula>
    </cfRule>
    <cfRule type="cellIs" dxfId="197" priority="1116" operator="equal">
      <formula>"Menor"</formula>
    </cfRule>
    <cfRule type="cellIs" dxfId="196" priority="1115" operator="equal">
      <formula>"Moderado"</formula>
    </cfRule>
  </conditionalFormatting>
  <conditionalFormatting sqref="O133">
    <cfRule type="cellIs" dxfId="195" priority="1043" operator="equal">
      <formula>"Moderado"</formula>
    </cfRule>
    <cfRule type="cellIs" dxfId="194" priority="1044" operator="equal">
      <formula>"Menor"</formula>
    </cfRule>
    <cfRule type="cellIs" dxfId="193" priority="1045" operator="equal">
      <formula>"Leve"</formula>
    </cfRule>
    <cfRule type="cellIs" dxfId="192" priority="1041" operator="equal">
      <formula>"Catastrófico"</formula>
    </cfRule>
    <cfRule type="cellIs" dxfId="191" priority="1042" operator="equal">
      <formula>"Mayor"</formula>
    </cfRule>
  </conditionalFormatting>
  <conditionalFormatting sqref="O136">
    <cfRule type="cellIs" dxfId="190" priority="826" operator="equal">
      <formula>"Mayor"</formula>
    </cfRule>
    <cfRule type="cellIs" dxfId="189" priority="829" operator="equal">
      <formula>"Leve"</formula>
    </cfRule>
    <cfRule type="cellIs" dxfId="188" priority="828" operator="equal">
      <formula>"Menor"</formula>
    </cfRule>
    <cfRule type="cellIs" dxfId="187" priority="825" operator="equal">
      <formula>"Catastrófico"</formula>
    </cfRule>
    <cfRule type="cellIs" dxfId="186" priority="827" operator="equal">
      <formula>"Moderado"</formula>
    </cfRule>
  </conditionalFormatting>
  <conditionalFormatting sqref="Q7">
    <cfRule type="cellIs" dxfId="185" priority="3759" operator="equal">
      <formula>"Moderado"</formula>
    </cfRule>
    <cfRule type="cellIs" dxfId="184" priority="3758" operator="equal">
      <formula>"Alto"</formula>
    </cfRule>
    <cfRule type="cellIs" dxfId="183" priority="3757" operator="equal">
      <formula>"Extremo"</formula>
    </cfRule>
    <cfRule type="cellIs" dxfId="182" priority="3760" operator="equal">
      <formula>"Bajo"</formula>
    </cfRule>
  </conditionalFormatting>
  <conditionalFormatting sqref="Q10">
    <cfRule type="cellIs" dxfId="181" priority="2309" operator="equal">
      <formula>"Bajo"</formula>
    </cfRule>
    <cfRule type="cellIs" dxfId="180" priority="2308" operator="equal">
      <formula>"Moderado"</formula>
    </cfRule>
    <cfRule type="cellIs" dxfId="179" priority="2307" operator="equal">
      <formula>"Alto"</formula>
    </cfRule>
    <cfRule type="cellIs" dxfId="178" priority="2306" operator="equal">
      <formula>"Extremo"</formula>
    </cfRule>
  </conditionalFormatting>
  <conditionalFormatting sqref="Q13">
    <cfRule type="cellIs" dxfId="177" priority="430" operator="equal">
      <formula>"Extremo"</formula>
    </cfRule>
    <cfRule type="cellIs" dxfId="176" priority="431" operator="equal">
      <formula>"Alto"</formula>
    </cfRule>
    <cfRule type="cellIs" dxfId="175" priority="432" operator="equal">
      <formula>"Moderado"</formula>
    </cfRule>
    <cfRule type="cellIs" dxfId="174" priority="433" operator="equal">
      <formula>"Bajo"</formula>
    </cfRule>
  </conditionalFormatting>
  <conditionalFormatting sqref="Q16">
    <cfRule type="cellIs" dxfId="173" priority="2294" operator="equal">
      <formula>"Bajo"</formula>
    </cfRule>
    <cfRule type="cellIs" dxfId="172" priority="2293" operator="equal">
      <formula>"Moderado"</formula>
    </cfRule>
    <cfRule type="cellIs" dxfId="171" priority="2292" operator="equal">
      <formula>"Alto"</formula>
    </cfRule>
    <cfRule type="cellIs" dxfId="170" priority="2291" operator="equal">
      <formula>"Extremo"</formula>
    </cfRule>
  </conditionalFormatting>
  <conditionalFormatting sqref="Q19">
    <cfRule type="cellIs" dxfId="169" priority="2248" operator="equal">
      <formula>"Moderado"</formula>
    </cfRule>
    <cfRule type="cellIs" dxfId="168" priority="2246" operator="equal">
      <formula>"Extremo"</formula>
    </cfRule>
    <cfRule type="cellIs" dxfId="167" priority="2247" operator="equal">
      <formula>"Alto"</formula>
    </cfRule>
    <cfRule type="cellIs" dxfId="166" priority="2249" operator="equal">
      <formula>"Bajo"</formula>
    </cfRule>
  </conditionalFormatting>
  <conditionalFormatting sqref="Q22">
    <cfRule type="cellIs" dxfId="165" priority="2231" operator="equal">
      <formula>"Extremo"</formula>
    </cfRule>
    <cfRule type="cellIs" dxfId="164" priority="2232" operator="equal">
      <formula>"Alto"</formula>
    </cfRule>
    <cfRule type="cellIs" dxfId="163" priority="2233" operator="equal">
      <formula>"Moderado"</formula>
    </cfRule>
    <cfRule type="cellIs" dxfId="162" priority="2234" operator="equal">
      <formula>"Bajo"</formula>
    </cfRule>
  </conditionalFormatting>
  <conditionalFormatting sqref="Q25">
    <cfRule type="cellIs" dxfId="161" priority="374" operator="equal">
      <formula>"Alto"</formula>
    </cfRule>
    <cfRule type="cellIs" dxfId="160" priority="373" operator="equal">
      <formula>"Extremo"</formula>
    </cfRule>
    <cfRule type="cellIs" dxfId="159" priority="375" operator="equal">
      <formula>"Moderado"</formula>
    </cfRule>
    <cfRule type="cellIs" dxfId="158" priority="376" operator="equal">
      <formula>"Bajo"</formula>
    </cfRule>
  </conditionalFormatting>
  <conditionalFormatting sqref="Q28">
    <cfRule type="cellIs" dxfId="157" priority="2216" operator="equal">
      <formula>"Extremo"</formula>
    </cfRule>
    <cfRule type="cellIs" dxfId="156" priority="2218" operator="equal">
      <formula>"Moderado"</formula>
    </cfRule>
    <cfRule type="cellIs" dxfId="155" priority="2219" operator="equal">
      <formula>"Bajo"</formula>
    </cfRule>
    <cfRule type="cellIs" dxfId="154" priority="2217" operator="equal">
      <formula>"Alto"</formula>
    </cfRule>
  </conditionalFormatting>
  <conditionalFormatting sqref="Q31">
    <cfRule type="cellIs" dxfId="153" priority="2201" operator="equal">
      <formula>"Extremo"</formula>
    </cfRule>
    <cfRule type="cellIs" dxfId="152" priority="2202" operator="equal">
      <formula>"Alto"</formula>
    </cfRule>
    <cfRule type="cellIs" dxfId="151" priority="2203" operator="equal">
      <formula>"Moderado"</formula>
    </cfRule>
    <cfRule type="cellIs" dxfId="150" priority="2204" operator="equal">
      <formula>"Bajo"</formula>
    </cfRule>
  </conditionalFormatting>
  <conditionalFormatting sqref="Q34">
    <cfRule type="cellIs" dxfId="149" priority="2189" operator="equal">
      <formula>"Bajo"</formula>
    </cfRule>
    <cfRule type="cellIs" dxfId="148" priority="2187" operator="equal">
      <formula>"Alto"</formula>
    </cfRule>
    <cfRule type="cellIs" dxfId="147" priority="2186" operator="equal">
      <formula>"Extremo"</formula>
    </cfRule>
    <cfRule type="cellIs" dxfId="146" priority="2188" operator="equal">
      <formula>"Moderado"</formula>
    </cfRule>
  </conditionalFormatting>
  <conditionalFormatting sqref="Q37">
    <cfRule type="cellIs" dxfId="145" priority="322" operator="equal">
      <formula>"Alto"</formula>
    </cfRule>
    <cfRule type="cellIs" dxfId="144" priority="321" operator="equal">
      <formula>"Extremo"</formula>
    </cfRule>
    <cfRule type="cellIs" dxfId="143" priority="323" operator="equal">
      <formula>"Moderado"</formula>
    </cfRule>
    <cfRule type="cellIs" dxfId="142" priority="324" operator="equal">
      <formula>"Bajo"</formula>
    </cfRule>
  </conditionalFormatting>
  <conditionalFormatting sqref="Q40">
    <cfRule type="cellIs" dxfId="141" priority="2158" operator="equal">
      <formula>"Moderado"</formula>
    </cfRule>
    <cfRule type="cellIs" dxfId="140" priority="2157" operator="equal">
      <formula>"Alto"</formula>
    </cfRule>
    <cfRule type="cellIs" dxfId="139" priority="2159" operator="equal">
      <formula>"Bajo"</formula>
    </cfRule>
    <cfRule type="cellIs" dxfId="138" priority="2156" operator="equal">
      <formula>"Extremo"</formula>
    </cfRule>
  </conditionalFormatting>
  <conditionalFormatting sqref="Q44">
    <cfRule type="cellIs" dxfId="137" priority="2142" operator="equal">
      <formula>"Alto"</formula>
    </cfRule>
    <cfRule type="cellIs" dxfId="136" priority="2143" operator="equal">
      <formula>"Moderado"</formula>
    </cfRule>
    <cfRule type="cellIs" dxfId="135" priority="2144" operator="equal">
      <formula>"Bajo"</formula>
    </cfRule>
    <cfRule type="cellIs" dxfId="134" priority="2141" operator="equal">
      <formula>"Extremo"</formula>
    </cfRule>
  </conditionalFormatting>
  <conditionalFormatting sqref="Q47">
    <cfRule type="cellIs" dxfId="133" priority="247" operator="equal">
      <formula>"Bajo"</formula>
    </cfRule>
    <cfRule type="cellIs" dxfId="132" priority="246" operator="equal">
      <formula>"Moderado"</formula>
    </cfRule>
    <cfRule type="cellIs" dxfId="131" priority="244" operator="equal">
      <formula>"Extremo"</formula>
    </cfRule>
    <cfRule type="cellIs" dxfId="130" priority="245" operator="equal">
      <formula>"Alto"</formula>
    </cfRule>
  </conditionalFormatting>
  <conditionalFormatting sqref="Q52">
    <cfRule type="cellIs" dxfId="129" priority="2111" operator="equal">
      <formula>"Extremo"</formula>
    </cfRule>
    <cfRule type="cellIs" dxfId="128" priority="2112" operator="equal">
      <formula>"Alto"</formula>
    </cfRule>
    <cfRule type="cellIs" dxfId="127" priority="2113" operator="equal">
      <formula>"Moderado"</formula>
    </cfRule>
    <cfRule type="cellIs" dxfId="126" priority="2114" operator="equal">
      <formula>"Bajo"</formula>
    </cfRule>
  </conditionalFormatting>
  <conditionalFormatting sqref="Q55">
    <cfRule type="cellIs" dxfId="125" priority="2099" operator="equal">
      <formula>"Bajo"</formula>
    </cfRule>
    <cfRule type="cellIs" dxfId="124" priority="2098" operator="equal">
      <formula>"Moderado"</formula>
    </cfRule>
    <cfRule type="cellIs" dxfId="123" priority="2097" operator="equal">
      <formula>"Alto"</formula>
    </cfRule>
    <cfRule type="cellIs" dxfId="122" priority="2096" operator="equal">
      <formula>"Extremo"</formula>
    </cfRule>
  </conditionalFormatting>
  <conditionalFormatting sqref="Q58">
    <cfRule type="cellIs" dxfId="121" priority="2082" operator="equal">
      <formula>"Alto"</formula>
    </cfRule>
    <cfRule type="cellIs" dxfId="120" priority="2081" operator="equal">
      <formula>"Extremo"</formula>
    </cfRule>
    <cfRule type="cellIs" dxfId="119" priority="2083" operator="equal">
      <formula>"Moderado"</formula>
    </cfRule>
    <cfRule type="cellIs" dxfId="118" priority="2084" operator="equal">
      <formula>"Bajo"</formula>
    </cfRule>
  </conditionalFormatting>
  <conditionalFormatting sqref="Q61">
    <cfRule type="cellIs" dxfId="117" priority="2066" operator="equal">
      <formula>"Extremo"</formula>
    </cfRule>
    <cfRule type="cellIs" dxfId="116" priority="2069" operator="equal">
      <formula>"Bajo"</formula>
    </cfRule>
    <cfRule type="cellIs" dxfId="115" priority="2068" operator="equal">
      <formula>"Moderado"</formula>
    </cfRule>
    <cfRule type="cellIs" dxfId="114" priority="2067" operator="equal">
      <formula>"Alto"</formula>
    </cfRule>
  </conditionalFormatting>
  <conditionalFormatting sqref="Q64">
    <cfRule type="cellIs" dxfId="113" priority="2051" operator="equal">
      <formula>"Extremo"</formula>
    </cfRule>
    <cfRule type="cellIs" dxfId="112" priority="2053" operator="equal">
      <formula>"Moderado"</formula>
    </cfRule>
    <cfRule type="cellIs" dxfId="111" priority="2052" operator="equal">
      <formula>"Alto"</formula>
    </cfRule>
    <cfRule type="cellIs" dxfId="110" priority="2054" operator="equal">
      <formula>"Bajo"</formula>
    </cfRule>
  </conditionalFormatting>
  <conditionalFormatting sqref="Q67">
    <cfRule type="cellIs" dxfId="109" priority="2036" operator="equal">
      <formula>"Extremo"</formula>
    </cfRule>
    <cfRule type="cellIs" dxfId="108" priority="2037" operator="equal">
      <formula>"Alto"</formula>
    </cfRule>
    <cfRule type="cellIs" dxfId="107" priority="2038" operator="equal">
      <formula>"Moderado"</formula>
    </cfRule>
    <cfRule type="cellIs" dxfId="106" priority="2039" operator="equal">
      <formula>"Bajo"</formula>
    </cfRule>
  </conditionalFormatting>
  <conditionalFormatting sqref="Q70">
    <cfRule type="cellIs" dxfId="105" priority="157" operator="equal">
      <formula>"Extremo"</formula>
    </cfRule>
    <cfRule type="cellIs" dxfId="104" priority="160" operator="equal">
      <formula>"Bajo"</formula>
    </cfRule>
    <cfRule type="cellIs" dxfId="103" priority="159" operator="equal">
      <formula>"Moderado"</formula>
    </cfRule>
    <cfRule type="cellIs" dxfId="102" priority="158" operator="equal">
      <formula>"Alto"</formula>
    </cfRule>
  </conditionalFormatting>
  <conditionalFormatting sqref="Q73">
    <cfRule type="cellIs" dxfId="101" priority="2009" operator="equal">
      <formula>"Bajo"</formula>
    </cfRule>
    <cfRule type="cellIs" dxfId="100" priority="2007" operator="equal">
      <formula>"Alto"</formula>
    </cfRule>
    <cfRule type="cellIs" dxfId="99" priority="2008" operator="equal">
      <formula>"Moderado"</formula>
    </cfRule>
    <cfRule type="cellIs" dxfId="98" priority="2006" operator="equal">
      <formula>"Extremo"</formula>
    </cfRule>
  </conditionalFormatting>
  <conditionalFormatting sqref="Q76">
    <cfRule type="cellIs" dxfId="97" priority="1992" operator="equal">
      <formula>"Alto"</formula>
    </cfRule>
    <cfRule type="cellIs" dxfId="96" priority="1991" operator="equal">
      <formula>"Extremo"</formula>
    </cfRule>
    <cfRule type="cellIs" dxfId="95" priority="1993" operator="equal">
      <formula>"Moderado"</formula>
    </cfRule>
    <cfRule type="cellIs" dxfId="94" priority="1994" operator="equal">
      <formula>"Bajo"</formula>
    </cfRule>
  </conditionalFormatting>
  <conditionalFormatting sqref="Q79">
    <cfRule type="cellIs" dxfId="93" priority="459" operator="equal">
      <formula>"Extremo"</formula>
    </cfRule>
    <cfRule type="cellIs" dxfId="92" priority="462" operator="equal">
      <formula>"Bajo"</formula>
    </cfRule>
    <cfRule type="cellIs" dxfId="91" priority="461" operator="equal">
      <formula>"Moderado"</formula>
    </cfRule>
    <cfRule type="cellIs" dxfId="90" priority="460" operator="equal">
      <formula>"Alto"</formula>
    </cfRule>
  </conditionalFormatting>
  <conditionalFormatting sqref="Q82">
    <cfRule type="cellIs" dxfId="89" priority="1977" operator="equal">
      <formula>"Alto"</formula>
    </cfRule>
    <cfRule type="cellIs" dxfId="88" priority="1978" operator="equal">
      <formula>"Moderado"</formula>
    </cfRule>
    <cfRule type="cellIs" dxfId="87" priority="1979" operator="equal">
      <formula>"Bajo"</formula>
    </cfRule>
    <cfRule type="cellIs" dxfId="86" priority="1976" operator="equal">
      <formula>"Extremo"</formula>
    </cfRule>
  </conditionalFormatting>
  <conditionalFormatting sqref="Q85">
    <cfRule type="cellIs" dxfId="85" priority="1964" operator="equal">
      <formula>"Bajo"</formula>
    </cfRule>
    <cfRule type="cellIs" dxfId="84" priority="1963" operator="equal">
      <formula>"Moderado"</formula>
    </cfRule>
    <cfRule type="cellIs" dxfId="83" priority="1962" operator="equal">
      <formula>"Alto"</formula>
    </cfRule>
    <cfRule type="cellIs" dxfId="82" priority="1961" operator="equal">
      <formula>"Extremo"</formula>
    </cfRule>
  </conditionalFormatting>
  <conditionalFormatting sqref="Q88">
    <cfRule type="cellIs" dxfId="81" priority="1949" operator="equal">
      <formula>"Bajo"</formula>
    </cfRule>
    <cfRule type="cellIs" dxfId="80" priority="1948" operator="equal">
      <formula>"Moderado"</formula>
    </cfRule>
    <cfRule type="cellIs" dxfId="79" priority="1947" operator="equal">
      <formula>"Alto"</formula>
    </cfRule>
    <cfRule type="cellIs" dxfId="78" priority="1946" operator="equal">
      <formula>"Extremo"</formula>
    </cfRule>
  </conditionalFormatting>
  <conditionalFormatting sqref="Q91">
    <cfRule type="cellIs" dxfId="77" priority="1932" operator="equal">
      <formula>"Alto"</formula>
    </cfRule>
    <cfRule type="cellIs" dxfId="76" priority="1933" operator="equal">
      <formula>"Moderado"</formula>
    </cfRule>
    <cfRule type="cellIs" dxfId="75" priority="1934" operator="equal">
      <formula>"Bajo"</formula>
    </cfRule>
    <cfRule type="cellIs" dxfId="74" priority="1931" operator="equal">
      <formula>"Extremo"</formula>
    </cfRule>
  </conditionalFormatting>
  <conditionalFormatting sqref="Q94">
    <cfRule type="cellIs" dxfId="73" priority="618" operator="equal">
      <formula>"Moderado"</formula>
    </cfRule>
    <cfRule type="cellIs" dxfId="72" priority="619" operator="equal">
      <formula>"Bajo"</formula>
    </cfRule>
    <cfRule type="cellIs" dxfId="71" priority="616" operator="equal">
      <formula>"Extremo"</formula>
    </cfRule>
    <cfRule type="cellIs" dxfId="70" priority="617" operator="equal">
      <formula>"Alto"</formula>
    </cfRule>
  </conditionalFormatting>
  <conditionalFormatting sqref="Q97">
    <cfRule type="cellIs" dxfId="69" priority="1919" operator="equal">
      <formula>"Bajo"</formula>
    </cfRule>
    <cfRule type="cellIs" dxfId="68" priority="1918" operator="equal">
      <formula>"Moderado"</formula>
    </cfRule>
    <cfRule type="cellIs" dxfId="67" priority="1917" operator="equal">
      <formula>"Alto"</formula>
    </cfRule>
    <cfRule type="cellIs" dxfId="66" priority="1916" operator="equal">
      <formula>"Extremo"</formula>
    </cfRule>
  </conditionalFormatting>
  <conditionalFormatting sqref="Q100">
    <cfRule type="cellIs" dxfId="65" priority="1903" operator="equal">
      <formula>"Moderado"</formula>
    </cfRule>
    <cfRule type="cellIs" dxfId="64" priority="1902" operator="equal">
      <formula>"Alto"</formula>
    </cfRule>
    <cfRule type="cellIs" dxfId="63" priority="1901" operator="equal">
      <formula>"Extremo"</formula>
    </cfRule>
    <cfRule type="cellIs" dxfId="62" priority="1904" operator="equal">
      <formula>"Bajo"</formula>
    </cfRule>
  </conditionalFormatting>
  <conditionalFormatting sqref="Q103">
    <cfRule type="cellIs" dxfId="61" priority="1889" operator="equal">
      <formula>"Bajo"</formula>
    </cfRule>
    <cfRule type="cellIs" dxfId="60" priority="1887" operator="equal">
      <formula>"Alto"</formula>
    </cfRule>
    <cfRule type="cellIs" dxfId="59" priority="1888" operator="equal">
      <formula>"Moderado"</formula>
    </cfRule>
    <cfRule type="cellIs" dxfId="58" priority="1886" operator="equal">
      <formula>"Extremo"</formula>
    </cfRule>
  </conditionalFormatting>
  <conditionalFormatting sqref="Q106">
    <cfRule type="cellIs" dxfId="57" priority="58" operator="equal">
      <formula>"Extremo"</formula>
    </cfRule>
    <cfRule type="cellIs" dxfId="56" priority="59" operator="equal">
      <formula>"Alto"</formula>
    </cfRule>
    <cfRule type="cellIs" dxfId="55" priority="60" operator="equal">
      <formula>"Moderado"</formula>
    </cfRule>
    <cfRule type="cellIs" dxfId="54" priority="61" operator="equal">
      <formula>"Bajo"</formula>
    </cfRule>
  </conditionalFormatting>
  <conditionalFormatting sqref="Q109">
    <cfRule type="cellIs" dxfId="53" priority="1841" operator="equal">
      <formula>"Extremo"</formula>
    </cfRule>
    <cfRule type="cellIs" dxfId="52" priority="1844" operator="equal">
      <formula>"Bajo"</formula>
    </cfRule>
    <cfRule type="cellIs" dxfId="51" priority="1843" operator="equal">
      <formula>"Moderado"</formula>
    </cfRule>
    <cfRule type="cellIs" dxfId="50" priority="1842" operator="equal">
      <formula>"Alto"</formula>
    </cfRule>
  </conditionalFormatting>
  <conditionalFormatting sqref="Q112">
    <cfRule type="cellIs" dxfId="49" priority="1826" operator="equal">
      <formula>"Extremo"</formula>
    </cfRule>
    <cfRule type="cellIs" dxfId="48" priority="1829" operator="equal">
      <formula>"Bajo"</formula>
    </cfRule>
    <cfRule type="cellIs" dxfId="47" priority="1827" operator="equal">
      <formula>"Alto"</formula>
    </cfRule>
    <cfRule type="cellIs" dxfId="46" priority="1828" operator="equal">
      <formula>"Moderado"</formula>
    </cfRule>
  </conditionalFormatting>
  <conditionalFormatting sqref="Q115">
    <cfRule type="cellIs" dxfId="45" priority="1754" operator="equal">
      <formula>"Extremo"</formula>
    </cfRule>
    <cfRule type="cellIs" dxfId="44" priority="1755" operator="equal">
      <formula>"Alto"</formula>
    </cfRule>
    <cfRule type="cellIs" dxfId="43" priority="1756" operator="equal">
      <formula>"Moderado"</formula>
    </cfRule>
    <cfRule type="cellIs" dxfId="42" priority="1757" operator="equal">
      <formula>"Bajo"</formula>
    </cfRule>
  </conditionalFormatting>
  <conditionalFormatting sqref="Q118:Q119">
    <cfRule type="cellIs" dxfId="41" priority="1872" operator="equal">
      <formula>"Alto"</formula>
    </cfRule>
    <cfRule type="cellIs" dxfId="40" priority="1873" operator="equal">
      <formula>"Moderado"</formula>
    </cfRule>
    <cfRule type="cellIs" dxfId="39" priority="1871" operator="equal">
      <formula>"Extremo"</formula>
    </cfRule>
    <cfRule type="cellIs" dxfId="38" priority="1874" operator="equal">
      <formula>"Bajo"</formula>
    </cfRule>
  </conditionalFormatting>
  <conditionalFormatting sqref="Q121">
    <cfRule type="cellIs" dxfId="37" priority="1697" operator="equal">
      <formula>"Extremo"</formula>
    </cfRule>
    <cfRule type="cellIs" dxfId="36" priority="1698" operator="equal">
      <formula>"Alto"</formula>
    </cfRule>
    <cfRule type="cellIs" dxfId="35" priority="1699" operator="equal">
      <formula>"Moderado"</formula>
    </cfRule>
    <cfRule type="cellIs" dxfId="34" priority="1700" operator="equal">
      <formula>"Bajo"</formula>
    </cfRule>
  </conditionalFormatting>
  <conditionalFormatting sqref="Q124">
    <cfRule type="cellIs" dxfId="33" priority="1642" operator="equal">
      <formula>"Moderado"</formula>
    </cfRule>
    <cfRule type="cellIs" dxfId="32" priority="1640" operator="equal">
      <formula>"Extremo"</formula>
    </cfRule>
    <cfRule type="cellIs" dxfId="31" priority="1641" operator="equal">
      <formula>"Alto"</formula>
    </cfRule>
    <cfRule type="cellIs" dxfId="30" priority="1643" operator="equal">
      <formula>"Bajo"</formula>
    </cfRule>
  </conditionalFormatting>
  <conditionalFormatting sqref="Q127">
    <cfRule type="cellIs" dxfId="29" priority="1585" operator="equal">
      <formula>"Moderado"</formula>
    </cfRule>
    <cfRule type="cellIs" dxfId="28" priority="1586" operator="equal">
      <formula>"Bajo"</formula>
    </cfRule>
    <cfRule type="cellIs" dxfId="27" priority="1584" operator="equal">
      <formula>"Alto"</formula>
    </cfRule>
    <cfRule type="cellIs" dxfId="26" priority="1583" operator="equal">
      <formula>"Extremo"</formula>
    </cfRule>
  </conditionalFormatting>
  <conditionalFormatting sqref="Q130">
    <cfRule type="cellIs" dxfId="25" priority="1110" operator="equal">
      <formula>"Alto"</formula>
    </cfRule>
    <cfRule type="cellIs" dxfId="24" priority="1109" operator="equal">
      <formula>"Extremo"</formula>
    </cfRule>
    <cfRule type="cellIs" dxfId="23" priority="1111" operator="equal">
      <formula>"Moderado"</formula>
    </cfRule>
    <cfRule type="cellIs" dxfId="22" priority="1112" operator="equal">
      <formula>"Bajo"</formula>
    </cfRule>
  </conditionalFormatting>
  <conditionalFormatting sqref="Q133">
    <cfRule type="cellIs" dxfId="21" priority="1037" operator="equal">
      <formula>"Extremo"</formula>
    </cfRule>
    <cfRule type="cellIs" dxfId="20" priority="1038" operator="equal">
      <formula>"Alto"</formula>
    </cfRule>
    <cfRule type="cellIs" dxfId="19" priority="1039" operator="equal">
      <formula>"Moderado"</formula>
    </cfRule>
    <cfRule type="cellIs" dxfId="18" priority="1040" operator="equal">
      <formula>"Bajo"</formula>
    </cfRule>
  </conditionalFormatting>
  <conditionalFormatting sqref="Q136">
    <cfRule type="cellIs" dxfId="17" priority="823" operator="equal">
      <formula>"Moderado"</formula>
    </cfRule>
    <cfRule type="cellIs" dxfId="16" priority="822" operator="equal">
      <formula>"Alto"</formula>
    </cfRule>
    <cfRule type="cellIs" dxfId="15" priority="821" operator="equal">
      <formula>"Extremo"</formula>
    </cfRule>
    <cfRule type="cellIs" dxfId="14" priority="824" operator="equal">
      <formula>"Bajo"</formula>
    </cfRule>
  </conditionalFormatting>
  <conditionalFormatting sqref="AB7:AB138">
    <cfRule type="cellIs" dxfId="13" priority="10" operator="equal">
      <formula>"Muy Alta"</formula>
    </cfRule>
    <cfRule type="cellIs" dxfId="12" priority="11" operator="equal">
      <formula>"Alta"</formula>
    </cfRule>
    <cfRule type="cellIs" dxfId="11" priority="12" operator="equal">
      <formula>"Media"</formula>
    </cfRule>
    <cfRule type="cellIs" dxfId="10" priority="13" operator="equal">
      <formula>"Baja"</formula>
    </cfRule>
    <cfRule type="cellIs" dxfId="9" priority="14" operator="equal">
      <formula>"Muy Baja"</formula>
    </cfRule>
  </conditionalFormatting>
  <conditionalFormatting sqref="AD7:AD138">
    <cfRule type="cellIs" dxfId="8" priority="7" operator="equal">
      <formula>"Moderado"</formula>
    </cfRule>
    <cfRule type="cellIs" dxfId="7" priority="9" operator="equal">
      <formula>"Leve"</formula>
    </cfRule>
    <cfRule type="cellIs" dxfId="6" priority="8" operator="equal">
      <formula>"Menor"</formula>
    </cfRule>
    <cfRule type="cellIs" dxfId="5" priority="5" operator="equal">
      <formula>"Catastrófico"</formula>
    </cfRule>
    <cfRule type="cellIs" dxfId="4" priority="6" operator="equal">
      <formula>"Mayor"</formula>
    </cfRule>
  </conditionalFormatting>
  <conditionalFormatting sqref="AF7:AF138">
    <cfRule type="cellIs" dxfId="3" priority="2" operator="equal">
      <formula>"Alto"</formula>
    </cfRule>
    <cfRule type="cellIs" dxfId="2" priority="1" operator="equal">
      <formula>"Extremo"</formula>
    </cfRule>
    <cfRule type="cellIs" dxfId="1" priority="4" operator="equal">
      <formula>"Bajo"</formula>
    </cfRule>
    <cfRule type="cellIs" dxfId="0" priority="3" operator="equal">
      <formula>"Moderado"</formula>
    </cfRule>
  </conditionalFormatting>
  <dataValidations count="2">
    <dataValidation type="list" allowBlank="1" showInputMessage="1" showErrorMessage="1" sqref="U47:V51 Y47:Y51" xr:uid="{00000000-0002-0000-0200-000000000000}">
      <formula1>#REF!</formula1>
    </dataValidation>
    <dataValidation type="list" allowBlank="1" showInputMessage="1" showErrorMessage="1" sqref="X106:Z108 U106:V108 AG106:AG108" xr:uid="{00000000-0002-0000-0200-000001000000}">
      <formula1>#REF!</formula1>
    </dataValidation>
  </dataValidations>
  <pageMargins left="0.7" right="0.7" top="0.75" bottom="0.75" header="0.3" footer="0.3"/>
  <pageSetup orientation="portrait" r:id="rId1"/>
  <ignoredErrors>
    <ignoredError sqref="AA70" formula="1"/>
  </ignoredErrors>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2000000}">
          <x14:formula1>
            <xm:f>'Opciones Tratamiento'!$B$13:$B$19</xm:f>
          </x14:formula1>
          <xm:sqref>I7 I10 I16 I109 I19 I22 I28 I31 I34 I40 I44 I52 I55 I58 I61 I64 I112 I67 I47 I70 I76 I82 I85 I88 I91 I97 I100 I103 I118:I119 I130 I115 I121 I124 I127 I133 I136 I94 I73 I13 I25 I37 I79 I106</xm:sqref>
        </x14:dataValidation>
        <x14:dataValidation type="list" allowBlank="1" showInputMessage="1" showErrorMessage="1" xr:uid="{00000000-0002-0000-0200-000003000000}">
          <x14:formula1>
            <xm:f>'Opciones Tratamiento'!$E$2:$E$4</xm:f>
          </x14:formula1>
          <xm:sqref>E7 E10 E16 E109 E19 E22 E28 E31 E34 E40 E44 E52 E55 E58 E61 E64 E112 E67 E47 E73 E37 E82 E85 E88 E91 E97 E100 E103 E118:E119 E130 E115 E121 E124 E127 E133 E136 E94 E70 E13 E25 E76 E79 E106</xm:sqref>
        </x14:dataValidation>
        <x14:dataValidation type="list" allowBlank="1" showInputMessage="1" showErrorMessage="1" xr:uid="{00000000-0002-0000-0200-000004000000}">
          <x14:formula1>
            <xm:f>'Tabla Impacto'!$F$210:$F$221</xm:f>
          </x14:formula1>
          <xm:sqref>M7 M10 M16 M19 M22 M28 M31 M34 M40 M44 M52 M55 M58 M61 M64 M136 M67 M47 M73 M76 M82 M133 M85 M88 M91 M94 M97 M100 M103 M118:M119 M130 M109 M112 M115 M121 M124 M127 M70 M13 M25 M37 M79 M106</xm:sqref>
        </x14:dataValidation>
        <x14:dataValidation type="list" allowBlank="1" showInputMessage="1" showErrorMessage="1" xr:uid="{00000000-0002-0000-0200-000005000000}">
          <x14:formula1>
            <xm:f>'Tabla Valoración controles'!$D$4:$D$6</xm:f>
          </x14:formula1>
          <xm:sqref>U121:U138 U44:U46 U94:U105 U109:U119 U7:U39 U52:U91</xm:sqref>
        </x14:dataValidation>
        <x14:dataValidation type="list" allowBlank="1" showInputMessage="1" showErrorMessage="1" xr:uid="{00000000-0002-0000-0200-000006000000}">
          <x14:formula1>
            <xm:f>'Tabla Valoración controles'!$D$7:$D$8</xm:f>
          </x14:formula1>
          <xm:sqref>V7:V46 V121:V138 V94:V105 V109:V119 V52:V91</xm:sqref>
        </x14:dataValidation>
        <x14:dataValidation type="list" allowBlank="1" showInputMessage="1" showErrorMessage="1" xr:uid="{00000000-0002-0000-0200-000007000000}">
          <x14:formula1>
            <xm:f>'Tabla Valoración controles'!$D$9:$D$10</xm:f>
          </x14:formula1>
          <xm:sqref>X121:X138 X94:X105 X109:X119 X7:X91</xm:sqref>
        </x14:dataValidation>
        <x14:dataValidation type="list" allowBlank="1" showInputMessage="1" showErrorMessage="1" xr:uid="{00000000-0002-0000-0200-000008000000}">
          <x14:formula1>
            <xm:f>'Tabla Valoración controles'!$D$11:$D$12</xm:f>
          </x14:formula1>
          <xm:sqref>Y7:Y46 Y121:Y138 Y94:Y105 Y109:Y119 Y52:Y91</xm:sqref>
        </x14:dataValidation>
        <x14:dataValidation type="list" allowBlank="1" showInputMessage="1" showErrorMessage="1" xr:uid="{00000000-0002-0000-0200-000009000000}">
          <x14:formula1>
            <xm:f>'Tabla Valoración controles'!$D$13:$D$14</xm:f>
          </x14:formula1>
          <xm:sqref>Z121:Z138 Z94:Z105 Z109:Z119 Z7:Z91</xm:sqref>
        </x14:dataValidation>
        <x14:dataValidation type="list" allowBlank="1" showInputMessage="1" showErrorMessage="1" xr:uid="{00000000-0002-0000-0200-00000A000000}">
          <x14:formula1>
            <xm:f>'Opciones Tratamiento'!$B$2:$B$5</xm:f>
          </x14:formula1>
          <xm:sqref>AG7:AG105 AG121:AG138 AG109:AG119</xm:sqref>
        </x14:dataValidation>
        <x14:dataValidation type="list" allowBlank="1" showInputMessage="1" showErrorMessage="1" xr:uid="{00000000-0002-0000-0200-00000B000000}">
          <x14:formula1>
            <xm:f>'D:\Users\lujo6\Downloads\[Mapa_riesgos_Ejec_Proy_2024_Propuesta_SGEP.xlsx]Tabla Valoración controles'!#REF!</xm:f>
          </x14:formula1>
          <xm:sqref>U40:U43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O194"/>
  <sheetViews>
    <sheetView topLeftCell="B35" zoomScale="40" zoomScaleNormal="40" workbookViewId="0">
      <selection activeCell="E101" sqref="E101"/>
    </sheetView>
  </sheetViews>
  <sheetFormatPr baseColWidth="10" defaultRowHeight="15" x14ac:dyDescent="0.25"/>
  <cols>
    <col min="2" max="9" width="5.5703125" customWidth="1"/>
    <col min="10" max="59" width="8.5703125" customWidth="1"/>
    <col min="61" max="65" width="5.5703125" customWidth="1"/>
    <col min="66" max="66" width="20.5703125" customWidth="1"/>
  </cols>
  <sheetData>
    <row r="1" spans="1:119" x14ac:dyDescent="0.25">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row>
    <row r="2" spans="1:119" ht="18" customHeight="1" x14ac:dyDescent="0.25">
      <c r="A2" s="38"/>
      <c r="B2" s="526" t="s">
        <v>135</v>
      </c>
      <c r="C2" s="526"/>
      <c r="D2" s="526"/>
      <c r="E2" s="526"/>
      <c r="F2" s="526"/>
      <c r="G2" s="526"/>
      <c r="H2" s="526"/>
      <c r="I2" s="526"/>
      <c r="J2" s="287" t="s">
        <v>2</v>
      </c>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c r="AU2" s="287"/>
      <c r="AV2" s="287"/>
      <c r="AW2" s="287"/>
      <c r="AX2" s="287"/>
      <c r="AY2" s="287"/>
      <c r="AZ2" s="287"/>
      <c r="BA2" s="287"/>
      <c r="BB2" s="287"/>
      <c r="BC2" s="287"/>
      <c r="BD2" s="287"/>
      <c r="BE2" s="287"/>
      <c r="BF2" s="287"/>
      <c r="BG2" s="287"/>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row>
    <row r="3" spans="1:119" ht="18.75" customHeight="1" x14ac:dyDescent="0.25">
      <c r="A3" s="38"/>
      <c r="B3" s="526"/>
      <c r="C3" s="526"/>
      <c r="D3" s="526"/>
      <c r="E3" s="526"/>
      <c r="F3" s="526"/>
      <c r="G3" s="526"/>
      <c r="H3" s="526"/>
      <c r="I3" s="526"/>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c r="AO3" s="287"/>
      <c r="AP3" s="287"/>
      <c r="AQ3" s="287"/>
      <c r="AR3" s="287"/>
      <c r="AS3" s="287"/>
      <c r="AT3" s="287"/>
      <c r="AU3" s="287"/>
      <c r="AV3" s="287"/>
      <c r="AW3" s="287"/>
      <c r="AX3" s="287"/>
      <c r="AY3" s="287"/>
      <c r="AZ3" s="287"/>
      <c r="BA3" s="287"/>
      <c r="BB3" s="287"/>
      <c r="BC3" s="287"/>
      <c r="BD3" s="287"/>
      <c r="BE3" s="287"/>
      <c r="BF3" s="287"/>
      <c r="BG3" s="287"/>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row>
    <row r="4" spans="1:119" ht="15" customHeight="1" x14ac:dyDescent="0.25">
      <c r="A4" s="38"/>
      <c r="B4" s="526"/>
      <c r="C4" s="526"/>
      <c r="D4" s="526"/>
      <c r="E4" s="526"/>
      <c r="F4" s="526"/>
      <c r="G4" s="526"/>
      <c r="H4" s="526"/>
      <c r="I4" s="526"/>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row>
    <row r="5" spans="1:119" ht="15.75" thickBot="1" x14ac:dyDescent="0.3">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row>
    <row r="6" spans="1:119" ht="15" customHeight="1" x14ac:dyDescent="0.25">
      <c r="A6" s="38"/>
      <c r="B6" s="288" t="s">
        <v>4</v>
      </c>
      <c r="C6" s="289"/>
      <c r="D6" s="290"/>
      <c r="E6" s="509" t="s">
        <v>107</v>
      </c>
      <c r="F6" s="510"/>
      <c r="G6" s="510"/>
      <c r="H6" s="510"/>
      <c r="I6" s="510"/>
      <c r="J6" s="519" t="str">
        <f>IF(AND('Mapa final'!$K$7="Muy Alta",'Mapa final'!$O$7="Leve"),CONCATENATE("R",'Mapa final'!$A$7),"")</f>
        <v/>
      </c>
      <c r="K6" s="470"/>
      <c r="L6" s="470" t="str">
        <f>IF(AND('Mapa final'!$K$10="Muy Alta",'Mapa final'!$O$10="Leve"),CONCATENATE("R",'Mapa final'!$A$10),"")</f>
        <v/>
      </c>
      <c r="M6" s="470"/>
      <c r="N6" s="470" t="str">
        <f>IF(AND('Mapa final'!$K$13="Muy Alta",'Mapa final'!$O$13="Leve"),CONCATENATE("R",'Mapa final'!$A$13),"")</f>
        <v/>
      </c>
      <c r="O6" s="470"/>
      <c r="P6" s="470" t="str">
        <f>IF(AND('Mapa final'!$K$16="Muy Alta",'Mapa final'!$O$16="Leve"),CONCATENATE("R",'Mapa final'!$A$16),"")</f>
        <v/>
      </c>
      <c r="Q6" s="470"/>
      <c r="R6" s="470" t="str">
        <f>IF(AND('Mapa final'!$K$19="Muy Alta",'Mapa final'!$O$19="Leve"),CONCATENATE("R",'Mapa final'!$A$19),"")</f>
        <v/>
      </c>
      <c r="S6" s="520"/>
      <c r="T6" s="519" t="str">
        <f>IF(AND('Mapa final'!$K$7="Muy Alta",'Mapa final'!$O$7="Menor"),CONCATENATE("R",'Mapa final'!$A$7),"")</f>
        <v/>
      </c>
      <c r="U6" s="470"/>
      <c r="V6" s="470" t="str">
        <f>IF(AND('Mapa final'!$K$10="Muy Alta",'Mapa final'!$O$10="Menor"),CONCATENATE("R",'Mapa final'!$A$10),"")</f>
        <v/>
      </c>
      <c r="W6" s="470"/>
      <c r="X6" s="470" t="str">
        <f>IF(AND('Mapa final'!$K$13="Muy Alta",'Mapa final'!$O$13="Menor"),CONCATENATE("R",'Mapa final'!$A$13),"")</f>
        <v/>
      </c>
      <c r="Y6" s="470"/>
      <c r="Z6" s="470" t="str">
        <f>IF(AND('Mapa final'!$K$16="Muy Alta",'Mapa final'!$O$16="Menor"),CONCATENATE("R",'Mapa final'!$A$16),"")</f>
        <v/>
      </c>
      <c r="AA6" s="470"/>
      <c r="AB6" s="470" t="str">
        <f>IF(AND('Mapa final'!$K$19="Muy Alta",'Mapa final'!$O$19="Menor"),CONCATENATE("R",'Mapa final'!$A$19),"")</f>
        <v/>
      </c>
      <c r="AC6" s="520"/>
      <c r="AD6" s="519" t="str">
        <f>IF(AND('Mapa final'!$K$7="Muy Alta",'Mapa final'!$O$7="Moderado"),CONCATENATE("R",'Mapa final'!$A$7),"")</f>
        <v/>
      </c>
      <c r="AE6" s="470"/>
      <c r="AF6" s="470" t="str">
        <f>IF(AND('Mapa final'!$K$10="Muy Alta",'Mapa final'!$O$10="Moderado"),CONCATENATE("R",'Mapa final'!$A$10),"")</f>
        <v/>
      </c>
      <c r="AG6" s="470"/>
      <c r="AH6" s="470" t="str">
        <f>IF(AND('Mapa final'!$K$13="Muy Alta",'Mapa final'!$O$13="Moderado"),CONCATENATE("R",'Mapa final'!$A$13),"")</f>
        <v/>
      </c>
      <c r="AI6" s="470"/>
      <c r="AJ6" s="470" t="str">
        <f>IF(AND('Mapa final'!$K$16="Muy Alta",'Mapa final'!$O$16="Moderado"),CONCATENATE("R",'Mapa final'!$A$16),"")</f>
        <v/>
      </c>
      <c r="AK6" s="470"/>
      <c r="AL6" s="470" t="str">
        <f>IF(AND('Mapa final'!$K$19="Muy Alta",'Mapa final'!$O$19="Moderado"),CONCATENATE("R",'Mapa final'!$A$19),"")</f>
        <v/>
      </c>
      <c r="AM6" s="520"/>
      <c r="AN6" s="519" t="str">
        <f>IF(AND('Mapa final'!$K$7="Muy Alta",'Mapa final'!$O$7="Mayor"),CONCATENATE("R",'Mapa final'!$A$7),"")</f>
        <v/>
      </c>
      <c r="AO6" s="470"/>
      <c r="AP6" s="470" t="str">
        <f>IF(AND('Mapa final'!$K$10="Muy Alta",'Mapa final'!$O$10="Mayor"),CONCATENATE("R",'Mapa final'!$A$10),"")</f>
        <v/>
      </c>
      <c r="AQ6" s="470"/>
      <c r="AR6" s="470" t="str">
        <f>IF(AND('Mapa final'!$K$13="Muy Alta",'Mapa final'!$O$13="Mayor"),CONCATENATE("R",'Mapa final'!$A$13),"")</f>
        <v/>
      </c>
      <c r="AS6" s="470"/>
      <c r="AT6" s="470" t="str">
        <f>IF(AND('Mapa final'!$K$16="Muy Alta",'Mapa final'!$O$16="Mayor"),CONCATENATE("R",'Mapa final'!$A$16),"")</f>
        <v/>
      </c>
      <c r="AU6" s="470"/>
      <c r="AV6" s="470" t="str">
        <f>IF(AND('Mapa final'!$K$19="Muy Alta",'Mapa final'!$O$19="Mayor"),CONCATENATE("R",'Mapa final'!$A$19),"")</f>
        <v/>
      </c>
      <c r="AW6" s="520"/>
      <c r="AX6" s="467" t="str">
        <f>IF(AND('Mapa final'!$K$7="Muy Alta",'Mapa final'!$O$7="Catastrófico"),CONCATENATE("R",'Mapa final'!$A$7),"")</f>
        <v/>
      </c>
      <c r="AY6" s="456"/>
      <c r="AZ6" s="456" t="str">
        <f>IF(AND('Mapa final'!$K$10="Muy Alta",'Mapa final'!$O$10="Catastrófico"),CONCATENATE("R",'Mapa final'!$A$10),"")</f>
        <v/>
      </c>
      <c r="BA6" s="456"/>
      <c r="BB6" s="456" t="str">
        <f>IF(AND('Mapa final'!$K$13="Muy Alta",'Mapa final'!$O$13="Catastrófico"),CONCATENATE("R",'Mapa final'!$A$13),"")</f>
        <v/>
      </c>
      <c r="BC6" s="456"/>
      <c r="BD6" s="456" t="str">
        <f>IF(AND('Mapa final'!$K$16="Muy Alta",'Mapa final'!$O$16="Catastrófico"),CONCATENATE("R",'Mapa final'!$A$16),"")</f>
        <v/>
      </c>
      <c r="BE6" s="456"/>
      <c r="BF6" s="456" t="str">
        <f>IF(AND('Mapa final'!$K$19="Muy Alta",'Mapa final'!$O$19="Catastrófico"),CONCATENATE("R",'Mapa final'!$A$19),"")</f>
        <v/>
      </c>
      <c r="BG6" s="46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row>
    <row r="7" spans="1:119" ht="15" customHeight="1" x14ac:dyDescent="0.25">
      <c r="A7" s="38"/>
      <c r="B7" s="291"/>
      <c r="C7" s="292"/>
      <c r="D7" s="293"/>
      <c r="E7" s="511"/>
      <c r="F7" s="512"/>
      <c r="G7" s="512"/>
      <c r="H7" s="512"/>
      <c r="I7" s="512"/>
      <c r="J7" s="453"/>
      <c r="K7" s="454"/>
      <c r="L7" s="454"/>
      <c r="M7" s="454"/>
      <c r="N7" s="454"/>
      <c r="O7" s="454"/>
      <c r="P7" s="454"/>
      <c r="Q7" s="454"/>
      <c r="R7" s="454"/>
      <c r="S7" s="455"/>
      <c r="T7" s="453"/>
      <c r="U7" s="454"/>
      <c r="V7" s="454"/>
      <c r="W7" s="454"/>
      <c r="X7" s="454"/>
      <c r="Y7" s="454"/>
      <c r="Z7" s="454"/>
      <c r="AA7" s="454"/>
      <c r="AB7" s="454"/>
      <c r="AC7" s="455"/>
      <c r="AD7" s="453"/>
      <c r="AE7" s="454"/>
      <c r="AF7" s="454"/>
      <c r="AG7" s="454"/>
      <c r="AH7" s="454"/>
      <c r="AI7" s="454"/>
      <c r="AJ7" s="454"/>
      <c r="AK7" s="454"/>
      <c r="AL7" s="454"/>
      <c r="AM7" s="455"/>
      <c r="AN7" s="453"/>
      <c r="AO7" s="454"/>
      <c r="AP7" s="454"/>
      <c r="AQ7" s="454"/>
      <c r="AR7" s="454"/>
      <c r="AS7" s="454"/>
      <c r="AT7" s="454"/>
      <c r="AU7" s="454"/>
      <c r="AV7" s="454"/>
      <c r="AW7" s="455"/>
      <c r="AX7" s="437"/>
      <c r="AY7" s="435"/>
      <c r="AZ7" s="435"/>
      <c r="BA7" s="435"/>
      <c r="BB7" s="435"/>
      <c r="BC7" s="435"/>
      <c r="BD7" s="435"/>
      <c r="BE7" s="435"/>
      <c r="BF7" s="435"/>
      <c r="BG7" s="436"/>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row>
    <row r="8" spans="1:119" ht="15" customHeight="1" x14ac:dyDescent="0.25">
      <c r="A8" s="38"/>
      <c r="B8" s="291"/>
      <c r="C8" s="292"/>
      <c r="D8" s="293"/>
      <c r="E8" s="511"/>
      <c r="F8" s="512"/>
      <c r="G8" s="512"/>
      <c r="H8" s="512"/>
      <c r="I8" s="512"/>
      <c r="J8" s="453" t="str">
        <f>IF(AND('Mapa final'!$K$22="Muy Alta",'Mapa final'!$O$22="Leve"),CONCATENATE("R",'Mapa final'!$A$22),"")</f>
        <v/>
      </c>
      <c r="K8" s="454"/>
      <c r="L8" s="454" t="str">
        <f>IF(AND('Mapa final'!$K$25="Muy Alta",'Mapa final'!$O$25="Leve"),CONCATENATE("R",'Mapa final'!$A$25),"")</f>
        <v/>
      </c>
      <c r="M8" s="454"/>
      <c r="N8" s="454" t="str">
        <f>IF(AND('Mapa final'!$K$28="Muy Alta",'Mapa final'!$O$28="Leve"),CONCATENATE("R",'Mapa final'!$A$28),"")</f>
        <v/>
      </c>
      <c r="O8" s="454"/>
      <c r="P8" s="454" t="str">
        <f>IF(AND('Mapa final'!$K$31="Muy Alta",'Mapa final'!$O$31="Leve"),CONCATENATE("R",'Mapa final'!$A$31),"")</f>
        <v/>
      </c>
      <c r="Q8" s="454"/>
      <c r="R8" s="454" t="str">
        <f>IF(AND('Mapa final'!$K$34="Muy Alta",'Mapa final'!$O$34="Leve"),CONCATENATE("R",'Mapa final'!$A$34),"")</f>
        <v/>
      </c>
      <c r="S8" s="455"/>
      <c r="T8" s="453" t="str">
        <f>IF(AND('Mapa final'!$K$22="Muy Alta",'Mapa final'!$O$22="Menor"),CONCATENATE("R",'Mapa final'!$A$22),"")</f>
        <v/>
      </c>
      <c r="U8" s="454"/>
      <c r="V8" s="454" t="str">
        <f>IF(AND('Mapa final'!$K$25="Muy Alta",'Mapa final'!$O$25="Menor"),CONCATENATE("R",'Mapa final'!$A$25),"")</f>
        <v/>
      </c>
      <c r="W8" s="454"/>
      <c r="X8" s="454" t="str">
        <f>IF(AND('Mapa final'!$K$28="Muy Alta",'Mapa final'!$O$28="Menor"),CONCATENATE("R",'Mapa final'!$A$28),"")</f>
        <v/>
      </c>
      <c r="Y8" s="454"/>
      <c r="Z8" s="454" t="str">
        <f>IF(AND('Mapa final'!$K$31="Muy Alta",'Mapa final'!$O$31="Menor"),CONCATENATE("R",'Mapa final'!$A$31),"")</f>
        <v/>
      </c>
      <c r="AA8" s="454"/>
      <c r="AB8" s="454" t="str">
        <f>IF(AND('Mapa final'!$K$34="Muy Alta",'Mapa final'!$O$34="Menor"),CONCATENATE("R",'Mapa final'!$A$34),"")</f>
        <v/>
      </c>
      <c r="AC8" s="455"/>
      <c r="AD8" s="453" t="str">
        <f>IF(AND('Mapa final'!$K$22="Muy Alta",'Mapa final'!$O$22="Moderado"),CONCATENATE("R",'Mapa final'!$A$22),"")</f>
        <v/>
      </c>
      <c r="AE8" s="454"/>
      <c r="AF8" s="454" t="str">
        <f>IF(AND('Mapa final'!$K$25="Muy Alta",'Mapa final'!$O$25="Moderado"),CONCATENATE("R",'Mapa final'!$A$25),"")</f>
        <v/>
      </c>
      <c r="AG8" s="454"/>
      <c r="AH8" s="454" t="str">
        <f>IF(AND('Mapa final'!$K$28="Muy Alta",'Mapa final'!$O$28="Moderado"),CONCATENATE("R",'Mapa final'!$A$28),"")</f>
        <v/>
      </c>
      <c r="AI8" s="454"/>
      <c r="AJ8" s="454" t="str">
        <f>IF(AND('Mapa final'!$K$31="Muy Alta",'Mapa final'!$O$31="Moderado"),CONCATENATE("R",'Mapa final'!$A$31),"")</f>
        <v/>
      </c>
      <c r="AK8" s="454"/>
      <c r="AL8" s="454" t="str">
        <f>IF(AND('Mapa final'!$K$34="Muy Alta",'Mapa final'!$O$34="Moderado"),CONCATENATE("R",'Mapa final'!$A$34),"")</f>
        <v/>
      </c>
      <c r="AM8" s="455"/>
      <c r="AN8" s="453" t="str">
        <f>IF(AND('Mapa final'!$K$22="Muy Alta",'Mapa final'!$O$22="Mayor"),CONCATENATE("R",'Mapa final'!$A$22),"")</f>
        <v/>
      </c>
      <c r="AO8" s="454"/>
      <c r="AP8" s="454" t="str">
        <f>IF(AND('Mapa final'!$K$25="Muy Alta",'Mapa final'!$O$25="Mayor"),CONCATENATE("R",'Mapa final'!$A$25),"")</f>
        <v/>
      </c>
      <c r="AQ8" s="454"/>
      <c r="AR8" s="454" t="str">
        <f>IF(AND('Mapa final'!$K$28="Muy Alta",'Mapa final'!$O$28="Mayor"),CONCATENATE("R",'Mapa final'!$A$28),"")</f>
        <v/>
      </c>
      <c r="AS8" s="454"/>
      <c r="AT8" s="454" t="str">
        <f>IF(AND('Mapa final'!$K$31="Muy Alta",'Mapa final'!$O$31="Mayor"),CONCATENATE("R",'Mapa final'!$A$31),"")</f>
        <v/>
      </c>
      <c r="AU8" s="454"/>
      <c r="AV8" s="454" t="str">
        <f>IF(AND('Mapa final'!$K$34="Muy Alta",'Mapa final'!$O$34="Mayor"),CONCATENATE("R",'Mapa final'!$A$34),"")</f>
        <v/>
      </c>
      <c r="AW8" s="455"/>
      <c r="AX8" s="437" t="str">
        <f>IF(AND('Mapa final'!$K$22="Muy Alta",'Mapa final'!$O$22="Catastrófico"),CONCATENATE("R",'Mapa final'!$A$22),"")</f>
        <v/>
      </c>
      <c r="AY8" s="435"/>
      <c r="AZ8" s="435" t="str">
        <f>IF(AND('Mapa final'!$K$25="Muy Alta",'Mapa final'!$O$25="Catastrófico"),CONCATENATE("R",'Mapa final'!$A$25),"")</f>
        <v/>
      </c>
      <c r="BA8" s="435"/>
      <c r="BB8" s="435" t="str">
        <f>IF(AND('Mapa final'!$K$28="Muy Alta",'Mapa final'!$O$28="Catastrófico"),CONCATENATE("R",'Mapa final'!$A$28),"")</f>
        <v/>
      </c>
      <c r="BC8" s="435"/>
      <c r="BD8" s="435" t="str">
        <f>IF(AND('Mapa final'!$K$31="Muy Alta",'Mapa final'!$O$31="Catastrófico"),CONCATENATE("R",'Mapa final'!$A$31),"")</f>
        <v/>
      </c>
      <c r="BE8" s="435"/>
      <c r="BF8" s="435" t="str">
        <f>IF(AND('Mapa final'!$K$34="Muy Alta",'Mapa final'!$O$34="Catastrófico"),CONCATENATE("R",'Mapa final'!$A$34),"")</f>
        <v/>
      </c>
      <c r="BG8" s="436"/>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row>
    <row r="9" spans="1:119" ht="15" customHeight="1" x14ac:dyDescent="0.25">
      <c r="A9" s="38"/>
      <c r="B9" s="291"/>
      <c r="C9" s="292"/>
      <c r="D9" s="293"/>
      <c r="E9" s="511"/>
      <c r="F9" s="512"/>
      <c r="G9" s="512"/>
      <c r="H9" s="512"/>
      <c r="I9" s="512"/>
      <c r="J9" s="453"/>
      <c r="K9" s="454"/>
      <c r="L9" s="454"/>
      <c r="M9" s="454"/>
      <c r="N9" s="454"/>
      <c r="O9" s="454"/>
      <c r="P9" s="454"/>
      <c r="Q9" s="454"/>
      <c r="R9" s="454"/>
      <c r="S9" s="455"/>
      <c r="T9" s="453"/>
      <c r="U9" s="454"/>
      <c r="V9" s="454"/>
      <c r="W9" s="454"/>
      <c r="X9" s="454"/>
      <c r="Y9" s="454"/>
      <c r="Z9" s="454"/>
      <c r="AA9" s="454"/>
      <c r="AB9" s="454"/>
      <c r="AC9" s="455"/>
      <c r="AD9" s="453"/>
      <c r="AE9" s="454"/>
      <c r="AF9" s="454"/>
      <c r="AG9" s="454"/>
      <c r="AH9" s="454"/>
      <c r="AI9" s="454"/>
      <c r="AJ9" s="454"/>
      <c r="AK9" s="454"/>
      <c r="AL9" s="454"/>
      <c r="AM9" s="455"/>
      <c r="AN9" s="453"/>
      <c r="AO9" s="454"/>
      <c r="AP9" s="454"/>
      <c r="AQ9" s="454"/>
      <c r="AR9" s="454"/>
      <c r="AS9" s="454"/>
      <c r="AT9" s="454"/>
      <c r="AU9" s="454"/>
      <c r="AV9" s="454"/>
      <c r="AW9" s="455"/>
      <c r="AX9" s="437"/>
      <c r="AY9" s="435"/>
      <c r="AZ9" s="435"/>
      <c r="BA9" s="435"/>
      <c r="BB9" s="435"/>
      <c r="BC9" s="435"/>
      <c r="BD9" s="435"/>
      <c r="BE9" s="435"/>
      <c r="BF9" s="435"/>
      <c r="BG9" s="436"/>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row>
    <row r="10" spans="1:119" ht="15" customHeight="1" x14ac:dyDescent="0.25">
      <c r="A10" s="38"/>
      <c r="B10" s="291"/>
      <c r="C10" s="292"/>
      <c r="D10" s="293"/>
      <c r="E10" s="511"/>
      <c r="F10" s="512"/>
      <c r="G10" s="512"/>
      <c r="H10" s="512"/>
      <c r="I10" s="512"/>
      <c r="J10" s="453" t="str">
        <f>IF(AND('Mapa final'!$K$37="Muy Alta",'Mapa final'!$O$37="Leve"),CONCATENATE("R",'Mapa final'!$A$37),"")</f>
        <v/>
      </c>
      <c r="K10" s="454"/>
      <c r="L10" s="454" t="str">
        <f>IF(AND('Mapa final'!$K$40="Muy Alta",'Mapa final'!$O$40="Leve"),CONCATENATE("R",'Mapa final'!$A$40),"")</f>
        <v/>
      </c>
      <c r="M10" s="454"/>
      <c r="N10" s="454" t="str">
        <f>IF(AND('Mapa final'!$K$44="Muy Alta",'Mapa final'!$O$44="Leve"),CONCATENATE("R",'Mapa final'!$A$44),"")</f>
        <v/>
      </c>
      <c r="O10" s="454"/>
      <c r="P10" s="454" t="str">
        <f>IF(AND('Mapa final'!$K$47="Muy Alta",'Mapa final'!$O$47="Leve"),CONCATENATE("R",'Mapa final'!$A$47),"")</f>
        <v/>
      </c>
      <c r="Q10" s="454"/>
      <c r="R10" s="454" t="str">
        <f>IF(AND('Mapa final'!$K$52="Muy Alta",'Mapa final'!$O$52="Leve"),CONCATENATE("R",'Mapa final'!$A$52),"")</f>
        <v/>
      </c>
      <c r="S10" s="455"/>
      <c r="T10" s="453" t="str">
        <f>IF(AND('Mapa final'!$K$37="Muy Alta",'Mapa final'!$O$37="Menor"),CONCATENATE("R",'Mapa final'!$A$37),"")</f>
        <v/>
      </c>
      <c r="U10" s="454"/>
      <c r="V10" s="454" t="str">
        <f>IF(AND('Mapa final'!$K$40="Muy Alta",'Mapa final'!$O$40="Menor"),CONCATENATE("R",'Mapa final'!$A$40),"")</f>
        <v/>
      </c>
      <c r="W10" s="454"/>
      <c r="X10" s="454" t="str">
        <f>IF(AND('Mapa final'!$K$44="Muy Alta",'Mapa final'!$O$44="Menor"),CONCATENATE("R",'Mapa final'!$A$44),"")</f>
        <v/>
      </c>
      <c r="Y10" s="454"/>
      <c r="Z10" s="454" t="str">
        <f>IF(AND('Mapa final'!$K$47="Muy Alta",'Mapa final'!$O$47="Menor"),CONCATENATE("R",'Mapa final'!$A$47),"")</f>
        <v/>
      </c>
      <c r="AA10" s="454"/>
      <c r="AB10" s="454" t="str">
        <f>IF(AND('Mapa final'!$K$52="Muy Alta",'Mapa final'!$O$52="Menor"),CONCATENATE("R",'Mapa final'!$A$52),"")</f>
        <v/>
      </c>
      <c r="AC10" s="455"/>
      <c r="AD10" s="453" t="str">
        <f>IF(AND('Mapa final'!$K$37="Muy Alta",'Mapa final'!$O$37="Moderado"),CONCATENATE("R",'Mapa final'!$A$37),"")</f>
        <v/>
      </c>
      <c r="AE10" s="454"/>
      <c r="AF10" s="454" t="str">
        <f>IF(AND('Mapa final'!$K$40="Muy Alta",'Mapa final'!$O$40="Moderado"),CONCATENATE("R",'Mapa final'!$A$40),"")</f>
        <v/>
      </c>
      <c r="AG10" s="454"/>
      <c r="AH10" s="454" t="str">
        <f>IF(AND('Mapa final'!$K$44="Muy Alta",'Mapa final'!$O$44="Moderado"),CONCATENATE("R",'Mapa final'!$A$44),"")</f>
        <v/>
      </c>
      <c r="AI10" s="454"/>
      <c r="AJ10" s="454" t="str">
        <f>IF(AND('Mapa final'!$K$47="Muy Alta",'Mapa final'!$O$47="Moderado"),CONCATENATE("R",'Mapa final'!$A$47),"")</f>
        <v/>
      </c>
      <c r="AK10" s="454"/>
      <c r="AL10" s="454" t="str">
        <f>IF(AND('Mapa final'!$K$52="Muy Alta",'Mapa final'!$O$52="Moderado"),CONCATENATE("R",'Mapa final'!$A$52),"")</f>
        <v/>
      </c>
      <c r="AM10" s="455"/>
      <c r="AN10" s="453" t="str">
        <f>IF(AND('Mapa final'!$K$37="Muy Alta",'Mapa final'!$O$37="Mayor"),CONCATENATE("R",'Mapa final'!$A$37),"")</f>
        <v/>
      </c>
      <c r="AO10" s="454"/>
      <c r="AP10" s="454" t="str">
        <f>IF(AND('Mapa final'!$K$40="Muy Alta",'Mapa final'!$O$40="Mayor"),CONCATENATE("R",'Mapa final'!$A$40),"")</f>
        <v/>
      </c>
      <c r="AQ10" s="454"/>
      <c r="AR10" s="454" t="str">
        <f>IF(AND('Mapa final'!$K$44="Muy Alta",'Mapa final'!$O$44="Mayor"),CONCATENATE("R",'Mapa final'!$A$44),"")</f>
        <v/>
      </c>
      <c r="AS10" s="454"/>
      <c r="AT10" s="454" t="str">
        <f>IF(AND('Mapa final'!$K$47="Muy Alta",'Mapa final'!$O$47="Mayor"),CONCATENATE("R",'Mapa final'!$A$47),"")</f>
        <v/>
      </c>
      <c r="AU10" s="454"/>
      <c r="AV10" s="454" t="str">
        <f>IF(AND('Mapa final'!$K$52="Muy Alta",'Mapa final'!$O$52="Mayor"),CONCATENATE("R",'Mapa final'!$A$52),"")</f>
        <v/>
      </c>
      <c r="AW10" s="455"/>
      <c r="AX10" s="437" t="str">
        <f>IF(AND('Mapa final'!$K$37="Muy Alta",'Mapa final'!$O$37="Catastrófico"),CONCATENATE("R",'Mapa final'!$A$37),"")</f>
        <v/>
      </c>
      <c r="AY10" s="435"/>
      <c r="AZ10" s="435" t="str">
        <f>IF(AND('Mapa final'!$K$40="Muy Alta",'Mapa final'!$O$40="Catastrófico"),CONCATENATE("R",'Mapa final'!$A$40),"")</f>
        <v/>
      </c>
      <c r="BA10" s="435"/>
      <c r="BB10" s="435" t="str">
        <f>IF(AND('Mapa final'!$K$44="Muy Alta",'Mapa final'!$O$44="Catastrófico"),CONCATENATE("R",'Mapa final'!$A$44),"")</f>
        <v/>
      </c>
      <c r="BC10" s="435"/>
      <c r="BD10" s="435" t="str">
        <f>IF(AND('Mapa final'!$K$47="Muy Alta",'Mapa final'!$O$47="Catastrófico"),CONCATENATE("R",'Mapa final'!$A$47),"")</f>
        <v/>
      </c>
      <c r="BE10" s="435"/>
      <c r="BF10" s="435" t="str">
        <f>IF(AND('Mapa final'!$K$52="Muy Alta",'Mapa final'!$O$52="Catastrófico"),CONCATENATE("R",'Mapa final'!$A$52),"")</f>
        <v/>
      </c>
      <c r="BG10" s="436"/>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row>
    <row r="11" spans="1:119" ht="15" customHeight="1" x14ac:dyDescent="0.25">
      <c r="A11" s="38"/>
      <c r="B11" s="291"/>
      <c r="C11" s="292"/>
      <c r="D11" s="293"/>
      <c r="E11" s="511"/>
      <c r="F11" s="512"/>
      <c r="G11" s="512"/>
      <c r="H11" s="512"/>
      <c r="I11" s="512"/>
      <c r="J11" s="453"/>
      <c r="K11" s="454"/>
      <c r="L11" s="454"/>
      <c r="M11" s="454"/>
      <c r="N11" s="454"/>
      <c r="O11" s="454"/>
      <c r="P11" s="454"/>
      <c r="Q11" s="454"/>
      <c r="R11" s="454"/>
      <c r="S11" s="455"/>
      <c r="T11" s="453"/>
      <c r="U11" s="454"/>
      <c r="V11" s="454"/>
      <c r="W11" s="454"/>
      <c r="X11" s="454"/>
      <c r="Y11" s="454"/>
      <c r="Z11" s="454"/>
      <c r="AA11" s="454"/>
      <c r="AB11" s="454"/>
      <c r="AC11" s="455"/>
      <c r="AD11" s="453"/>
      <c r="AE11" s="454"/>
      <c r="AF11" s="454"/>
      <c r="AG11" s="454"/>
      <c r="AH11" s="454"/>
      <c r="AI11" s="454"/>
      <c r="AJ11" s="454"/>
      <c r="AK11" s="454"/>
      <c r="AL11" s="454"/>
      <c r="AM11" s="455"/>
      <c r="AN11" s="453"/>
      <c r="AO11" s="454"/>
      <c r="AP11" s="454"/>
      <c r="AQ11" s="454"/>
      <c r="AR11" s="454"/>
      <c r="AS11" s="454"/>
      <c r="AT11" s="454"/>
      <c r="AU11" s="454"/>
      <c r="AV11" s="454"/>
      <c r="AW11" s="455"/>
      <c r="AX11" s="437"/>
      <c r="AY11" s="435"/>
      <c r="AZ11" s="435"/>
      <c r="BA11" s="435"/>
      <c r="BB11" s="435"/>
      <c r="BC11" s="435"/>
      <c r="BD11" s="435"/>
      <c r="BE11" s="435"/>
      <c r="BF11" s="435"/>
      <c r="BG11" s="436"/>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row>
    <row r="12" spans="1:119" ht="15" customHeight="1" x14ac:dyDescent="0.25">
      <c r="A12" s="38"/>
      <c r="B12" s="291"/>
      <c r="C12" s="292"/>
      <c r="D12" s="293"/>
      <c r="E12" s="511"/>
      <c r="F12" s="512"/>
      <c r="G12" s="512"/>
      <c r="H12" s="512"/>
      <c r="I12" s="512"/>
      <c r="J12" s="453" t="str">
        <f>IF(AND('Mapa final'!$K$55="Muy Alta",'Mapa final'!$O$55="Leve"),CONCATENATE("R",'Mapa final'!$A$55),"")</f>
        <v/>
      </c>
      <c r="K12" s="454"/>
      <c r="L12" s="454" t="str">
        <f>IF(AND('Mapa final'!$K$58="Muy Alta",'Mapa final'!$O$58="Leve"),CONCATENATE("R",'Mapa final'!$A$58),"")</f>
        <v/>
      </c>
      <c r="M12" s="454"/>
      <c r="N12" s="454" t="str">
        <f>IF(AND('Mapa final'!$K$61="Muy Alta",'Mapa final'!$O$61="Leve"),CONCATENATE("R",'Mapa final'!$A$61),"")</f>
        <v/>
      </c>
      <c r="O12" s="454"/>
      <c r="P12" s="454" t="str">
        <f>IF(AND('Mapa final'!$K$64="Muy Alta",'Mapa final'!$O$64="Leve"),CONCATENATE("R",'Mapa final'!$A$64),"")</f>
        <v/>
      </c>
      <c r="Q12" s="454"/>
      <c r="R12" s="454" t="str">
        <f>IF(AND('Mapa final'!$K$67="Muy Alta",'Mapa final'!$O$67="Leve"),CONCATENATE("R",'Mapa final'!$A$67),"")</f>
        <v/>
      </c>
      <c r="S12" s="455"/>
      <c r="T12" s="453" t="str">
        <f>IF(AND('Mapa final'!$K$55="Muy Alta",'Mapa final'!$O$55="Menor"),CONCATENATE("R",'Mapa final'!$A$55),"")</f>
        <v/>
      </c>
      <c r="U12" s="454"/>
      <c r="V12" s="454" t="str">
        <f>IF(AND('Mapa final'!$K$58="Muy Alta",'Mapa final'!$O$58="Menor"),CONCATENATE("R",'Mapa final'!$A$58),"")</f>
        <v/>
      </c>
      <c r="W12" s="454"/>
      <c r="X12" s="454" t="str">
        <f>IF(AND('Mapa final'!$K$61="Muy Alta",'Mapa final'!$O$61="Menor"),CONCATENATE("R",'Mapa final'!$A$61),"")</f>
        <v/>
      </c>
      <c r="Y12" s="454"/>
      <c r="Z12" s="454" t="str">
        <f>IF(AND('Mapa final'!$K$64="Muy Alta",'Mapa final'!$O$64="Menor"),CONCATENATE("R",'Mapa final'!$A$64),"")</f>
        <v/>
      </c>
      <c r="AA12" s="454"/>
      <c r="AB12" s="454" t="str">
        <f>IF(AND('Mapa final'!$K$67="Muy Alta",'Mapa final'!$O$67="Menor"),CONCATENATE("R",'Mapa final'!$A$67),"")</f>
        <v/>
      </c>
      <c r="AC12" s="455"/>
      <c r="AD12" s="453" t="str">
        <f>IF(AND('Mapa final'!$K$55="Muy Alta",'Mapa final'!$O$55="Moderado"),CONCATENATE("R",'Mapa final'!$A$55),"")</f>
        <v/>
      </c>
      <c r="AE12" s="454"/>
      <c r="AF12" s="454" t="str">
        <f>IF(AND('Mapa final'!$K$58="Muy Alta",'Mapa final'!$O$58="Moderado"),CONCATENATE("R",'Mapa final'!$A$58),"")</f>
        <v/>
      </c>
      <c r="AG12" s="454"/>
      <c r="AH12" s="454" t="str">
        <f>IF(AND('Mapa final'!$K$61="Muy Alta",'Mapa final'!$O$61="Moderado"),CONCATENATE("R",'Mapa final'!$A$61),"")</f>
        <v/>
      </c>
      <c r="AI12" s="454"/>
      <c r="AJ12" s="454" t="str">
        <f>IF(AND('Mapa final'!$K$64="Muy Alta",'Mapa final'!$O$64="Moderado"),CONCATENATE("R",'Mapa final'!$A$64),"")</f>
        <v/>
      </c>
      <c r="AK12" s="454"/>
      <c r="AL12" s="454" t="str">
        <f>IF(AND('Mapa final'!$K$67="Muy Alta",'Mapa final'!$O$67="Moderado"),CONCATENATE("R",'Mapa final'!$A$67),"")</f>
        <v/>
      </c>
      <c r="AM12" s="455"/>
      <c r="AN12" s="453" t="str">
        <f>IF(AND('Mapa final'!$K$55="Muy Alta",'Mapa final'!$O$55="Mayor"),CONCATENATE("R",'Mapa final'!$A$55),"")</f>
        <v/>
      </c>
      <c r="AO12" s="454"/>
      <c r="AP12" s="454" t="str">
        <f>IF(AND('Mapa final'!$K$58="Muy Alta",'Mapa final'!$O$58="Mayor"),CONCATENATE("R",'Mapa final'!$A$58),"")</f>
        <v/>
      </c>
      <c r="AQ12" s="454"/>
      <c r="AR12" s="454" t="str">
        <f>IF(AND('Mapa final'!$K$61="Muy Alta",'Mapa final'!$O$61="Mayor"),CONCATENATE("R",'Mapa final'!$A$61),"")</f>
        <v/>
      </c>
      <c r="AS12" s="454"/>
      <c r="AT12" s="454" t="str">
        <f>IF(AND('Mapa final'!$K$64="Muy Alta",'Mapa final'!$O$64="Mayor"),CONCATENATE("R",'Mapa final'!$A$64),"")</f>
        <v/>
      </c>
      <c r="AU12" s="454"/>
      <c r="AV12" s="454" t="str">
        <f>IF(AND('Mapa final'!$K$67="Muy Alta",'Mapa final'!$O$67="Mayor"),CONCATENATE("R",'Mapa final'!$A$67),"")</f>
        <v/>
      </c>
      <c r="AW12" s="455"/>
      <c r="AX12" s="437" t="str">
        <f>IF(AND('Mapa final'!$K$55="Muy Alta",'Mapa final'!$O$55="Catastrófico"),CONCATENATE("R",'Mapa final'!$A$55),"")</f>
        <v/>
      </c>
      <c r="AY12" s="435"/>
      <c r="AZ12" s="435" t="str">
        <f>IF(AND('Mapa final'!$K$58="Muy Alta",'Mapa final'!$O$58="Catastrófico"),CONCATENATE("R",'Mapa final'!$A$58),"")</f>
        <v/>
      </c>
      <c r="BA12" s="435"/>
      <c r="BB12" s="435" t="str">
        <f>IF(AND('Mapa final'!$K$61="Muy Alta",'Mapa final'!$O$61="Catastrófico"),CONCATENATE("R",'Mapa final'!$A$61),"")</f>
        <v/>
      </c>
      <c r="BC12" s="435"/>
      <c r="BD12" s="435" t="str">
        <f>IF(AND('Mapa final'!$K$64="Muy Alta",'Mapa final'!$O$64="Catastrófico"),CONCATENATE("R",'Mapa final'!$A$64),"")</f>
        <v/>
      </c>
      <c r="BE12" s="435"/>
      <c r="BF12" s="435" t="str">
        <f>IF(AND('Mapa final'!$K$67="Muy Alta",'Mapa final'!$O$67="Catastrófico"),CONCATENATE("R",'Mapa final'!$A$67),"")</f>
        <v/>
      </c>
      <c r="BG12" s="436"/>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row>
    <row r="13" spans="1:119" ht="15" customHeight="1" thickBot="1" x14ac:dyDescent="0.3">
      <c r="A13" s="38"/>
      <c r="B13" s="291"/>
      <c r="C13" s="292"/>
      <c r="D13" s="293"/>
      <c r="E13" s="511"/>
      <c r="F13" s="512"/>
      <c r="G13" s="512"/>
      <c r="H13" s="512"/>
      <c r="I13" s="512"/>
      <c r="J13" s="453"/>
      <c r="K13" s="454"/>
      <c r="L13" s="454"/>
      <c r="M13" s="454"/>
      <c r="N13" s="454"/>
      <c r="O13" s="454"/>
      <c r="P13" s="454"/>
      <c r="Q13" s="454"/>
      <c r="R13" s="454"/>
      <c r="S13" s="455"/>
      <c r="T13" s="453"/>
      <c r="U13" s="454"/>
      <c r="V13" s="454"/>
      <c r="W13" s="454"/>
      <c r="X13" s="454"/>
      <c r="Y13" s="454"/>
      <c r="Z13" s="454"/>
      <c r="AA13" s="454"/>
      <c r="AB13" s="454"/>
      <c r="AC13" s="455"/>
      <c r="AD13" s="453"/>
      <c r="AE13" s="454"/>
      <c r="AF13" s="454"/>
      <c r="AG13" s="454"/>
      <c r="AH13" s="454"/>
      <c r="AI13" s="454"/>
      <c r="AJ13" s="454"/>
      <c r="AK13" s="454"/>
      <c r="AL13" s="454"/>
      <c r="AM13" s="455"/>
      <c r="AN13" s="453"/>
      <c r="AO13" s="454"/>
      <c r="AP13" s="454"/>
      <c r="AQ13" s="454"/>
      <c r="AR13" s="454"/>
      <c r="AS13" s="454"/>
      <c r="AT13" s="454"/>
      <c r="AU13" s="454"/>
      <c r="AV13" s="454"/>
      <c r="AW13" s="455"/>
      <c r="AX13" s="437"/>
      <c r="AY13" s="435"/>
      <c r="AZ13" s="435"/>
      <c r="BA13" s="435"/>
      <c r="BB13" s="435"/>
      <c r="BC13" s="435"/>
      <c r="BD13" s="435"/>
      <c r="BE13" s="435"/>
      <c r="BF13" s="435"/>
      <c r="BG13" s="436"/>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row>
    <row r="14" spans="1:119" ht="15" customHeight="1" x14ac:dyDescent="0.25">
      <c r="A14" s="38"/>
      <c r="B14" s="291"/>
      <c r="C14" s="292"/>
      <c r="D14" s="293"/>
      <c r="E14" s="511"/>
      <c r="F14" s="512"/>
      <c r="G14" s="512"/>
      <c r="H14" s="512"/>
      <c r="I14" s="512"/>
      <c r="J14" s="453" t="str">
        <f>IF(AND('Mapa final'!$K$70="Muy Alta",'Mapa final'!$O$70="Leve"),CONCATENATE("R",'Mapa final'!$A$70),"")</f>
        <v/>
      </c>
      <c r="K14" s="454"/>
      <c r="L14" s="454" t="str">
        <f>IF(AND('Mapa final'!$K$73="Muy Alta",'Mapa final'!$O$73="Leve"),CONCATENATE("R",'Mapa final'!$A$73),"")</f>
        <v/>
      </c>
      <c r="M14" s="454"/>
      <c r="N14" s="454" t="str">
        <f>IF(AND('Mapa final'!$K$76="Muy Alta",'Mapa final'!$O$76="Leve"),CONCATENATE("R",'Mapa final'!$A$76),"")</f>
        <v/>
      </c>
      <c r="O14" s="454"/>
      <c r="P14" s="454" t="str">
        <f>IF(AND('Mapa final'!$K$79="Muy Alta",'Mapa final'!$O$79="Leve"),CONCATENATE("R",'Mapa final'!$A$79),"")</f>
        <v/>
      </c>
      <c r="Q14" s="454"/>
      <c r="R14" s="454" t="str">
        <f>IF(AND('Mapa final'!$K$82="Muy Alta",'Mapa final'!$O$82="Leve"),CONCATENATE("R",'Mapa final'!$A$82),"")</f>
        <v/>
      </c>
      <c r="S14" s="455"/>
      <c r="T14" s="453" t="str">
        <f>IF(AND('Mapa final'!$K$70="Muy Alta",'Mapa final'!$O$70="Menor"),CONCATENATE("R",'Mapa final'!$A$70),"")</f>
        <v/>
      </c>
      <c r="U14" s="454"/>
      <c r="V14" s="454" t="str">
        <f>IF(AND('Mapa final'!$K$73="Muy Alta",'Mapa final'!$O$73="Menor"),CONCATENATE("R",'Mapa final'!$A$73),"")</f>
        <v/>
      </c>
      <c r="W14" s="454"/>
      <c r="X14" s="454" t="str">
        <f>IF(AND('Mapa final'!$K$76="Muy Alta",'Mapa final'!$O$76="Menor"),CONCATENATE("R",'Mapa final'!$A$76),"")</f>
        <v/>
      </c>
      <c r="Y14" s="454"/>
      <c r="Z14" s="454" t="str">
        <f>IF(AND('Mapa final'!$K$79="Muy Alta",'Mapa final'!$O$79="Menor"),CONCATENATE("R",'Mapa final'!$A$79),"")</f>
        <v/>
      </c>
      <c r="AA14" s="454"/>
      <c r="AB14" s="454" t="str">
        <f>IF(AND('Mapa final'!$K$82="Muy Alta",'Mapa final'!$O$82="Menor"),CONCATENATE("R",'Mapa final'!$A$82),"")</f>
        <v/>
      </c>
      <c r="AC14" s="455"/>
      <c r="AD14" s="453" t="str">
        <f>IF(AND('Mapa final'!$K$70="Muy Alta",'Mapa final'!$O$70="Moderado"),CONCATENATE("R",'Mapa final'!$A$70),"")</f>
        <v/>
      </c>
      <c r="AE14" s="454"/>
      <c r="AF14" s="454" t="str">
        <f>IF(AND('Mapa final'!$K$73="Muy Alta",'Mapa final'!$O$73="Moderado"),CONCATENATE("R",'Mapa final'!$A$73),"")</f>
        <v/>
      </c>
      <c r="AG14" s="454"/>
      <c r="AH14" s="454" t="str">
        <f>IF(AND('Mapa final'!$K$76="Muy Alta",'Mapa final'!$O$76="Moderado"),CONCATENATE("R",'Mapa final'!$A$76),"")</f>
        <v/>
      </c>
      <c r="AI14" s="454"/>
      <c r="AJ14" s="454" t="str">
        <f>IF(AND('Mapa final'!$K$79="Muy Alta",'Mapa final'!$O$79="Moderado"),CONCATENATE("R",'Mapa final'!$A$79),"")</f>
        <v/>
      </c>
      <c r="AK14" s="454"/>
      <c r="AL14" s="454" t="str">
        <f>IF(AND('Mapa final'!$K$82="Muy Alta",'Mapa final'!$O$82="Moderado"),CONCATENATE("R",'Mapa final'!$A$82),"")</f>
        <v/>
      </c>
      <c r="AM14" s="455"/>
      <c r="AN14" s="453" t="str">
        <f>IF(AND('Mapa final'!$K$70="Muy Alta",'Mapa final'!$O$70="Mayor"),CONCATENATE("R",'Mapa final'!$A$70),"")</f>
        <v/>
      </c>
      <c r="AO14" s="454"/>
      <c r="AP14" s="454" t="str">
        <f>IF(AND('Mapa final'!$K$73="Muy Alta",'Mapa final'!$O$73="Mayor"),CONCATENATE("R",'Mapa final'!$A$73),"")</f>
        <v/>
      </c>
      <c r="AQ14" s="454"/>
      <c r="AR14" s="454" t="str">
        <f>IF(AND('Mapa final'!$K$76="Muy Alta",'Mapa final'!$O$76="Mayor"),CONCATENATE("R",'Mapa final'!$A$76),"")</f>
        <v/>
      </c>
      <c r="AS14" s="454"/>
      <c r="AT14" s="454" t="str">
        <f>IF(AND('Mapa final'!$K$79="Muy Alta",'Mapa final'!$O$79="Mayor"),CONCATENATE("R",'Mapa final'!$A$79),"")</f>
        <v/>
      </c>
      <c r="AU14" s="454"/>
      <c r="AV14" s="454" t="str">
        <f>IF(AND('Mapa final'!$K$82="Muy Alta",'Mapa final'!$O$82="Mayor"),CONCATENATE("R",'Mapa final'!$A$82),"")</f>
        <v/>
      </c>
      <c r="AW14" s="455"/>
      <c r="AX14" s="437" t="str">
        <f>IF(AND('Mapa final'!$K$70="Muy Alta",'Mapa final'!$O$70="Catastrófico"),CONCATENATE("R",'Mapa final'!$A$70),"")</f>
        <v/>
      </c>
      <c r="AY14" s="435"/>
      <c r="AZ14" s="435" t="str">
        <f>IF(AND('Mapa final'!$K$73="Muy Alta",'Mapa final'!$O$73="Catastrófico"),CONCATENATE("R",'Mapa final'!$A$73),"")</f>
        <v/>
      </c>
      <c r="BA14" s="435"/>
      <c r="BB14" s="435" t="str">
        <f>IF(AND('Mapa final'!$K$76="Muy Alta",'Mapa final'!$O$76="Catastrófico"),CONCATENATE("R",'Mapa final'!$A$76),"")</f>
        <v/>
      </c>
      <c r="BC14" s="435"/>
      <c r="BD14" s="435" t="str">
        <f>IF(AND('Mapa final'!$K$79="Muy Alta",'Mapa final'!$O$79="Catastrófico"),CONCATENATE("R",'Mapa final'!$A$79),"")</f>
        <v/>
      </c>
      <c r="BE14" s="435"/>
      <c r="BF14" s="435" t="str">
        <f>IF(AND('Mapa final'!$K$82="Muy Alta",'Mapa final'!$O$82="Catastrófico"),CONCATENATE("R",'Mapa final'!$A$82),"")</f>
        <v/>
      </c>
      <c r="BG14" s="436"/>
      <c r="BH14" s="38"/>
      <c r="BI14" s="473" t="s">
        <v>73</v>
      </c>
      <c r="BJ14" s="474"/>
      <c r="BK14" s="474"/>
      <c r="BL14" s="474"/>
      <c r="BM14" s="474"/>
      <c r="BN14" s="475"/>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row>
    <row r="15" spans="1:119" ht="15" customHeight="1" x14ac:dyDescent="0.25">
      <c r="A15" s="38"/>
      <c r="B15" s="291"/>
      <c r="C15" s="292"/>
      <c r="D15" s="293"/>
      <c r="E15" s="511"/>
      <c r="F15" s="512"/>
      <c r="G15" s="512"/>
      <c r="H15" s="512"/>
      <c r="I15" s="512"/>
      <c r="J15" s="453"/>
      <c r="K15" s="454"/>
      <c r="L15" s="454"/>
      <c r="M15" s="454"/>
      <c r="N15" s="454"/>
      <c r="O15" s="454"/>
      <c r="P15" s="454"/>
      <c r="Q15" s="454"/>
      <c r="R15" s="454"/>
      <c r="S15" s="455"/>
      <c r="T15" s="453"/>
      <c r="U15" s="454"/>
      <c r="V15" s="454"/>
      <c r="W15" s="454"/>
      <c r="X15" s="454"/>
      <c r="Y15" s="454"/>
      <c r="Z15" s="454"/>
      <c r="AA15" s="454"/>
      <c r="AB15" s="454"/>
      <c r="AC15" s="455"/>
      <c r="AD15" s="453"/>
      <c r="AE15" s="454"/>
      <c r="AF15" s="454"/>
      <c r="AG15" s="454"/>
      <c r="AH15" s="454"/>
      <c r="AI15" s="454"/>
      <c r="AJ15" s="454"/>
      <c r="AK15" s="454"/>
      <c r="AL15" s="454"/>
      <c r="AM15" s="455"/>
      <c r="AN15" s="453"/>
      <c r="AO15" s="454"/>
      <c r="AP15" s="454"/>
      <c r="AQ15" s="454"/>
      <c r="AR15" s="454"/>
      <c r="AS15" s="454"/>
      <c r="AT15" s="454"/>
      <c r="AU15" s="454"/>
      <c r="AV15" s="454"/>
      <c r="AW15" s="455"/>
      <c r="AX15" s="437"/>
      <c r="AY15" s="435"/>
      <c r="AZ15" s="435"/>
      <c r="BA15" s="435"/>
      <c r="BB15" s="435"/>
      <c r="BC15" s="435"/>
      <c r="BD15" s="435"/>
      <c r="BE15" s="435"/>
      <c r="BF15" s="435"/>
      <c r="BG15" s="436"/>
      <c r="BH15" s="38"/>
      <c r="BI15" s="476"/>
      <c r="BJ15" s="477"/>
      <c r="BK15" s="477"/>
      <c r="BL15" s="477"/>
      <c r="BM15" s="477"/>
      <c r="BN15" s="47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row>
    <row r="16" spans="1:119" ht="15" customHeight="1" x14ac:dyDescent="0.25">
      <c r="A16" s="38"/>
      <c r="B16" s="291"/>
      <c r="C16" s="292"/>
      <c r="D16" s="293"/>
      <c r="E16" s="511"/>
      <c r="F16" s="512"/>
      <c r="G16" s="512"/>
      <c r="H16" s="512"/>
      <c r="I16" s="512"/>
      <c r="J16" s="453" t="str">
        <f>IF(AND('Mapa final'!$K$85="Muy Alta",'Mapa final'!$O$85="Leve"),CONCATENATE("R",'Mapa final'!$A$85),"")</f>
        <v/>
      </c>
      <c r="K16" s="454"/>
      <c r="L16" s="454" t="str">
        <f>IF(AND('Mapa final'!$K$88="Muy Alta",'Mapa final'!$O$88="Leve"),CONCATENATE("R",'Mapa final'!$A$88),"")</f>
        <v/>
      </c>
      <c r="M16" s="454"/>
      <c r="N16" s="454" t="str">
        <f>IF(AND('Mapa final'!$K$91="Muy Alta",'Mapa final'!$O$91="Leve"),CONCATENATE("R",'Mapa final'!$A$91),"")</f>
        <v/>
      </c>
      <c r="O16" s="454"/>
      <c r="P16" s="454" t="str">
        <f>IF(AND('Mapa final'!$K$94="Muy Alta",'Mapa final'!$O$94="Leve"),CONCATENATE("R",'Mapa final'!$A$94),"")</f>
        <v/>
      </c>
      <c r="Q16" s="454"/>
      <c r="R16" s="454" t="str">
        <f>IF(AND('Mapa final'!$K$97="Muy Alta",'Mapa final'!$O$97="Leve"),CONCATENATE("R",'Mapa final'!$A$97),"")</f>
        <v/>
      </c>
      <c r="S16" s="455"/>
      <c r="T16" s="453" t="str">
        <f>IF(AND('Mapa final'!$K$85="Muy Alta",'Mapa final'!$O$85="Menor"),CONCATENATE("R",'Mapa final'!$A$85),"")</f>
        <v/>
      </c>
      <c r="U16" s="454"/>
      <c r="V16" s="454" t="str">
        <f>IF(AND('Mapa final'!$K$88="Muy Alta",'Mapa final'!$O$88="Menor"),CONCATENATE("R",'Mapa final'!$A$88),"")</f>
        <v/>
      </c>
      <c r="W16" s="454"/>
      <c r="X16" s="454" t="str">
        <f>IF(AND('Mapa final'!$K$91="Muy Alta",'Mapa final'!$O$91="Menor"),CONCATENATE("R",'Mapa final'!$A$91),"")</f>
        <v/>
      </c>
      <c r="Y16" s="454"/>
      <c r="Z16" s="454" t="str">
        <f>IF(AND('Mapa final'!$K$94="Muy Alta",'Mapa final'!$O$94="Menor"),CONCATENATE("R",'Mapa final'!$A$94),"")</f>
        <v/>
      </c>
      <c r="AA16" s="454"/>
      <c r="AB16" s="454" t="str">
        <f>IF(AND('Mapa final'!$K$97="Muy Alta",'Mapa final'!$O$97="Menor"),CONCATENATE("R",'Mapa final'!$A$97),"")</f>
        <v/>
      </c>
      <c r="AC16" s="455"/>
      <c r="AD16" s="453" t="str">
        <f>IF(AND('Mapa final'!$K$85="Muy Alta",'Mapa final'!$O$85="Moderado"),CONCATENATE("R",'Mapa final'!$A$85),"")</f>
        <v/>
      </c>
      <c r="AE16" s="454"/>
      <c r="AF16" s="454" t="str">
        <f>IF(AND('Mapa final'!$K$88="Muy Alta",'Mapa final'!$O$88="Moderado"),CONCATENATE("R",'Mapa final'!$A$88),"")</f>
        <v/>
      </c>
      <c r="AG16" s="454"/>
      <c r="AH16" s="454" t="str">
        <f>IF(AND('Mapa final'!$K$91="Muy Alta",'Mapa final'!$O$91="Moderado"),CONCATENATE("R",'Mapa final'!$A$91),"")</f>
        <v/>
      </c>
      <c r="AI16" s="454"/>
      <c r="AJ16" s="454" t="str">
        <f>IF(AND('Mapa final'!$K$94="Muy Alta",'Mapa final'!$O$94="Moderado"),CONCATENATE("R",'Mapa final'!$A$94),"")</f>
        <v/>
      </c>
      <c r="AK16" s="454"/>
      <c r="AL16" s="454" t="str">
        <f>IF(AND('Mapa final'!$K$97="Muy Alta",'Mapa final'!$O$97="Moderado"),CONCATENATE("R",'Mapa final'!$A$97),"")</f>
        <v/>
      </c>
      <c r="AM16" s="455"/>
      <c r="AN16" s="453" t="str">
        <f>IF(AND('Mapa final'!$K$85="Muy Alta",'Mapa final'!$O$85="Mayor"),CONCATENATE("R",'Mapa final'!$A$85),"")</f>
        <v/>
      </c>
      <c r="AO16" s="454"/>
      <c r="AP16" s="454" t="str">
        <f>IF(AND('Mapa final'!$K$88="Muy Alta",'Mapa final'!$O$88="Mayor"),CONCATENATE("R",'Mapa final'!$A$88),"")</f>
        <v/>
      </c>
      <c r="AQ16" s="454"/>
      <c r="AR16" s="454" t="str">
        <f>IF(AND('Mapa final'!$K$91="Muy Alta",'Mapa final'!$O$91="Mayor"),CONCATENATE("R",'Mapa final'!$A$91),"")</f>
        <v/>
      </c>
      <c r="AS16" s="454"/>
      <c r="AT16" s="454" t="str">
        <f>IF(AND('Mapa final'!$K$94="Muy Alta",'Mapa final'!$O$94="Mayor"),CONCATENATE("R",'Mapa final'!$A$94),"")</f>
        <v/>
      </c>
      <c r="AU16" s="454"/>
      <c r="AV16" s="454" t="str">
        <f>IF(AND('Mapa final'!$K$97="Muy Alta",'Mapa final'!$O$97="Mayor"),CONCATENATE("R",'Mapa final'!$A$97),"")</f>
        <v/>
      </c>
      <c r="AW16" s="455"/>
      <c r="AX16" s="437" t="str">
        <f>IF(AND('Mapa final'!$K$85="Muy Alta",'Mapa final'!$O$85="Catastrófico"),CONCATENATE("R",'Mapa final'!$A$85),"")</f>
        <v/>
      </c>
      <c r="AY16" s="435"/>
      <c r="AZ16" s="435" t="str">
        <f>IF(AND('Mapa final'!$K$88="Muy Alta",'Mapa final'!$O$88="Catastrófico"),CONCATENATE("R",'Mapa final'!$A$88),"")</f>
        <v/>
      </c>
      <c r="BA16" s="435"/>
      <c r="BB16" s="435" t="str">
        <f>IF(AND('Mapa final'!$K$91="Muy Alta",'Mapa final'!$O$91="Catastrófico"),CONCATENATE("R",'Mapa final'!$A$91),"")</f>
        <v/>
      </c>
      <c r="BC16" s="435"/>
      <c r="BD16" s="435" t="str">
        <f>IF(AND('Mapa final'!$K$94="Muy Alta",'Mapa final'!$O$94="Catastrófico"),CONCATENATE("R",'Mapa final'!$A$94),"")</f>
        <v/>
      </c>
      <c r="BE16" s="435"/>
      <c r="BF16" s="435" t="str">
        <f>IF(AND('Mapa final'!$K$97="Muy Alta",'Mapa final'!$O$97="Catastrófico"),CONCATENATE("R",'Mapa final'!$A$97),"")</f>
        <v/>
      </c>
      <c r="BG16" s="436"/>
      <c r="BH16" s="38"/>
      <c r="BI16" s="476"/>
      <c r="BJ16" s="477"/>
      <c r="BK16" s="477"/>
      <c r="BL16" s="477"/>
      <c r="BM16" s="477"/>
      <c r="BN16" s="47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row>
    <row r="17" spans="1:100" ht="15" customHeight="1" x14ac:dyDescent="0.25">
      <c r="A17" s="38"/>
      <c r="B17" s="291"/>
      <c r="C17" s="292"/>
      <c r="D17" s="293"/>
      <c r="E17" s="511"/>
      <c r="F17" s="512"/>
      <c r="G17" s="512"/>
      <c r="H17" s="512"/>
      <c r="I17" s="512"/>
      <c r="J17" s="453"/>
      <c r="K17" s="454"/>
      <c r="L17" s="454"/>
      <c r="M17" s="454"/>
      <c r="N17" s="454"/>
      <c r="O17" s="454"/>
      <c r="P17" s="454"/>
      <c r="Q17" s="454"/>
      <c r="R17" s="454"/>
      <c r="S17" s="455"/>
      <c r="T17" s="453"/>
      <c r="U17" s="454"/>
      <c r="V17" s="454"/>
      <c r="W17" s="454"/>
      <c r="X17" s="454"/>
      <c r="Y17" s="454"/>
      <c r="Z17" s="454"/>
      <c r="AA17" s="454"/>
      <c r="AB17" s="454"/>
      <c r="AC17" s="455"/>
      <c r="AD17" s="453"/>
      <c r="AE17" s="454"/>
      <c r="AF17" s="454"/>
      <c r="AG17" s="454"/>
      <c r="AH17" s="454"/>
      <c r="AI17" s="454"/>
      <c r="AJ17" s="454"/>
      <c r="AK17" s="454"/>
      <c r="AL17" s="454"/>
      <c r="AM17" s="455"/>
      <c r="AN17" s="453"/>
      <c r="AO17" s="454"/>
      <c r="AP17" s="454"/>
      <c r="AQ17" s="454"/>
      <c r="AR17" s="454"/>
      <c r="AS17" s="454"/>
      <c r="AT17" s="454"/>
      <c r="AU17" s="454"/>
      <c r="AV17" s="454"/>
      <c r="AW17" s="455"/>
      <c r="AX17" s="437"/>
      <c r="AY17" s="435"/>
      <c r="AZ17" s="435"/>
      <c r="BA17" s="435"/>
      <c r="BB17" s="435"/>
      <c r="BC17" s="435"/>
      <c r="BD17" s="435"/>
      <c r="BE17" s="435"/>
      <c r="BF17" s="435"/>
      <c r="BG17" s="436"/>
      <c r="BH17" s="38"/>
      <c r="BI17" s="476"/>
      <c r="BJ17" s="477"/>
      <c r="BK17" s="477"/>
      <c r="BL17" s="477"/>
      <c r="BM17" s="477"/>
      <c r="BN17" s="47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row>
    <row r="18" spans="1:100" ht="15" customHeight="1" x14ac:dyDescent="0.25">
      <c r="A18" s="38"/>
      <c r="B18" s="291"/>
      <c r="C18" s="292"/>
      <c r="D18" s="293"/>
      <c r="E18" s="511"/>
      <c r="F18" s="512"/>
      <c r="G18" s="512"/>
      <c r="H18" s="512"/>
      <c r="I18" s="512"/>
      <c r="J18" s="453" t="str">
        <f>IF(AND('Mapa final'!$K$100="Muy Alta",'Mapa final'!$O$100="Leve"),CONCATENATE("R",'Mapa final'!$A$100),"")</f>
        <v/>
      </c>
      <c r="K18" s="454"/>
      <c r="L18" s="454" t="str">
        <f>IF(AND('Mapa final'!$K$103="Muy Alta",'Mapa final'!$O$103="Leve"),CONCATENATE("R",'Mapa final'!$A$103),"")</f>
        <v/>
      </c>
      <c r="M18" s="454"/>
      <c r="N18" s="454" t="str">
        <f>IF(AND('Mapa final'!$K$106="Muy Alta",'Mapa final'!$O$106="Leve"),CONCATENATE("R",'Mapa final'!$A$106),"")</f>
        <v/>
      </c>
      <c r="O18" s="454"/>
      <c r="P18" s="454" t="str">
        <f>IF(AND('Mapa final'!$K$109="Muy Alta",'Mapa final'!$O$109="Leve"),CONCATENATE("R",'Mapa final'!$A$109),"")</f>
        <v/>
      </c>
      <c r="Q18" s="454"/>
      <c r="R18" s="454" t="str">
        <f>IF(AND('Mapa final'!$K$112="Muy Alta",'Mapa final'!$O$112="Leve"),CONCATENATE("R",'Mapa final'!$A$112),"")</f>
        <v/>
      </c>
      <c r="S18" s="454"/>
      <c r="T18" s="453" t="str">
        <f>IF(AND('Mapa final'!$K$100="Muy Alta",'Mapa final'!$O$100="Menor"),CONCATENATE("R",'Mapa final'!$A$100),"")</f>
        <v/>
      </c>
      <c r="U18" s="454"/>
      <c r="V18" s="454" t="str">
        <f>IF(AND('Mapa final'!$K$103="Muy Alta",'Mapa final'!$O$103="Menor"),CONCATENATE("R",'Mapa final'!$A$103),"")</f>
        <v/>
      </c>
      <c r="W18" s="454"/>
      <c r="X18" s="454" t="str">
        <f>IF(AND('Mapa final'!$K$106="Muy Alta",'Mapa final'!$O$106="Menor"),CONCATENATE("R",'Mapa final'!$A$106),"")</f>
        <v/>
      </c>
      <c r="Y18" s="454"/>
      <c r="Z18" s="454" t="str">
        <f>IF(AND('Mapa final'!$K$109="Muy Alta",'Mapa final'!$O$109="Menor"),CONCATENATE("R",'Mapa final'!$A$109),"")</f>
        <v/>
      </c>
      <c r="AA18" s="454"/>
      <c r="AB18" s="454" t="str">
        <f>IF(AND('Mapa final'!$K$112="Muy Alta",'Mapa final'!$O$112="Menor"),CONCATENATE("R",'Mapa final'!$A$112),"")</f>
        <v/>
      </c>
      <c r="AC18" s="454"/>
      <c r="AD18" s="453" t="str">
        <f>IF(AND('Mapa final'!$K$100="Muy Alta",'Mapa final'!$O$100="Moderado"),CONCATENATE("R",'Mapa final'!$A$100),"")</f>
        <v/>
      </c>
      <c r="AE18" s="454"/>
      <c r="AF18" s="454" t="str">
        <f>IF(AND('Mapa final'!$K$103="Muy Alta",'Mapa final'!$O$103="Moderado"),CONCATENATE("R",'Mapa final'!$A$103),"")</f>
        <v/>
      </c>
      <c r="AG18" s="454"/>
      <c r="AH18" s="454" t="str">
        <f>IF(AND('Mapa final'!$K$106="Muy Alta",'Mapa final'!$O$106="Moderado"),CONCATENATE("R",'Mapa final'!$A$106),"")</f>
        <v/>
      </c>
      <c r="AI18" s="454"/>
      <c r="AJ18" s="454" t="str">
        <f>IF(AND('Mapa final'!$K$109="Muy Alta",'Mapa final'!$O$109="Moderado"),CONCATENATE("R",'Mapa final'!$A$109),"")</f>
        <v/>
      </c>
      <c r="AK18" s="454"/>
      <c r="AL18" s="454" t="str">
        <f>IF(AND('Mapa final'!$K$112="Muy Alta",'Mapa final'!$O$112="Moderado"),CONCATENATE("R",'Mapa final'!$A$112),"")</f>
        <v/>
      </c>
      <c r="AM18" s="454"/>
      <c r="AN18" s="453" t="str">
        <f>IF(AND('Mapa final'!$K$100="Muy Alta",'Mapa final'!$O$100="Mayor"),CONCATENATE("R",'Mapa final'!$A$100),"")</f>
        <v/>
      </c>
      <c r="AO18" s="454"/>
      <c r="AP18" s="454" t="str">
        <f>IF(AND('Mapa final'!$K$103="Muy Alta",'Mapa final'!$O$103="Mayor"),CONCATENATE("R",'Mapa final'!$A$103),"")</f>
        <v/>
      </c>
      <c r="AQ18" s="454"/>
      <c r="AR18" s="454" t="str">
        <f>IF(AND('Mapa final'!$K$106="Muy Alta",'Mapa final'!$O$106="Mayor"),CONCATENATE("R",'Mapa final'!$A$106),"")</f>
        <v/>
      </c>
      <c r="AS18" s="454"/>
      <c r="AT18" s="454" t="str">
        <f>IF(AND('Mapa final'!$K$109="Muy Alta",'Mapa final'!$O$109="Mayor"),CONCATENATE("R",'Mapa final'!$A$109),"")</f>
        <v/>
      </c>
      <c r="AU18" s="454"/>
      <c r="AV18" s="454" t="str">
        <f>IF(AND('Mapa final'!$K$112="Muy Alta",'Mapa final'!$O$112="Mayor"),CONCATENATE("R",'Mapa final'!$A$112),"")</f>
        <v/>
      </c>
      <c r="AW18" s="454"/>
      <c r="AX18" s="437" t="str">
        <f>IF(AND('Mapa final'!$K$100="Muy Alta",'Mapa final'!$O$100="Catastrófico"),CONCATENATE("R",'Mapa final'!$A$100),"")</f>
        <v/>
      </c>
      <c r="AY18" s="435"/>
      <c r="AZ18" s="435" t="str">
        <f>IF(AND('Mapa final'!$K$103="Muy Alta",'Mapa final'!$O$103="Catastrófico"),CONCATENATE("R",'Mapa final'!$A$103),"")</f>
        <v/>
      </c>
      <c r="BA18" s="435"/>
      <c r="BB18" s="435" t="str">
        <f>IF(AND('Mapa final'!$K$106="Muy Alta",'Mapa final'!$O$106="Catastrófico"),CONCATENATE("R",'Mapa final'!$A$106),"")</f>
        <v/>
      </c>
      <c r="BC18" s="435"/>
      <c r="BD18" s="435" t="str">
        <f>IF(AND('Mapa final'!$K$109="Muy Alta",'Mapa final'!$O$109="Catastrófico"),CONCATENATE("R",'Mapa final'!$A$109),"")</f>
        <v/>
      </c>
      <c r="BE18" s="435"/>
      <c r="BF18" s="435" t="str">
        <f>IF(AND('Mapa final'!$K$112="Muy Alta",'Mapa final'!$O$112="Catastrófico"),CONCATENATE("R",'Mapa final'!$A$112),"")</f>
        <v/>
      </c>
      <c r="BG18" s="436"/>
      <c r="BH18" s="38"/>
      <c r="BI18" s="476"/>
      <c r="BJ18" s="477"/>
      <c r="BK18" s="477"/>
      <c r="BL18" s="477"/>
      <c r="BM18" s="477"/>
      <c r="BN18" s="47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row>
    <row r="19" spans="1:100" ht="15" customHeight="1" x14ac:dyDescent="0.25">
      <c r="A19" s="38"/>
      <c r="B19" s="291"/>
      <c r="C19" s="292"/>
      <c r="D19" s="293"/>
      <c r="E19" s="511"/>
      <c r="F19" s="512"/>
      <c r="G19" s="512"/>
      <c r="H19" s="512"/>
      <c r="I19" s="512"/>
      <c r="J19" s="453"/>
      <c r="K19" s="454"/>
      <c r="L19" s="454"/>
      <c r="M19" s="454"/>
      <c r="N19" s="454"/>
      <c r="O19" s="454"/>
      <c r="P19" s="454"/>
      <c r="Q19" s="454"/>
      <c r="R19" s="454"/>
      <c r="S19" s="454"/>
      <c r="T19" s="453"/>
      <c r="U19" s="454"/>
      <c r="V19" s="454"/>
      <c r="W19" s="454"/>
      <c r="X19" s="454"/>
      <c r="Y19" s="454"/>
      <c r="Z19" s="454"/>
      <c r="AA19" s="454"/>
      <c r="AB19" s="454"/>
      <c r="AC19" s="454"/>
      <c r="AD19" s="453"/>
      <c r="AE19" s="454"/>
      <c r="AF19" s="454"/>
      <c r="AG19" s="454"/>
      <c r="AH19" s="454"/>
      <c r="AI19" s="454"/>
      <c r="AJ19" s="454"/>
      <c r="AK19" s="454"/>
      <c r="AL19" s="454"/>
      <c r="AM19" s="454"/>
      <c r="AN19" s="453"/>
      <c r="AO19" s="454"/>
      <c r="AP19" s="454"/>
      <c r="AQ19" s="454"/>
      <c r="AR19" s="454"/>
      <c r="AS19" s="454"/>
      <c r="AT19" s="454"/>
      <c r="AU19" s="454"/>
      <c r="AV19" s="454"/>
      <c r="AW19" s="454"/>
      <c r="AX19" s="437"/>
      <c r="AY19" s="435"/>
      <c r="AZ19" s="435"/>
      <c r="BA19" s="435"/>
      <c r="BB19" s="435"/>
      <c r="BC19" s="435"/>
      <c r="BD19" s="435"/>
      <c r="BE19" s="435"/>
      <c r="BF19" s="435"/>
      <c r="BG19" s="436"/>
      <c r="BH19" s="38"/>
      <c r="BI19" s="476"/>
      <c r="BJ19" s="477"/>
      <c r="BK19" s="477"/>
      <c r="BL19" s="477"/>
      <c r="BM19" s="477"/>
      <c r="BN19" s="47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row>
    <row r="20" spans="1:100" ht="15" customHeight="1" x14ac:dyDescent="0.25">
      <c r="A20" s="38"/>
      <c r="B20" s="291"/>
      <c r="C20" s="292"/>
      <c r="D20" s="293"/>
      <c r="E20" s="511"/>
      <c r="F20" s="512"/>
      <c r="G20" s="512"/>
      <c r="H20" s="512"/>
      <c r="I20" s="512"/>
      <c r="J20" s="453" t="str">
        <f>IF(AND('Mapa final'!$K$115="Muy Alta",'Mapa final'!$O$115="Leve"),CONCATENATE("R",'Mapa final'!$A$115),"")</f>
        <v/>
      </c>
      <c r="K20" s="454"/>
      <c r="L20" s="454" t="str">
        <f>IF(AND('Mapa final'!$K$118="Muy Alta",'Mapa final'!$O$118="Leve"),CONCATENATE("R",'Mapa final'!$A$118),"")</f>
        <v/>
      </c>
      <c r="M20" s="454"/>
      <c r="N20" s="454" t="str">
        <f>IF(AND('Mapa final'!$K$121="Muy Alta",'Mapa final'!$O$121="Leve"),CONCATENATE("R",'Mapa final'!$A$121),"")</f>
        <v/>
      </c>
      <c r="O20" s="454"/>
      <c r="P20" s="454" t="str">
        <f>IF(AND('Mapa final'!$K$124="Muy Alta",'Mapa final'!$O$124="Leve"),CONCATENATE("R",'Mapa final'!$A$124),"")</f>
        <v/>
      </c>
      <c r="Q20" s="454"/>
      <c r="R20" s="454" t="str">
        <f>IF(AND('Mapa final'!$K$127="Muy Alta",'Mapa final'!$O$127="Leve"),CONCATENATE("R",'Mapa final'!$A$127),"")</f>
        <v/>
      </c>
      <c r="S20" s="454"/>
      <c r="T20" s="453" t="str">
        <f>IF(AND('Mapa final'!$K$115="Muy Alta",'Mapa final'!$O$115="Menor"),CONCATENATE("R",'Mapa final'!$A$115),"")</f>
        <v/>
      </c>
      <c r="U20" s="454"/>
      <c r="V20" s="454" t="str">
        <f>IF(AND('Mapa final'!$K$118="Muy Alta",'Mapa final'!$O$118="Menor"),CONCATENATE("R",'Mapa final'!$A$118),"")</f>
        <v/>
      </c>
      <c r="W20" s="454"/>
      <c r="X20" s="454" t="str">
        <f>IF(AND('Mapa final'!$K$121="Muy Alta",'Mapa final'!$O$121="Menor"),CONCATENATE("R",'Mapa final'!$A$121),"")</f>
        <v/>
      </c>
      <c r="Y20" s="454"/>
      <c r="Z20" s="454" t="str">
        <f>IF(AND('Mapa final'!$K$124="Muy Alta",'Mapa final'!$O$124="Menor"),CONCATENATE("R",'Mapa final'!$A$124),"")</f>
        <v/>
      </c>
      <c r="AA20" s="454"/>
      <c r="AB20" s="454" t="str">
        <f>IF(AND('Mapa final'!$K$127="Muy Alta",'Mapa final'!$O$127="Menor"),CONCATENATE("R",'Mapa final'!$A$127),"")</f>
        <v/>
      </c>
      <c r="AC20" s="454"/>
      <c r="AD20" s="453" t="str">
        <f>IF(AND('Mapa final'!$K$115="Muy Alta",'Mapa final'!$O$115="Moderado"),CONCATENATE("R",'Mapa final'!$A$115),"")</f>
        <v/>
      </c>
      <c r="AE20" s="454"/>
      <c r="AF20" s="454" t="str">
        <f>IF(AND('Mapa final'!$K$118="Muy Alta",'Mapa final'!$O$118="Moderado"),CONCATENATE("R",'Mapa final'!$A$118),"")</f>
        <v/>
      </c>
      <c r="AG20" s="454"/>
      <c r="AH20" s="454" t="str">
        <f>IF(AND('Mapa final'!$K$121="Muy Alta",'Mapa final'!$O$121="Moderado"),CONCATENATE("R",'Mapa final'!$A$121),"")</f>
        <v/>
      </c>
      <c r="AI20" s="454"/>
      <c r="AJ20" s="454" t="str">
        <f>IF(AND('Mapa final'!$K$124="Muy Alta",'Mapa final'!$O$124="Moderado"),CONCATENATE("R",'Mapa final'!$A$124),"")</f>
        <v/>
      </c>
      <c r="AK20" s="454"/>
      <c r="AL20" s="454" t="str">
        <f>IF(AND('Mapa final'!$K$127="Muy Alta",'Mapa final'!$O$127="Moderado"),CONCATENATE("R",'Mapa final'!$A$127),"")</f>
        <v/>
      </c>
      <c r="AM20" s="454"/>
      <c r="AN20" s="453" t="str">
        <f>IF(AND('Mapa final'!$K$115="Muy Alta",'Mapa final'!$O$115="Mayor"),CONCATENATE("R",'Mapa final'!$A$115),"")</f>
        <v/>
      </c>
      <c r="AO20" s="454"/>
      <c r="AP20" s="454" t="str">
        <f>IF(AND('Mapa final'!$K$118="Muy Alta",'Mapa final'!$O$118="Mayor"),CONCATENATE("R",'Mapa final'!$A$118),"")</f>
        <v/>
      </c>
      <c r="AQ20" s="454"/>
      <c r="AR20" s="454" t="str">
        <f>IF(AND('Mapa final'!$K$121="Muy Alta",'Mapa final'!$O$121="Mayor"),CONCATENATE("R",'Mapa final'!$A$121),"")</f>
        <v/>
      </c>
      <c r="AS20" s="454"/>
      <c r="AT20" s="454" t="str">
        <f>IF(AND('Mapa final'!$K$124="Muy Alta",'Mapa final'!$O$124="Mayor"),CONCATENATE("R",'Mapa final'!$A$124),"")</f>
        <v/>
      </c>
      <c r="AU20" s="454"/>
      <c r="AV20" s="454" t="str">
        <f>IF(AND('Mapa final'!$K$127="Muy Alta",'Mapa final'!$O$127="Mayor"),CONCATENATE("R",'Mapa final'!$A$127),"")</f>
        <v/>
      </c>
      <c r="AW20" s="454"/>
      <c r="AX20" s="437" t="str">
        <f>IF(AND('Mapa final'!$K$115="Muy Alta",'Mapa final'!$O$115="Catastrófico"),CONCATENATE("R",'Mapa final'!$A$115),"")</f>
        <v/>
      </c>
      <c r="AY20" s="435"/>
      <c r="AZ20" s="435" t="str">
        <f>IF(AND('Mapa final'!$K$118="Muy Alta",'Mapa final'!$O$118="Catastrófico"),CONCATENATE("R",'Mapa final'!$A$118),"")</f>
        <v/>
      </c>
      <c r="BA20" s="435"/>
      <c r="BB20" s="435" t="str">
        <f>IF(AND('Mapa final'!$K$121="Muy Alta",'Mapa final'!$O$121="Catastrófico"),CONCATENATE("R",'Mapa final'!$A$121),"")</f>
        <v/>
      </c>
      <c r="BC20" s="435"/>
      <c r="BD20" s="435" t="str">
        <f>IF(AND('Mapa final'!$K$124="Muy Alta",'Mapa final'!$O$124="Catastrófico"),CONCATENATE("R",'Mapa final'!$A$124),"")</f>
        <v/>
      </c>
      <c r="BE20" s="435"/>
      <c r="BF20" s="435" t="str">
        <f>IF(AND('Mapa final'!$K$127="Muy Alta",'Mapa final'!$O$127="Catastrófico"),CONCATENATE("R",'Mapa final'!$A$127),"")</f>
        <v/>
      </c>
      <c r="BG20" s="436"/>
      <c r="BH20" s="38"/>
      <c r="BI20" s="476"/>
      <c r="BJ20" s="477"/>
      <c r="BK20" s="477"/>
      <c r="BL20" s="477"/>
      <c r="BM20" s="477"/>
      <c r="BN20" s="47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row>
    <row r="21" spans="1:100" ht="15" customHeight="1" x14ac:dyDescent="0.25">
      <c r="A21" s="38"/>
      <c r="B21" s="291"/>
      <c r="C21" s="292"/>
      <c r="D21" s="293"/>
      <c r="E21" s="511"/>
      <c r="F21" s="512"/>
      <c r="G21" s="512"/>
      <c r="H21" s="512"/>
      <c r="I21" s="512"/>
      <c r="J21" s="453"/>
      <c r="K21" s="454"/>
      <c r="L21" s="454"/>
      <c r="M21" s="454"/>
      <c r="N21" s="454"/>
      <c r="O21" s="454"/>
      <c r="P21" s="454"/>
      <c r="Q21" s="454"/>
      <c r="R21" s="454"/>
      <c r="S21" s="454"/>
      <c r="T21" s="453"/>
      <c r="U21" s="454"/>
      <c r="V21" s="454"/>
      <c r="W21" s="454"/>
      <c r="X21" s="454"/>
      <c r="Y21" s="454"/>
      <c r="Z21" s="454"/>
      <c r="AA21" s="454"/>
      <c r="AB21" s="454"/>
      <c r="AC21" s="454"/>
      <c r="AD21" s="453"/>
      <c r="AE21" s="454"/>
      <c r="AF21" s="454"/>
      <c r="AG21" s="454"/>
      <c r="AH21" s="454"/>
      <c r="AI21" s="454"/>
      <c r="AJ21" s="454"/>
      <c r="AK21" s="454"/>
      <c r="AL21" s="454"/>
      <c r="AM21" s="454"/>
      <c r="AN21" s="453"/>
      <c r="AO21" s="454"/>
      <c r="AP21" s="454"/>
      <c r="AQ21" s="454"/>
      <c r="AR21" s="454"/>
      <c r="AS21" s="454"/>
      <c r="AT21" s="454"/>
      <c r="AU21" s="454"/>
      <c r="AV21" s="454"/>
      <c r="AW21" s="454"/>
      <c r="AX21" s="437"/>
      <c r="AY21" s="435"/>
      <c r="AZ21" s="435"/>
      <c r="BA21" s="435"/>
      <c r="BB21" s="435"/>
      <c r="BC21" s="435"/>
      <c r="BD21" s="435"/>
      <c r="BE21" s="435"/>
      <c r="BF21" s="435"/>
      <c r="BG21" s="436"/>
      <c r="BH21" s="38"/>
      <c r="BI21" s="476"/>
      <c r="BJ21" s="477"/>
      <c r="BK21" s="477"/>
      <c r="BL21" s="477"/>
      <c r="BM21" s="477"/>
      <c r="BN21" s="47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row>
    <row r="22" spans="1:100" ht="15" customHeight="1" x14ac:dyDescent="0.25">
      <c r="A22" s="38"/>
      <c r="B22" s="291"/>
      <c r="C22" s="292"/>
      <c r="D22" s="293"/>
      <c r="E22" s="511"/>
      <c r="F22" s="512"/>
      <c r="G22" s="512"/>
      <c r="H22" s="512"/>
      <c r="I22" s="512"/>
      <c r="J22" s="453" t="str">
        <f>IF(AND('Mapa final'!$K$130="Muy Alta",'Mapa final'!$O$130="Leve"),CONCATENATE("R",'Mapa final'!$A$130),"")</f>
        <v/>
      </c>
      <c r="K22" s="454"/>
      <c r="L22" s="454" t="str">
        <f>IF(AND('Mapa final'!$K$133="Muy Alta",'Mapa final'!$O$133="Leve"),CONCATENATE("R",'Mapa final'!$A$133),"")</f>
        <v/>
      </c>
      <c r="M22" s="454"/>
      <c r="N22" s="454" t="str">
        <f>IF(AND('Mapa final'!$K$136="Muy Alta",'Mapa final'!$O$136="Leve"),CONCATENATE("R",'Mapa final'!$A$136),"")</f>
        <v/>
      </c>
      <c r="O22" s="454"/>
      <c r="P22" s="454" t="str">
        <f>IF(AND('Mapa final'!$K$139="Muy Alta",'Mapa final'!$O$139="Leve"),CONCATENATE("R",'Mapa final'!$A$139),"")</f>
        <v/>
      </c>
      <c r="Q22" s="454"/>
      <c r="R22" s="454" t="str">
        <f>IF(AND('Mapa final'!$K$142="Muy Alta",'Mapa final'!$O$142="Leve"),CONCATENATE("R",'Mapa final'!$A$142),"")</f>
        <v/>
      </c>
      <c r="S22" s="455"/>
      <c r="T22" s="453" t="str">
        <f>IF(AND('Mapa final'!$K$130="Muy Alta",'Mapa final'!$O$130="Menor"),CONCATENATE("R",'Mapa final'!$A$130),"")</f>
        <v/>
      </c>
      <c r="U22" s="454"/>
      <c r="V22" s="454" t="str">
        <f>IF(AND('Mapa final'!$K$133="Muy Alta",'Mapa final'!$O$133="Menor"),CONCATENATE("R",'Mapa final'!$A$133),"")</f>
        <v/>
      </c>
      <c r="W22" s="454"/>
      <c r="X22" s="454" t="str">
        <f>IF(AND('Mapa final'!$K$136="Muy Alta",'Mapa final'!$O$136="Menor"),CONCATENATE("R",'Mapa final'!$A$136),"")</f>
        <v/>
      </c>
      <c r="Y22" s="454"/>
      <c r="Z22" s="454" t="str">
        <f>IF(AND('Mapa final'!$K$139="Muy Alta",'Mapa final'!$O$139="Menor"),CONCATENATE("R",'Mapa final'!$A$139),"")</f>
        <v/>
      </c>
      <c r="AA22" s="454"/>
      <c r="AB22" s="454" t="str">
        <f>IF(AND('Mapa final'!$K$142="Muy Alta",'Mapa final'!$O$142="Menor"),CONCATENATE("R",'Mapa final'!$A$142),"")</f>
        <v/>
      </c>
      <c r="AC22" s="455"/>
      <c r="AD22" s="453" t="str">
        <f>IF(AND('Mapa final'!$K$130="Muy Alta",'Mapa final'!$O$130="Moderado"),CONCATENATE("R",'Mapa final'!$A$130),"")</f>
        <v/>
      </c>
      <c r="AE22" s="454"/>
      <c r="AF22" s="454" t="str">
        <f>IF(AND('Mapa final'!$K$133="Muy Alta",'Mapa final'!$O$133="Moderado"),CONCATENATE("R",'Mapa final'!$A$133),"")</f>
        <v/>
      </c>
      <c r="AG22" s="454"/>
      <c r="AH22" s="454" t="str">
        <f>IF(AND('Mapa final'!$K$136="Muy Alta",'Mapa final'!$O$136="Moderado"),CONCATENATE("R",'Mapa final'!$A$136),"")</f>
        <v/>
      </c>
      <c r="AI22" s="454"/>
      <c r="AJ22" s="454" t="str">
        <f>IF(AND('Mapa final'!$K$139="Muy Alta",'Mapa final'!$O$139="Moderado"),CONCATENATE("R",'Mapa final'!$A$139),"")</f>
        <v/>
      </c>
      <c r="AK22" s="454"/>
      <c r="AL22" s="454" t="str">
        <f>IF(AND('Mapa final'!$K$142="Muy Alta",'Mapa final'!$O$142="Moderado"),CONCATENATE("R",'Mapa final'!$A$142),"")</f>
        <v/>
      </c>
      <c r="AM22" s="455"/>
      <c r="AN22" s="453" t="str">
        <f>IF(AND('Mapa final'!$K$130="Muy Alta",'Mapa final'!$O$130="Mayor"),CONCATENATE("R",'Mapa final'!$A$130),"")</f>
        <v/>
      </c>
      <c r="AO22" s="454"/>
      <c r="AP22" s="454" t="str">
        <f>IF(AND('Mapa final'!$K$133="Muy Alta",'Mapa final'!$O$133="Mayor"),CONCATENATE("R",'Mapa final'!$A$133),"")</f>
        <v/>
      </c>
      <c r="AQ22" s="454"/>
      <c r="AR22" s="454" t="str">
        <f>IF(AND('Mapa final'!$K$136="Muy Alta",'Mapa final'!$O$136="Mayor"),CONCATENATE("R",'Mapa final'!$A$136),"")</f>
        <v/>
      </c>
      <c r="AS22" s="454"/>
      <c r="AT22" s="454" t="str">
        <f>IF(AND('Mapa final'!$K$139="Muy Alta",'Mapa final'!$O$139="Mayor"),CONCATENATE("R",'Mapa final'!$A$139),"")</f>
        <v/>
      </c>
      <c r="AU22" s="454"/>
      <c r="AV22" s="454" t="str">
        <f>IF(AND('Mapa final'!$K$142="Muy Alta",'Mapa final'!$O$142="Mayor"),CONCATENATE("R",'Mapa final'!$A$142),"")</f>
        <v/>
      </c>
      <c r="AW22" s="455"/>
      <c r="AX22" s="437" t="str">
        <f>IF(AND('Mapa final'!$K$130="Muy Alta",'Mapa final'!$O$130="Catastrófico"),CONCATENATE("R",'Mapa final'!$A$130),"")</f>
        <v/>
      </c>
      <c r="AY22" s="435"/>
      <c r="AZ22" s="435" t="str">
        <f>IF(AND('Mapa final'!$K$133="Muy Alta",'Mapa final'!$O$133="Catastrófico"),CONCATENATE("R",'Mapa final'!$A$133),"")</f>
        <v/>
      </c>
      <c r="BA22" s="435"/>
      <c r="BB22" s="435" t="str">
        <f>IF(AND('Mapa final'!$K$136="Muy Alta",'Mapa final'!$O$136="Catastrófico"),CONCATENATE("R",'Mapa final'!$A$136),"")</f>
        <v/>
      </c>
      <c r="BC22" s="435"/>
      <c r="BD22" s="435" t="str">
        <f>IF(AND('Mapa final'!$K$139="Muy Alta",'Mapa final'!$O$139="Catastrófico"),CONCATENATE("R",'Mapa final'!$A$139),"")</f>
        <v/>
      </c>
      <c r="BE22" s="435"/>
      <c r="BF22" s="435" t="str">
        <f>IF(AND('Mapa final'!$K$142="Muy Alta",'Mapa final'!$O$142="Catastrófico"),CONCATENATE("R",'Mapa final'!$A$142),"")</f>
        <v/>
      </c>
      <c r="BG22" s="436"/>
      <c r="BH22" s="38"/>
      <c r="BI22" s="476"/>
      <c r="BJ22" s="477"/>
      <c r="BK22" s="477"/>
      <c r="BL22" s="477"/>
      <c r="BM22" s="477"/>
      <c r="BN22" s="47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row>
    <row r="23" spans="1:100" ht="15" customHeight="1" thickBot="1" x14ac:dyDescent="0.3">
      <c r="A23" s="38"/>
      <c r="B23" s="291"/>
      <c r="C23" s="292"/>
      <c r="D23" s="293"/>
      <c r="E23" s="511"/>
      <c r="F23" s="512"/>
      <c r="G23" s="512"/>
      <c r="H23" s="512"/>
      <c r="I23" s="512"/>
      <c r="J23" s="453"/>
      <c r="K23" s="454"/>
      <c r="L23" s="454"/>
      <c r="M23" s="454"/>
      <c r="N23" s="454"/>
      <c r="O23" s="454"/>
      <c r="P23" s="454"/>
      <c r="Q23" s="454"/>
      <c r="R23" s="454"/>
      <c r="S23" s="455"/>
      <c r="T23" s="453"/>
      <c r="U23" s="454"/>
      <c r="V23" s="454"/>
      <c r="W23" s="454"/>
      <c r="X23" s="454"/>
      <c r="Y23" s="454"/>
      <c r="Z23" s="454"/>
      <c r="AA23" s="454"/>
      <c r="AB23" s="454"/>
      <c r="AC23" s="455"/>
      <c r="AD23" s="453"/>
      <c r="AE23" s="454"/>
      <c r="AF23" s="454"/>
      <c r="AG23" s="454"/>
      <c r="AH23" s="454"/>
      <c r="AI23" s="454"/>
      <c r="AJ23" s="454"/>
      <c r="AK23" s="454"/>
      <c r="AL23" s="454"/>
      <c r="AM23" s="455"/>
      <c r="AN23" s="453"/>
      <c r="AO23" s="454"/>
      <c r="AP23" s="454"/>
      <c r="AQ23" s="454"/>
      <c r="AR23" s="454"/>
      <c r="AS23" s="454"/>
      <c r="AT23" s="454"/>
      <c r="AU23" s="454"/>
      <c r="AV23" s="454"/>
      <c r="AW23" s="455"/>
      <c r="AX23" s="469"/>
      <c r="AY23" s="457"/>
      <c r="AZ23" s="457"/>
      <c r="BA23" s="457"/>
      <c r="BB23" s="457"/>
      <c r="BC23" s="457"/>
      <c r="BD23" s="457"/>
      <c r="BE23" s="457"/>
      <c r="BF23" s="457"/>
      <c r="BG23" s="458"/>
      <c r="BH23" s="38"/>
      <c r="BI23" s="476"/>
      <c r="BJ23" s="477"/>
      <c r="BK23" s="477"/>
      <c r="BL23" s="477"/>
      <c r="BM23" s="477"/>
      <c r="BN23" s="47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row>
    <row r="24" spans="1:100" ht="15" customHeight="1" x14ac:dyDescent="0.25">
      <c r="A24" s="38"/>
      <c r="B24" s="291"/>
      <c r="C24" s="292"/>
      <c r="D24" s="293"/>
      <c r="E24" s="509" t="s">
        <v>106</v>
      </c>
      <c r="F24" s="510"/>
      <c r="G24" s="510"/>
      <c r="H24" s="510"/>
      <c r="I24" s="510"/>
      <c r="J24" s="450" t="str">
        <f>IF(AND('Mapa final'!$K$7="Alta",'Mapa final'!$O$7="Leve"),CONCATENATE("R",'Mapa final'!$A$7),"")</f>
        <v/>
      </c>
      <c r="K24" s="451"/>
      <c r="L24" s="451" t="str">
        <f>IF(AND('Mapa final'!$K$10="Alta",'Mapa final'!$O$10="Leve"),CONCATENATE("R",'Mapa final'!$A$10),"")</f>
        <v/>
      </c>
      <c r="M24" s="451"/>
      <c r="N24" s="451" t="str">
        <f>IF(AND('Mapa final'!$K$13="Alta",'Mapa final'!$O$13="Leve"),CONCATENATE("R",'Mapa final'!$A$13),"")</f>
        <v/>
      </c>
      <c r="O24" s="451"/>
      <c r="P24" s="451" t="str">
        <f>IF(AND('Mapa final'!$K$16="Alta",'Mapa final'!$O$16="Leve"),CONCATENATE("R",'Mapa final'!$A$16),"")</f>
        <v/>
      </c>
      <c r="Q24" s="451"/>
      <c r="R24" s="451" t="str">
        <f>IF(AND('Mapa final'!$K$19="Alta",'Mapa final'!$O$19="Leve"),CONCATENATE("R",'Mapa final'!$A$19),"")</f>
        <v/>
      </c>
      <c r="S24" s="452"/>
      <c r="T24" s="450" t="str">
        <f>IF(AND('Mapa final'!$K$7="Alta",'Mapa final'!$O$7="Menor"),CONCATENATE("R",'Mapa final'!$A$7),"")</f>
        <v/>
      </c>
      <c r="U24" s="451"/>
      <c r="V24" s="451" t="str">
        <f>IF(AND('Mapa final'!$K$10="Alta",'Mapa final'!$O$10="Menor"),CONCATENATE("R",'Mapa final'!$A$10),"")</f>
        <v/>
      </c>
      <c r="W24" s="451"/>
      <c r="X24" s="451" t="str">
        <f>IF(AND('Mapa final'!$K$13="Alta",'Mapa final'!$O$13="Menor"),CONCATENATE("R",'Mapa final'!$A$13),"")</f>
        <v/>
      </c>
      <c r="Y24" s="451"/>
      <c r="Z24" s="451" t="str">
        <f>IF(AND('Mapa final'!$K$16="Alta",'Mapa final'!$O$16="Menor"),CONCATENATE("R",'Mapa final'!$A$16),"")</f>
        <v/>
      </c>
      <c r="AA24" s="451"/>
      <c r="AB24" s="451" t="str">
        <f>IF(AND('Mapa final'!$K$19="Alta",'Mapa final'!$O$19="Menor"),CONCATENATE("R",'Mapa final'!$A$19),"")</f>
        <v/>
      </c>
      <c r="AC24" s="452"/>
      <c r="AD24" s="447" t="str">
        <f>IF(AND('Mapa final'!$K$7="Alta",'Mapa final'!$O$7="Moderado"),CONCATENATE("R",'Mapa final'!$A$7),"")</f>
        <v/>
      </c>
      <c r="AE24" s="448"/>
      <c r="AF24" s="448" t="str">
        <f>IF(AND('Mapa final'!$K$10="Alta",'Mapa final'!$O$10="Moderado"),CONCATENATE("R",'Mapa final'!$A$10),"")</f>
        <v/>
      </c>
      <c r="AG24" s="448"/>
      <c r="AH24" s="448" t="str">
        <f>IF(AND('Mapa final'!$K$13="Alta",'Mapa final'!$O$13="Moderado"),CONCATENATE("R",'Mapa final'!$A$13),"")</f>
        <v/>
      </c>
      <c r="AI24" s="448"/>
      <c r="AJ24" s="448" t="str">
        <f>IF(AND('Mapa final'!$K$16="Alta",'Mapa final'!$O$16="Moderado"),CONCATENATE("R",'Mapa final'!$A$16),"")</f>
        <v>R4</v>
      </c>
      <c r="AK24" s="448"/>
      <c r="AL24" s="448" t="str">
        <f>IF(AND('Mapa final'!$K$19="Alta",'Mapa final'!$O$19="Moderado"),CONCATENATE("R",'Mapa final'!$A$19),"")</f>
        <v/>
      </c>
      <c r="AM24" s="449"/>
      <c r="AN24" s="447" t="str">
        <f>IF(AND('Mapa final'!$K$7="Alta",'Mapa final'!$O$7="Mayor"),CONCATENATE("R",'Mapa final'!$A$7),"")</f>
        <v/>
      </c>
      <c r="AO24" s="448"/>
      <c r="AP24" s="448" t="str">
        <f>IF(AND('Mapa final'!$K$10="Alta",'Mapa final'!$O$10="Mayor"),CONCATENATE("R",'Mapa final'!$A$10),"")</f>
        <v/>
      </c>
      <c r="AQ24" s="448"/>
      <c r="AR24" s="448" t="str">
        <f>IF(AND('Mapa final'!$K$13="Alta",'Mapa final'!$O$13="Mayor"),CONCATENATE("R",'Mapa final'!$A$13),"")</f>
        <v/>
      </c>
      <c r="AS24" s="448"/>
      <c r="AT24" s="448" t="str">
        <f>IF(AND('Mapa final'!$K$16="Alta",'Mapa final'!$O$16="Mayor"),CONCATENATE("R",'Mapa final'!$A$16),"")</f>
        <v/>
      </c>
      <c r="AU24" s="448"/>
      <c r="AV24" s="448" t="str">
        <f>IF(AND('Mapa final'!$K$19="Alta",'Mapa final'!$O$19="Mayor"),CONCATENATE("R",'Mapa final'!$A$19),"")</f>
        <v/>
      </c>
      <c r="AW24" s="449"/>
      <c r="AX24" s="467" t="str">
        <f>IF(AND('Mapa final'!$K$7="Alta",'Mapa final'!$O$7="Catastrófico"),CONCATENATE("R",'Mapa final'!$A$7),"")</f>
        <v/>
      </c>
      <c r="AY24" s="456"/>
      <c r="AZ24" s="456" t="str">
        <f>IF(AND('Mapa final'!$K$10="Alta",'Mapa final'!$O$10="Catastrófico"),CONCATENATE("R",'Mapa final'!$A$10),"")</f>
        <v/>
      </c>
      <c r="BA24" s="456"/>
      <c r="BB24" s="456" t="str">
        <f>IF(AND('Mapa final'!$K$13="Alta",'Mapa final'!$O$13="Catastrófico"),CONCATENATE("R",'Mapa final'!$A$13),"")</f>
        <v/>
      </c>
      <c r="BC24" s="456"/>
      <c r="BD24" s="456" t="str">
        <f>IF(AND('Mapa final'!$K$16="Alta",'Mapa final'!$O$16="Catastrófico"),CONCATENATE("R",'Mapa final'!$A$16),"")</f>
        <v/>
      </c>
      <c r="BE24" s="456"/>
      <c r="BF24" s="456" t="str">
        <f>IF(AND('Mapa final'!$K$19="Alta",'Mapa final'!$O$19="Catastrófico"),CONCATENATE("R",'Mapa final'!$A$19),"")</f>
        <v/>
      </c>
      <c r="BG24" s="468"/>
      <c r="BH24" s="38"/>
      <c r="BI24" s="476"/>
      <c r="BJ24" s="477"/>
      <c r="BK24" s="477"/>
      <c r="BL24" s="477"/>
      <c r="BM24" s="477"/>
      <c r="BN24" s="47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row>
    <row r="25" spans="1:100" ht="15" customHeight="1" x14ac:dyDescent="0.25">
      <c r="A25" s="38"/>
      <c r="B25" s="291"/>
      <c r="C25" s="292"/>
      <c r="D25" s="293"/>
      <c r="E25" s="511"/>
      <c r="F25" s="512"/>
      <c r="G25" s="512"/>
      <c r="H25" s="512"/>
      <c r="I25" s="512"/>
      <c r="J25" s="440"/>
      <c r="K25" s="438"/>
      <c r="L25" s="438"/>
      <c r="M25" s="438"/>
      <c r="N25" s="438"/>
      <c r="O25" s="438"/>
      <c r="P25" s="438"/>
      <c r="Q25" s="438"/>
      <c r="R25" s="438"/>
      <c r="S25" s="439"/>
      <c r="T25" s="440"/>
      <c r="U25" s="438"/>
      <c r="V25" s="438"/>
      <c r="W25" s="438"/>
      <c r="X25" s="438"/>
      <c r="Y25" s="438"/>
      <c r="Z25" s="438"/>
      <c r="AA25" s="438"/>
      <c r="AB25" s="438"/>
      <c r="AC25" s="439"/>
      <c r="AD25" s="443"/>
      <c r="AE25" s="444"/>
      <c r="AF25" s="444"/>
      <c r="AG25" s="444"/>
      <c r="AH25" s="444"/>
      <c r="AI25" s="444"/>
      <c r="AJ25" s="444"/>
      <c r="AK25" s="444"/>
      <c r="AL25" s="444"/>
      <c r="AM25" s="446"/>
      <c r="AN25" s="443"/>
      <c r="AO25" s="444"/>
      <c r="AP25" s="444"/>
      <c r="AQ25" s="444"/>
      <c r="AR25" s="444"/>
      <c r="AS25" s="444"/>
      <c r="AT25" s="444"/>
      <c r="AU25" s="444"/>
      <c r="AV25" s="444"/>
      <c r="AW25" s="446"/>
      <c r="AX25" s="437"/>
      <c r="AY25" s="435"/>
      <c r="AZ25" s="435"/>
      <c r="BA25" s="435"/>
      <c r="BB25" s="435"/>
      <c r="BC25" s="435"/>
      <c r="BD25" s="435"/>
      <c r="BE25" s="435"/>
      <c r="BF25" s="435"/>
      <c r="BG25" s="436"/>
      <c r="BH25" s="38"/>
      <c r="BI25" s="476"/>
      <c r="BJ25" s="477"/>
      <c r="BK25" s="477"/>
      <c r="BL25" s="477"/>
      <c r="BM25" s="477"/>
      <c r="BN25" s="47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row>
    <row r="26" spans="1:100" ht="15" customHeight="1" x14ac:dyDescent="0.25">
      <c r="A26" s="38"/>
      <c r="B26" s="291"/>
      <c r="C26" s="292"/>
      <c r="D26" s="293"/>
      <c r="E26" s="511"/>
      <c r="F26" s="512"/>
      <c r="G26" s="512"/>
      <c r="H26" s="512"/>
      <c r="I26" s="512"/>
      <c r="J26" s="440" t="str">
        <f>IF(AND('Mapa final'!$K$22="Alta",'Mapa final'!$O$22="Leve"),CONCATENATE("R",'Mapa final'!$A$22),"")</f>
        <v/>
      </c>
      <c r="K26" s="438"/>
      <c r="L26" s="438" t="str">
        <f>IF(AND('Mapa final'!$K$25="Alta",'Mapa final'!$O$25="Leve"),CONCATENATE("R",'Mapa final'!$A$25),"")</f>
        <v/>
      </c>
      <c r="M26" s="438"/>
      <c r="N26" s="438" t="str">
        <f>IF(AND('Mapa final'!$K$28="Alta",'Mapa final'!$O$28="Leve"),CONCATENATE("R",'Mapa final'!$A$28),"")</f>
        <v/>
      </c>
      <c r="O26" s="438"/>
      <c r="P26" s="438" t="str">
        <f>IF(AND('Mapa final'!$K$31="Alta",'Mapa final'!$O$31="Leve"),CONCATENATE("R",'Mapa final'!$A$31),"")</f>
        <v/>
      </c>
      <c r="Q26" s="438"/>
      <c r="R26" s="438" t="str">
        <f>IF(AND('Mapa final'!$K$34="Alta",'Mapa final'!$O$34="Leve"),CONCATENATE("R",'Mapa final'!$A$34),"")</f>
        <v/>
      </c>
      <c r="S26" s="439"/>
      <c r="T26" s="440" t="str">
        <f>IF(AND('Mapa final'!$K$22="Alta",'Mapa final'!$O$22="Menor"),CONCATENATE("R",'Mapa final'!$A$22),"")</f>
        <v/>
      </c>
      <c r="U26" s="438"/>
      <c r="V26" s="438" t="str">
        <f>IF(AND('Mapa final'!$K$25="Alta",'Mapa final'!$O$25="Menor"),CONCATENATE("R",'Mapa final'!$A$25),"")</f>
        <v/>
      </c>
      <c r="W26" s="438"/>
      <c r="X26" s="438" t="str">
        <f>IF(AND('Mapa final'!$K$28="Alta",'Mapa final'!$O$28="Menor"),CONCATENATE("R",'Mapa final'!$A$28),"")</f>
        <v/>
      </c>
      <c r="Y26" s="438"/>
      <c r="Z26" s="438" t="str">
        <f>IF(AND('Mapa final'!$K$31="Alta",'Mapa final'!$O$31="Menor"),CONCATENATE("R",'Mapa final'!$A$31),"")</f>
        <v/>
      </c>
      <c r="AA26" s="438"/>
      <c r="AB26" s="438" t="str">
        <f>IF(AND('Mapa final'!$K$34="Alta",'Mapa final'!$O$34="Menor"),CONCATENATE("R",'Mapa final'!$A$34),"")</f>
        <v/>
      </c>
      <c r="AC26" s="439"/>
      <c r="AD26" s="443" t="str">
        <f>IF(AND('Mapa final'!$K$22="Alta",'Mapa final'!$O$22="Moderado"),CONCATENATE("R",'Mapa final'!$A$22),"")</f>
        <v>R6</v>
      </c>
      <c r="AE26" s="444"/>
      <c r="AF26" s="444" t="str">
        <f>IF(AND('Mapa final'!$K$25="Alta",'Mapa final'!$O$25="Moderado"),CONCATENATE("R",'Mapa final'!$A$25),"")</f>
        <v/>
      </c>
      <c r="AG26" s="444"/>
      <c r="AH26" s="444" t="str">
        <f>IF(AND('Mapa final'!$K$28="Alta",'Mapa final'!$O$28="Moderado"),CONCATENATE("R",'Mapa final'!$A$28),"")</f>
        <v/>
      </c>
      <c r="AI26" s="444"/>
      <c r="AJ26" s="444" t="str">
        <f>IF(AND('Mapa final'!$K$31="Alta",'Mapa final'!$O$31="Moderado"),CONCATENATE("R",'Mapa final'!$A$31),"")</f>
        <v/>
      </c>
      <c r="AK26" s="444"/>
      <c r="AL26" s="444" t="str">
        <f>IF(AND('Mapa final'!$K$34="Alta",'Mapa final'!$O$34="Moderado"),CONCATENATE("R",'Mapa final'!$A$34),"")</f>
        <v/>
      </c>
      <c r="AM26" s="446"/>
      <c r="AN26" s="443" t="str">
        <f>IF(AND('Mapa final'!$K$22="Alta",'Mapa final'!$O$22="Mayor"),CONCATENATE("R",'Mapa final'!$A$22),"")</f>
        <v/>
      </c>
      <c r="AO26" s="444"/>
      <c r="AP26" s="444" t="str">
        <f>IF(AND('Mapa final'!$K$25="Alta",'Mapa final'!$O$25="Mayor"),CONCATENATE("R",'Mapa final'!$A$25),"")</f>
        <v>R7</v>
      </c>
      <c r="AQ26" s="444"/>
      <c r="AR26" s="444" t="str">
        <f>IF(AND('Mapa final'!$K$28="Alta",'Mapa final'!$O$28="Mayor"),CONCATENATE("R",'Mapa final'!$A$28),"")</f>
        <v/>
      </c>
      <c r="AS26" s="444"/>
      <c r="AT26" s="444" t="str">
        <f>IF(AND('Mapa final'!$K$31="Alta",'Mapa final'!$O$31="Mayor"),CONCATENATE("R",'Mapa final'!$A$31),"")</f>
        <v/>
      </c>
      <c r="AU26" s="444"/>
      <c r="AV26" s="444" t="str">
        <f>IF(AND('Mapa final'!$K$34="Alta",'Mapa final'!$O$34="Mayor"),CONCATENATE("R",'Mapa final'!$A$34),"")</f>
        <v/>
      </c>
      <c r="AW26" s="446"/>
      <c r="AX26" s="437" t="str">
        <f>IF(AND('Mapa final'!$K$22="Alta",'Mapa final'!$O$22="Catastrófico"),CONCATENATE("R",'Mapa final'!$A$22),"")</f>
        <v/>
      </c>
      <c r="AY26" s="435"/>
      <c r="AZ26" s="435" t="str">
        <f>IF(AND('Mapa final'!$K$25="Alta",'Mapa final'!$O$25="Catastrófico"),CONCATENATE("R",'Mapa final'!$A$25),"")</f>
        <v/>
      </c>
      <c r="BA26" s="435"/>
      <c r="BB26" s="435" t="str">
        <f>IF(AND('Mapa final'!$K$28="Alta",'Mapa final'!$O$28="Catastrófico"),CONCATENATE("R",'Mapa final'!$A$28),"")</f>
        <v/>
      </c>
      <c r="BC26" s="435"/>
      <c r="BD26" s="435" t="str">
        <f>IF(AND('Mapa final'!$K$31="Alta",'Mapa final'!$O$31="Catastrófico"),CONCATENATE("R",'Mapa final'!$A$31),"")</f>
        <v/>
      </c>
      <c r="BE26" s="435"/>
      <c r="BF26" s="435" t="str">
        <f>IF(AND('Mapa final'!$K$34="Alta",'Mapa final'!$O$34="Catastrófico"),CONCATENATE("R",'Mapa final'!$A$34),"")</f>
        <v/>
      </c>
      <c r="BG26" s="436"/>
      <c r="BH26" s="38"/>
      <c r="BI26" s="476"/>
      <c r="BJ26" s="477"/>
      <c r="BK26" s="477"/>
      <c r="BL26" s="477"/>
      <c r="BM26" s="477"/>
      <c r="BN26" s="47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row>
    <row r="27" spans="1:100" ht="15" customHeight="1" x14ac:dyDescent="0.25">
      <c r="A27" s="38"/>
      <c r="B27" s="291"/>
      <c r="C27" s="292"/>
      <c r="D27" s="293"/>
      <c r="E27" s="511"/>
      <c r="F27" s="512"/>
      <c r="G27" s="512"/>
      <c r="H27" s="512"/>
      <c r="I27" s="512"/>
      <c r="J27" s="440"/>
      <c r="K27" s="438"/>
      <c r="L27" s="438"/>
      <c r="M27" s="438"/>
      <c r="N27" s="438"/>
      <c r="O27" s="438"/>
      <c r="P27" s="438"/>
      <c r="Q27" s="438"/>
      <c r="R27" s="438"/>
      <c r="S27" s="439"/>
      <c r="T27" s="440"/>
      <c r="U27" s="438"/>
      <c r="V27" s="438"/>
      <c r="W27" s="438"/>
      <c r="X27" s="438"/>
      <c r="Y27" s="438"/>
      <c r="Z27" s="438"/>
      <c r="AA27" s="438"/>
      <c r="AB27" s="438"/>
      <c r="AC27" s="439"/>
      <c r="AD27" s="443"/>
      <c r="AE27" s="444"/>
      <c r="AF27" s="444"/>
      <c r="AG27" s="444"/>
      <c r="AH27" s="444"/>
      <c r="AI27" s="444"/>
      <c r="AJ27" s="444"/>
      <c r="AK27" s="444"/>
      <c r="AL27" s="444"/>
      <c r="AM27" s="446"/>
      <c r="AN27" s="443"/>
      <c r="AO27" s="444"/>
      <c r="AP27" s="444"/>
      <c r="AQ27" s="444"/>
      <c r="AR27" s="444"/>
      <c r="AS27" s="444"/>
      <c r="AT27" s="444"/>
      <c r="AU27" s="444"/>
      <c r="AV27" s="444"/>
      <c r="AW27" s="446"/>
      <c r="AX27" s="437"/>
      <c r="AY27" s="435"/>
      <c r="AZ27" s="435"/>
      <c r="BA27" s="435"/>
      <c r="BB27" s="435"/>
      <c r="BC27" s="435"/>
      <c r="BD27" s="435"/>
      <c r="BE27" s="435"/>
      <c r="BF27" s="435"/>
      <c r="BG27" s="436"/>
      <c r="BH27" s="38"/>
      <c r="BI27" s="476"/>
      <c r="BJ27" s="477"/>
      <c r="BK27" s="477"/>
      <c r="BL27" s="477"/>
      <c r="BM27" s="477"/>
      <c r="BN27" s="47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row>
    <row r="28" spans="1:100" ht="15" customHeight="1" x14ac:dyDescent="0.25">
      <c r="A28" s="38"/>
      <c r="B28" s="291"/>
      <c r="C28" s="292"/>
      <c r="D28" s="293"/>
      <c r="E28" s="511"/>
      <c r="F28" s="512"/>
      <c r="G28" s="512"/>
      <c r="H28" s="512"/>
      <c r="I28" s="512"/>
      <c r="J28" s="440" t="str">
        <f>IF(AND('Mapa final'!$K$37="Alta",'Mapa final'!$O$37="Leve"),CONCATENATE("R",'Mapa final'!$A$37),"")</f>
        <v/>
      </c>
      <c r="K28" s="438"/>
      <c r="L28" s="438" t="str">
        <f>IF(AND('Mapa final'!$K$40="Alta",'Mapa final'!$O$40="Leve"),CONCATENATE("R",'Mapa final'!$A$40),"")</f>
        <v/>
      </c>
      <c r="M28" s="438"/>
      <c r="N28" s="438" t="str">
        <f>IF(AND('Mapa final'!$K$44="Alta",'Mapa final'!$O$44="Leve"),CONCATENATE("R",'Mapa final'!$A$44),"")</f>
        <v/>
      </c>
      <c r="O28" s="438"/>
      <c r="P28" s="438" t="str">
        <f>IF(AND('Mapa final'!$K$47="Alta",'Mapa final'!$O$47="Leve"),CONCATENATE("R",'Mapa final'!$A$47),"")</f>
        <v/>
      </c>
      <c r="Q28" s="438"/>
      <c r="R28" s="438" t="str">
        <f>IF(AND('Mapa final'!$K$52="Alta",'Mapa final'!$O$52="Leve"),CONCATENATE("R",'Mapa final'!$A$52),"")</f>
        <v/>
      </c>
      <c r="S28" s="439"/>
      <c r="T28" s="440" t="str">
        <f>IF(AND('Mapa final'!$K$37="Alta",'Mapa final'!$O$37="Menor"),CONCATENATE("R",'Mapa final'!$A$37),"")</f>
        <v/>
      </c>
      <c r="U28" s="438"/>
      <c r="V28" s="438" t="str">
        <f>IF(AND('Mapa final'!$K$40="Alta",'Mapa final'!$O$40="Menor"),CONCATENATE("R",'Mapa final'!$A$40),"")</f>
        <v/>
      </c>
      <c r="W28" s="438"/>
      <c r="X28" s="438" t="str">
        <f>IF(AND('Mapa final'!$K$44="Alta",'Mapa final'!$O$44="Menor"),CONCATENATE("R",'Mapa final'!$A$44),"")</f>
        <v/>
      </c>
      <c r="Y28" s="438"/>
      <c r="Z28" s="438" t="str">
        <f>IF(AND('Mapa final'!$K$47="Alta",'Mapa final'!$O$47="Menor"),CONCATENATE("R",'Mapa final'!$A$47),"")</f>
        <v/>
      </c>
      <c r="AA28" s="438"/>
      <c r="AB28" s="438" t="str">
        <f>IF(AND('Mapa final'!$K$52="Alta",'Mapa final'!$O$52="Menor"),CONCATENATE("R",'Mapa final'!$A$52),"")</f>
        <v/>
      </c>
      <c r="AC28" s="439"/>
      <c r="AD28" s="443" t="str">
        <f>IF(AND('Mapa final'!$K$37="Alta",'Mapa final'!$O$37="Moderado"),CONCATENATE("R",'Mapa final'!$A$37),"")</f>
        <v/>
      </c>
      <c r="AE28" s="444"/>
      <c r="AF28" s="444" t="str">
        <f>IF(AND('Mapa final'!$K$40="Alta",'Mapa final'!$O$40="Moderado"),CONCATENATE("R",'Mapa final'!$A$40),"")</f>
        <v/>
      </c>
      <c r="AG28" s="444"/>
      <c r="AH28" s="444" t="str">
        <f>IF(AND('Mapa final'!$K$44="Alta",'Mapa final'!$O$44="Moderado"),CONCATENATE("R",'Mapa final'!$A$44),"")</f>
        <v/>
      </c>
      <c r="AI28" s="444"/>
      <c r="AJ28" s="444" t="str">
        <f>IF(AND('Mapa final'!$K$47="Alta",'Mapa final'!$O$47="Moderado"),CONCATENATE("R",'Mapa final'!$A$47),"")</f>
        <v/>
      </c>
      <c r="AK28" s="444"/>
      <c r="AL28" s="444" t="str">
        <f>IF(AND('Mapa final'!$K$52="Alta",'Mapa final'!$O$52="Moderado"),CONCATENATE("R",'Mapa final'!$A$52),"")</f>
        <v/>
      </c>
      <c r="AM28" s="446"/>
      <c r="AN28" s="443" t="str">
        <f>IF(AND('Mapa final'!$K$37="Alta",'Mapa final'!$O$37="Mayor"),CONCATENATE("R",'Mapa final'!$A$37),"")</f>
        <v/>
      </c>
      <c r="AO28" s="444"/>
      <c r="AP28" s="444" t="str">
        <f>IF(AND('Mapa final'!$K$40="Alta",'Mapa final'!$O$40="Mayor"),CONCATENATE("R",'Mapa final'!$A$40),"")</f>
        <v/>
      </c>
      <c r="AQ28" s="444"/>
      <c r="AR28" s="444" t="str">
        <f>IF(AND('Mapa final'!$K$44="Alta",'Mapa final'!$O$44="Mayor"),CONCATENATE("R",'Mapa final'!$A$44),"")</f>
        <v/>
      </c>
      <c r="AS28" s="444"/>
      <c r="AT28" s="444" t="str">
        <f>IF(AND('Mapa final'!$K$47="Alta",'Mapa final'!$O$47="Mayor"),CONCATENATE("R",'Mapa final'!$A$47),"")</f>
        <v/>
      </c>
      <c r="AU28" s="444"/>
      <c r="AV28" s="444" t="str">
        <f>IF(AND('Mapa final'!$K$52="Alta",'Mapa final'!$O$52="Mayor"),CONCATENATE("R",'Mapa final'!$A$52),"")</f>
        <v/>
      </c>
      <c r="AW28" s="446"/>
      <c r="AX28" s="437" t="str">
        <f>IF(AND('Mapa final'!$K$37="Alta",'Mapa final'!$O$37="Catastrófico"),CONCATENATE("R",'Mapa final'!$A$37),"")</f>
        <v/>
      </c>
      <c r="AY28" s="435"/>
      <c r="AZ28" s="435" t="str">
        <f>IF(AND('Mapa final'!$K$40="Alta",'Mapa final'!$O$40="Catastrófico"),CONCATENATE("R",'Mapa final'!$A$40),"")</f>
        <v/>
      </c>
      <c r="BA28" s="435"/>
      <c r="BB28" s="435" t="str">
        <f>IF(AND('Mapa final'!$K$44="Alta",'Mapa final'!$O$44="Catastrófico"),CONCATENATE("R",'Mapa final'!$A$44),"")</f>
        <v/>
      </c>
      <c r="BC28" s="435"/>
      <c r="BD28" s="435" t="str">
        <f>IF(AND('Mapa final'!$K$47="Alta",'Mapa final'!$O$47="Catastrófico"),CONCATENATE("R",'Mapa final'!$A$47),"")</f>
        <v/>
      </c>
      <c r="BE28" s="435"/>
      <c r="BF28" s="435" t="str">
        <f>IF(AND('Mapa final'!$K$52="Alta",'Mapa final'!$O$52="Catastrófico"),CONCATENATE("R",'Mapa final'!$A$52),"")</f>
        <v/>
      </c>
      <c r="BG28" s="436"/>
      <c r="BH28" s="38"/>
      <c r="BI28" s="476"/>
      <c r="BJ28" s="477"/>
      <c r="BK28" s="477"/>
      <c r="BL28" s="477"/>
      <c r="BM28" s="477"/>
      <c r="BN28" s="47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row>
    <row r="29" spans="1:100" ht="15" customHeight="1" x14ac:dyDescent="0.25">
      <c r="A29" s="38"/>
      <c r="B29" s="291"/>
      <c r="C29" s="292"/>
      <c r="D29" s="293"/>
      <c r="E29" s="511"/>
      <c r="F29" s="512"/>
      <c r="G29" s="512"/>
      <c r="H29" s="512"/>
      <c r="I29" s="512"/>
      <c r="J29" s="440"/>
      <c r="K29" s="438"/>
      <c r="L29" s="438"/>
      <c r="M29" s="438"/>
      <c r="N29" s="438"/>
      <c r="O29" s="438"/>
      <c r="P29" s="438"/>
      <c r="Q29" s="438"/>
      <c r="R29" s="438"/>
      <c r="S29" s="439"/>
      <c r="T29" s="440"/>
      <c r="U29" s="438"/>
      <c r="V29" s="438"/>
      <c r="W29" s="438"/>
      <c r="X29" s="438"/>
      <c r="Y29" s="438"/>
      <c r="Z29" s="438"/>
      <c r="AA29" s="438"/>
      <c r="AB29" s="438"/>
      <c r="AC29" s="439"/>
      <c r="AD29" s="443"/>
      <c r="AE29" s="444"/>
      <c r="AF29" s="444"/>
      <c r="AG29" s="444"/>
      <c r="AH29" s="444"/>
      <c r="AI29" s="444"/>
      <c r="AJ29" s="444"/>
      <c r="AK29" s="444"/>
      <c r="AL29" s="444"/>
      <c r="AM29" s="446"/>
      <c r="AN29" s="443"/>
      <c r="AO29" s="444"/>
      <c r="AP29" s="444"/>
      <c r="AQ29" s="444"/>
      <c r="AR29" s="444"/>
      <c r="AS29" s="444"/>
      <c r="AT29" s="444"/>
      <c r="AU29" s="444"/>
      <c r="AV29" s="444"/>
      <c r="AW29" s="446"/>
      <c r="AX29" s="437"/>
      <c r="AY29" s="435"/>
      <c r="AZ29" s="435"/>
      <c r="BA29" s="435"/>
      <c r="BB29" s="435"/>
      <c r="BC29" s="435"/>
      <c r="BD29" s="435"/>
      <c r="BE29" s="435"/>
      <c r="BF29" s="435"/>
      <c r="BG29" s="436"/>
      <c r="BH29" s="38"/>
      <c r="BI29" s="476"/>
      <c r="BJ29" s="477"/>
      <c r="BK29" s="477"/>
      <c r="BL29" s="477"/>
      <c r="BM29" s="477"/>
      <c r="BN29" s="47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row>
    <row r="30" spans="1:100" ht="15" customHeight="1" x14ac:dyDescent="0.25">
      <c r="A30" s="38"/>
      <c r="B30" s="291"/>
      <c r="C30" s="292"/>
      <c r="D30" s="293"/>
      <c r="E30" s="511"/>
      <c r="F30" s="512"/>
      <c r="G30" s="512"/>
      <c r="H30" s="512"/>
      <c r="I30" s="512"/>
      <c r="J30" s="440" t="str">
        <f>IF(AND('Mapa final'!$K$55="Alta",'Mapa final'!$O$55="Leve"),CONCATENATE("R",'Mapa final'!$A$55),"")</f>
        <v/>
      </c>
      <c r="K30" s="438"/>
      <c r="L30" s="438" t="str">
        <f>IF(AND('Mapa final'!$K$58="Alta",'Mapa final'!$O$58="Leve"),CONCATENATE("R",'Mapa final'!$A$58),"")</f>
        <v/>
      </c>
      <c r="M30" s="438"/>
      <c r="N30" s="438" t="str">
        <f>IF(AND('Mapa final'!$K$61="Alta",'Mapa final'!$O$61="Leve"),CONCATENATE("R",'Mapa final'!$A$61),"")</f>
        <v/>
      </c>
      <c r="O30" s="438"/>
      <c r="P30" s="438" t="str">
        <f>IF(AND('Mapa final'!$K$64="Alta",'Mapa final'!$O$64="Leve"),CONCATENATE("R",'Mapa final'!$A$64),"")</f>
        <v/>
      </c>
      <c r="Q30" s="438"/>
      <c r="R30" s="438" t="str">
        <f>IF(AND('Mapa final'!$K$67="Alta",'Mapa final'!$O$67="Leve"),CONCATENATE("R",'Mapa final'!$A$67),"")</f>
        <v/>
      </c>
      <c r="S30" s="439"/>
      <c r="T30" s="440" t="str">
        <f>IF(AND('Mapa final'!$K$55="Alta",'Mapa final'!$O$55="Menor"),CONCATENATE("R",'Mapa final'!$A$55),"")</f>
        <v/>
      </c>
      <c r="U30" s="438"/>
      <c r="V30" s="438" t="str">
        <f>IF(AND('Mapa final'!$K$58="Alta",'Mapa final'!$O$58="Menor"),CONCATENATE("R",'Mapa final'!$A$58),"")</f>
        <v/>
      </c>
      <c r="W30" s="438"/>
      <c r="X30" s="438" t="str">
        <f>IF(AND('Mapa final'!$K$61="Alta",'Mapa final'!$O$61="Menor"),CONCATENATE("R",'Mapa final'!$A$61),"")</f>
        <v/>
      </c>
      <c r="Y30" s="438"/>
      <c r="Z30" s="438" t="str">
        <f>IF(AND('Mapa final'!$K$64="Alta",'Mapa final'!$O$64="Menor"),CONCATENATE("R",'Mapa final'!$A$64),"")</f>
        <v/>
      </c>
      <c r="AA30" s="438"/>
      <c r="AB30" s="438" t="str">
        <f>IF(AND('Mapa final'!$K$67="Alta",'Mapa final'!$O$67="Menor"),CONCATENATE("R",'Mapa final'!$A$67),"")</f>
        <v/>
      </c>
      <c r="AC30" s="439"/>
      <c r="AD30" s="443" t="str">
        <f>IF(AND('Mapa final'!$K$55="Alta",'Mapa final'!$O$55="Moderado"),CONCATENATE("R",'Mapa final'!$A$55),"")</f>
        <v/>
      </c>
      <c r="AE30" s="444"/>
      <c r="AF30" s="444" t="str">
        <f>IF(AND('Mapa final'!$K$58="Alta",'Mapa final'!$O$58="Moderado"),CONCATENATE("R",'Mapa final'!$A$58),"")</f>
        <v/>
      </c>
      <c r="AG30" s="444"/>
      <c r="AH30" s="444" t="str">
        <f>IF(AND('Mapa final'!$K$61="Alta",'Mapa final'!$O$61="Moderado"),CONCATENATE("R",'Mapa final'!$A$61),"")</f>
        <v/>
      </c>
      <c r="AI30" s="444"/>
      <c r="AJ30" s="444" t="str">
        <f>IF(AND('Mapa final'!$K$64="Alta",'Mapa final'!$O$64="Moderado"),CONCATENATE("R",'Mapa final'!$A$64),"")</f>
        <v/>
      </c>
      <c r="AK30" s="444"/>
      <c r="AL30" s="444" t="str">
        <f>IF(AND('Mapa final'!$K$67="Alta",'Mapa final'!$O$67="Moderado"),CONCATENATE("R",'Mapa final'!$A$67),"")</f>
        <v/>
      </c>
      <c r="AM30" s="446"/>
      <c r="AN30" s="443" t="str">
        <f>IF(AND('Mapa final'!$K$55="Alta",'Mapa final'!$O$55="Mayor"),CONCATENATE("R",'Mapa final'!$A$55),"")</f>
        <v/>
      </c>
      <c r="AO30" s="444"/>
      <c r="AP30" s="444" t="str">
        <f>IF(AND('Mapa final'!$K$58="Alta",'Mapa final'!$O$58="Mayor"),CONCATENATE("R",'Mapa final'!$A$58),"")</f>
        <v/>
      </c>
      <c r="AQ30" s="444"/>
      <c r="AR30" s="444" t="str">
        <f>IF(AND('Mapa final'!$K$61="Alta",'Mapa final'!$O$61="Mayor"),CONCATENATE("R",'Mapa final'!$A$61),"")</f>
        <v/>
      </c>
      <c r="AS30" s="444"/>
      <c r="AT30" s="444" t="str">
        <f>IF(AND('Mapa final'!$K$64="Alta",'Mapa final'!$O$64="Mayor"),CONCATENATE("R",'Mapa final'!$A$64),"")</f>
        <v/>
      </c>
      <c r="AU30" s="444"/>
      <c r="AV30" s="444" t="str">
        <f>IF(AND('Mapa final'!$K$67="Alta",'Mapa final'!$O$67="Mayor"),CONCATENATE("R",'Mapa final'!$A$67),"")</f>
        <v/>
      </c>
      <c r="AW30" s="446"/>
      <c r="AX30" s="437" t="str">
        <f>IF(AND('Mapa final'!$K$55="Alta",'Mapa final'!$O$55="Catastrófico"),CONCATENATE("R",'Mapa final'!$A$55),"")</f>
        <v/>
      </c>
      <c r="AY30" s="435"/>
      <c r="AZ30" s="435" t="str">
        <f>IF(AND('Mapa final'!$K$58="Alta",'Mapa final'!$O$58="Catastrófico"),CONCATENATE("R",'Mapa final'!$A$58),"")</f>
        <v/>
      </c>
      <c r="BA30" s="435"/>
      <c r="BB30" s="435" t="str">
        <f>IF(AND('Mapa final'!$K$61="Alta",'Mapa final'!$O$61="Catastrófico"),CONCATENATE("R",'Mapa final'!$A$61),"")</f>
        <v/>
      </c>
      <c r="BC30" s="435"/>
      <c r="BD30" s="435" t="str">
        <f>IF(AND('Mapa final'!$K$64="Alta",'Mapa final'!$O$64="Catastrófico"),CONCATENATE("R",'Mapa final'!$A$64),"")</f>
        <v/>
      </c>
      <c r="BE30" s="435"/>
      <c r="BF30" s="435" t="str">
        <f>IF(AND('Mapa final'!$K$67="Alta",'Mapa final'!$O$67="Catastrófico"),CONCATENATE("R",'Mapa final'!$A$67),"")</f>
        <v/>
      </c>
      <c r="BG30" s="436"/>
      <c r="BH30" s="38"/>
      <c r="BI30" s="476"/>
      <c r="BJ30" s="477"/>
      <c r="BK30" s="477"/>
      <c r="BL30" s="477"/>
      <c r="BM30" s="477"/>
      <c r="BN30" s="47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row>
    <row r="31" spans="1:100" ht="15" customHeight="1" thickBot="1" x14ac:dyDescent="0.3">
      <c r="A31" s="38"/>
      <c r="B31" s="291"/>
      <c r="C31" s="292"/>
      <c r="D31" s="293"/>
      <c r="E31" s="511"/>
      <c r="F31" s="512"/>
      <c r="G31" s="512"/>
      <c r="H31" s="512"/>
      <c r="I31" s="512"/>
      <c r="J31" s="440"/>
      <c r="K31" s="438"/>
      <c r="L31" s="438"/>
      <c r="M31" s="438"/>
      <c r="N31" s="438"/>
      <c r="O31" s="438"/>
      <c r="P31" s="438"/>
      <c r="Q31" s="438"/>
      <c r="R31" s="438"/>
      <c r="S31" s="439"/>
      <c r="T31" s="440"/>
      <c r="U31" s="438"/>
      <c r="V31" s="438"/>
      <c r="W31" s="438"/>
      <c r="X31" s="438"/>
      <c r="Y31" s="438"/>
      <c r="Z31" s="438"/>
      <c r="AA31" s="438"/>
      <c r="AB31" s="438"/>
      <c r="AC31" s="439"/>
      <c r="AD31" s="443"/>
      <c r="AE31" s="444"/>
      <c r="AF31" s="444"/>
      <c r="AG31" s="444"/>
      <c r="AH31" s="444"/>
      <c r="AI31" s="444"/>
      <c r="AJ31" s="444"/>
      <c r="AK31" s="444"/>
      <c r="AL31" s="444"/>
      <c r="AM31" s="446"/>
      <c r="AN31" s="443"/>
      <c r="AO31" s="444"/>
      <c r="AP31" s="444"/>
      <c r="AQ31" s="444"/>
      <c r="AR31" s="444"/>
      <c r="AS31" s="444"/>
      <c r="AT31" s="444"/>
      <c r="AU31" s="444"/>
      <c r="AV31" s="444"/>
      <c r="AW31" s="446"/>
      <c r="AX31" s="437"/>
      <c r="AY31" s="435"/>
      <c r="AZ31" s="435"/>
      <c r="BA31" s="435"/>
      <c r="BB31" s="435"/>
      <c r="BC31" s="435"/>
      <c r="BD31" s="435"/>
      <c r="BE31" s="435"/>
      <c r="BF31" s="435"/>
      <c r="BG31" s="436"/>
      <c r="BH31" s="38"/>
      <c r="BI31" s="479"/>
      <c r="BJ31" s="480"/>
      <c r="BK31" s="480"/>
      <c r="BL31" s="480"/>
      <c r="BM31" s="480"/>
      <c r="BN31" s="481"/>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row>
    <row r="32" spans="1:100" ht="15" customHeight="1" x14ac:dyDescent="0.25">
      <c r="A32" s="38"/>
      <c r="B32" s="291"/>
      <c r="C32" s="292"/>
      <c r="D32" s="293"/>
      <c r="E32" s="511"/>
      <c r="F32" s="512"/>
      <c r="G32" s="512"/>
      <c r="H32" s="512"/>
      <c r="I32" s="512"/>
      <c r="J32" s="440" t="str">
        <f>IF(AND('Mapa final'!$K$70="Alta",'Mapa final'!$O$70="Leve"),CONCATENATE("R",'Mapa final'!$A$70),"")</f>
        <v/>
      </c>
      <c r="K32" s="438"/>
      <c r="L32" s="438" t="str">
        <f>IF(AND('Mapa final'!$K$73="Alta",'Mapa final'!$O$73="Leve"),CONCATENATE("R",'Mapa final'!$A$73),"")</f>
        <v/>
      </c>
      <c r="M32" s="438"/>
      <c r="N32" s="438" t="str">
        <f>IF(AND('Mapa final'!$K$76="Alta",'Mapa final'!$O$76="Leve"),CONCATENATE("R",'Mapa final'!$A$76),"")</f>
        <v/>
      </c>
      <c r="O32" s="438"/>
      <c r="P32" s="438" t="str">
        <f>IF(AND('Mapa final'!$K$79="Alta",'Mapa final'!$O$79="Leve"),CONCATENATE("R",'Mapa final'!$A$79),"")</f>
        <v/>
      </c>
      <c r="Q32" s="438"/>
      <c r="R32" s="438" t="str">
        <f>IF(AND('Mapa final'!$K$82="Alta",'Mapa final'!$O$82="Leve"),CONCATENATE("R",'Mapa final'!$A$82),"")</f>
        <v/>
      </c>
      <c r="S32" s="439"/>
      <c r="T32" s="440" t="str">
        <f>IF(AND('Mapa final'!$K$70="Alta",'Mapa final'!$O$70="Menor"),CONCATENATE("R",'Mapa final'!$A$70),"")</f>
        <v/>
      </c>
      <c r="U32" s="438"/>
      <c r="V32" s="438" t="str">
        <f>IF(AND('Mapa final'!$K$73="Alta",'Mapa final'!$O$73="Menor"),CONCATENATE("R",'Mapa final'!$A$73),"")</f>
        <v/>
      </c>
      <c r="W32" s="438"/>
      <c r="X32" s="438" t="str">
        <f>IF(AND('Mapa final'!$K$76="Alta",'Mapa final'!$O$76="Menor"),CONCATENATE("R",'Mapa final'!$A$76),"")</f>
        <v/>
      </c>
      <c r="Y32" s="438"/>
      <c r="Z32" s="438" t="str">
        <f>IF(AND('Mapa final'!$K$79="Alta",'Mapa final'!$O$79="Menor"),CONCATENATE("R",'Mapa final'!$A$79),"")</f>
        <v/>
      </c>
      <c r="AA32" s="438"/>
      <c r="AB32" s="438" t="str">
        <f>IF(AND('Mapa final'!$K$82="Alta",'Mapa final'!$O$82="Menor"),CONCATENATE("R",'Mapa final'!$A$82),"")</f>
        <v/>
      </c>
      <c r="AC32" s="439"/>
      <c r="AD32" s="443" t="str">
        <f>IF(AND('Mapa final'!$K$70="Alta",'Mapa final'!$O$70="Moderado"),CONCATENATE("R",'Mapa final'!$A$70),"")</f>
        <v>R21</v>
      </c>
      <c r="AE32" s="444"/>
      <c r="AF32" s="444" t="str">
        <f>IF(AND('Mapa final'!$K$73="Alta",'Mapa final'!$O$73="Moderado"),CONCATENATE("R",'Mapa final'!$A$73),"")</f>
        <v/>
      </c>
      <c r="AG32" s="444"/>
      <c r="AH32" s="444" t="str">
        <f>IF(AND('Mapa final'!$K$76="Alta",'Mapa final'!$O$76="Moderado"),CONCATENATE("R",'Mapa final'!$A$76),"")</f>
        <v/>
      </c>
      <c r="AI32" s="444"/>
      <c r="AJ32" s="444" t="str">
        <f>IF(AND('Mapa final'!$K$79="Alta",'Mapa final'!$O$79="Moderado"),CONCATENATE("R",'Mapa final'!$A$79),"")</f>
        <v/>
      </c>
      <c r="AK32" s="444"/>
      <c r="AL32" s="444" t="str">
        <f>IF(AND('Mapa final'!$K$82="Alta",'Mapa final'!$O$82="Moderado"),CONCATENATE("R",'Mapa final'!$A$82),"")</f>
        <v/>
      </c>
      <c r="AM32" s="446"/>
      <c r="AN32" s="443" t="str">
        <f>IF(AND('Mapa final'!$K$70="Alta",'Mapa final'!$O$70="Mayor"),CONCATENATE("R",'Mapa final'!$A$70),"")</f>
        <v/>
      </c>
      <c r="AO32" s="444"/>
      <c r="AP32" s="444" t="str">
        <f>IF(AND('Mapa final'!$K$73="Alta",'Mapa final'!$O$73="Mayor"),CONCATENATE("R",'Mapa final'!$A$73),"")</f>
        <v/>
      </c>
      <c r="AQ32" s="444"/>
      <c r="AR32" s="444" t="str">
        <f>IF(AND('Mapa final'!$K$76="Alta",'Mapa final'!$O$76="Mayor"),CONCATENATE("R",'Mapa final'!$A$76),"")</f>
        <v/>
      </c>
      <c r="AS32" s="444"/>
      <c r="AT32" s="444" t="str">
        <f>IF(AND('Mapa final'!$K$79="Alta",'Mapa final'!$O$79="Mayor"),CONCATENATE("R",'Mapa final'!$A$79),"")</f>
        <v/>
      </c>
      <c r="AU32" s="444"/>
      <c r="AV32" s="444" t="str">
        <f>IF(AND('Mapa final'!$K$82="Alta",'Mapa final'!$O$82="Mayor"),CONCATENATE("R",'Mapa final'!$A$82),"")</f>
        <v/>
      </c>
      <c r="AW32" s="446"/>
      <c r="AX32" s="437" t="str">
        <f>IF(AND('Mapa final'!$K$70="Alta",'Mapa final'!$O$70="Catastrófico"),CONCATENATE("R",'Mapa final'!$A$70),"")</f>
        <v/>
      </c>
      <c r="AY32" s="435"/>
      <c r="AZ32" s="435" t="str">
        <f>IF(AND('Mapa final'!$K$73="Alta",'Mapa final'!$O$73="Catastrófico"),CONCATENATE("R",'Mapa final'!$A$73),"")</f>
        <v/>
      </c>
      <c r="BA32" s="435"/>
      <c r="BB32" s="435" t="str">
        <f>IF(AND('Mapa final'!$K$76="Alta",'Mapa final'!$O$76="Catastrófico"),CONCATENATE("R",'Mapa final'!$A$76),"")</f>
        <v/>
      </c>
      <c r="BC32" s="435"/>
      <c r="BD32" s="435" t="str">
        <f>IF(AND('Mapa final'!$K$79="Alta",'Mapa final'!$O$79="Catastrófico"),CONCATENATE("R",'Mapa final'!$A$79),"")</f>
        <v/>
      </c>
      <c r="BE32" s="435"/>
      <c r="BF32" s="435" t="str">
        <f>IF(AND('Mapa final'!$K$82="Alta",'Mapa final'!$O$82="Catastrófico"),CONCATENATE("R",'Mapa final'!$A$82),"")</f>
        <v/>
      </c>
      <c r="BG32" s="436"/>
      <c r="BH32" s="38"/>
      <c r="BI32" s="482" t="s">
        <v>74</v>
      </c>
      <c r="BJ32" s="483"/>
      <c r="BK32" s="483"/>
      <c r="BL32" s="483"/>
      <c r="BM32" s="483"/>
      <c r="BN32" s="484"/>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row>
    <row r="33" spans="1:100" ht="15" customHeight="1" x14ac:dyDescent="0.25">
      <c r="A33" s="38"/>
      <c r="B33" s="291"/>
      <c r="C33" s="292"/>
      <c r="D33" s="293"/>
      <c r="E33" s="511"/>
      <c r="F33" s="512"/>
      <c r="G33" s="512"/>
      <c r="H33" s="512"/>
      <c r="I33" s="512"/>
      <c r="J33" s="440"/>
      <c r="K33" s="438"/>
      <c r="L33" s="438"/>
      <c r="M33" s="438"/>
      <c r="N33" s="438"/>
      <c r="O33" s="438"/>
      <c r="P33" s="438"/>
      <c r="Q33" s="438"/>
      <c r="R33" s="438"/>
      <c r="S33" s="439"/>
      <c r="T33" s="440"/>
      <c r="U33" s="438"/>
      <c r="V33" s="438"/>
      <c r="W33" s="438"/>
      <c r="X33" s="438"/>
      <c r="Y33" s="438"/>
      <c r="Z33" s="438"/>
      <c r="AA33" s="438"/>
      <c r="AB33" s="438"/>
      <c r="AC33" s="439"/>
      <c r="AD33" s="443"/>
      <c r="AE33" s="444"/>
      <c r="AF33" s="444"/>
      <c r="AG33" s="444"/>
      <c r="AH33" s="444"/>
      <c r="AI33" s="444"/>
      <c r="AJ33" s="444"/>
      <c r="AK33" s="444"/>
      <c r="AL33" s="444"/>
      <c r="AM33" s="446"/>
      <c r="AN33" s="443"/>
      <c r="AO33" s="444"/>
      <c r="AP33" s="444"/>
      <c r="AQ33" s="444"/>
      <c r="AR33" s="444"/>
      <c r="AS33" s="444"/>
      <c r="AT33" s="444"/>
      <c r="AU33" s="444"/>
      <c r="AV33" s="444"/>
      <c r="AW33" s="446"/>
      <c r="AX33" s="437"/>
      <c r="AY33" s="435"/>
      <c r="AZ33" s="435"/>
      <c r="BA33" s="435"/>
      <c r="BB33" s="435"/>
      <c r="BC33" s="435"/>
      <c r="BD33" s="435"/>
      <c r="BE33" s="435"/>
      <c r="BF33" s="435"/>
      <c r="BG33" s="436"/>
      <c r="BH33" s="38"/>
      <c r="BI33" s="485"/>
      <c r="BJ33" s="486"/>
      <c r="BK33" s="486"/>
      <c r="BL33" s="486"/>
      <c r="BM33" s="486"/>
      <c r="BN33" s="487"/>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row>
    <row r="34" spans="1:100" ht="15" customHeight="1" x14ac:dyDescent="0.25">
      <c r="A34" s="38"/>
      <c r="B34" s="291"/>
      <c r="C34" s="292"/>
      <c r="D34" s="293"/>
      <c r="E34" s="511"/>
      <c r="F34" s="512"/>
      <c r="G34" s="512"/>
      <c r="H34" s="512"/>
      <c r="I34" s="512"/>
      <c r="J34" s="440" t="str">
        <f>IF(AND('Mapa final'!$K$85="Alta",'Mapa final'!$O$85="Leve"),CONCATENATE("R",'Mapa final'!$A$85),"")</f>
        <v/>
      </c>
      <c r="K34" s="438"/>
      <c r="L34" s="438" t="str">
        <f>IF(AND('Mapa final'!$K$88="Alta",'Mapa final'!$O$88="Leve"),CONCATENATE("R",'Mapa final'!$A$88),"")</f>
        <v/>
      </c>
      <c r="M34" s="438"/>
      <c r="N34" s="438" t="str">
        <f>IF(AND('Mapa final'!$K$91="Alta",'Mapa final'!$O$91="Leve"),CONCATENATE("R",'Mapa final'!$A$91),"")</f>
        <v/>
      </c>
      <c r="O34" s="438"/>
      <c r="P34" s="438" t="str">
        <f>IF(AND('Mapa final'!$K$94="Alta",'Mapa final'!$O$94="Leve"),CONCATENATE("R",'Mapa final'!$A$94),"")</f>
        <v/>
      </c>
      <c r="Q34" s="438"/>
      <c r="R34" s="438" t="str">
        <f>IF(AND('Mapa final'!$K$97="Alta",'Mapa final'!$O$97="Leve"),CONCATENATE("R",'Mapa final'!$A$97),"")</f>
        <v/>
      </c>
      <c r="S34" s="439"/>
      <c r="T34" s="440" t="str">
        <f>IF(AND('Mapa final'!$K$85="Alta",'Mapa final'!$O$85="Menor"),CONCATENATE("R",'Mapa final'!$A$85),"")</f>
        <v/>
      </c>
      <c r="U34" s="438"/>
      <c r="V34" s="438" t="str">
        <f>IF(AND('Mapa final'!$K$88="Alta",'Mapa final'!$O$88="Menor"),CONCATENATE("R",'Mapa final'!$A$88),"")</f>
        <v/>
      </c>
      <c r="W34" s="438"/>
      <c r="X34" s="438" t="str">
        <f>IF(AND('Mapa final'!$K$91="Alta",'Mapa final'!$O$91="Menor"),CONCATENATE("R",'Mapa final'!$A$91),"")</f>
        <v/>
      </c>
      <c r="Y34" s="438"/>
      <c r="Z34" s="438" t="str">
        <f>IF(AND('Mapa final'!$K$94="Alta",'Mapa final'!$O$94="Menor"),CONCATENATE("R",'Mapa final'!$A$94),"")</f>
        <v/>
      </c>
      <c r="AA34" s="438"/>
      <c r="AB34" s="438" t="str">
        <f>IF(AND('Mapa final'!$K$97="Alta",'Mapa final'!$O$97="Menor"),CONCATENATE("R",'Mapa final'!$A$97),"")</f>
        <v/>
      </c>
      <c r="AC34" s="439"/>
      <c r="AD34" s="443" t="str">
        <f>IF(AND('Mapa final'!$K$85="Alta",'Mapa final'!$O$85="Moderado"),CONCATENATE("R",'Mapa final'!$A$85),"")</f>
        <v/>
      </c>
      <c r="AE34" s="444"/>
      <c r="AF34" s="444" t="str">
        <f>IF(AND('Mapa final'!$K$88="Alta",'Mapa final'!$O$88="Moderado"),CONCATENATE("R",'Mapa final'!$A$88),"")</f>
        <v/>
      </c>
      <c r="AG34" s="444"/>
      <c r="AH34" s="444" t="str">
        <f>IF(AND('Mapa final'!$K$91="Alta",'Mapa final'!$O$91="Moderado"),CONCATENATE("R",'Mapa final'!$A$91),"")</f>
        <v/>
      </c>
      <c r="AI34" s="444"/>
      <c r="AJ34" s="444" t="str">
        <f>IF(AND('Mapa final'!$K$94="Alta",'Mapa final'!$O$94="Moderado"),CONCATENATE("R",'Mapa final'!$A$94),"")</f>
        <v/>
      </c>
      <c r="AK34" s="444"/>
      <c r="AL34" s="444" t="str">
        <f>IF(AND('Mapa final'!$K$97="Alta",'Mapa final'!$O$97="Moderado"),CONCATENATE("R",'Mapa final'!$A$97),"")</f>
        <v/>
      </c>
      <c r="AM34" s="446"/>
      <c r="AN34" s="443" t="str">
        <f>IF(AND('Mapa final'!$K$85="Alta",'Mapa final'!$O$85="Mayor"),CONCATENATE("R",'Mapa final'!$A$85),"")</f>
        <v/>
      </c>
      <c r="AO34" s="444"/>
      <c r="AP34" s="444" t="str">
        <f>IF(AND('Mapa final'!$K$88="Alta",'Mapa final'!$O$88="Mayor"),CONCATENATE("R",'Mapa final'!$A$88),"")</f>
        <v>R27</v>
      </c>
      <c r="AQ34" s="444"/>
      <c r="AR34" s="444" t="str">
        <f>IF(AND('Mapa final'!$K$91="Alta",'Mapa final'!$O$91="Mayor"),CONCATENATE("R",'Mapa final'!$A$91),"")</f>
        <v/>
      </c>
      <c r="AS34" s="444"/>
      <c r="AT34" s="444" t="str">
        <f>IF(AND('Mapa final'!$K$94="Alta",'Mapa final'!$O$94="Mayor"),CONCATENATE("R",'Mapa final'!$A$94),"")</f>
        <v/>
      </c>
      <c r="AU34" s="444"/>
      <c r="AV34" s="444" t="str">
        <f>IF(AND('Mapa final'!$K$97="Alta",'Mapa final'!$O$97="Mayor"),CONCATENATE("R",'Mapa final'!$A$97),"")</f>
        <v/>
      </c>
      <c r="AW34" s="446"/>
      <c r="AX34" s="437" t="str">
        <f>IF(AND('Mapa final'!$K$85="Alta",'Mapa final'!$O$85="Catastrófico"),CONCATENATE("R",'Mapa final'!$A$85),"")</f>
        <v/>
      </c>
      <c r="AY34" s="435"/>
      <c r="AZ34" s="435" t="str">
        <f>IF(AND('Mapa final'!$K$88="Alta",'Mapa final'!$O$88="Catastrófico"),CONCATENATE("R",'Mapa final'!$A$88),"")</f>
        <v/>
      </c>
      <c r="BA34" s="435"/>
      <c r="BB34" s="435" t="str">
        <f>IF(AND('Mapa final'!$K$91="Alta",'Mapa final'!$O$91="Catastrófico"),CONCATENATE("R",'Mapa final'!$A$91),"")</f>
        <v/>
      </c>
      <c r="BC34" s="435"/>
      <c r="BD34" s="435" t="str">
        <f>IF(AND('Mapa final'!$K$94="Alta",'Mapa final'!$O$94="Catastrófico"),CONCATENATE("R",'Mapa final'!$A$94),"")</f>
        <v/>
      </c>
      <c r="BE34" s="435"/>
      <c r="BF34" s="435" t="str">
        <f>IF(AND('Mapa final'!$K$97="Alta",'Mapa final'!$O$97="Catastrófico"),CONCATENATE("R",'Mapa final'!$A$97),"")</f>
        <v/>
      </c>
      <c r="BG34" s="436"/>
      <c r="BH34" s="38"/>
      <c r="BI34" s="485"/>
      <c r="BJ34" s="486"/>
      <c r="BK34" s="486"/>
      <c r="BL34" s="486"/>
      <c r="BM34" s="486"/>
      <c r="BN34" s="487"/>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row>
    <row r="35" spans="1:100" ht="15" customHeight="1" x14ac:dyDescent="0.25">
      <c r="A35" s="38"/>
      <c r="B35" s="291"/>
      <c r="C35" s="292"/>
      <c r="D35" s="293"/>
      <c r="E35" s="511"/>
      <c r="F35" s="512"/>
      <c r="G35" s="512"/>
      <c r="H35" s="512"/>
      <c r="I35" s="512"/>
      <c r="J35" s="440"/>
      <c r="K35" s="438"/>
      <c r="L35" s="438"/>
      <c r="M35" s="438"/>
      <c r="N35" s="438"/>
      <c r="O35" s="438"/>
      <c r="P35" s="438"/>
      <c r="Q35" s="438"/>
      <c r="R35" s="438"/>
      <c r="S35" s="439"/>
      <c r="T35" s="440"/>
      <c r="U35" s="438"/>
      <c r="V35" s="438"/>
      <c r="W35" s="438"/>
      <c r="X35" s="438"/>
      <c r="Y35" s="438"/>
      <c r="Z35" s="438"/>
      <c r="AA35" s="438"/>
      <c r="AB35" s="438"/>
      <c r="AC35" s="439"/>
      <c r="AD35" s="443"/>
      <c r="AE35" s="444"/>
      <c r="AF35" s="444"/>
      <c r="AG35" s="444"/>
      <c r="AH35" s="444"/>
      <c r="AI35" s="444"/>
      <c r="AJ35" s="444"/>
      <c r="AK35" s="444"/>
      <c r="AL35" s="444"/>
      <c r="AM35" s="446"/>
      <c r="AN35" s="443"/>
      <c r="AO35" s="444"/>
      <c r="AP35" s="444"/>
      <c r="AQ35" s="444"/>
      <c r="AR35" s="444"/>
      <c r="AS35" s="444"/>
      <c r="AT35" s="444"/>
      <c r="AU35" s="444"/>
      <c r="AV35" s="444"/>
      <c r="AW35" s="446"/>
      <c r="AX35" s="437"/>
      <c r="AY35" s="435"/>
      <c r="AZ35" s="435"/>
      <c r="BA35" s="435"/>
      <c r="BB35" s="435"/>
      <c r="BC35" s="435"/>
      <c r="BD35" s="435"/>
      <c r="BE35" s="435"/>
      <c r="BF35" s="435"/>
      <c r="BG35" s="436"/>
      <c r="BH35" s="38"/>
      <c r="BI35" s="485"/>
      <c r="BJ35" s="486"/>
      <c r="BK35" s="486"/>
      <c r="BL35" s="486"/>
      <c r="BM35" s="486"/>
      <c r="BN35" s="487"/>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row>
    <row r="36" spans="1:100" ht="15" customHeight="1" x14ac:dyDescent="0.25">
      <c r="A36" s="38"/>
      <c r="B36" s="291"/>
      <c r="C36" s="292"/>
      <c r="D36" s="293"/>
      <c r="E36" s="511"/>
      <c r="F36" s="512"/>
      <c r="G36" s="512"/>
      <c r="H36" s="512"/>
      <c r="I36" s="512"/>
      <c r="J36" s="440" t="str">
        <f>IF(AND('Mapa final'!$K$100="Alta",'Mapa final'!$O$100="Leve"),CONCATENATE("R",'Mapa final'!$A$100),"")</f>
        <v/>
      </c>
      <c r="K36" s="438"/>
      <c r="L36" s="438" t="str">
        <f>IF(AND('Mapa final'!$K$103="Alta",'Mapa final'!$O$103="Leve"),CONCATENATE("R",'Mapa final'!$A$103),"")</f>
        <v/>
      </c>
      <c r="M36" s="438"/>
      <c r="N36" s="438" t="str">
        <f>IF(AND('Mapa final'!$K$106="Alta",'Mapa final'!$O$106="Leve"),CONCATENATE("R",'Mapa final'!$A$106),"")</f>
        <v/>
      </c>
      <c r="O36" s="438"/>
      <c r="P36" s="438" t="str">
        <f>IF(AND('Mapa final'!$K$109="Alta",'Mapa final'!$O$109="Leve"),CONCATENATE("R",'Mapa final'!$A$109),"")</f>
        <v/>
      </c>
      <c r="Q36" s="438"/>
      <c r="R36" s="438" t="str">
        <f>IF(AND('Mapa final'!$K$112="Alta",'Mapa final'!$O$112="Leve"),CONCATENATE("R",'Mapa final'!$A$112),"")</f>
        <v/>
      </c>
      <c r="S36" s="438"/>
      <c r="T36" s="440" t="str">
        <f>IF(AND('Mapa final'!$K$100="Alta",'Mapa final'!$O$100="Menor"),CONCATENATE("R",'Mapa final'!$A$100),"")</f>
        <v/>
      </c>
      <c r="U36" s="438"/>
      <c r="V36" s="438" t="str">
        <f>IF(AND('Mapa final'!$K$103="Alta",'Mapa final'!$O$103="Menor"),CONCATENATE("R",'Mapa final'!$A$103),"")</f>
        <v/>
      </c>
      <c r="W36" s="438"/>
      <c r="X36" s="438" t="str">
        <f>IF(AND('Mapa final'!$K$106="Alta",'Mapa final'!$O$106="Menor"),CONCATENATE("R",'Mapa final'!$A$106),"")</f>
        <v/>
      </c>
      <c r="Y36" s="438"/>
      <c r="Z36" s="438" t="str">
        <f>IF(AND('Mapa final'!$K$109="Alta",'Mapa final'!$O$109="Menor"),CONCATENATE("R",'Mapa final'!$A$109),"")</f>
        <v/>
      </c>
      <c r="AA36" s="438"/>
      <c r="AB36" s="438" t="str">
        <f>IF(AND('Mapa final'!$K$112="Alta",'Mapa final'!$O$112="Menor"),CONCATENATE("R",'Mapa final'!$A$112),"")</f>
        <v/>
      </c>
      <c r="AC36" s="438"/>
      <c r="AD36" s="443" t="str">
        <f>IF(AND('Mapa final'!$K$100="Alta",'Mapa final'!$O$100="Moderado"),CONCATENATE("R",'Mapa final'!$A$100),"")</f>
        <v/>
      </c>
      <c r="AE36" s="444"/>
      <c r="AF36" s="444" t="str">
        <f>IF(AND('Mapa final'!$K$103="Alta",'Mapa final'!$O$103="Moderado"),CONCATENATE("R",'Mapa final'!$A$103),"")</f>
        <v/>
      </c>
      <c r="AG36" s="444"/>
      <c r="AH36" s="444" t="str">
        <f>IF(AND('Mapa final'!$K$106="Alta",'Mapa final'!$O$106="Moderado"),CONCATENATE("R",'Mapa final'!$A$106),"")</f>
        <v/>
      </c>
      <c r="AI36" s="444"/>
      <c r="AJ36" s="444" t="str">
        <f>IF(AND('Mapa final'!$K$109="Alta",'Mapa final'!$O$109="Moderado"),CONCATENATE("R",'Mapa final'!$A$109),"")</f>
        <v/>
      </c>
      <c r="AK36" s="444"/>
      <c r="AL36" s="444" t="str">
        <f>IF(AND('Mapa final'!$K$112="Alta",'Mapa final'!$O$112="Moderado"),CONCATENATE("R",'Mapa final'!$A$112),"")</f>
        <v/>
      </c>
      <c r="AM36" s="444"/>
      <c r="AN36" s="443" t="str">
        <f>IF(AND('Mapa final'!$K$100="Alta",'Mapa final'!$O$100="Mayor"),CONCATENATE("R",'Mapa final'!$A$100),"")</f>
        <v/>
      </c>
      <c r="AO36" s="444"/>
      <c r="AP36" s="444" t="str">
        <f>IF(AND('Mapa final'!$K$103="Alta",'Mapa final'!$O$103="Mayor"),CONCATENATE("R",'Mapa final'!$A$103),"")</f>
        <v/>
      </c>
      <c r="AQ36" s="444"/>
      <c r="AR36" s="444" t="str">
        <f>IF(AND('Mapa final'!$K$106="Alta",'Mapa final'!$O$106="Mayor"),CONCATENATE("R",'Mapa final'!$A$106),"")</f>
        <v/>
      </c>
      <c r="AS36" s="444"/>
      <c r="AT36" s="444" t="str">
        <f>IF(AND('Mapa final'!$K$109="Alta",'Mapa final'!$O$109="Mayor"),CONCATENATE("R",'Mapa final'!$A$109),"")</f>
        <v/>
      </c>
      <c r="AU36" s="444"/>
      <c r="AV36" s="444" t="str">
        <f>IF(AND('Mapa final'!$K$112="Alta",'Mapa final'!$O$112="Mayor"),CONCATENATE("R",'Mapa final'!$A$112),"")</f>
        <v/>
      </c>
      <c r="AW36" s="444"/>
      <c r="AX36" s="437" t="str">
        <f>IF(AND('Mapa final'!$K$100="Alta",'Mapa final'!$O$100="Catastrófico"),CONCATENATE("R",'Mapa final'!$A$100),"")</f>
        <v/>
      </c>
      <c r="AY36" s="435"/>
      <c r="AZ36" s="435" t="str">
        <f>IF(AND('Mapa final'!$K$103="Alta",'Mapa final'!$O$103="Catastrófico"),CONCATENATE("R",'Mapa final'!$A$103),"")</f>
        <v/>
      </c>
      <c r="BA36" s="435"/>
      <c r="BB36" s="435" t="str">
        <f>IF(AND('Mapa final'!$K$106="Alta",'Mapa final'!$O$106="Catastrófico"),CONCATENATE("R",'Mapa final'!$A$106),"")</f>
        <v/>
      </c>
      <c r="BC36" s="435"/>
      <c r="BD36" s="435" t="str">
        <f>IF(AND('Mapa final'!$K$109="Alta",'Mapa final'!$O$109="Catastrófico"),CONCATENATE("R",'Mapa final'!$A$109),"")</f>
        <v/>
      </c>
      <c r="BE36" s="435"/>
      <c r="BF36" s="435" t="str">
        <f>IF(AND('Mapa final'!$K$112="Alta",'Mapa final'!$O$112="Catastrófico"),CONCATENATE("R",'Mapa final'!$A$112),"")</f>
        <v/>
      </c>
      <c r="BG36" s="436"/>
      <c r="BH36" s="38"/>
      <c r="BI36" s="485"/>
      <c r="BJ36" s="486"/>
      <c r="BK36" s="486"/>
      <c r="BL36" s="486"/>
      <c r="BM36" s="486"/>
      <c r="BN36" s="487"/>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row>
    <row r="37" spans="1:100" ht="15" customHeight="1" x14ac:dyDescent="0.25">
      <c r="A37" s="38"/>
      <c r="B37" s="291"/>
      <c r="C37" s="292"/>
      <c r="D37" s="293"/>
      <c r="E37" s="511"/>
      <c r="F37" s="512"/>
      <c r="G37" s="512"/>
      <c r="H37" s="512"/>
      <c r="I37" s="512"/>
      <c r="J37" s="440"/>
      <c r="K37" s="438"/>
      <c r="L37" s="438"/>
      <c r="M37" s="438"/>
      <c r="N37" s="438"/>
      <c r="O37" s="438"/>
      <c r="P37" s="438"/>
      <c r="Q37" s="438"/>
      <c r="R37" s="438"/>
      <c r="S37" s="438"/>
      <c r="T37" s="440"/>
      <c r="U37" s="438"/>
      <c r="V37" s="438"/>
      <c r="W37" s="438"/>
      <c r="X37" s="438"/>
      <c r="Y37" s="438"/>
      <c r="Z37" s="438"/>
      <c r="AA37" s="438"/>
      <c r="AB37" s="438"/>
      <c r="AC37" s="438"/>
      <c r="AD37" s="443"/>
      <c r="AE37" s="444"/>
      <c r="AF37" s="444"/>
      <c r="AG37" s="444"/>
      <c r="AH37" s="444"/>
      <c r="AI37" s="444"/>
      <c r="AJ37" s="444"/>
      <c r="AK37" s="444"/>
      <c r="AL37" s="444"/>
      <c r="AM37" s="444"/>
      <c r="AN37" s="443"/>
      <c r="AO37" s="444"/>
      <c r="AP37" s="444"/>
      <c r="AQ37" s="444"/>
      <c r="AR37" s="444"/>
      <c r="AS37" s="444"/>
      <c r="AT37" s="444"/>
      <c r="AU37" s="444"/>
      <c r="AV37" s="444"/>
      <c r="AW37" s="444"/>
      <c r="AX37" s="437"/>
      <c r="AY37" s="435"/>
      <c r="AZ37" s="435"/>
      <c r="BA37" s="435"/>
      <c r="BB37" s="435"/>
      <c r="BC37" s="435"/>
      <c r="BD37" s="435"/>
      <c r="BE37" s="435"/>
      <c r="BF37" s="435"/>
      <c r="BG37" s="436"/>
      <c r="BH37" s="38"/>
      <c r="BI37" s="485"/>
      <c r="BJ37" s="486"/>
      <c r="BK37" s="486"/>
      <c r="BL37" s="486"/>
      <c r="BM37" s="486"/>
      <c r="BN37" s="487"/>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row>
    <row r="38" spans="1:100" ht="15" customHeight="1" x14ac:dyDescent="0.25">
      <c r="A38" s="38"/>
      <c r="B38" s="291"/>
      <c r="C38" s="292"/>
      <c r="D38" s="293"/>
      <c r="E38" s="511"/>
      <c r="F38" s="512"/>
      <c r="G38" s="512"/>
      <c r="H38" s="512"/>
      <c r="I38" s="512"/>
      <c r="J38" s="440" t="str">
        <f>IF(AND('Mapa final'!$K$115="Alta",'Mapa final'!$O$115="Leve"),CONCATENATE("R",'Mapa final'!$A$115),"")</f>
        <v/>
      </c>
      <c r="K38" s="438"/>
      <c r="L38" s="438" t="str">
        <f>IF(AND('Mapa final'!$K$118="Alta",'Mapa final'!$O$118="Leve"),CONCATENATE("R",'Mapa final'!$A$118),"")</f>
        <v/>
      </c>
      <c r="M38" s="438"/>
      <c r="N38" s="438" t="str">
        <f>IF(AND('Mapa final'!$K$121="Alta",'Mapa final'!$O$121="Leve"),CONCATENATE("R",'Mapa final'!$A$121),"")</f>
        <v/>
      </c>
      <c r="O38" s="438"/>
      <c r="P38" s="438" t="str">
        <f>IF(AND('Mapa final'!$K$124="Alta",'Mapa final'!$O$124="Leve"),CONCATENATE("R",'Mapa final'!$A$124),"")</f>
        <v/>
      </c>
      <c r="Q38" s="438"/>
      <c r="R38" s="438" t="str">
        <f>IF(AND('Mapa final'!$K$127="Alta",'Mapa final'!$O$127="Leve"),CONCATENATE("R",'Mapa final'!$A$127),"")</f>
        <v/>
      </c>
      <c r="S38" s="438"/>
      <c r="T38" s="440" t="str">
        <f>IF(AND('Mapa final'!$K$115="Alta",'Mapa final'!$O$115="Menor"),CONCATENATE("R",'Mapa final'!$A$115),"")</f>
        <v/>
      </c>
      <c r="U38" s="438"/>
      <c r="V38" s="438" t="str">
        <f>IF(AND('Mapa final'!$K$118="Alta",'Mapa final'!$O$118="Menor"),CONCATENATE("R",'Mapa final'!$A$118),"")</f>
        <v/>
      </c>
      <c r="W38" s="438"/>
      <c r="X38" s="438" t="str">
        <f>IF(AND('Mapa final'!$K$121="Alta",'Mapa final'!$O$121="Menor"),CONCATENATE("R",'Mapa final'!$A$121),"")</f>
        <v/>
      </c>
      <c r="Y38" s="438"/>
      <c r="Z38" s="438" t="str">
        <f>IF(AND('Mapa final'!$K$124="Alta",'Mapa final'!$O$124="Menor"),CONCATENATE("R",'Mapa final'!$A$124),"")</f>
        <v/>
      </c>
      <c r="AA38" s="438"/>
      <c r="AB38" s="438" t="str">
        <f>IF(AND('Mapa final'!$K$127="Alta",'Mapa final'!$O$127="Menor"),CONCATENATE("R",'Mapa final'!$A$127),"")</f>
        <v/>
      </c>
      <c r="AC38" s="438"/>
      <c r="AD38" s="443" t="str">
        <f>IF(AND('Mapa final'!$K$115="Alta",'Mapa final'!$O$115="Moderado"),CONCATENATE("R",'Mapa final'!$A$115),"")</f>
        <v/>
      </c>
      <c r="AE38" s="444"/>
      <c r="AF38" s="444" t="str">
        <f>IF(AND('Mapa final'!$K$118="Alta",'Mapa final'!$O$118="Moderado"),CONCATENATE("R",'Mapa final'!$A$118),"")</f>
        <v>R37</v>
      </c>
      <c r="AG38" s="444"/>
      <c r="AH38" s="444" t="str">
        <f>IF(AND('Mapa final'!$K$121="Alta",'Mapa final'!$O$121="Moderado"),CONCATENATE("R",'Mapa final'!$A$121),"")</f>
        <v/>
      </c>
      <c r="AI38" s="444"/>
      <c r="AJ38" s="444" t="str">
        <f>IF(AND('Mapa final'!$K$124="Alta",'Mapa final'!$O$124="Moderado"),CONCATENATE("R",'Mapa final'!$A$124),"")</f>
        <v/>
      </c>
      <c r="AK38" s="444"/>
      <c r="AL38" s="444" t="str">
        <f>IF(AND('Mapa final'!$K$127="Alta",'Mapa final'!$O$127="Moderado"),CONCATENATE("R",'Mapa final'!$A$127),"")</f>
        <v/>
      </c>
      <c r="AM38" s="444"/>
      <c r="AN38" s="443" t="str">
        <f>IF(AND('Mapa final'!$K$115="Alta",'Mapa final'!$O$115="Mayor"),CONCATENATE("R",'Mapa final'!$A$115),"")</f>
        <v/>
      </c>
      <c r="AO38" s="444"/>
      <c r="AP38" s="444" t="str">
        <f>IF(AND('Mapa final'!$K$118="Alta",'Mapa final'!$O$118="Mayor"),CONCATENATE("R",'Mapa final'!$A$118),"")</f>
        <v/>
      </c>
      <c r="AQ38" s="444"/>
      <c r="AR38" s="444" t="str">
        <f>IF(AND('Mapa final'!$K$121="Alta",'Mapa final'!$O$121="Mayor"),CONCATENATE("R",'Mapa final'!$A$121),"")</f>
        <v/>
      </c>
      <c r="AS38" s="444"/>
      <c r="AT38" s="444" t="str">
        <f>IF(AND('Mapa final'!$K$124="Alta",'Mapa final'!$O$124="Mayor"),CONCATENATE("R",'Mapa final'!$A$124),"")</f>
        <v/>
      </c>
      <c r="AU38" s="444"/>
      <c r="AV38" s="444" t="str">
        <f>IF(AND('Mapa final'!$K$127="Alta",'Mapa final'!$O$127="Mayor"),CONCATENATE("R",'Mapa final'!$A$127),"")</f>
        <v/>
      </c>
      <c r="AW38" s="444"/>
      <c r="AX38" s="437" t="str">
        <f>IF(AND('Mapa final'!$K$115="Alta",'Mapa final'!$O$115="Catastrófico"),CONCATENATE("R",'Mapa final'!$A$115),"")</f>
        <v/>
      </c>
      <c r="AY38" s="435"/>
      <c r="AZ38" s="435" t="str">
        <f>IF(AND('Mapa final'!$K$118="Alta",'Mapa final'!$O$118="Catastrófico"),CONCATENATE("R",'Mapa final'!$A$118),"")</f>
        <v/>
      </c>
      <c r="BA38" s="435"/>
      <c r="BB38" s="435" t="str">
        <f>IF(AND('Mapa final'!$K$121="Alta",'Mapa final'!$O$121="Catastrófico"),CONCATENATE("R",'Mapa final'!$A$121),"")</f>
        <v/>
      </c>
      <c r="BC38" s="435"/>
      <c r="BD38" s="435" t="str">
        <f>IF(AND('Mapa final'!$K$124="Alta",'Mapa final'!$O$124="Catastrófico"),CONCATENATE("R",'Mapa final'!$A$124),"")</f>
        <v/>
      </c>
      <c r="BE38" s="435"/>
      <c r="BF38" s="435" t="str">
        <f>IF(AND('Mapa final'!$K$127="Alta",'Mapa final'!$O$127="Catastrófico"),CONCATENATE("R",'Mapa final'!$A$127),"")</f>
        <v/>
      </c>
      <c r="BG38" s="436"/>
      <c r="BH38" s="38"/>
      <c r="BI38" s="485"/>
      <c r="BJ38" s="486"/>
      <c r="BK38" s="486"/>
      <c r="BL38" s="486"/>
      <c r="BM38" s="486"/>
      <c r="BN38" s="487"/>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row>
    <row r="39" spans="1:100" ht="15" customHeight="1" x14ac:dyDescent="0.25">
      <c r="A39" s="38"/>
      <c r="B39" s="291"/>
      <c r="C39" s="292"/>
      <c r="D39" s="293"/>
      <c r="E39" s="511"/>
      <c r="F39" s="512"/>
      <c r="G39" s="512"/>
      <c r="H39" s="512"/>
      <c r="I39" s="512"/>
      <c r="J39" s="440"/>
      <c r="K39" s="438"/>
      <c r="L39" s="438"/>
      <c r="M39" s="438"/>
      <c r="N39" s="438"/>
      <c r="O39" s="438"/>
      <c r="P39" s="438"/>
      <c r="Q39" s="438"/>
      <c r="R39" s="438"/>
      <c r="S39" s="438"/>
      <c r="T39" s="440"/>
      <c r="U39" s="438"/>
      <c r="V39" s="438"/>
      <c r="W39" s="438"/>
      <c r="X39" s="438"/>
      <c r="Y39" s="438"/>
      <c r="Z39" s="438"/>
      <c r="AA39" s="438"/>
      <c r="AB39" s="438"/>
      <c r="AC39" s="438"/>
      <c r="AD39" s="443"/>
      <c r="AE39" s="444"/>
      <c r="AF39" s="444"/>
      <c r="AG39" s="444"/>
      <c r="AH39" s="444"/>
      <c r="AI39" s="444"/>
      <c r="AJ39" s="444"/>
      <c r="AK39" s="444"/>
      <c r="AL39" s="444"/>
      <c r="AM39" s="444"/>
      <c r="AN39" s="443"/>
      <c r="AO39" s="444"/>
      <c r="AP39" s="444"/>
      <c r="AQ39" s="444"/>
      <c r="AR39" s="444"/>
      <c r="AS39" s="444"/>
      <c r="AT39" s="444"/>
      <c r="AU39" s="444"/>
      <c r="AV39" s="444"/>
      <c r="AW39" s="444"/>
      <c r="AX39" s="437"/>
      <c r="AY39" s="435"/>
      <c r="AZ39" s="435"/>
      <c r="BA39" s="435"/>
      <c r="BB39" s="435"/>
      <c r="BC39" s="435"/>
      <c r="BD39" s="435"/>
      <c r="BE39" s="435"/>
      <c r="BF39" s="435"/>
      <c r="BG39" s="436"/>
      <c r="BH39" s="38"/>
      <c r="BI39" s="485"/>
      <c r="BJ39" s="486"/>
      <c r="BK39" s="486"/>
      <c r="BL39" s="486"/>
      <c r="BM39" s="486"/>
      <c r="BN39" s="487"/>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row>
    <row r="40" spans="1:100" ht="15" customHeight="1" x14ac:dyDescent="0.25">
      <c r="A40" s="38"/>
      <c r="B40" s="291"/>
      <c r="C40" s="292"/>
      <c r="D40" s="293"/>
      <c r="E40" s="511"/>
      <c r="F40" s="512"/>
      <c r="G40" s="512"/>
      <c r="H40" s="512"/>
      <c r="I40" s="512"/>
      <c r="J40" s="440" t="str">
        <f>IF(AND('Mapa final'!$K$130="Alta",'Mapa final'!$O$130="Leve"),CONCATENATE("R",'Mapa final'!$A$130),"")</f>
        <v/>
      </c>
      <c r="K40" s="438"/>
      <c r="L40" s="438" t="str">
        <f>IF(AND('Mapa final'!$K$133="Alta",'Mapa final'!$O$133="Leve"),CONCATENATE("R",'Mapa final'!$A$133),"")</f>
        <v/>
      </c>
      <c r="M40" s="438"/>
      <c r="N40" s="438" t="str">
        <f>IF(AND('Mapa final'!$K$136="Alta",'Mapa final'!$O$136="Leve"),CONCATENATE("R",'Mapa final'!$A$136),"")</f>
        <v/>
      </c>
      <c r="O40" s="438"/>
      <c r="P40" s="438" t="str">
        <f>IF(AND('Mapa final'!$K$139="Alta",'Mapa final'!$O$139="Leve"),CONCATENATE("R",'Mapa final'!$A$139),"")</f>
        <v/>
      </c>
      <c r="Q40" s="438"/>
      <c r="R40" s="438" t="str">
        <f>IF(AND('Mapa final'!$K$142="Alta",'Mapa final'!$O$142="Leve"),CONCATENATE("R",'Mapa final'!$A$142),"")</f>
        <v/>
      </c>
      <c r="S40" s="439"/>
      <c r="T40" s="440" t="str">
        <f>IF(AND('Mapa final'!$K$130="Alta",'Mapa final'!$O$130="Menor"),CONCATENATE("R",'Mapa final'!$A$130),"")</f>
        <v/>
      </c>
      <c r="U40" s="438"/>
      <c r="V40" s="438" t="str">
        <f>IF(AND('Mapa final'!$K$133="Alta",'Mapa final'!$O$133="Menor"),CONCATENATE("R",'Mapa final'!$A$133),"")</f>
        <v/>
      </c>
      <c r="W40" s="438"/>
      <c r="X40" s="438" t="str">
        <f>IF(AND('Mapa final'!$K$136="Alta",'Mapa final'!$O$136="Menor"),CONCATENATE("R",'Mapa final'!$A$136),"")</f>
        <v/>
      </c>
      <c r="Y40" s="438"/>
      <c r="Z40" s="438" t="str">
        <f>IF(AND('Mapa final'!$K$139="Alta",'Mapa final'!$O$139="Menor"),CONCATENATE("R",'Mapa final'!$A$139),"")</f>
        <v/>
      </c>
      <c r="AA40" s="438"/>
      <c r="AB40" s="438" t="str">
        <f>IF(AND('Mapa final'!$K$142="Alta",'Mapa final'!$O$142="Menor"),CONCATENATE("R",'Mapa final'!$A$142),"")</f>
        <v/>
      </c>
      <c r="AC40" s="439"/>
      <c r="AD40" s="443" t="str">
        <f>IF(AND('Mapa final'!$K$130="Alta",'Mapa final'!$O$130="Moderado"),CONCATENATE("R",'Mapa final'!$A$130),"")</f>
        <v/>
      </c>
      <c r="AE40" s="444"/>
      <c r="AF40" s="444" t="str">
        <f>IF(AND('Mapa final'!$K$133="Alta",'Mapa final'!$O$133="Moderado"),CONCATENATE("R",'Mapa final'!$A$133),"")</f>
        <v/>
      </c>
      <c r="AG40" s="444"/>
      <c r="AH40" s="444" t="str">
        <f>IF(AND('Mapa final'!$K$136="Alta",'Mapa final'!$O$136="Moderado"),CONCATENATE("R",'Mapa final'!$A$136),"")</f>
        <v/>
      </c>
      <c r="AI40" s="444"/>
      <c r="AJ40" s="444" t="str">
        <f>IF(AND('Mapa final'!$K$139="Alta",'Mapa final'!$O$139="Moderado"),CONCATENATE("R",'Mapa final'!$A$139),"")</f>
        <v/>
      </c>
      <c r="AK40" s="444"/>
      <c r="AL40" s="444" t="str">
        <f>IF(AND('Mapa final'!$K$142="Alta",'Mapa final'!$O$142="Moderado"),CONCATENATE("R",'Mapa final'!$A$142),"")</f>
        <v/>
      </c>
      <c r="AM40" s="446"/>
      <c r="AN40" s="443" t="str">
        <f>IF(AND('Mapa final'!$K$130="Alta",'Mapa final'!$O$130="Mayor"),CONCATENATE("R",'Mapa final'!$A$130),"")</f>
        <v/>
      </c>
      <c r="AO40" s="444"/>
      <c r="AP40" s="444" t="str">
        <f>IF(AND('Mapa final'!$K$133="Alta",'Mapa final'!$O$133="Mayor"),CONCATENATE("R",'Mapa final'!$A$133),"")</f>
        <v/>
      </c>
      <c r="AQ40" s="444"/>
      <c r="AR40" s="444" t="str">
        <f>IF(AND('Mapa final'!$K$136="Alta",'Mapa final'!$O$136="Mayor"),CONCATENATE("R",'Mapa final'!$A$136),"")</f>
        <v/>
      </c>
      <c r="AS40" s="444"/>
      <c r="AT40" s="444" t="str">
        <f>IF(AND('Mapa final'!$K$139="Alta",'Mapa final'!$O$139="Mayor"),CONCATENATE("R",'Mapa final'!$A$139),"")</f>
        <v/>
      </c>
      <c r="AU40" s="444"/>
      <c r="AV40" s="444" t="str">
        <f>IF(AND('Mapa final'!$K$142="Alta",'Mapa final'!$O$142="Mayor"),CONCATENATE("R",'Mapa final'!$A$142),"")</f>
        <v/>
      </c>
      <c r="AW40" s="446"/>
      <c r="AX40" s="437" t="str">
        <f>IF(AND('Mapa final'!$K$130="Alta",'Mapa final'!$O$130="Catastrófico"),CONCATENATE("R",'Mapa final'!$A$130),"")</f>
        <v/>
      </c>
      <c r="AY40" s="435"/>
      <c r="AZ40" s="435" t="str">
        <f>IF(AND('Mapa final'!$K$133="Alta",'Mapa final'!$O$133="Catastrófico"),CONCATENATE("R",'Mapa final'!$A$133),"")</f>
        <v/>
      </c>
      <c r="BA40" s="435"/>
      <c r="BB40" s="435" t="str">
        <f>IF(AND('Mapa final'!$K$136="Alta",'Mapa final'!$O$136="Catastrófico"),CONCATENATE("R",'Mapa final'!$A$136),"")</f>
        <v/>
      </c>
      <c r="BC40" s="435"/>
      <c r="BD40" s="435" t="str">
        <f>IF(AND('Mapa final'!$K$139="Alta",'Mapa final'!$O$139="Catastrófico"),CONCATENATE("R",'Mapa final'!$A$139),"")</f>
        <v/>
      </c>
      <c r="BE40" s="435"/>
      <c r="BF40" s="435" t="str">
        <f>IF(AND('Mapa final'!$K$142="Alta",'Mapa final'!$O$142="Catastrófico"),CONCATENATE("R",'Mapa final'!$A$142),"")</f>
        <v/>
      </c>
      <c r="BG40" s="436"/>
      <c r="BH40" s="38"/>
      <c r="BI40" s="485"/>
      <c r="BJ40" s="486"/>
      <c r="BK40" s="486"/>
      <c r="BL40" s="486"/>
      <c r="BM40" s="486"/>
      <c r="BN40" s="487"/>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row>
    <row r="41" spans="1:100" ht="15" customHeight="1" thickBot="1" x14ac:dyDescent="0.3">
      <c r="A41" s="38"/>
      <c r="B41" s="291"/>
      <c r="C41" s="292"/>
      <c r="D41" s="293"/>
      <c r="E41" s="511"/>
      <c r="F41" s="512"/>
      <c r="G41" s="512"/>
      <c r="H41" s="512"/>
      <c r="I41" s="512"/>
      <c r="J41" s="440"/>
      <c r="K41" s="438"/>
      <c r="L41" s="438"/>
      <c r="M41" s="438"/>
      <c r="N41" s="438"/>
      <c r="O41" s="438"/>
      <c r="P41" s="438"/>
      <c r="Q41" s="438"/>
      <c r="R41" s="438"/>
      <c r="S41" s="439"/>
      <c r="T41" s="440"/>
      <c r="U41" s="438"/>
      <c r="V41" s="438"/>
      <c r="W41" s="438"/>
      <c r="X41" s="438"/>
      <c r="Y41" s="438"/>
      <c r="Z41" s="438"/>
      <c r="AA41" s="438"/>
      <c r="AB41" s="438"/>
      <c r="AC41" s="439"/>
      <c r="AD41" s="443"/>
      <c r="AE41" s="444"/>
      <c r="AF41" s="444"/>
      <c r="AG41" s="444"/>
      <c r="AH41" s="444"/>
      <c r="AI41" s="444"/>
      <c r="AJ41" s="444"/>
      <c r="AK41" s="444"/>
      <c r="AL41" s="444"/>
      <c r="AM41" s="446"/>
      <c r="AN41" s="443"/>
      <c r="AO41" s="444"/>
      <c r="AP41" s="444"/>
      <c r="AQ41" s="444"/>
      <c r="AR41" s="444"/>
      <c r="AS41" s="444"/>
      <c r="AT41" s="444"/>
      <c r="AU41" s="444"/>
      <c r="AV41" s="444"/>
      <c r="AW41" s="446"/>
      <c r="AX41" s="469"/>
      <c r="AY41" s="457"/>
      <c r="AZ41" s="457"/>
      <c r="BA41" s="457"/>
      <c r="BB41" s="457"/>
      <c r="BC41" s="457"/>
      <c r="BD41" s="457"/>
      <c r="BE41" s="457"/>
      <c r="BF41" s="457"/>
      <c r="BG41" s="458"/>
      <c r="BH41" s="38"/>
      <c r="BI41" s="485"/>
      <c r="BJ41" s="486"/>
      <c r="BK41" s="486"/>
      <c r="BL41" s="486"/>
      <c r="BM41" s="486"/>
      <c r="BN41" s="487"/>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row>
    <row r="42" spans="1:100" ht="15" customHeight="1" x14ac:dyDescent="0.25">
      <c r="A42" s="38"/>
      <c r="B42" s="291"/>
      <c r="C42" s="292"/>
      <c r="D42" s="293"/>
      <c r="E42" s="509" t="s">
        <v>108</v>
      </c>
      <c r="F42" s="510"/>
      <c r="G42" s="510"/>
      <c r="H42" s="510"/>
      <c r="I42" s="510"/>
      <c r="J42" s="450" t="str">
        <f>IF(AND('Mapa final'!$K$7="Media",'Mapa final'!$O$7="Leve"),CONCATENATE("R",'Mapa final'!$A$7),"")</f>
        <v/>
      </c>
      <c r="K42" s="451"/>
      <c r="L42" s="451" t="str">
        <f>IF(AND('Mapa final'!$K$10="Media",'Mapa final'!$O$10="Leve"),CONCATENATE("R",'Mapa final'!$A$10),"")</f>
        <v/>
      </c>
      <c r="M42" s="451"/>
      <c r="N42" s="451" t="str">
        <f>IF(AND('Mapa final'!$K$13="Media",'Mapa final'!$O$13="Leve"),CONCATENATE("R",'Mapa final'!$A$13),"")</f>
        <v/>
      </c>
      <c r="O42" s="451"/>
      <c r="P42" s="451" t="str">
        <f>IF(AND('Mapa final'!$K$16="Media",'Mapa final'!$O$16="Leve"),CONCATENATE("R",'Mapa final'!$A$16),"")</f>
        <v/>
      </c>
      <c r="Q42" s="451"/>
      <c r="R42" s="451" t="str">
        <f>IF(AND('Mapa final'!$K$19="Media",'Mapa final'!$O$19="Leve"),CONCATENATE("R",'Mapa final'!$A$19),"")</f>
        <v/>
      </c>
      <c r="S42" s="452"/>
      <c r="T42" s="450" t="str">
        <f>IF(AND('Mapa final'!$K$7="Media",'Mapa final'!$O$7="Menor"),CONCATENATE("R",'Mapa final'!$A$7),"")</f>
        <v/>
      </c>
      <c r="U42" s="451"/>
      <c r="V42" s="451" t="str">
        <f>IF(AND('Mapa final'!$K$10="Media",'Mapa final'!$O$10="Menor"),CONCATENATE("R",'Mapa final'!$A$10),"")</f>
        <v/>
      </c>
      <c r="W42" s="451"/>
      <c r="X42" s="451" t="str">
        <f>IF(AND('Mapa final'!$K$13="Media",'Mapa final'!$O$13="Menor"),CONCATENATE("R",'Mapa final'!$A$13),"")</f>
        <v/>
      </c>
      <c r="Y42" s="451"/>
      <c r="Z42" s="451" t="str">
        <f>IF(AND('Mapa final'!$K$16="Media",'Mapa final'!$O$16="Menor"),CONCATENATE("R",'Mapa final'!$A$16),"")</f>
        <v/>
      </c>
      <c r="AA42" s="451"/>
      <c r="AB42" s="451" t="str">
        <f>IF(AND('Mapa final'!$K$19="Media",'Mapa final'!$O$19="Menor"),CONCATENATE("R",'Mapa final'!$A$19),"")</f>
        <v>R5</v>
      </c>
      <c r="AC42" s="452"/>
      <c r="AD42" s="450" t="str">
        <f>IF(AND('Mapa final'!$K$7="Media",'Mapa final'!$O$7="Moderado"),CONCATENATE("R",'Mapa final'!$A$7),"")</f>
        <v>R1</v>
      </c>
      <c r="AE42" s="451"/>
      <c r="AF42" s="451" t="str">
        <f>IF(AND('Mapa final'!$K$10="Media",'Mapa final'!$O$10="Moderado"),CONCATENATE("R",'Mapa final'!$A$10),"")</f>
        <v>R2</v>
      </c>
      <c r="AG42" s="451"/>
      <c r="AH42" s="451" t="str">
        <f>IF(AND('Mapa final'!$K$13="Media",'Mapa final'!$O$13="Moderado"),CONCATENATE("R",'Mapa final'!$A$13),"")</f>
        <v>R3</v>
      </c>
      <c r="AI42" s="451"/>
      <c r="AJ42" s="451" t="str">
        <f>IF(AND('Mapa final'!$K$16="Media",'Mapa final'!$O$16="Moderado"),CONCATENATE("R",'Mapa final'!$A$16),"")</f>
        <v/>
      </c>
      <c r="AK42" s="451"/>
      <c r="AL42" s="451" t="str">
        <f>IF(AND('Mapa final'!$K$19="Media",'Mapa final'!$O$19="Moderado"),CONCATENATE("R",'Mapa final'!$A$19),"")</f>
        <v/>
      </c>
      <c r="AM42" s="452"/>
      <c r="AN42" s="447" t="str">
        <f>IF(AND('Mapa final'!$K$7="Media",'Mapa final'!$O$7="Mayor"),CONCATENATE("R",'Mapa final'!$A$7),"")</f>
        <v/>
      </c>
      <c r="AO42" s="448"/>
      <c r="AP42" s="448" t="str">
        <f>IF(AND('Mapa final'!$K$10="Media",'Mapa final'!$O$10="Mayor"),CONCATENATE("R",'Mapa final'!$A$10),"")</f>
        <v/>
      </c>
      <c r="AQ42" s="448"/>
      <c r="AR42" s="448" t="str">
        <f>IF(AND('Mapa final'!$K$13="Media",'Mapa final'!$O$13="Mayor"),CONCATENATE("R",'Mapa final'!$A$13),"")</f>
        <v/>
      </c>
      <c r="AS42" s="448"/>
      <c r="AT42" s="448" t="str">
        <f>IF(AND('Mapa final'!$K$16="Media",'Mapa final'!$O$16="Mayor"),CONCATENATE("R",'Mapa final'!$A$16),"")</f>
        <v/>
      </c>
      <c r="AU42" s="448"/>
      <c r="AV42" s="448" t="str">
        <f>IF(AND('Mapa final'!$K$19="Media",'Mapa final'!$O$19="Mayor"),CONCATENATE("R",'Mapa final'!$A$19),"")</f>
        <v/>
      </c>
      <c r="AW42" s="449"/>
      <c r="AX42" s="467" t="str">
        <f>IF(AND('Mapa final'!$K$7="Media",'Mapa final'!$O$7="Catastrófico"),CONCATENATE("R",'Mapa final'!$A$7),"")</f>
        <v/>
      </c>
      <c r="AY42" s="456"/>
      <c r="AZ42" s="456" t="str">
        <f>IF(AND('Mapa final'!$K$10="Media",'Mapa final'!$O$10="Catastrófico"),CONCATENATE("R",'Mapa final'!$A$10),"")</f>
        <v/>
      </c>
      <c r="BA42" s="456"/>
      <c r="BB42" s="456" t="str">
        <f>IF(AND('Mapa final'!$K$13="Media",'Mapa final'!$O$13="Catastrófico"),CONCATENATE("R",'Mapa final'!$A$13),"")</f>
        <v/>
      </c>
      <c r="BC42" s="456"/>
      <c r="BD42" s="456" t="str">
        <f>IF(AND('Mapa final'!$K$16="Media",'Mapa final'!$O$16="Catastrófico"),CONCATENATE("R",'Mapa final'!$A$16),"")</f>
        <v/>
      </c>
      <c r="BE42" s="456"/>
      <c r="BF42" s="456" t="str">
        <f>IF(AND('Mapa final'!$K$19="Media",'Mapa final'!$O$19="Catastrófico"),CONCATENATE("R",'Mapa final'!$A$19),"")</f>
        <v/>
      </c>
      <c r="BG42" s="468"/>
      <c r="BH42" s="38"/>
      <c r="BI42" s="485"/>
      <c r="BJ42" s="486"/>
      <c r="BK42" s="486"/>
      <c r="BL42" s="486"/>
      <c r="BM42" s="486"/>
      <c r="BN42" s="487"/>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row>
    <row r="43" spans="1:100" ht="15" customHeight="1" x14ac:dyDescent="0.25">
      <c r="A43" s="38"/>
      <c r="B43" s="291"/>
      <c r="C43" s="292"/>
      <c r="D43" s="293"/>
      <c r="E43" s="511"/>
      <c r="F43" s="512"/>
      <c r="G43" s="512"/>
      <c r="H43" s="512"/>
      <c r="I43" s="512"/>
      <c r="J43" s="440"/>
      <c r="K43" s="438"/>
      <c r="L43" s="438"/>
      <c r="M43" s="438"/>
      <c r="N43" s="438"/>
      <c r="O43" s="438"/>
      <c r="P43" s="438"/>
      <c r="Q43" s="438"/>
      <c r="R43" s="438"/>
      <c r="S43" s="439"/>
      <c r="T43" s="440"/>
      <c r="U43" s="438"/>
      <c r="V43" s="438"/>
      <c r="W43" s="438"/>
      <c r="X43" s="438"/>
      <c r="Y43" s="438"/>
      <c r="Z43" s="438"/>
      <c r="AA43" s="438"/>
      <c r="AB43" s="438"/>
      <c r="AC43" s="439"/>
      <c r="AD43" s="440"/>
      <c r="AE43" s="438"/>
      <c r="AF43" s="438"/>
      <c r="AG43" s="438"/>
      <c r="AH43" s="438"/>
      <c r="AI43" s="438"/>
      <c r="AJ43" s="438"/>
      <c r="AK43" s="438"/>
      <c r="AL43" s="438"/>
      <c r="AM43" s="439"/>
      <c r="AN43" s="443"/>
      <c r="AO43" s="444"/>
      <c r="AP43" s="444"/>
      <c r="AQ43" s="444"/>
      <c r="AR43" s="444"/>
      <c r="AS43" s="444"/>
      <c r="AT43" s="444"/>
      <c r="AU43" s="444"/>
      <c r="AV43" s="444"/>
      <c r="AW43" s="446"/>
      <c r="AX43" s="437"/>
      <c r="AY43" s="435"/>
      <c r="AZ43" s="435"/>
      <c r="BA43" s="435"/>
      <c r="BB43" s="435"/>
      <c r="BC43" s="435"/>
      <c r="BD43" s="435"/>
      <c r="BE43" s="435"/>
      <c r="BF43" s="435"/>
      <c r="BG43" s="436"/>
      <c r="BH43" s="38"/>
      <c r="BI43" s="485"/>
      <c r="BJ43" s="486"/>
      <c r="BK43" s="486"/>
      <c r="BL43" s="486"/>
      <c r="BM43" s="486"/>
      <c r="BN43" s="487"/>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row>
    <row r="44" spans="1:100" ht="15" customHeight="1" x14ac:dyDescent="0.25">
      <c r="A44" s="38"/>
      <c r="B44" s="291"/>
      <c r="C44" s="292"/>
      <c r="D44" s="293"/>
      <c r="E44" s="511"/>
      <c r="F44" s="512"/>
      <c r="G44" s="512"/>
      <c r="H44" s="512"/>
      <c r="I44" s="512"/>
      <c r="J44" s="440" t="str">
        <f>IF(AND('Mapa final'!$K$22="Media",'Mapa final'!$O$22="Leve"),CONCATENATE("R",'Mapa final'!$A$22),"")</f>
        <v/>
      </c>
      <c r="K44" s="438"/>
      <c r="L44" s="438" t="str">
        <f>IF(AND('Mapa final'!$K$25="Media",'Mapa final'!$O$25="Leve"),CONCATENATE("R",'Mapa final'!$A$25),"")</f>
        <v/>
      </c>
      <c r="M44" s="438"/>
      <c r="N44" s="438" t="str">
        <f>IF(AND('Mapa final'!$K$28="Media",'Mapa final'!$O$28="Leve"),CONCATENATE("R",'Mapa final'!$A$28),"")</f>
        <v/>
      </c>
      <c r="O44" s="438"/>
      <c r="P44" s="438" t="str">
        <f>IF(AND('Mapa final'!$K$31="Media",'Mapa final'!$O$31="Leve"),CONCATENATE("R",'Mapa final'!$A$31),"")</f>
        <v/>
      </c>
      <c r="Q44" s="438"/>
      <c r="R44" s="438" t="str">
        <f>IF(AND('Mapa final'!$K$34="Media",'Mapa final'!$O$34="Leve"),CONCATENATE("R",'Mapa final'!$A$34),"")</f>
        <v/>
      </c>
      <c r="S44" s="439"/>
      <c r="T44" s="440" t="str">
        <f>IF(AND('Mapa final'!$K$22="Media",'Mapa final'!$O$22="Menor"),CONCATENATE("R",'Mapa final'!$A$22),"")</f>
        <v/>
      </c>
      <c r="U44" s="438"/>
      <c r="V44" s="438" t="str">
        <f>IF(AND('Mapa final'!$K$25="Media",'Mapa final'!$O$25="Menor"),CONCATENATE("R",'Mapa final'!$A$25),"")</f>
        <v/>
      </c>
      <c r="W44" s="438"/>
      <c r="X44" s="438" t="str">
        <f>IF(AND('Mapa final'!$K$28="Media",'Mapa final'!$O$28="Menor"),CONCATENATE("R",'Mapa final'!$A$28),"")</f>
        <v/>
      </c>
      <c r="Y44" s="438"/>
      <c r="Z44" s="438" t="str">
        <f>IF(AND('Mapa final'!$K$31="Media",'Mapa final'!$O$31="Menor"),CONCATENATE("R",'Mapa final'!$A$31),"")</f>
        <v/>
      </c>
      <c r="AA44" s="438"/>
      <c r="AB44" s="438" t="str">
        <f>IF(AND('Mapa final'!$K$34="Media",'Mapa final'!$O$34="Menor"),CONCATENATE("R",'Mapa final'!$A$34),"")</f>
        <v/>
      </c>
      <c r="AC44" s="439"/>
      <c r="AD44" s="440" t="str">
        <f>IF(AND('Mapa final'!$K$22="Media",'Mapa final'!$O$22="Moderado"),CONCATENATE("R",'Mapa final'!$A$22),"")</f>
        <v/>
      </c>
      <c r="AE44" s="438"/>
      <c r="AF44" s="438" t="str">
        <f>IF(AND('Mapa final'!$K$25="Media",'Mapa final'!$O$25="Moderado"),CONCATENATE("R",'Mapa final'!$A$25),"")</f>
        <v/>
      </c>
      <c r="AG44" s="438"/>
      <c r="AH44" s="438" t="str">
        <f>IF(AND('Mapa final'!$K$28="Media",'Mapa final'!$O$28="Moderado"),CONCATENATE("R",'Mapa final'!$A$28),"")</f>
        <v/>
      </c>
      <c r="AI44" s="438"/>
      <c r="AJ44" s="438" t="str">
        <f>IF(AND('Mapa final'!$K$31="Media",'Mapa final'!$O$31="Moderado"),CONCATENATE("R",'Mapa final'!$A$31),"")</f>
        <v/>
      </c>
      <c r="AK44" s="438"/>
      <c r="AL44" s="438" t="str">
        <f>IF(AND('Mapa final'!$K$34="Media",'Mapa final'!$O$34="Moderado"),CONCATENATE("R",'Mapa final'!$A$34),"")</f>
        <v/>
      </c>
      <c r="AM44" s="439"/>
      <c r="AN44" s="443" t="str">
        <f>IF(AND('Mapa final'!$K$22="Media",'Mapa final'!$O$22="Mayor"),CONCATENATE("R",'Mapa final'!$A$22),"")</f>
        <v/>
      </c>
      <c r="AO44" s="444"/>
      <c r="AP44" s="444" t="str">
        <f>IF(AND('Mapa final'!$K$25="Media",'Mapa final'!$O$25="Mayor"),CONCATENATE("R",'Mapa final'!$A$25),"")</f>
        <v/>
      </c>
      <c r="AQ44" s="444"/>
      <c r="AR44" s="444" t="str">
        <f>IF(AND('Mapa final'!$K$28="Media",'Mapa final'!$O$28="Mayor"),CONCATENATE("R",'Mapa final'!$A$28),"")</f>
        <v/>
      </c>
      <c r="AS44" s="444"/>
      <c r="AT44" s="444" t="str">
        <f>IF(AND('Mapa final'!$K$31="Media",'Mapa final'!$O$31="Mayor"),CONCATENATE("R",'Mapa final'!$A$31),"")</f>
        <v/>
      </c>
      <c r="AU44" s="444"/>
      <c r="AV44" s="444" t="str">
        <f>IF(AND('Mapa final'!$K$34="Media",'Mapa final'!$O$34="Mayor"),CONCATENATE("R",'Mapa final'!$A$34),"")</f>
        <v/>
      </c>
      <c r="AW44" s="446"/>
      <c r="AX44" s="437" t="str">
        <f>IF(AND('Mapa final'!$K$22="Media",'Mapa final'!$O$22="Catastrófico"),CONCATENATE("R",'Mapa final'!$A$22),"")</f>
        <v/>
      </c>
      <c r="AY44" s="435"/>
      <c r="AZ44" s="435" t="str">
        <f>IF(AND('Mapa final'!$K$25="Media",'Mapa final'!$O$25="Catastrófico"),CONCATENATE("R",'Mapa final'!$A$25),"")</f>
        <v/>
      </c>
      <c r="BA44" s="435"/>
      <c r="BB44" s="435" t="str">
        <f>IF(AND('Mapa final'!$K$28="Media",'Mapa final'!$O$28="Catastrófico"),CONCATENATE("R",'Mapa final'!$A$28),"")</f>
        <v/>
      </c>
      <c r="BC44" s="435"/>
      <c r="BD44" s="435" t="str">
        <f>IF(AND('Mapa final'!$K$31="Media",'Mapa final'!$O$31="Catastrófico"),CONCATENATE("R",'Mapa final'!$A$31),"")</f>
        <v/>
      </c>
      <c r="BE44" s="435"/>
      <c r="BF44" s="435" t="str">
        <f>IF(AND('Mapa final'!$K$34="Media",'Mapa final'!$O$34="Catastrófico"),CONCATENATE("R",'Mapa final'!$A$34),"")</f>
        <v/>
      </c>
      <c r="BG44" s="436"/>
      <c r="BH44" s="38"/>
      <c r="BI44" s="485"/>
      <c r="BJ44" s="486"/>
      <c r="BK44" s="486"/>
      <c r="BL44" s="486"/>
      <c r="BM44" s="486"/>
      <c r="BN44" s="487"/>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row>
    <row r="45" spans="1:100" ht="15" customHeight="1" x14ac:dyDescent="0.25">
      <c r="A45" s="38"/>
      <c r="B45" s="291"/>
      <c r="C45" s="292"/>
      <c r="D45" s="293"/>
      <c r="E45" s="511"/>
      <c r="F45" s="512"/>
      <c r="G45" s="512"/>
      <c r="H45" s="512"/>
      <c r="I45" s="512"/>
      <c r="J45" s="440"/>
      <c r="K45" s="438"/>
      <c r="L45" s="438"/>
      <c r="M45" s="438"/>
      <c r="N45" s="438"/>
      <c r="O45" s="438"/>
      <c r="P45" s="438"/>
      <c r="Q45" s="438"/>
      <c r="R45" s="438"/>
      <c r="S45" s="439"/>
      <c r="T45" s="440"/>
      <c r="U45" s="438"/>
      <c r="V45" s="438"/>
      <c r="W45" s="438"/>
      <c r="X45" s="438"/>
      <c r="Y45" s="438"/>
      <c r="Z45" s="438"/>
      <c r="AA45" s="438"/>
      <c r="AB45" s="438"/>
      <c r="AC45" s="439"/>
      <c r="AD45" s="440"/>
      <c r="AE45" s="438"/>
      <c r="AF45" s="438"/>
      <c r="AG45" s="438"/>
      <c r="AH45" s="438"/>
      <c r="AI45" s="438"/>
      <c r="AJ45" s="438"/>
      <c r="AK45" s="438"/>
      <c r="AL45" s="438"/>
      <c r="AM45" s="439"/>
      <c r="AN45" s="443"/>
      <c r="AO45" s="444"/>
      <c r="AP45" s="444"/>
      <c r="AQ45" s="444"/>
      <c r="AR45" s="444"/>
      <c r="AS45" s="444"/>
      <c r="AT45" s="444"/>
      <c r="AU45" s="444"/>
      <c r="AV45" s="444"/>
      <c r="AW45" s="446"/>
      <c r="AX45" s="437"/>
      <c r="AY45" s="435"/>
      <c r="AZ45" s="435"/>
      <c r="BA45" s="435"/>
      <c r="BB45" s="435"/>
      <c r="BC45" s="435"/>
      <c r="BD45" s="435"/>
      <c r="BE45" s="435"/>
      <c r="BF45" s="435"/>
      <c r="BG45" s="436"/>
      <c r="BH45" s="38"/>
      <c r="BI45" s="485"/>
      <c r="BJ45" s="486"/>
      <c r="BK45" s="486"/>
      <c r="BL45" s="486"/>
      <c r="BM45" s="486"/>
      <c r="BN45" s="487"/>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row>
    <row r="46" spans="1:100" ht="15" customHeight="1" x14ac:dyDescent="0.25">
      <c r="A46" s="38"/>
      <c r="B46" s="291"/>
      <c r="C46" s="292"/>
      <c r="D46" s="293"/>
      <c r="E46" s="511"/>
      <c r="F46" s="512"/>
      <c r="G46" s="512"/>
      <c r="H46" s="512"/>
      <c r="I46" s="512"/>
      <c r="J46" s="440" t="str">
        <f>IF(AND('Mapa final'!$K$37="Media",'Mapa final'!$O$37="Leve"),CONCATENATE("R",'Mapa final'!$A$37),"")</f>
        <v/>
      </c>
      <c r="K46" s="438"/>
      <c r="L46" s="438" t="str">
        <f>IF(AND('Mapa final'!$K$40="Media",'Mapa final'!$O$40="Leve"),CONCATENATE("R",'Mapa final'!$A$40),"")</f>
        <v/>
      </c>
      <c r="M46" s="438"/>
      <c r="N46" s="438" t="str">
        <f>IF(AND('Mapa final'!$K$44="Media",'Mapa final'!$O$44="Leve"),CONCATENATE("R",'Mapa final'!$A$44),"")</f>
        <v/>
      </c>
      <c r="O46" s="438"/>
      <c r="P46" s="438" t="str">
        <f>IF(AND('Mapa final'!$K$47="Media",'Mapa final'!$O$47="Leve"),CONCATENATE("R",'Mapa final'!$A$47),"")</f>
        <v/>
      </c>
      <c r="Q46" s="438"/>
      <c r="R46" s="438" t="str">
        <f>IF(AND('Mapa final'!$K$52="Media",'Mapa final'!$O$52="Leve"),CONCATENATE("R",'Mapa final'!$A$52),"")</f>
        <v/>
      </c>
      <c r="S46" s="439"/>
      <c r="T46" s="440" t="str">
        <f>IF(AND('Mapa final'!$K$37="Media",'Mapa final'!$O$37="Menor"),CONCATENATE("R",'Mapa final'!$A$37),"")</f>
        <v/>
      </c>
      <c r="U46" s="438"/>
      <c r="V46" s="438" t="str">
        <f>IF(AND('Mapa final'!$K$40="Media",'Mapa final'!$O$40="Menor"),CONCATENATE("R",'Mapa final'!$A$40),"")</f>
        <v/>
      </c>
      <c r="W46" s="438"/>
      <c r="X46" s="438" t="str">
        <f>IF(AND('Mapa final'!$K$44="Media",'Mapa final'!$O$44="Menor"),CONCATENATE("R",'Mapa final'!$A$44),"")</f>
        <v/>
      </c>
      <c r="Y46" s="438"/>
      <c r="Z46" s="438" t="str">
        <f>IF(AND('Mapa final'!$K$47="Media",'Mapa final'!$O$47="Menor"),CONCATENATE("R",'Mapa final'!$A$47),"")</f>
        <v/>
      </c>
      <c r="AA46" s="438"/>
      <c r="AB46" s="438" t="str">
        <f>IF(AND('Mapa final'!$K$52="Media",'Mapa final'!$O$52="Menor"),CONCATENATE("R",'Mapa final'!$A$52),"")</f>
        <v/>
      </c>
      <c r="AC46" s="439"/>
      <c r="AD46" s="440" t="str">
        <f>IF(AND('Mapa final'!$K$37="Media",'Mapa final'!$O$37="Moderado"),CONCATENATE("R",'Mapa final'!$A$37),"")</f>
        <v>R11</v>
      </c>
      <c r="AE46" s="438"/>
      <c r="AF46" s="438" t="str">
        <f>IF(AND('Mapa final'!$K$40="Media",'Mapa final'!$O$40="Moderado"),CONCATENATE("R",'Mapa final'!$A$40),"")</f>
        <v>R12</v>
      </c>
      <c r="AG46" s="438"/>
      <c r="AH46" s="438" t="str">
        <f>IF(AND('Mapa final'!$K$44="Media",'Mapa final'!$O$44="Moderado"),CONCATENATE("R",'Mapa final'!$A$44),"")</f>
        <v>R13</v>
      </c>
      <c r="AI46" s="438"/>
      <c r="AJ46" s="438" t="str">
        <f>IF(AND('Mapa final'!$K$47="Media",'Mapa final'!$O$47="Moderado"),CONCATENATE("R",'Mapa final'!$A$47),"")</f>
        <v>R14</v>
      </c>
      <c r="AK46" s="438"/>
      <c r="AL46" s="438" t="str">
        <f>IF(AND('Mapa final'!$K$52="Media",'Mapa final'!$O$52="Moderado"),CONCATENATE("R",'Mapa final'!$A$52),"")</f>
        <v/>
      </c>
      <c r="AM46" s="439"/>
      <c r="AN46" s="443" t="str">
        <f>IF(AND('Mapa final'!$K$37="Media",'Mapa final'!$O$37="Mayor"),CONCATENATE("R",'Mapa final'!$A$37),"")</f>
        <v/>
      </c>
      <c r="AO46" s="444"/>
      <c r="AP46" s="444" t="str">
        <f>IF(AND('Mapa final'!$K$40="Media",'Mapa final'!$O$40="Mayor"),CONCATENATE("R",'Mapa final'!$A$40),"")</f>
        <v/>
      </c>
      <c r="AQ46" s="444"/>
      <c r="AR46" s="444" t="str">
        <f>IF(AND('Mapa final'!$K$44="Media",'Mapa final'!$O$44="Mayor"),CONCATENATE("R",'Mapa final'!$A$44),"")</f>
        <v/>
      </c>
      <c r="AS46" s="444"/>
      <c r="AT46" s="444" t="str">
        <f>IF(AND('Mapa final'!$K$47="Media",'Mapa final'!$O$47="Mayor"),CONCATENATE("R",'Mapa final'!$A$47),"")</f>
        <v/>
      </c>
      <c r="AU46" s="444"/>
      <c r="AV46" s="444" t="str">
        <f>IF(AND('Mapa final'!$K$52="Media",'Mapa final'!$O$52="Mayor"),CONCATENATE("R",'Mapa final'!$A$52),"")</f>
        <v/>
      </c>
      <c r="AW46" s="446"/>
      <c r="AX46" s="437" t="str">
        <f>IF(AND('Mapa final'!$K$37="Media",'Mapa final'!$O$37="Catastrófico"),CONCATENATE("R",'Mapa final'!$A$37),"")</f>
        <v/>
      </c>
      <c r="AY46" s="435"/>
      <c r="AZ46" s="435" t="str">
        <f>IF(AND('Mapa final'!$K$40="Media",'Mapa final'!$O$40="Catastrófico"),CONCATENATE("R",'Mapa final'!$A$40),"")</f>
        <v/>
      </c>
      <c r="BA46" s="435"/>
      <c r="BB46" s="435" t="str">
        <f>IF(AND('Mapa final'!$K$44="Media",'Mapa final'!$O$44="Catastrófico"),CONCATENATE("R",'Mapa final'!$A$44),"")</f>
        <v/>
      </c>
      <c r="BC46" s="435"/>
      <c r="BD46" s="435" t="str">
        <f>IF(AND('Mapa final'!$K$47="Media",'Mapa final'!$O$47="Catastrófico"),CONCATENATE("R",'Mapa final'!$A$47),"")</f>
        <v/>
      </c>
      <c r="BE46" s="435"/>
      <c r="BF46" s="435" t="str">
        <f>IF(AND('Mapa final'!$K$52="Media",'Mapa final'!$O$52="Catastrófico"),CONCATENATE("R",'Mapa final'!$A$52),"")</f>
        <v/>
      </c>
      <c r="BG46" s="436"/>
      <c r="BH46" s="38"/>
      <c r="BI46" s="485"/>
      <c r="BJ46" s="486"/>
      <c r="BK46" s="486"/>
      <c r="BL46" s="486"/>
      <c r="BM46" s="486"/>
      <c r="BN46" s="487"/>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row>
    <row r="47" spans="1:100" ht="15" customHeight="1" x14ac:dyDescent="0.25">
      <c r="A47" s="38"/>
      <c r="B47" s="291"/>
      <c r="C47" s="292"/>
      <c r="D47" s="293"/>
      <c r="E47" s="511"/>
      <c r="F47" s="512"/>
      <c r="G47" s="512"/>
      <c r="H47" s="512"/>
      <c r="I47" s="512"/>
      <c r="J47" s="440"/>
      <c r="K47" s="438"/>
      <c r="L47" s="438"/>
      <c r="M47" s="438"/>
      <c r="N47" s="438"/>
      <c r="O47" s="438"/>
      <c r="P47" s="438"/>
      <c r="Q47" s="438"/>
      <c r="R47" s="438"/>
      <c r="S47" s="439"/>
      <c r="T47" s="440"/>
      <c r="U47" s="438"/>
      <c r="V47" s="438"/>
      <c r="W47" s="438"/>
      <c r="X47" s="438"/>
      <c r="Y47" s="438"/>
      <c r="Z47" s="438"/>
      <c r="AA47" s="438"/>
      <c r="AB47" s="438"/>
      <c r="AC47" s="439"/>
      <c r="AD47" s="440"/>
      <c r="AE47" s="438"/>
      <c r="AF47" s="438"/>
      <c r="AG47" s="438"/>
      <c r="AH47" s="438"/>
      <c r="AI47" s="438"/>
      <c r="AJ47" s="438"/>
      <c r="AK47" s="438"/>
      <c r="AL47" s="438"/>
      <c r="AM47" s="439"/>
      <c r="AN47" s="443"/>
      <c r="AO47" s="444"/>
      <c r="AP47" s="444"/>
      <c r="AQ47" s="444"/>
      <c r="AR47" s="444"/>
      <c r="AS47" s="444"/>
      <c r="AT47" s="444"/>
      <c r="AU47" s="444"/>
      <c r="AV47" s="444"/>
      <c r="AW47" s="446"/>
      <c r="AX47" s="437"/>
      <c r="AY47" s="435"/>
      <c r="AZ47" s="435"/>
      <c r="BA47" s="435"/>
      <c r="BB47" s="435"/>
      <c r="BC47" s="435"/>
      <c r="BD47" s="435"/>
      <c r="BE47" s="435"/>
      <c r="BF47" s="435"/>
      <c r="BG47" s="436"/>
      <c r="BH47" s="38"/>
      <c r="BI47" s="485"/>
      <c r="BJ47" s="486"/>
      <c r="BK47" s="486"/>
      <c r="BL47" s="486"/>
      <c r="BM47" s="486"/>
      <c r="BN47" s="487"/>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row>
    <row r="48" spans="1:100" ht="15" customHeight="1" x14ac:dyDescent="0.25">
      <c r="A48" s="38"/>
      <c r="B48" s="291"/>
      <c r="C48" s="292"/>
      <c r="D48" s="293"/>
      <c r="E48" s="511"/>
      <c r="F48" s="512"/>
      <c r="G48" s="512"/>
      <c r="H48" s="512"/>
      <c r="I48" s="512"/>
      <c r="J48" s="440" t="str">
        <f>IF(AND('Mapa final'!$K$55="Media",'Mapa final'!$O$55="Leve"),CONCATENATE("R",'Mapa final'!$A$55),"")</f>
        <v/>
      </c>
      <c r="K48" s="438"/>
      <c r="L48" s="438" t="str">
        <f>IF(AND('Mapa final'!$K$58="Media",'Mapa final'!$O$58="Leve"),CONCATENATE("R",'Mapa final'!$A$58),"")</f>
        <v/>
      </c>
      <c r="M48" s="438"/>
      <c r="N48" s="438" t="str">
        <f>IF(AND('Mapa final'!$K$61="Media",'Mapa final'!$O$61="Leve"),CONCATENATE("R",'Mapa final'!$A$61),"")</f>
        <v/>
      </c>
      <c r="O48" s="438"/>
      <c r="P48" s="438" t="str">
        <f>IF(AND('Mapa final'!$K$64="Media",'Mapa final'!$O$64="Leve"),CONCATENATE("R",'Mapa final'!$A$64),"")</f>
        <v/>
      </c>
      <c r="Q48" s="438"/>
      <c r="R48" s="438" t="str">
        <f>IF(AND('Mapa final'!$K$67="Media",'Mapa final'!$O$67="Leve"),CONCATENATE("R",'Mapa final'!$A$67),"")</f>
        <v/>
      </c>
      <c r="S48" s="439"/>
      <c r="T48" s="440" t="str">
        <f>IF(AND('Mapa final'!$K$55="Media",'Mapa final'!$O$55="Menor"),CONCATENATE("R",'Mapa final'!$A$55),"")</f>
        <v/>
      </c>
      <c r="U48" s="438"/>
      <c r="V48" s="438" t="str">
        <f>IF(AND('Mapa final'!$K$58="Media",'Mapa final'!$O$58="Menor"),CONCATENATE("R",'Mapa final'!$A$58),"")</f>
        <v/>
      </c>
      <c r="W48" s="438"/>
      <c r="X48" s="438" t="str">
        <f>IF(AND('Mapa final'!$K$61="Media",'Mapa final'!$O$61="Menor"),CONCATENATE("R",'Mapa final'!$A$61),"")</f>
        <v/>
      </c>
      <c r="Y48" s="438"/>
      <c r="Z48" s="438" t="str">
        <f>IF(AND('Mapa final'!$K$64="Media",'Mapa final'!$O$64="Menor"),CONCATENATE("R",'Mapa final'!$A$64),"")</f>
        <v/>
      </c>
      <c r="AA48" s="438"/>
      <c r="AB48" s="438" t="str">
        <f>IF(AND('Mapa final'!$K$67="Media",'Mapa final'!$O$67="Menor"),CONCATENATE("R",'Mapa final'!$A$67),"")</f>
        <v/>
      </c>
      <c r="AC48" s="439"/>
      <c r="AD48" s="440" t="str">
        <f>IF(AND('Mapa final'!$K$55="Media",'Mapa final'!$O$55="Moderado"),CONCATENATE("R",'Mapa final'!$A$55),"")</f>
        <v/>
      </c>
      <c r="AE48" s="438"/>
      <c r="AF48" s="438" t="str">
        <f>IF(AND('Mapa final'!$K$58="Media",'Mapa final'!$O$58="Moderado"),CONCATENATE("R",'Mapa final'!$A$58),"")</f>
        <v/>
      </c>
      <c r="AG48" s="438"/>
      <c r="AH48" s="438" t="str">
        <f>IF(AND('Mapa final'!$K$61="Media",'Mapa final'!$O$61="Moderado"),CONCATENATE("R",'Mapa final'!$A$61),"")</f>
        <v/>
      </c>
      <c r="AI48" s="438"/>
      <c r="AJ48" s="438" t="str">
        <f>IF(AND('Mapa final'!$K$64="Media",'Mapa final'!$O$64="Moderado"),CONCATENATE("R",'Mapa final'!$A$64),"")</f>
        <v/>
      </c>
      <c r="AK48" s="438"/>
      <c r="AL48" s="438" t="str">
        <f>IF(AND('Mapa final'!$K$67="Media",'Mapa final'!$O$67="Moderado"),CONCATENATE("R",'Mapa final'!$A$67),"")</f>
        <v/>
      </c>
      <c r="AM48" s="439"/>
      <c r="AN48" s="443" t="str">
        <f>IF(AND('Mapa final'!$K$55="Media",'Mapa final'!$O$55="Mayor"),CONCATENATE("R",'Mapa final'!$A$55),"")</f>
        <v/>
      </c>
      <c r="AO48" s="444"/>
      <c r="AP48" s="444" t="str">
        <f>IF(AND('Mapa final'!$K$58="Media",'Mapa final'!$O$58="Mayor"),CONCATENATE("R",'Mapa final'!$A$58),"")</f>
        <v/>
      </c>
      <c r="AQ48" s="444"/>
      <c r="AR48" s="444" t="str">
        <f>IF(AND('Mapa final'!$K$61="Media",'Mapa final'!$O$61="Mayor"),CONCATENATE("R",'Mapa final'!$A$61),"")</f>
        <v/>
      </c>
      <c r="AS48" s="444"/>
      <c r="AT48" s="444" t="str">
        <f>IF(AND('Mapa final'!$K$64="Media",'Mapa final'!$O$64="Mayor"),CONCATENATE("R",'Mapa final'!$A$64),"")</f>
        <v>R19</v>
      </c>
      <c r="AU48" s="444"/>
      <c r="AV48" s="444" t="str">
        <f>IF(AND('Mapa final'!$K$67="Media",'Mapa final'!$O$67="Mayor"),CONCATENATE("R",'Mapa final'!$A$67),"")</f>
        <v>R20</v>
      </c>
      <c r="AW48" s="446"/>
      <c r="AX48" s="437" t="str">
        <f>IF(AND('Mapa final'!$K$55="Media",'Mapa final'!$O$55="Catastrófico"),CONCATENATE("R",'Mapa final'!$A$55),"")</f>
        <v/>
      </c>
      <c r="AY48" s="435"/>
      <c r="AZ48" s="435" t="str">
        <f>IF(AND('Mapa final'!$K$58="Media",'Mapa final'!$O$58="Catastrófico"),CONCATENATE("R",'Mapa final'!$A$58),"")</f>
        <v/>
      </c>
      <c r="BA48" s="435"/>
      <c r="BB48" s="435" t="str">
        <f>IF(AND('Mapa final'!$K$61="Media",'Mapa final'!$O$61="Catastrófico"),CONCATENATE("R",'Mapa final'!$A$61),"")</f>
        <v/>
      </c>
      <c r="BC48" s="435"/>
      <c r="BD48" s="435" t="str">
        <f>IF(AND('Mapa final'!$K$64="Media",'Mapa final'!$O$64="Catastrófico"),CONCATENATE("R",'Mapa final'!$A$64),"")</f>
        <v/>
      </c>
      <c r="BE48" s="435"/>
      <c r="BF48" s="435" t="str">
        <f>IF(AND('Mapa final'!$K$67="Media",'Mapa final'!$O$67="Catastrófico"),CONCATENATE("R",'Mapa final'!$A$67),"")</f>
        <v/>
      </c>
      <c r="BG48" s="436"/>
      <c r="BH48" s="38"/>
      <c r="BI48" s="485"/>
      <c r="BJ48" s="486"/>
      <c r="BK48" s="486"/>
      <c r="BL48" s="486"/>
      <c r="BM48" s="486"/>
      <c r="BN48" s="487"/>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row>
    <row r="49" spans="1:100" ht="15" customHeight="1" thickBot="1" x14ac:dyDescent="0.3">
      <c r="A49" s="38"/>
      <c r="B49" s="291"/>
      <c r="C49" s="292"/>
      <c r="D49" s="293"/>
      <c r="E49" s="511"/>
      <c r="F49" s="512"/>
      <c r="G49" s="512"/>
      <c r="H49" s="512"/>
      <c r="I49" s="512"/>
      <c r="J49" s="440"/>
      <c r="K49" s="438"/>
      <c r="L49" s="438"/>
      <c r="M49" s="438"/>
      <c r="N49" s="438"/>
      <c r="O49" s="438"/>
      <c r="P49" s="438"/>
      <c r="Q49" s="438"/>
      <c r="R49" s="438"/>
      <c r="S49" s="439"/>
      <c r="T49" s="440"/>
      <c r="U49" s="438"/>
      <c r="V49" s="438"/>
      <c r="W49" s="438"/>
      <c r="X49" s="438"/>
      <c r="Y49" s="438"/>
      <c r="Z49" s="438"/>
      <c r="AA49" s="438"/>
      <c r="AB49" s="438"/>
      <c r="AC49" s="439"/>
      <c r="AD49" s="440"/>
      <c r="AE49" s="438"/>
      <c r="AF49" s="438"/>
      <c r="AG49" s="438"/>
      <c r="AH49" s="438"/>
      <c r="AI49" s="438"/>
      <c r="AJ49" s="438"/>
      <c r="AK49" s="438"/>
      <c r="AL49" s="438"/>
      <c r="AM49" s="439"/>
      <c r="AN49" s="443"/>
      <c r="AO49" s="444"/>
      <c r="AP49" s="444"/>
      <c r="AQ49" s="444"/>
      <c r="AR49" s="444"/>
      <c r="AS49" s="444"/>
      <c r="AT49" s="444"/>
      <c r="AU49" s="444"/>
      <c r="AV49" s="444"/>
      <c r="AW49" s="446"/>
      <c r="AX49" s="437"/>
      <c r="AY49" s="435"/>
      <c r="AZ49" s="435"/>
      <c r="BA49" s="435"/>
      <c r="BB49" s="435"/>
      <c r="BC49" s="435"/>
      <c r="BD49" s="435"/>
      <c r="BE49" s="435"/>
      <c r="BF49" s="435"/>
      <c r="BG49" s="436"/>
      <c r="BH49" s="38"/>
      <c r="BI49" s="488"/>
      <c r="BJ49" s="489"/>
      <c r="BK49" s="489"/>
      <c r="BL49" s="489"/>
      <c r="BM49" s="489"/>
      <c r="BN49" s="490"/>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row>
    <row r="50" spans="1:100" ht="15" customHeight="1" x14ac:dyDescent="0.25">
      <c r="A50" s="38"/>
      <c r="B50" s="291"/>
      <c r="C50" s="292"/>
      <c r="D50" s="293"/>
      <c r="E50" s="511"/>
      <c r="F50" s="512"/>
      <c r="G50" s="512"/>
      <c r="H50" s="512"/>
      <c r="I50" s="512"/>
      <c r="J50" s="440" t="str">
        <f>IF(AND('Mapa final'!$K$70="Media",'Mapa final'!$O$70="Leve"),CONCATENATE("R",'Mapa final'!$A$70),"")</f>
        <v/>
      </c>
      <c r="K50" s="438"/>
      <c r="L50" s="438" t="str">
        <f>IF(AND('Mapa final'!$K$73="Media",'Mapa final'!$O$73="Leve"),CONCATENATE("R",'Mapa final'!$A$73),"")</f>
        <v/>
      </c>
      <c r="M50" s="438"/>
      <c r="N50" s="438" t="str">
        <f>IF(AND('Mapa final'!$K$76="Media",'Mapa final'!$O$76="Leve"),CONCATENATE("R",'Mapa final'!$A$76),"")</f>
        <v/>
      </c>
      <c r="O50" s="438"/>
      <c r="P50" s="438" t="str">
        <f>IF(AND('Mapa final'!$K$79="Media",'Mapa final'!$O$79="Leve"),CONCATENATE("R",'Mapa final'!$A$79),"")</f>
        <v/>
      </c>
      <c r="Q50" s="438"/>
      <c r="R50" s="438" t="str">
        <f>IF(AND('Mapa final'!$K$82="Media",'Mapa final'!$O$82="Leve"),CONCATENATE("R",'Mapa final'!$A$82),"")</f>
        <v/>
      </c>
      <c r="S50" s="439"/>
      <c r="T50" s="440" t="str">
        <f>IF(AND('Mapa final'!$K$70="Media",'Mapa final'!$O$70="Menor"),CONCATENATE("R",'Mapa final'!$A$70),"")</f>
        <v/>
      </c>
      <c r="U50" s="438"/>
      <c r="V50" s="438" t="str">
        <f>IF(AND('Mapa final'!$K$73="Media",'Mapa final'!$O$73="Menor"),CONCATENATE("R",'Mapa final'!$A$73),"")</f>
        <v>R22</v>
      </c>
      <c r="W50" s="438"/>
      <c r="X50" s="438" t="str">
        <f>IF(AND('Mapa final'!$K$76="Media",'Mapa final'!$O$76="Menor"),CONCATENATE("R",'Mapa final'!$A$76),"")</f>
        <v>R23</v>
      </c>
      <c r="Y50" s="438"/>
      <c r="Z50" s="438" t="str">
        <f>IF(AND('Mapa final'!$K$79="Media",'Mapa final'!$O$79="Menor"),CONCATENATE("R",'Mapa final'!$A$79),"")</f>
        <v>R24</v>
      </c>
      <c r="AA50" s="438"/>
      <c r="AB50" s="438" t="str">
        <f>IF(AND('Mapa final'!$K$82="Media",'Mapa final'!$O$82="Menor"),CONCATENATE("R",'Mapa final'!$A$82),"")</f>
        <v/>
      </c>
      <c r="AC50" s="439"/>
      <c r="AD50" s="440" t="str">
        <f>IF(AND('Mapa final'!$K$70="Media",'Mapa final'!$O$70="Moderado"),CONCATENATE("R",'Mapa final'!$A$70),"")</f>
        <v/>
      </c>
      <c r="AE50" s="438"/>
      <c r="AF50" s="438" t="str">
        <f>IF(AND('Mapa final'!$K$73="Media",'Mapa final'!$O$73="Moderado"),CONCATENATE("R",'Mapa final'!$A$73),"")</f>
        <v/>
      </c>
      <c r="AG50" s="438"/>
      <c r="AH50" s="438" t="str">
        <f>IF(AND('Mapa final'!$K$76="Media",'Mapa final'!$O$76="Moderado"),CONCATENATE("R",'Mapa final'!$A$76),"")</f>
        <v/>
      </c>
      <c r="AI50" s="438"/>
      <c r="AJ50" s="438" t="str">
        <f>IF(AND('Mapa final'!$K$79="Media",'Mapa final'!$O$79="Moderado"),CONCATENATE("R",'Mapa final'!$A$79),"")</f>
        <v/>
      </c>
      <c r="AK50" s="438"/>
      <c r="AL50" s="438" t="str">
        <f>IF(AND('Mapa final'!$K$82="Media",'Mapa final'!$O$82="Moderado"),CONCATENATE("R",'Mapa final'!$A$82),"")</f>
        <v>R25</v>
      </c>
      <c r="AM50" s="439"/>
      <c r="AN50" s="443" t="str">
        <f>IF(AND('Mapa final'!$K$70="Media",'Mapa final'!$O$70="Mayor"),CONCATENATE("R",'Mapa final'!$A$70),"")</f>
        <v/>
      </c>
      <c r="AO50" s="444"/>
      <c r="AP50" s="444" t="str">
        <f>IF(AND('Mapa final'!$K$73="Media",'Mapa final'!$O$73="Mayor"),CONCATENATE("R",'Mapa final'!$A$73),"")</f>
        <v/>
      </c>
      <c r="AQ50" s="444"/>
      <c r="AR50" s="444" t="str">
        <f>IF(AND('Mapa final'!$K$76="Media",'Mapa final'!$O$76="Mayor"),CONCATENATE("R",'Mapa final'!$A$76),"")</f>
        <v/>
      </c>
      <c r="AS50" s="444"/>
      <c r="AT50" s="444" t="str">
        <f>IF(AND('Mapa final'!$K$79="Media",'Mapa final'!$O$79="Mayor"),CONCATENATE("R",'Mapa final'!$A$79),"")</f>
        <v/>
      </c>
      <c r="AU50" s="444"/>
      <c r="AV50" s="444" t="str">
        <f>IF(AND('Mapa final'!$K$82="Media",'Mapa final'!$O$82="Mayor"),CONCATENATE("R",'Mapa final'!$A$82),"")</f>
        <v/>
      </c>
      <c r="AW50" s="446"/>
      <c r="AX50" s="437" t="str">
        <f>IF(AND('Mapa final'!$K$70="Media",'Mapa final'!$O$70="Catastrófico"),CONCATENATE("R",'Mapa final'!$A$70),"")</f>
        <v/>
      </c>
      <c r="AY50" s="435"/>
      <c r="AZ50" s="435" t="str">
        <f>IF(AND('Mapa final'!$K$73="Media",'Mapa final'!$O$73="Catastrófico"),CONCATENATE("R",'Mapa final'!$A$73),"")</f>
        <v/>
      </c>
      <c r="BA50" s="435"/>
      <c r="BB50" s="435" t="str">
        <f>IF(AND('Mapa final'!$K$76="Media",'Mapa final'!$O$76="Catastrófico"),CONCATENATE("R",'Mapa final'!$A$76),"")</f>
        <v/>
      </c>
      <c r="BC50" s="435"/>
      <c r="BD50" s="435" t="str">
        <f>IF(AND('Mapa final'!$K$79="Media",'Mapa final'!$O$79="Catastrófico"),CONCATENATE("R",'Mapa final'!$A$79),"")</f>
        <v/>
      </c>
      <c r="BE50" s="435"/>
      <c r="BF50" s="435" t="str">
        <f>IF(AND('Mapa final'!$K$82="Media",'Mapa final'!$O$82="Catastrófico"),CONCATENATE("R",'Mapa final'!$A$82),"")</f>
        <v/>
      </c>
      <c r="BG50" s="436"/>
      <c r="BH50" s="38"/>
      <c r="BI50" s="491" t="s">
        <v>75</v>
      </c>
      <c r="BJ50" s="492"/>
      <c r="BK50" s="492"/>
      <c r="BL50" s="492"/>
      <c r="BM50" s="492"/>
      <c r="BN50" s="493"/>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row>
    <row r="51" spans="1:100" ht="15" customHeight="1" x14ac:dyDescent="0.25">
      <c r="A51" s="38"/>
      <c r="B51" s="291"/>
      <c r="C51" s="292"/>
      <c r="D51" s="293"/>
      <c r="E51" s="511"/>
      <c r="F51" s="512"/>
      <c r="G51" s="512"/>
      <c r="H51" s="512"/>
      <c r="I51" s="512"/>
      <c r="J51" s="440"/>
      <c r="K51" s="438"/>
      <c r="L51" s="438"/>
      <c r="M51" s="438"/>
      <c r="N51" s="438"/>
      <c r="O51" s="438"/>
      <c r="P51" s="438"/>
      <c r="Q51" s="438"/>
      <c r="R51" s="438"/>
      <c r="S51" s="439"/>
      <c r="T51" s="440"/>
      <c r="U51" s="438"/>
      <c r="V51" s="438"/>
      <c r="W51" s="438"/>
      <c r="X51" s="438"/>
      <c r="Y51" s="438"/>
      <c r="Z51" s="438"/>
      <c r="AA51" s="438"/>
      <c r="AB51" s="438"/>
      <c r="AC51" s="439"/>
      <c r="AD51" s="440"/>
      <c r="AE51" s="438"/>
      <c r="AF51" s="438"/>
      <c r="AG51" s="438"/>
      <c r="AH51" s="438"/>
      <c r="AI51" s="438"/>
      <c r="AJ51" s="438"/>
      <c r="AK51" s="438"/>
      <c r="AL51" s="438"/>
      <c r="AM51" s="439"/>
      <c r="AN51" s="443"/>
      <c r="AO51" s="444"/>
      <c r="AP51" s="444"/>
      <c r="AQ51" s="444"/>
      <c r="AR51" s="444"/>
      <c r="AS51" s="444"/>
      <c r="AT51" s="444"/>
      <c r="AU51" s="444"/>
      <c r="AV51" s="444"/>
      <c r="AW51" s="446"/>
      <c r="AX51" s="437"/>
      <c r="AY51" s="435"/>
      <c r="AZ51" s="435"/>
      <c r="BA51" s="435"/>
      <c r="BB51" s="435"/>
      <c r="BC51" s="435"/>
      <c r="BD51" s="435"/>
      <c r="BE51" s="435"/>
      <c r="BF51" s="435"/>
      <c r="BG51" s="436"/>
      <c r="BH51" s="38"/>
      <c r="BI51" s="494"/>
      <c r="BJ51" s="495"/>
      <c r="BK51" s="495"/>
      <c r="BL51" s="495"/>
      <c r="BM51" s="495"/>
      <c r="BN51" s="496"/>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row>
    <row r="52" spans="1:100" ht="15" customHeight="1" x14ac:dyDescent="0.25">
      <c r="A52" s="38"/>
      <c r="B52" s="291"/>
      <c r="C52" s="292"/>
      <c r="D52" s="293"/>
      <c r="E52" s="511"/>
      <c r="F52" s="512"/>
      <c r="G52" s="512"/>
      <c r="H52" s="512"/>
      <c r="I52" s="512"/>
      <c r="J52" s="440" t="str">
        <f>IF(AND('Mapa final'!$K$85="Media",'Mapa final'!$O$85="Leve"),CONCATENATE("R",'Mapa final'!$A$85),"")</f>
        <v/>
      </c>
      <c r="K52" s="438"/>
      <c r="L52" s="438" t="str">
        <f>IF(AND('Mapa final'!$K$88="Media",'Mapa final'!$O$88="Leve"),CONCATENATE("R",'Mapa final'!$A$88),"")</f>
        <v/>
      </c>
      <c r="M52" s="438"/>
      <c r="N52" s="438" t="str">
        <f>IF(AND('Mapa final'!$K$91="Media",'Mapa final'!$O$91="Leve"),CONCATENATE("R",'Mapa final'!$A$91),"")</f>
        <v/>
      </c>
      <c r="O52" s="438"/>
      <c r="P52" s="438" t="str">
        <f>IF(AND('Mapa final'!$K$94="Media",'Mapa final'!$O$94="Leve"),CONCATENATE("R",'Mapa final'!$A$94),"")</f>
        <v/>
      </c>
      <c r="Q52" s="438"/>
      <c r="R52" s="438" t="str">
        <f>IF(AND('Mapa final'!$K$97="Media",'Mapa final'!$O$97="Leve"),CONCATENATE("R",'Mapa final'!$A$97),"")</f>
        <v/>
      </c>
      <c r="S52" s="439"/>
      <c r="T52" s="440" t="str">
        <f>IF(AND('Mapa final'!$K$85="Media",'Mapa final'!$O$85="Menor"),CONCATENATE("R",'Mapa final'!$A$85),"")</f>
        <v/>
      </c>
      <c r="U52" s="438"/>
      <c r="V52" s="438" t="str">
        <f>IF(AND('Mapa final'!$K$88="Media",'Mapa final'!$O$88="Menor"),CONCATENATE("R",'Mapa final'!$A$88),"")</f>
        <v/>
      </c>
      <c r="W52" s="438"/>
      <c r="X52" s="438" t="str">
        <f>IF(AND('Mapa final'!$K$91="Media",'Mapa final'!$O$91="Menor"),CONCATENATE("R",'Mapa final'!$A$91),"")</f>
        <v/>
      </c>
      <c r="Y52" s="438"/>
      <c r="Z52" s="438" t="str">
        <f>IF(AND('Mapa final'!$K$94="Media",'Mapa final'!$O$94="Menor"),CONCATENATE("R",'Mapa final'!$A$94),"")</f>
        <v/>
      </c>
      <c r="AA52" s="438"/>
      <c r="AB52" s="438" t="str">
        <f>IF(AND('Mapa final'!$K$97="Media",'Mapa final'!$O$97="Menor"),CONCATENATE("R",'Mapa final'!$A$97),"")</f>
        <v/>
      </c>
      <c r="AC52" s="439"/>
      <c r="AD52" s="440" t="str">
        <f>IF(AND('Mapa final'!$K$85="Media",'Mapa final'!$O$85="Moderado"),CONCATENATE("R",'Mapa final'!$A$85),"")</f>
        <v/>
      </c>
      <c r="AE52" s="438"/>
      <c r="AF52" s="438" t="str">
        <f>IF(AND('Mapa final'!$K$88="Media",'Mapa final'!$O$88="Moderado"),CONCATENATE("R",'Mapa final'!$A$88),"")</f>
        <v/>
      </c>
      <c r="AG52" s="438"/>
      <c r="AH52" s="438" t="str">
        <f>IF(AND('Mapa final'!$K$91="Media",'Mapa final'!$O$91="Moderado"),CONCATENATE("R",'Mapa final'!$A$91),"")</f>
        <v/>
      </c>
      <c r="AI52" s="438"/>
      <c r="AJ52" s="438" t="str">
        <f>IF(AND('Mapa final'!$K$94="Media",'Mapa final'!$O$94="Moderado"),CONCATENATE("R",'Mapa final'!$A$94),"")</f>
        <v/>
      </c>
      <c r="AK52" s="438"/>
      <c r="AL52" s="438" t="str">
        <f>IF(AND('Mapa final'!$K$97="Media",'Mapa final'!$O$97="Moderado"),CONCATENATE("R",'Mapa final'!$A$97),"")</f>
        <v/>
      </c>
      <c r="AM52" s="439"/>
      <c r="AN52" s="443" t="str">
        <f>IF(AND('Mapa final'!$K$85="Media",'Mapa final'!$O$85="Mayor"),CONCATENATE("R",'Mapa final'!$A$85),"")</f>
        <v/>
      </c>
      <c r="AO52" s="444"/>
      <c r="AP52" s="444" t="str">
        <f>IF(AND('Mapa final'!$K$88="Media",'Mapa final'!$O$88="Mayor"),CONCATENATE("R",'Mapa final'!$A$88),"")</f>
        <v/>
      </c>
      <c r="AQ52" s="444"/>
      <c r="AR52" s="444" t="str">
        <f>IF(AND('Mapa final'!$K$91="Media",'Mapa final'!$O$91="Mayor"),CONCATENATE("R",'Mapa final'!$A$91),"")</f>
        <v/>
      </c>
      <c r="AS52" s="444"/>
      <c r="AT52" s="444" t="str">
        <f>IF(AND('Mapa final'!$K$94="Media",'Mapa final'!$O$94="Mayor"),CONCATENATE("R",'Mapa final'!$A$94),"")</f>
        <v/>
      </c>
      <c r="AU52" s="444"/>
      <c r="AV52" s="444" t="str">
        <f>IF(AND('Mapa final'!$K$97="Media",'Mapa final'!$O$97="Mayor"),CONCATENATE("R",'Mapa final'!$A$97),"")</f>
        <v/>
      </c>
      <c r="AW52" s="446"/>
      <c r="AX52" s="437" t="str">
        <f>IF(AND('Mapa final'!$K$85="Media",'Mapa final'!$O$85="Catastrófico"),CONCATENATE("R",'Mapa final'!$A$85),"")</f>
        <v/>
      </c>
      <c r="AY52" s="435"/>
      <c r="AZ52" s="435" t="str">
        <f>IF(AND('Mapa final'!$K$88="Media",'Mapa final'!$O$88="Catastrófico"),CONCATENATE("R",'Mapa final'!$A$88),"")</f>
        <v/>
      </c>
      <c r="BA52" s="435"/>
      <c r="BB52" s="435" t="str">
        <f>IF(AND('Mapa final'!$K$91="Media",'Mapa final'!$O$91="Catastrófico"),CONCATENATE("R",'Mapa final'!$A$91),"")</f>
        <v/>
      </c>
      <c r="BC52" s="435"/>
      <c r="BD52" s="435" t="str">
        <f>IF(AND('Mapa final'!$K$94="Media",'Mapa final'!$O$94="Catastrófico"),CONCATENATE("R",'Mapa final'!$A$94),"")</f>
        <v/>
      </c>
      <c r="BE52" s="435"/>
      <c r="BF52" s="435" t="str">
        <f>IF(AND('Mapa final'!$K$97="Media",'Mapa final'!$O$97="Catastrófico"),CONCATENATE("R",'Mapa final'!$A$97),"")</f>
        <v/>
      </c>
      <c r="BG52" s="436"/>
      <c r="BH52" s="38"/>
      <c r="BI52" s="494"/>
      <c r="BJ52" s="495"/>
      <c r="BK52" s="495"/>
      <c r="BL52" s="495"/>
      <c r="BM52" s="495"/>
      <c r="BN52" s="496"/>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row>
    <row r="53" spans="1:100" ht="15" customHeight="1" x14ac:dyDescent="0.25">
      <c r="A53" s="38"/>
      <c r="B53" s="291"/>
      <c r="C53" s="292"/>
      <c r="D53" s="293"/>
      <c r="E53" s="511"/>
      <c r="F53" s="512"/>
      <c r="G53" s="512"/>
      <c r="H53" s="512"/>
      <c r="I53" s="512"/>
      <c r="J53" s="440"/>
      <c r="K53" s="438"/>
      <c r="L53" s="438"/>
      <c r="M53" s="438"/>
      <c r="N53" s="438"/>
      <c r="O53" s="438"/>
      <c r="P53" s="438"/>
      <c r="Q53" s="438"/>
      <c r="R53" s="438"/>
      <c r="S53" s="439"/>
      <c r="T53" s="440"/>
      <c r="U53" s="438"/>
      <c r="V53" s="438"/>
      <c r="W53" s="438"/>
      <c r="X53" s="438"/>
      <c r="Y53" s="438"/>
      <c r="Z53" s="438"/>
      <c r="AA53" s="438"/>
      <c r="AB53" s="438"/>
      <c r="AC53" s="439"/>
      <c r="AD53" s="440"/>
      <c r="AE53" s="438"/>
      <c r="AF53" s="438"/>
      <c r="AG53" s="438"/>
      <c r="AH53" s="438"/>
      <c r="AI53" s="438"/>
      <c r="AJ53" s="438"/>
      <c r="AK53" s="438"/>
      <c r="AL53" s="438"/>
      <c r="AM53" s="439"/>
      <c r="AN53" s="443"/>
      <c r="AO53" s="444"/>
      <c r="AP53" s="444"/>
      <c r="AQ53" s="444"/>
      <c r="AR53" s="444"/>
      <c r="AS53" s="444"/>
      <c r="AT53" s="444"/>
      <c r="AU53" s="444"/>
      <c r="AV53" s="444"/>
      <c r="AW53" s="446"/>
      <c r="AX53" s="437"/>
      <c r="AY53" s="435"/>
      <c r="AZ53" s="435"/>
      <c r="BA53" s="435"/>
      <c r="BB53" s="435"/>
      <c r="BC53" s="435"/>
      <c r="BD53" s="435"/>
      <c r="BE53" s="435"/>
      <c r="BF53" s="435"/>
      <c r="BG53" s="436"/>
      <c r="BH53" s="38"/>
      <c r="BI53" s="494"/>
      <c r="BJ53" s="495"/>
      <c r="BK53" s="495"/>
      <c r="BL53" s="495"/>
      <c r="BM53" s="495"/>
      <c r="BN53" s="496"/>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row>
    <row r="54" spans="1:100" ht="15" customHeight="1" x14ac:dyDescent="0.25">
      <c r="A54" s="38"/>
      <c r="B54" s="291"/>
      <c r="C54" s="292"/>
      <c r="D54" s="293"/>
      <c r="E54" s="511"/>
      <c r="F54" s="512"/>
      <c r="G54" s="512"/>
      <c r="H54" s="512"/>
      <c r="I54" s="512"/>
      <c r="J54" s="440" t="str">
        <f>IF(AND('Mapa final'!$K$100="Media",'Mapa final'!$O$100="Leve"),CONCATENATE("R",'Mapa final'!$A$100),"")</f>
        <v/>
      </c>
      <c r="K54" s="438"/>
      <c r="L54" s="438" t="str">
        <f>IF(AND('Mapa final'!$K$103="Media",'Mapa final'!$O$103="Leve"),CONCATENATE("R",'Mapa final'!$A$103),"")</f>
        <v/>
      </c>
      <c r="M54" s="438"/>
      <c r="N54" s="438" t="str">
        <f>IF(AND('Mapa final'!$K$106="Media",'Mapa final'!$O$106="Leve"),CONCATENATE("R",'Mapa final'!$A$106),"")</f>
        <v/>
      </c>
      <c r="O54" s="438"/>
      <c r="P54" s="438" t="str">
        <f>IF(AND('Mapa final'!$K$109="Media",'Mapa final'!$O$109="Leve"),CONCATENATE("R",'Mapa final'!$A$109),"")</f>
        <v/>
      </c>
      <c r="Q54" s="438"/>
      <c r="R54" s="438" t="str">
        <f>IF(AND('Mapa final'!$K$112="Media",'Mapa final'!$O$112="Leve"),CONCATENATE("R",'Mapa final'!$A$112),"")</f>
        <v/>
      </c>
      <c r="S54" s="438"/>
      <c r="T54" s="440" t="str">
        <f>IF(AND('Mapa final'!$K$100="Media",'Mapa final'!$O$100="Menor"),CONCATENATE("R",'Mapa final'!$A$100),"")</f>
        <v/>
      </c>
      <c r="U54" s="438"/>
      <c r="V54" s="438" t="str">
        <f>IF(AND('Mapa final'!$K$103="Media",'Mapa final'!$O$103="Menor"),CONCATENATE("R",'Mapa final'!$A$103),"")</f>
        <v/>
      </c>
      <c r="W54" s="438"/>
      <c r="X54" s="438" t="str">
        <f>IF(AND('Mapa final'!$K$106="Media",'Mapa final'!$O$106="Menor"),CONCATENATE("R",'Mapa final'!$A$106),"")</f>
        <v/>
      </c>
      <c r="Y54" s="438"/>
      <c r="Z54" s="438" t="str">
        <f>IF(AND('Mapa final'!$K$109="Media",'Mapa final'!$O$109="Menor"),CONCATENATE("R",'Mapa final'!$A$109),"")</f>
        <v/>
      </c>
      <c r="AA54" s="438"/>
      <c r="AB54" s="438" t="str">
        <f>IF(AND('Mapa final'!$K$112="Media",'Mapa final'!$O$112="Menor"),CONCATENATE("R",'Mapa final'!$A$112),"")</f>
        <v/>
      </c>
      <c r="AC54" s="438"/>
      <c r="AD54" s="440" t="str">
        <f>IF(AND('Mapa final'!$K$100="Media",'Mapa final'!$O$100="Moderado"),CONCATENATE("R",'Mapa final'!$A$100),"")</f>
        <v/>
      </c>
      <c r="AE54" s="438"/>
      <c r="AF54" s="438" t="str">
        <f>IF(AND('Mapa final'!$K$103="Media",'Mapa final'!$O$103="Moderado"),CONCATENATE("R",'Mapa final'!$A$103),"")</f>
        <v/>
      </c>
      <c r="AG54" s="438"/>
      <c r="AH54" s="438" t="str">
        <f>IF(AND('Mapa final'!$K$106="Media",'Mapa final'!$O$106="Moderado"),CONCATENATE("R",'Mapa final'!$A$106),"")</f>
        <v/>
      </c>
      <c r="AI54" s="438"/>
      <c r="AJ54" s="438" t="str">
        <f>IF(AND('Mapa final'!$K$109="Media",'Mapa final'!$O$109="Moderado"),CONCATENATE("R",'Mapa final'!$A$109),"")</f>
        <v>R34</v>
      </c>
      <c r="AK54" s="438"/>
      <c r="AL54" s="438" t="str">
        <f>IF(AND('Mapa final'!$K$112="Media",'Mapa final'!$O$112="Moderado"),CONCATENATE("R",'Mapa final'!$A$112),"")</f>
        <v>R35</v>
      </c>
      <c r="AM54" s="438"/>
      <c r="AN54" s="443" t="str">
        <f>IF(AND('Mapa final'!$K$100="Media",'Mapa final'!$O$100="Mayor"),CONCATENATE("R",'Mapa final'!$A$100),"")</f>
        <v>R31</v>
      </c>
      <c r="AO54" s="444"/>
      <c r="AP54" s="444" t="str">
        <f>IF(AND('Mapa final'!$K$103="Media",'Mapa final'!$O$103="Mayor"),CONCATENATE("R",'Mapa final'!$A$103),"")</f>
        <v/>
      </c>
      <c r="AQ54" s="444"/>
      <c r="AR54" s="444" t="str">
        <f>IF(AND('Mapa final'!$K$106="Media",'Mapa final'!$O$106="Mayor"),CONCATENATE("R",'Mapa final'!$A$106),"")</f>
        <v/>
      </c>
      <c r="AS54" s="444"/>
      <c r="AT54" s="444" t="str">
        <f>IF(AND('Mapa final'!$K$109="Media",'Mapa final'!$O$109="Mayor"),CONCATENATE("R",'Mapa final'!$A$109),"")</f>
        <v/>
      </c>
      <c r="AU54" s="444"/>
      <c r="AV54" s="444" t="str">
        <f>IF(AND('Mapa final'!$K$112="Media",'Mapa final'!$O$112="Mayor"),CONCATENATE("R",'Mapa final'!$A$112),"")</f>
        <v/>
      </c>
      <c r="AW54" s="444"/>
      <c r="AX54" s="437" t="str">
        <f>IF(AND('Mapa final'!$K$100="Media",'Mapa final'!$O$100="Catastrófico"),CONCATENATE("R",'Mapa final'!$A$100),"")</f>
        <v/>
      </c>
      <c r="AY54" s="435"/>
      <c r="AZ54" s="435" t="str">
        <f>IF(AND('Mapa final'!$K$103="Media",'Mapa final'!$O$103="Catastrófico"),CONCATENATE("R",'Mapa final'!$A$103),"")</f>
        <v/>
      </c>
      <c r="BA54" s="435"/>
      <c r="BB54" s="435" t="str">
        <f>IF(AND('Mapa final'!$K$106="Media",'Mapa final'!$O$106="Catastrófico"),CONCATENATE("R",'Mapa final'!$A$106),"")</f>
        <v/>
      </c>
      <c r="BC54" s="435"/>
      <c r="BD54" s="435" t="str">
        <f>IF(AND('Mapa final'!$K$109="Media",'Mapa final'!$O$109="Catastrófico"),CONCATENATE("R",'Mapa final'!$A$109),"")</f>
        <v/>
      </c>
      <c r="BE54" s="435"/>
      <c r="BF54" s="435" t="str">
        <f>IF(AND('Mapa final'!$K$112="Media",'Mapa final'!$O$112="Catastrófico"),CONCATENATE("R",'Mapa final'!$A$112),"")</f>
        <v/>
      </c>
      <c r="BG54" s="436"/>
      <c r="BH54" s="38"/>
      <c r="BI54" s="494"/>
      <c r="BJ54" s="495"/>
      <c r="BK54" s="495"/>
      <c r="BL54" s="495"/>
      <c r="BM54" s="495"/>
      <c r="BN54" s="496"/>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row>
    <row r="55" spans="1:100" ht="15" customHeight="1" x14ac:dyDescent="0.25">
      <c r="A55" s="38"/>
      <c r="B55" s="291"/>
      <c r="C55" s="292"/>
      <c r="D55" s="293"/>
      <c r="E55" s="511"/>
      <c r="F55" s="512"/>
      <c r="G55" s="512"/>
      <c r="H55" s="512"/>
      <c r="I55" s="512"/>
      <c r="J55" s="440"/>
      <c r="K55" s="438"/>
      <c r="L55" s="438"/>
      <c r="M55" s="438"/>
      <c r="N55" s="438"/>
      <c r="O55" s="438"/>
      <c r="P55" s="438"/>
      <c r="Q55" s="438"/>
      <c r="R55" s="438"/>
      <c r="S55" s="438"/>
      <c r="T55" s="440"/>
      <c r="U55" s="438"/>
      <c r="V55" s="438"/>
      <c r="W55" s="438"/>
      <c r="X55" s="438"/>
      <c r="Y55" s="438"/>
      <c r="Z55" s="438"/>
      <c r="AA55" s="438"/>
      <c r="AB55" s="438"/>
      <c r="AC55" s="438"/>
      <c r="AD55" s="440"/>
      <c r="AE55" s="438"/>
      <c r="AF55" s="438"/>
      <c r="AG55" s="438"/>
      <c r="AH55" s="438"/>
      <c r="AI55" s="438"/>
      <c r="AJ55" s="438"/>
      <c r="AK55" s="438"/>
      <c r="AL55" s="438"/>
      <c r="AM55" s="438"/>
      <c r="AN55" s="443"/>
      <c r="AO55" s="444"/>
      <c r="AP55" s="444"/>
      <c r="AQ55" s="444"/>
      <c r="AR55" s="444"/>
      <c r="AS55" s="444"/>
      <c r="AT55" s="444"/>
      <c r="AU55" s="444"/>
      <c r="AV55" s="444"/>
      <c r="AW55" s="444"/>
      <c r="AX55" s="437"/>
      <c r="AY55" s="435"/>
      <c r="AZ55" s="435"/>
      <c r="BA55" s="435"/>
      <c r="BB55" s="435"/>
      <c r="BC55" s="435"/>
      <c r="BD55" s="435"/>
      <c r="BE55" s="435"/>
      <c r="BF55" s="435"/>
      <c r="BG55" s="436"/>
      <c r="BH55" s="38"/>
      <c r="BI55" s="494"/>
      <c r="BJ55" s="495"/>
      <c r="BK55" s="495"/>
      <c r="BL55" s="495"/>
      <c r="BM55" s="495"/>
      <c r="BN55" s="496"/>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V55" s="38"/>
    </row>
    <row r="56" spans="1:100" ht="15" customHeight="1" x14ac:dyDescent="0.25">
      <c r="A56" s="38"/>
      <c r="B56" s="291"/>
      <c r="C56" s="292"/>
      <c r="D56" s="293"/>
      <c r="E56" s="511"/>
      <c r="F56" s="512"/>
      <c r="G56" s="512"/>
      <c r="H56" s="512"/>
      <c r="I56" s="512"/>
      <c r="J56" s="440" t="str">
        <f>IF(AND('Mapa final'!$K$115="Media",'Mapa final'!$O$115="Leve"),CONCATENATE("R",'Mapa final'!$A$115),"")</f>
        <v/>
      </c>
      <c r="K56" s="438"/>
      <c r="L56" s="438" t="str">
        <f>IF(AND('Mapa final'!$K$118="Media",'Mapa final'!$O$118="Leve"),CONCATENATE("R",'Mapa final'!$A$118),"")</f>
        <v/>
      </c>
      <c r="M56" s="438"/>
      <c r="N56" s="438" t="str">
        <f>IF(AND('Mapa final'!$K$121="Media",'Mapa final'!$O$121="Leve"),CONCATENATE("R",'Mapa final'!$A$121),"")</f>
        <v/>
      </c>
      <c r="O56" s="438"/>
      <c r="P56" s="438" t="str">
        <f>IF(AND('Mapa final'!$K$124="Media",'Mapa final'!$O$124="Leve"),CONCATENATE("R",'Mapa final'!$A$124),"")</f>
        <v/>
      </c>
      <c r="Q56" s="438"/>
      <c r="R56" s="438" t="str">
        <f>IF(AND('Mapa final'!$K$127="Media",'Mapa final'!$O$127="Leve"),CONCATENATE("R",'Mapa final'!$A$127),"")</f>
        <v/>
      </c>
      <c r="S56" s="438"/>
      <c r="T56" s="440" t="str">
        <f>IF(AND('Mapa final'!$K$115="Media",'Mapa final'!$O$115="Menor"),CONCATENATE("R",'Mapa final'!$A$115),"")</f>
        <v/>
      </c>
      <c r="U56" s="438"/>
      <c r="V56" s="438" t="str">
        <f>IF(AND('Mapa final'!$K$118="Media",'Mapa final'!$O$118="Menor"),CONCATENATE("R",'Mapa final'!$A$118),"")</f>
        <v/>
      </c>
      <c r="W56" s="438"/>
      <c r="X56" s="438" t="str">
        <f>IF(AND('Mapa final'!$K$121="Media",'Mapa final'!$O$121="Menor"),CONCATENATE("R",'Mapa final'!$A$121),"")</f>
        <v/>
      </c>
      <c r="Y56" s="438"/>
      <c r="Z56" s="438" t="str">
        <f>IF(AND('Mapa final'!$K$124="Media",'Mapa final'!$O$124="Menor"),CONCATENATE("R",'Mapa final'!$A$124),"")</f>
        <v/>
      </c>
      <c r="AA56" s="438"/>
      <c r="AB56" s="438" t="str">
        <f>IF(AND('Mapa final'!$K$127="Media",'Mapa final'!$O$127="Menor"),CONCATENATE("R",'Mapa final'!$A$127),"")</f>
        <v/>
      </c>
      <c r="AC56" s="438"/>
      <c r="AD56" s="440" t="str">
        <f>IF(AND('Mapa final'!$K$115="Media",'Mapa final'!$O$115="Moderado"),CONCATENATE("R",'Mapa final'!$A$115),"")</f>
        <v/>
      </c>
      <c r="AE56" s="438"/>
      <c r="AF56" s="438" t="str">
        <f>IF(AND('Mapa final'!$K$118="Media",'Mapa final'!$O$118="Moderado"),CONCATENATE("R",'Mapa final'!$A$118),"")</f>
        <v/>
      </c>
      <c r="AG56" s="438"/>
      <c r="AH56" s="438" t="str">
        <f>IF(AND('Mapa final'!$K$121="Media",'Mapa final'!$O$121="Moderado"),CONCATENATE("R",'Mapa final'!$A$121),"")</f>
        <v>R38</v>
      </c>
      <c r="AI56" s="438"/>
      <c r="AJ56" s="438" t="str">
        <f>IF(AND('Mapa final'!$K$124="Media",'Mapa final'!$O$124="Moderado"),CONCATENATE("R",'Mapa final'!$A$124),"")</f>
        <v/>
      </c>
      <c r="AK56" s="438"/>
      <c r="AL56" s="438" t="str">
        <f>IF(AND('Mapa final'!$K$127="Media",'Mapa final'!$O$127="Moderado"),CONCATENATE("R",'Mapa final'!$A$127),"")</f>
        <v/>
      </c>
      <c r="AM56" s="438"/>
      <c r="AN56" s="443" t="str">
        <f>IF(AND('Mapa final'!$K$115="Media",'Mapa final'!$O$115="Mayor"),CONCATENATE("R",'Mapa final'!$A$115),"")</f>
        <v>R36</v>
      </c>
      <c r="AO56" s="444"/>
      <c r="AP56" s="444" t="str">
        <f>IF(AND('Mapa final'!$K$118="Media",'Mapa final'!$O$118="Mayor"),CONCATENATE("R",'Mapa final'!$A$118),"")</f>
        <v/>
      </c>
      <c r="AQ56" s="444"/>
      <c r="AR56" s="444" t="str">
        <f>IF(AND('Mapa final'!$K$121="Media",'Mapa final'!$O$121="Mayor"),CONCATENATE("R",'Mapa final'!$A$121),"")</f>
        <v/>
      </c>
      <c r="AS56" s="444"/>
      <c r="AT56" s="444" t="str">
        <f>IF(AND('Mapa final'!$K$124="Media",'Mapa final'!$O$124="Mayor"),CONCATENATE("R",'Mapa final'!$A$124),"")</f>
        <v>R39</v>
      </c>
      <c r="AU56" s="444"/>
      <c r="AV56" s="444" t="str">
        <f>IF(AND('Mapa final'!$K$127="Media",'Mapa final'!$O$127="Mayor"),CONCATENATE("R",'Mapa final'!$A$127),"")</f>
        <v>R40</v>
      </c>
      <c r="AW56" s="444"/>
      <c r="AX56" s="437" t="str">
        <f>IF(AND('Mapa final'!$K$115="Media",'Mapa final'!$O$115="Catastrófico"),CONCATENATE("R",'Mapa final'!$A$115),"")</f>
        <v/>
      </c>
      <c r="AY56" s="435"/>
      <c r="AZ56" s="435" t="str">
        <f>IF(AND('Mapa final'!$K$118="Media",'Mapa final'!$O$118="Catastrófico"),CONCATENATE("R",'Mapa final'!$A$118),"")</f>
        <v/>
      </c>
      <c r="BA56" s="435"/>
      <c r="BB56" s="435" t="str">
        <f>IF(AND('Mapa final'!$K$121="Media",'Mapa final'!$O$121="Catastrófico"),CONCATENATE("R",'Mapa final'!$A$121),"")</f>
        <v/>
      </c>
      <c r="BC56" s="435"/>
      <c r="BD56" s="435" t="str">
        <f>IF(AND('Mapa final'!$K$124="Media",'Mapa final'!$O$124="Catastrófico"),CONCATENATE("R",'Mapa final'!$A$124),"")</f>
        <v/>
      </c>
      <c r="BE56" s="435"/>
      <c r="BF56" s="435" t="str">
        <f>IF(AND('Mapa final'!$K$127="Media",'Mapa final'!$O$127="Catastrófico"),CONCATENATE("R",'Mapa final'!$A$127),"")</f>
        <v/>
      </c>
      <c r="BG56" s="436"/>
      <c r="BH56" s="38"/>
      <c r="BI56" s="494"/>
      <c r="BJ56" s="495"/>
      <c r="BK56" s="495"/>
      <c r="BL56" s="495"/>
      <c r="BM56" s="495"/>
      <c r="BN56" s="496"/>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row>
    <row r="57" spans="1:100" ht="15" customHeight="1" x14ac:dyDescent="0.25">
      <c r="A57" s="38"/>
      <c r="B57" s="291"/>
      <c r="C57" s="292"/>
      <c r="D57" s="293"/>
      <c r="E57" s="511"/>
      <c r="F57" s="512"/>
      <c r="G57" s="512"/>
      <c r="H57" s="512"/>
      <c r="I57" s="512"/>
      <c r="J57" s="440"/>
      <c r="K57" s="438"/>
      <c r="L57" s="438"/>
      <c r="M57" s="438"/>
      <c r="N57" s="438"/>
      <c r="O57" s="438"/>
      <c r="P57" s="438"/>
      <c r="Q57" s="438"/>
      <c r="R57" s="438"/>
      <c r="S57" s="438"/>
      <c r="T57" s="440"/>
      <c r="U57" s="438"/>
      <c r="V57" s="438"/>
      <c r="W57" s="438"/>
      <c r="X57" s="438"/>
      <c r="Y57" s="438"/>
      <c r="Z57" s="438"/>
      <c r="AA57" s="438"/>
      <c r="AB57" s="438"/>
      <c r="AC57" s="438"/>
      <c r="AD57" s="440"/>
      <c r="AE57" s="438"/>
      <c r="AF57" s="438"/>
      <c r="AG57" s="438"/>
      <c r="AH57" s="438"/>
      <c r="AI57" s="438"/>
      <c r="AJ57" s="438"/>
      <c r="AK57" s="438"/>
      <c r="AL57" s="438"/>
      <c r="AM57" s="438"/>
      <c r="AN57" s="443"/>
      <c r="AO57" s="444"/>
      <c r="AP57" s="444"/>
      <c r="AQ57" s="444"/>
      <c r="AR57" s="444"/>
      <c r="AS57" s="444"/>
      <c r="AT57" s="444"/>
      <c r="AU57" s="444"/>
      <c r="AV57" s="444"/>
      <c r="AW57" s="444"/>
      <c r="AX57" s="437"/>
      <c r="AY57" s="435"/>
      <c r="AZ57" s="435"/>
      <c r="BA57" s="435"/>
      <c r="BB57" s="435"/>
      <c r="BC57" s="435"/>
      <c r="BD57" s="435"/>
      <c r="BE57" s="435"/>
      <c r="BF57" s="435"/>
      <c r="BG57" s="436"/>
      <c r="BH57" s="38"/>
      <c r="BI57" s="494"/>
      <c r="BJ57" s="495"/>
      <c r="BK57" s="495"/>
      <c r="BL57" s="495"/>
      <c r="BM57" s="495"/>
      <c r="BN57" s="496"/>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row>
    <row r="58" spans="1:100" ht="15" customHeight="1" x14ac:dyDescent="0.25">
      <c r="A58" s="38"/>
      <c r="B58" s="291"/>
      <c r="C58" s="292"/>
      <c r="D58" s="293"/>
      <c r="E58" s="511"/>
      <c r="F58" s="512"/>
      <c r="G58" s="512"/>
      <c r="H58" s="512"/>
      <c r="I58" s="512"/>
      <c r="J58" s="440" t="str">
        <f>IF(AND('Mapa final'!$K$130="Media",'Mapa final'!$O$130="Leve"),CONCATENATE("R",'Mapa final'!$A$130),"")</f>
        <v/>
      </c>
      <c r="K58" s="438"/>
      <c r="L58" s="438" t="str">
        <f>IF(AND('Mapa final'!$K$133="Media",'Mapa final'!$O$133="Leve"),CONCATENATE("R",'Mapa final'!$A$133),"")</f>
        <v/>
      </c>
      <c r="M58" s="438"/>
      <c r="N58" s="438" t="str">
        <f>IF(AND('Mapa final'!$K$136="Media",'Mapa final'!$O$136="Leve"),CONCATENATE("R",'Mapa final'!$A$136),"")</f>
        <v/>
      </c>
      <c r="O58" s="438"/>
      <c r="P58" s="438" t="str">
        <f>IF(AND('Mapa final'!$K$139="Media",'Mapa final'!$O$139="Leve"),CONCATENATE("R",'Mapa final'!$A$139),"")</f>
        <v/>
      </c>
      <c r="Q58" s="438"/>
      <c r="R58" s="438" t="str">
        <f>IF(AND('Mapa final'!$K$142="Media",'Mapa final'!$O$142="Leve"),CONCATENATE("R",'Mapa final'!$A$142),"")</f>
        <v/>
      </c>
      <c r="S58" s="439"/>
      <c r="T58" s="440" t="str">
        <f>IF(AND('Mapa final'!$K$130="Media",'Mapa final'!$O$130="Menor"),CONCATENATE("R",'Mapa final'!$A$130),"")</f>
        <v/>
      </c>
      <c r="U58" s="438"/>
      <c r="V58" s="438" t="str">
        <f>IF(AND('Mapa final'!$K$133="Media",'Mapa final'!$O$133="Menor"),CONCATENATE("R",'Mapa final'!$A$133),"")</f>
        <v/>
      </c>
      <c r="W58" s="438"/>
      <c r="X58" s="438" t="str">
        <f>IF(AND('Mapa final'!$K$136="Media",'Mapa final'!$O$136="Menor"),CONCATENATE("R",'Mapa final'!$A$136),"")</f>
        <v/>
      </c>
      <c r="Y58" s="438"/>
      <c r="Z58" s="438" t="str">
        <f>IF(AND('Mapa final'!$K$139="Media",'Mapa final'!$O$139="Menor"),CONCATENATE("R",'Mapa final'!$A$139),"")</f>
        <v/>
      </c>
      <c r="AA58" s="438"/>
      <c r="AB58" s="438" t="str">
        <f>IF(AND('Mapa final'!$K$142="Media",'Mapa final'!$O$142="Menor"),CONCATENATE("R",'Mapa final'!$A$142),"")</f>
        <v/>
      </c>
      <c r="AC58" s="439"/>
      <c r="AD58" s="440" t="str">
        <f>IF(AND('Mapa final'!$K$130="Media",'Mapa final'!$O$130="Moderado"),CONCATENATE("R",'Mapa final'!$A$130),"")</f>
        <v/>
      </c>
      <c r="AE58" s="438"/>
      <c r="AF58" s="438" t="str">
        <f>IF(AND('Mapa final'!$K$133="Media",'Mapa final'!$O$133="Moderado"),CONCATENATE("R",'Mapa final'!$A$133),"")</f>
        <v/>
      </c>
      <c r="AG58" s="438"/>
      <c r="AH58" s="438" t="str">
        <f>IF(AND('Mapa final'!$K$136="Media",'Mapa final'!$O$136="Moderado"),CONCATENATE("R",'Mapa final'!$A$136),"")</f>
        <v/>
      </c>
      <c r="AI58" s="438"/>
      <c r="AJ58" s="438" t="str">
        <f>IF(AND('Mapa final'!$K$139="Media",'Mapa final'!$O$139="Moderado"),CONCATENATE("R",'Mapa final'!$A$139),"")</f>
        <v/>
      </c>
      <c r="AK58" s="438"/>
      <c r="AL58" s="438" t="str">
        <f>IF(AND('Mapa final'!$K$142="Media",'Mapa final'!$O$142="Moderado"),CONCATENATE("R",'Mapa final'!$A$142),"")</f>
        <v/>
      </c>
      <c r="AM58" s="439"/>
      <c r="AN58" s="443" t="str">
        <f>IF(AND('Mapa final'!$K$130="Media",'Mapa final'!$O$130="Mayor"),CONCATENATE("R",'Mapa final'!$A$130),"")</f>
        <v/>
      </c>
      <c r="AO58" s="444"/>
      <c r="AP58" s="444" t="str">
        <f>IF(AND('Mapa final'!$K$133="Media",'Mapa final'!$O$133="Mayor"),CONCATENATE("R",'Mapa final'!$A$133),"")</f>
        <v/>
      </c>
      <c r="AQ58" s="444"/>
      <c r="AR58" s="444" t="str">
        <f>IF(AND('Mapa final'!$K$136="Media",'Mapa final'!$O$136="Mayor"),CONCATENATE("R",'Mapa final'!$A$136),"")</f>
        <v/>
      </c>
      <c r="AS58" s="444"/>
      <c r="AT58" s="444" t="str">
        <f>IF(AND('Mapa final'!$K$139="Media",'Mapa final'!$O$139="Mayor"),CONCATENATE("R",'Mapa final'!$A$139),"")</f>
        <v/>
      </c>
      <c r="AU58" s="444"/>
      <c r="AV58" s="444" t="str">
        <f>IF(AND('Mapa final'!$K$142="Media",'Mapa final'!$O$142="Mayor"),CONCATENATE("R",'Mapa final'!$A$142),"")</f>
        <v/>
      </c>
      <c r="AW58" s="446"/>
      <c r="AX58" s="437" t="str">
        <f>IF(AND('Mapa final'!$K$130="Media",'Mapa final'!$O$130="Catastrófico"),CONCATENATE("R",'Mapa final'!$A$130),"")</f>
        <v/>
      </c>
      <c r="AY58" s="435"/>
      <c r="AZ58" s="435" t="str">
        <f>IF(AND('Mapa final'!$K$133="Media",'Mapa final'!$O$133="Catastrófico"),CONCATENATE("R",'Mapa final'!$A$133),"")</f>
        <v/>
      </c>
      <c r="BA58" s="435"/>
      <c r="BB58" s="435" t="str">
        <f>IF(AND('Mapa final'!$K$136="Media",'Mapa final'!$O$136="Catastrófico"),CONCATENATE("R",'Mapa final'!$A$136),"")</f>
        <v/>
      </c>
      <c r="BC58" s="435"/>
      <c r="BD58" s="435" t="str">
        <f>IF(AND('Mapa final'!$K$139="Media",'Mapa final'!$O$139="Catastrófico"),CONCATENATE("R",'Mapa final'!$A$139),"")</f>
        <v/>
      </c>
      <c r="BE58" s="435"/>
      <c r="BF58" s="435" t="str">
        <f>IF(AND('Mapa final'!$K$142="Media",'Mapa final'!$O$142="Catastrófico"),CONCATENATE("R",'Mapa final'!$A$142),"")</f>
        <v/>
      </c>
      <c r="BG58" s="436"/>
      <c r="BH58" s="38"/>
      <c r="BI58" s="494"/>
      <c r="BJ58" s="495"/>
      <c r="BK58" s="495"/>
      <c r="BL58" s="495"/>
      <c r="BM58" s="495"/>
      <c r="BN58" s="496"/>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c r="CT58" s="38"/>
      <c r="CU58" s="38"/>
      <c r="CV58" s="38"/>
    </row>
    <row r="59" spans="1:100" ht="15" customHeight="1" thickBot="1" x14ac:dyDescent="0.3">
      <c r="A59" s="38"/>
      <c r="B59" s="291"/>
      <c r="C59" s="292"/>
      <c r="D59" s="293"/>
      <c r="E59" s="511"/>
      <c r="F59" s="512"/>
      <c r="G59" s="512"/>
      <c r="H59" s="512"/>
      <c r="I59" s="512"/>
      <c r="J59" s="440"/>
      <c r="K59" s="438"/>
      <c r="L59" s="438"/>
      <c r="M59" s="438"/>
      <c r="N59" s="438"/>
      <c r="O59" s="438"/>
      <c r="P59" s="438"/>
      <c r="Q59" s="438"/>
      <c r="R59" s="438"/>
      <c r="S59" s="439"/>
      <c r="T59" s="440"/>
      <c r="U59" s="438"/>
      <c r="V59" s="438"/>
      <c r="W59" s="438"/>
      <c r="X59" s="438"/>
      <c r="Y59" s="438"/>
      <c r="Z59" s="438"/>
      <c r="AA59" s="438"/>
      <c r="AB59" s="438"/>
      <c r="AC59" s="439"/>
      <c r="AD59" s="440"/>
      <c r="AE59" s="438"/>
      <c r="AF59" s="438"/>
      <c r="AG59" s="438"/>
      <c r="AH59" s="438"/>
      <c r="AI59" s="438"/>
      <c r="AJ59" s="438"/>
      <c r="AK59" s="438"/>
      <c r="AL59" s="438"/>
      <c r="AM59" s="439"/>
      <c r="AN59" s="443"/>
      <c r="AO59" s="444"/>
      <c r="AP59" s="444"/>
      <c r="AQ59" s="444"/>
      <c r="AR59" s="444"/>
      <c r="AS59" s="444"/>
      <c r="AT59" s="444"/>
      <c r="AU59" s="444"/>
      <c r="AV59" s="444"/>
      <c r="AW59" s="446"/>
      <c r="AX59" s="469"/>
      <c r="AY59" s="457"/>
      <c r="AZ59" s="457"/>
      <c r="BA59" s="457"/>
      <c r="BB59" s="457"/>
      <c r="BC59" s="457"/>
      <c r="BD59" s="457"/>
      <c r="BE59" s="457"/>
      <c r="BF59" s="457"/>
      <c r="BG59" s="458"/>
      <c r="BH59" s="38"/>
      <c r="BI59" s="494"/>
      <c r="BJ59" s="495"/>
      <c r="BK59" s="495"/>
      <c r="BL59" s="495"/>
      <c r="BM59" s="495"/>
      <c r="BN59" s="496"/>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row>
    <row r="60" spans="1:100" ht="15" customHeight="1" x14ac:dyDescent="0.25">
      <c r="A60" s="38"/>
      <c r="B60" s="291"/>
      <c r="C60" s="292"/>
      <c r="D60" s="293"/>
      <c r="E60" s="509" t="s">
        <v>105</v>
      </c>
      <c r="F60" s="510"/>
      <c r="G60" s="510"/>
      <c r="H60" s="510"/>
      <c r="I60" s="510"/>
      <c r="J60" s="527" t="str">
        <f>IF(AND('Mapa final'!$K$7="Baja",'Mapa final'!$O$7="Leve"),CONCATENATE("R",'Mapa final'!$A$7),"")</f>
        <v/>
      </c>
      <c r="K60" s="471"/>
      <c r="L60" s="471" t="str">
        <f>IF(AND('Mapa final'!$K$10="Baja",'Mapa final'!$O$10="Leve"),CONCATENATE("R",'Mapa final'!$A$10),"")</f>
        <v/>
      </c>
      <c r="M60" s="471"/>
      <c r="N60" s="471" t="str">
        <f>IF(AND('Mapa final'!$K$13="Baja",'Mapa final'!$O$13="Leve"),CONCATENATE("R",'Mapa final'!$A$13),"")</f>
        <v/>
      </c>
      <c r="O60" s="471"/>
      <c r="P60" s="471" t="str">
        <f>IF(AND('Mapa final'!$K$16="Baja",'Mapa final'!$O$16="Leve"),CONCATENATE("R",'Mapa final'!$A$16),"")</f>
        <v/>
      </c>
      <c r="Q60" s="471"/>
      <c r="R60" s="471" t="str">
        <f>IF(AND('Mapa final'!$K$19="Baja",'Mapa final'!$O$19="Leve"),CONCATENATE("R",'Mapa final'!$A$19),"")</f>
        <v/>
      </c>
      <c r="S60" s="472"/>
      <c r="T60" s="450" t="str">
        <f>IF(AND('Mapa final'!$K$7="Baja",'Mapa final'!$O$7="Menor"),CONCATENATE("R",'Mapa final'!$A$7),"")</f>
        <v/>
      </c>
      <c r="U60" s="451"/>
      <c r="V60" s="451" t="str">
        <f>IF(AND('Mapa final'!$K$10="Baja",'Mapa final'!$O$10="Menor"),CONCATENATE("R",'Mapa final'!$A$10),"")</f>
        <v/>
      </c>
      <c r="W60" s="451"/>
      <c r="X60" s="451" t="str">
        <f>IF(AND('Mapa final'!$K$13="Baja",'Mapa final'!$O$13="Menor"),CONCATENATE("R",'Mapa final'!$A$13),"")</f>
        <v/>
      </c>
      <c r="Y60" s="451"/>
      <c r="Z60" s="451" t="str">
        <f>IF(AND('Mapa final'!$K$16="Baja",'Mapa final'!$O$16="Menor"),CONCATENATE("R",'Mapa final'!$A$16),"")</f>
        <v/>
      </c>
      <c r="AA60" s="451"/>
      <c r="AB60" s="451" t="str">
        <f>IF(AND('Mapa final'!$K$19="Baja",'Mapa final'!$O$19="Menor"),CONCATENATE("R",'Mapa final'!$A$19),"")</f>
        <v/>
      </c>
      <c r="AC60" s="452"/>
      <c r="AD60" s="450" t="str">
        <f>IF(AND('Mapa final'!$K$7="Baja",'Mapa final'!$O$7="Moderado"),CONCATENATE("R",'Mapa final'!$A$7),"")</f>
        <v/>
      </c>
      <c r="AE60" s="451"/>
      <c r="AF60" s="451" t="str">
        <f>IF(AND('Mapa final'!$K$10="Baja",'Mapa final'!$O$10="Moderado"),CONCATENATE("R",'Mapa final'!$A$10),"")</f>
        <v/>
      </c>
      <c r="AG60" s="451"/>
      <c r="AH60" s="451" t="str">
        <f>IF(AND('Mapa final'!$K$13="Baja",'Mapa final'!$O$13="Moderado"),CONCATENATE("R",'Mapa final'!$A$13),"")</f>
        <v/>
      </c>
      <c r="AI60" s="451"/>
      <c r="AJ60" s="451" t="str">
        <f>IF(AND('Mapa final'!$K$16="Baja",'Mapa final'!$O$16="Moderado"),CONCATENATE("R",'Mapa final'!$A$16),"")</f>
        <v/>
      </c>
      <c r="AK60" s="451"/>
      <c r="AL60" s="451" t="str">
        <f>IF(AND('Mapa final'!$K$19="Baja",'Mapa final'!$O$19="Moderado"),CONCATENATE("R",'Mapa final'!$A$19),"")</f>
        <v/>
      </c>
      <c r="AM60" s="452"/>
      <c r="AN60" s="447" t="str">
        <f>IF(AND('Mapa final'!$K$7="Baja",'Mapa final'!$O$7="Mayor"),CONCATENATE("R",'Mapa final'!$A$7),"")</f>
        <v/>
      </c>
      <c r="AO60" s="448"/>
      <c r="AP60" s="448" t="str">
        <f>IF(AND('Mapa final'!$K$10="Baja",'Mapa final'!$O$10="Mayor"),CONCATENATE("R",'Mapa final'!$A$10),"")</f>
        <v/>
      </c>
      <c r="AQ60" s="448"/>
      <c r="AR60" s="448" t="str">
        <f>IF(AND('Mapa final'!$K$13="Baja",'Mapa final'!$O$13="Mayor"),CONCATENATE("R",'Mapa final'!$A$13),"")</f>
        <v/>
      </c>
      <c r="AS60" s="448"/>
      <c r="AT60" s="448" t="str">
        <f>IF(AND('Mapa final'!$K$16="Baja",'Mapa final'!$O$16="Mayor"),CONCATENATE("R",'Mapa final'!$A$16),"")</f>
        <v/>
      </c>
      <c r="AU60" s="448"/>
      <c r="AV60" s="448" t="str">
        <f>IF(AND('Mapa final'!$K$19="Baja",'Mapa final'!$O$19="Mayor"),CONCATENATE("R",'Mapa final'!$A$19),"")</f>
        <v/>
      </c>
      <c r="AW60" s="449"/>
      <c r="AX60" s="467" t="str">
        <f>IF(AND('Mapa final'!$K$7="Baja",'Mapa final'!$O$7="Catastrófico"),CONCATENATE("R",'Mapa final'!$A$7),"")</f>
        <v/>
      </c>
      <c r="AY60" s="456"/>
      <c r="AZ60" s="456" t="str">
        <f>IF(AND('Mapa final'!$K$10="Baja",'Mapa final'!$O$10="Catastrófico"),CONCATENATE("R",'Mapa final'!$A$10),"")</f>
        <v/>
      </c>
      <c r="BA60" s="456"/>
      <c r="BB60" s="456" t="str">
        <f>IF(AND('Mapa final'!$K$13="Baja",'Mapa final'!$O$13="Catastrófico"),CONCATENATE("R",'Mapa final'!$A$13),"")</f>
        <v/>
      </c>
      <c r="BC60" s="456"/>
      <c r="BD60" s="456" t="str">
        <f>IF(AND('Mapa final'!$K$16="Baja",'Mapa final'!$O$16="Catastrófico"),CONCATENATE("R",'Mapa final'!$A$16),"")</f>
        <v/>
      </c>
      <c r="BE60" s="456"/>
      <c r="BF60" s="456" t="str">
        <f>IF(AND('Mapa final'!$K$19="Baja",'Mapa final'!$O$19="Catastrófico"),CONCATENATE("R",'Mapa final'!$A$19),"")</f>
        <v/>
      </c>
      <c r="BG60" s="468"/>
      <c r="BH60" s="38"/>
      <c r="BI60" s="494"/>
      <c r="BJ60" s="495"/>
      <c r="BK60" s="495"/>
      <c r="BL60" s="495"/>
      <c r="BM60" s="495"/>
      <c r="BN60" s="496"/>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row>
    <row r="61" spans="1:100" ht="15" customHeight="1" x14ac:dyDescent="0.25">
      <c r="A61" s="38"/>
      <c r="B61" s="291"/>
      <c r="C61" s="292"/>
      <c r="D61" s="293"/>
      <c r="E61" s="511"/>
      <c r="F61" s="512"/>
      <c r="G61" s="512"/>
      <c r="H61" s="512"/>
      <c r="I61" s="512"/>
      <c r="J61" s="432"/>
      <c r="K61" s="433"/>
      <c r="L61" s="433"/>
      <c r="M61" s="433"/>
      <c r="N61" s="433"/>
      <c r="O61" s="433"/>
      <c r="P61" s="433"/>
      <c r="Q61" s="433"/>
      <c r="R61" s="433"/>
      <c r="S61" s="434"/>
      <c r="T61" s="440"/>
      <c r="U61" s="438"/>
      <c r="V61" s="438"/>
      <c r="W61" s="438"/>
      <c r="X61" s="438"/>
      <c r="Y61" s="438"/>
      <c r="Z61" s="438"/>
      <c r="AA61" s="438"/>
      <c r="AB61" s="438"/>
      <c r="AC61" s="439"/>
      <c r="AD61" s="440"/>
      <c r="AE61" s="438"/>
      <c r="AF61" s="438"/>
      <c r="AG61" s="438"/>
      <c r="AH61" s="438"/>
      <c r="AI61" s="438"/>
      <c r="AJ61" s="438"/>
      <c r="AK61" s="438"/>
      <c r="AL61" s="438"/>
      <c r="AM61" s="439"/>
      <c r="AN61" s="443"/>
      <c r="AO61" s="444"/>
      <c r="AP61" s="444"/>
      <c r="AQ61" s="444"/>
      <c r="AR61" s="444"/>
      <c r="AS61" s="444"/>
      <c r="AT61" s="444"/>
      <c r="AU61" s="444"/>
      <c r="AV61" s="444"/>
      <c r="AW61" s="446"/>
      <c r="AX61" s="437"/>
      <c r="AY61" s="435"/>
      <c r="AZ61" s="435"/>
      <c r="BA61" s="435"/>
      <c r="BB61" s="435"/>
      <c r="BC61" s="435"/>
      <c r="BD61" s="435"/>
      <c r="BE61" s="435"/>
      <c r="BF61" s="435"/>
      <c r="BG61" s="436"/>
      <c r="BH61" s="38"/>
      <c r="BI61" s="494"/>
      <c r="BJ61" s="495"/>
      <c r="BK61" s="495"/>
      <c r="BL61" s="495"/>
      <c r="BM61" s="495"/>
      <c r="BN61" s="496"/>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row>
    <row r="62" spans="1:100" ht="15" customHeight="1" x14ac:dyDescent="0.25">
      <c r="A62" s="38"/>
      <c r="B62" s="291"/>
      <c r="C62" s="292"/>
      <c r="D62" s="293"/>
      <c r="E62" s="511"/>
      <c r="F62" s="512"/>
      <c r="G62" s="512"/>
      <c r="H62" s="512"/>
      <c r="I62" s="512"/>
      <c r="J62" s="432" t="str">
        <f>IF(AND('Mapa final'!$K$22="Baja",'Mapa final'!$O$22="Leve"),CONCATENATE("R",'Mapa final'!$A$22),"")</f>
        <v/>
      </c>
      <c r="K62" s="433"/>
      <c r="L62" s="433" t="str">
        <f>IF(AND('Mapa final'!$K$25="Baja",'Mapa final'!$O$25="Leve"),CONCATENATE("R",'Mapa final'!$A$25),"")</f>
        <v/>
      </c>
      <c r="M62" s="433"/>
      <c r="N62" s="433" t="str">
        <f>IF(AND('Mapa final'!$K$28="Baja",'Mapa final'!$O$28="Leve"),CONCATENATE("R",'Mapa final'!$A$28),"")</f>
        <v/>
      </c>
      <c r="O62" s="433"/>
      <c r="P62" s="433" t="str">
        <f>IF(AND('Mapa final'!$K$31="Baja",'Mapa final'!$O$31="Leve"),CONCATENATE("R",'Mapa final'!$A$31),"")</f>
        <v/>
      </c>
      <c r="Q62" s="433"/>
      <c r="R62" s="433" t="str">
        <f>IF(AND('Mapa final'!$K$34="Baja",'Mapa final'!$O$34="Leve"),CONCATENATE("R",'Mapa final'!$A$34),"")</f>
        <v/>
      </c>
      <c r="S62" s="434"/>
      <c r="T62" s="440" t="str">
        <f>IF(AND('Mapa final'!$K$22="Baja",'Mapa final'!$O$22="Menor"),CONCATENATE("R",'Mapa final'!$A$22),"")</f>
        <v/>
      </c>
      <c r="U62" s="438"/>
      <c r="V62" s="438" t="str">
        <f>IF(AND('Mapa final'!$K$25="Baja",'Mapa final'!$O$25="Menor"),CONCATENATE("R",'Mapa final'!$A$25),"")</f>
        <v/>
      </c>
      <c r="W62" s="438"/>
      <c r="X62" s="438" t="str">
        <f>IF(AND('Mapa final'!$K$28="Baja",'Mapa final'!$O$28="Menor"),CONCATENATE("R",'Mapa final'!$A$28),"")</f>
        <v/>
      </c>
      <c r="Y62" s="438"/>
      <c r="Z62" s="438" t="str">
        <f>IF(AND('Mapa final'!$K$31="Baja",'Mapa final'!$O$31="Menor"),CONCATENATE("R",'Mapa final'!$A$31),"")</f>
        <v/>
      </c>
      <c r="AA62" s="438"/>
      <c r="AB62" s="438" t="str">
        <f>IF(AND('Mapa final'!$K$34="Baja",'Mapa final'!$O$34="Menor"),CONCATENATE("R",'Mapa final'!$A$34),"")</f>
        <v/>
      </c>
      <c r="AC62" s="439"/>
      <c r="AD62" s="440" t="str">
        <f>IF(AND('Mapa final'!$K$22="Baja",'Mapa final'!$O$22="Moderado"),CONCATENATE("R",'Mapa final'!$A$22),"")</f>
        <v/>
      </c>
      <c r="AE62" s="438"/>
      <c r="AF62" s="438" t="str">
        <f>IF(AND('Mapa final'!$K$25="Baja",'Mapa final'!$O$25="Moderado"),CONCATENATE("R",'Mapa final'!$A$25),"")</f>
        <v/>
      </c>
      <c r="AG62" s="438"/>
      <c r="AH62" s="438" t="str">
        <f>IF(AND('Mapa final'!$K$28="Baja",'Mapa final'!$O$28="Moderado"),CONCATENATE("R",'Mapa final'!$A$28),"")</f>
        <v/>
      </c>
      <c r="AI62" s="438"/>
      <c r="AJ62" s="438" t="str">
        <f>IF(AND('Mapa final'!$K$31="Baja",'Mapa final'!$O$31="Moderado"),CONCATENATE("R",'Mapa final'!$A$31),"")</f>
        <v>R9</v>
      </c>
      <c r="AK62" s="438"/>
      <c r="AL62" s="438" t="str">
        <f>IF(AND('Mapa final'!$K$34="Baja",'Mapa final'!$O$34="Moderado"),CONCATENATE("R",'Mapa final'!$A$34),"")</f>
        <v>R10</v>
      </c>
      <c r="AM62" s="439"/>
      <c r="AN62" s="443" t="str">
        <f>IF(AND('Mapa final'!$K$22="Baja",'Mapa final'!$O$22="Mayor"),CONCATENATE("R",'Mapa final'!$A$22),"")</f>
        <v/>
      </c>
      <c r="AO62" s="444"/>
      <c r="AP62" s="444" t="str">
        <f>IF(AND('Mapa final'!$K$25="Baja",'Mapa final'!$O$25="Mayor"),CONCATENATE("R",'Mapa final'!$A$25),"")</f>
        <v/>
      </c>
      <c r="AQ62" s="444"/>
      <c r="AR62" s="444" t="str">
        <f>IF(AND('Mapa final'!$K$28="Baja",'Mapa final'!$O$28="Mayor"),CONCATENATE("R",'Mapa final'!$A$28),"")</f>
        <v>R8</v>
      </c>
      <c r="AS62" s="444"/>
      <c r="AT62" s="444" t="str">
        <f>IF(AND('Mapa final'!$K$31="Baja",'Mapa final'!$O$31="Mayor"),CONCATENATE("R",'Mapa final'!$A$31),"")</f>
        <v/>
      </c>
      <c r="AU62" s="444"/>
      <c r="AV62" s="444" t="str">
        <f>IF(AND('Mapa final'!$K$34="Baja",'Mapa final'!$O$34="Mayor"),CONCATENATE("R",'Mapa final'!$A$34),"")</f>
        <v/>
      </c>
      <c r="AW62" s="446"/>
      <c r="AX62" s="437" t="str">
        <f>IF(AND('Mapa final'!$K$22="Baja",'Mapa final'!$O$22="Catastrófico"),CONCATENATE("R",'Mapa final'!$A$22),"")</f>
        <v/>
      </c>
      <c r="AY62" s="435"/>
      <c r="AZ62" s="435" t="str">
        <f>IF(AND('Mapa final'!$K$25="Baja",'Mapa final'!$O$25="Catastrófico"),CONCATENATE("R",'Mapa final'!$A$25),"")</f>
        <v/>
      </c>
      <c r="BA62" s="435"/>
      <c r="BB62" s="435" t="str">
        <f>IF(AND('Mapa final'!$K$28="Baja",'Mapa final'!$O$28="Catastrófico"),CONCATENATE("R",'Mapa final'!$A$28),"")</f>
        <v/>
      </c>
      <c r="BC62" s="435"/>
      <c r="BD62" s="435" t="str">
        <f>IF(AND('Mapa final'!$K$31="Baja",'Mapa final'!$O$31="Catastrófico"),CONCATENATE("R",'Mapa final'!$A$31),"")</f>
        <v/>
      </c>
      <c r="BE62" s="435"/>
      <c r="BF62" s="435" t="str">
        <f>IF(AND('Mapa final'!$K$34="Baja",'Mapa final'!$O$34="Catastrófico"),CONCATENATE("R",'Mapa final'!$A$34),"")</f>
        <v/>
      </c>
      <c r="BG62" s="436"/>
      <c r="BH62" s="38"/>
      <c r="BI62" s="494"/>
      <c r="BJ62" s="495"/>
      <c r="BK62" s="495"/>
      <c r="BL62" s="495"/>
      <c r="BM62" s="495"/>
      <c r="BN62" s="496"/>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row>
    <row r="63" spans="1:100" ht="15" customHeight="1" x14ac:dyDescent="0.25">
      <c r="A63" s="38"/>
      <c r="B63" s="291"/>
      <c r="C63" s="292"/>
      <c r="D63" s="293"/>
      <c r="E63" s="511"/>
      <c r="F63" s="512"/>
      <c r="G63" s="512"/>
      <c r="H63" s="512"/>
      <c r="I63" s="512"/>
      <c r="J63" s="432"/>
      <c r="K63" s="433"/>
      <c r="L63" s="433"/>
      <c r="M63" s="433"/>
      <c r="N63" s="433"/>
      <c r="O63" s="433"/>
      <c r="P63" s="433"/>
      <c r="Q63" s="433"/>
      <c r="R63" s="433"/>
      <c r="S63" s="434"/>
      <c r="T63" s="440"/>
      <c r="U63" s="438"/>
      <c r="V63" s="438"/>
      <c r="W63" s="438"/>
      <c r="X63" s="438"/>
      <c r="Y63" s="438"/>
      <c r="Z63" s="438"/>
      <c r="AA63" s="438"/>
      <c r="AB63" s="438"/>
      <c r="AC63" s="439"/>
      <c r="AD63" s="440"/>
      <c r="AE63" s="438"/>
      <c r="AF63" s="438"/>
      <c r="AG63" s="438"/>
      <c r="AH63" s="438"/>
      <c r="AI63" s="438"/>
      <c r="AJ63" s="438"/>
      <c r="AK63" s="438"/>
      <c r="AL63" s="438"/>
      <c r="AM63" s="439"/>
      <c r="AN63" s="443"/>
      <c r="AO63" s="444"/>
      <c r="AP63" s="444"/>
      <c r="AQ63" s="444"/>
      <c r="AR63" s="444"/>
      <c r="AS63" s="444"/>
      <c r="AT63" s="444"/>
      <c r="AU63" s="444"/>
      <c r="AV63" s="444"/>
      <c r="AW63" s="446"/>
      <c r="AX63" s="437"/>
      <c r="AY63" s="435"/>
      <c r="AZ63" s="435"/>
      <c r="BA63" s="435"/>
      <c r="BB63" s="435"/>
      <c r="BC63" s="435"/>
      <c r="BD63" s="435"/>
      <c r="BE63" s="435"/>
      <c r="BF63" s="435"/>
      <c r="BG63" s="436"/>
      <c r="BH63" s="38"/>
      <c r="BI63" s="494"/>
      <c r="BJ63" s="495"/>
      <c r="BK63" s="495"/>
      <c r="BL63" s="495"/>
      <c r="BM63" s="495"/>
      <c r="BN63" s="496"/>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row>
    <row r="64" spans="1:100" ht="15" customHeight="1" x14ac:dyDescent="0.25">
      <c r="A64" s="38"/>
      <c r="B64" s="291"/>
      <c r="C64" s="292"/>
      <c r="D64" s="293"/>
      <c r="E64" s="511"/>
      <c r="F64" s="512"/>
      <c r="G64" s="512"/>
      <c r="H64" s="512"/>
      <c r="I64" s="512"/>
      <c r="J64" s="432" t="str">
        <f>IF(AND('Mapa final'!$K$37="Baja",'Mapa final'!$O$37="Leve"),CONCATENATE("R",'Mapa final'!$A$37),"")</f>
        <v/>
      </c>
      <c r="K64" s="433"/>
      <c r="L64" s="433" t="str">
        <f>IF(AND('Mapa final'!$K$40="Baja",'Mapa final'!$O$40="Leve"),CONCATENATE("R",'Mapa final'!$A$40),"")</f>
        <v/>
      </c>
      <c r="M64" s="433"/>
      <c r="N64" s="433" t="str">
        <f>IF(AND('Mapa final'!$K$44="Baja",'Mapa final'!$O$44="Leve"),CONCATENATE("R",'Mapa final'!$A$44),"")</f>
        <v/>
      </c>
      <c r="O64" s="433"/>
      <c r="P64" s="433" t="str">
        <f>IF(AND('Mapa final'!$K$47="Baja",'Mapa final'!$O$47="Leve"),CONCATENATE("R",'Mapa final'!$A$47),"")</f>
        <v/>
      </c>
      <c r="Q64" s="433"/>
      <c r="R64" s="433" t="str">
        <f>IF(AND('Mapa final'!$K$52="Baja",'Mapa final'!$O$52="Leve"),CONCATENATE("R",'Mapa final'!$A$52),"")</f>
        <v/>
      </c>
      <c r="S64" s="434"/>
      <c r="T64" s="440" t="str">
        <f>IF(AND('Mapa final'!$K$37="Baja",'Mapa final'!$O$37="Menor"),CONCATENATE("R",'Mapa final'!$A$37),"")</f>
        <v/>
      </c>
      <c r="U64" s="438"/>
      <c r="V64" s="438" t="str">
        <f>IF(AND('Mapa final'!$K$40="Baja",'Mapa final'!$O$40="Menor"),CONCATENATE("R",'Mapa final'!$A$40),"")</f>
        <v/>
      </c>
      <c r="W64" s="438"/>
      <c r="X64" s="438" t="str">
        <f>IF(AND('Mapa final'!$K$44="Baja",'Mapa final'!$O$44="Menor"),CONCATENATE("R",'Mapa final'!$A$44),"")</f>
        <v/>
      </c>
      <c r="Y64" s="438"/>
      <c r="Z64" s="438" t="str">
        <f>IF(AND('Mapa final'!$K$47="Baja",'Mapa final'!$O$47="Menor"),CONCATENATE("R",'Mapa final'!$A$47),"")</f>
        <v/>
      </c>
      <c r="AA64" s="438"/>
      <c r="AB64" s="438" t="str">
        <f>IF(AND('Mapa final'!$K$52="Baja",'Mapa final'!$O$52="Menor"),CONCATENATE("R",'Mapa final'!$A$52),"")</f>
        <v/>
      </c>
      <c r="AC64" s="439"/>
      <c r="AD64" s="440" t="str">
        <f>IF(AND('Mapa final'!$K$37="Baja",'Mapa final'!$O$37="Moderado"),CONCATENATE("R",'Mapa final'!$A$37),"")</f>
        <v/>
      </c>
      <c r="AE64" s="438"/>
      <c r="AF64" s="438" t="str">
        <f>IF(AND('Mapa final'!$K$40="Baja",'Mapa final'!$O$40="Moderado"),CONCATENATE("R",'Mapa final'!$A$40),"")</f>
        <v/>
      </c>
      <c r="AG64" s="438"/>
      <c r="AH64" s="438" t="str">
        <f>IF(AND('Mapa final'!$K$44="Baja",'Mapa final'!$O$44="Moderado"),CONCATENATE("R",'Mapa final'!$A$44),"")</f>
        <v/>
      </c>
      <c r="AI64" s="438"/>
      <c r="AJ64" s="438" t="str">
        <f>IF(AND('Mapa final'!$K$47="Baja",'Mapa final'!$O$47="Moderado"),CONCATENATE("R",'Mapa final'!$A$47),"")</f>
        <v/>
      </c>
      <c r="AK64" s="438"/>
      <c r="AL64" s="438" t="str">
        <f>IF(AND('Mapa final'!$K$52="Baja",'Mapa final'!$O$52="Moderado"),CONCATENATE("R",'Mapa final'!$A$52),"")</f>
        <v/>
      </c>
      <c r="AM64" s="439"/>
      <c r="AN64" s="443" t="str">
        <f>IF(AND('Mapa final'!$K$37="Baja",'Mapa final'!$O$37="Mayor"),CONCATENATE("R",'Mapa final'!$A$37),"")</f>
        <v/>
      </c>
      <c r="AO64" s="444"/>
      <c r="AP64" s="444" t="str">
        <f>IF(AND('Mapa final'!$K$40="Baja",'Mapa final'!$O$40="Mayor"),CONCATENATE("R",'Mapa final'!$A$40),"")</f>
        <v/>
      </c>
      <c r="AQ64" s="444"/>
      <c r="AR64" s="444" t="str">
        <f>IF(AND('Mapa final'!$K$44="Baja",'Mapa final'!$O$44="Mayor"),CONCATENATE("R",'Mapa final'!$A$44),"")</f>
        <v/>
      </c>
      <c r="AS64" s="444"/>
      <c r="AT64" s="444" t="str">
        <f>IF(AND('Mapa final'!$K$47="Baja",'Mapa final'!$O$47="Mayor"),CONCATENATE("R",'Mapa final'!$A$47),"")</f>
        <v/>
      </c>
      <c r="AU64" s="444"/>
      <c r="AV64" s="444" t="str">
        <f>IF(AND('Mapa final'!$K$52="Baja",'Mapa final'!$O$52="Mayor"),CONCATENATE("R",'Mapa final'!$A$52),"")</f>
        <v/>
      </c>
      <c r="AW64" s="446"/>
      <c r="AX64" s="437" t="str">
        <f>IF(AND('Mapa final'!$K$37="Baja",'Mapa final'!$O$37="Catastrófico"),CONCATENATE("R",'Mapa final'!$A$37),"")</f>
        <v/>
      </c>
      <c r="AY64" s="435"/>
      <c r="AZ64" s="435" t="str">
        <f>IF(AND('Mapa final'!$K$40="Baja",'Mapa final'!$O$40="Catastrófico"),CONCATENATE("R",'Mapa final'!$A$40),"")</f>
        <v/>
      </c>
      <c r="BA64" s="435"/>
      <c r="BB64" s="435" t="str">
        <f>IF(AND('Mapa final'!$K$44="Baja",'Mapa final'!$O$44="Catastrófico"),CONCATENATE("R",'Mapa final'!$A$44),"")</f>
        <v/>
      </c>
      <c r="BC64" s="435"/>
      <c r="BD64" s="435" t="str">
        <f>IF(AND('Mapa final'!$K$47="Baja",'Mapa final'!$O$47="Catastrófico"),CONCATENATE("R",'Mapa final'!$A$47),"")</f>
        <v/>
      </c>
      <c r="BE64" s="435"/>
      <c r="BF64" s="435" t="str">
        <f>IF(AND('Mapa final'!$K$52="Baja",'Mapa final'!$O$52="Catastrófico"),CONCATENATE("R",'Mapa final'!$A$52),"")</f>
        <v/>
      </c>
      <c r="BG64" s="436"/>
      <c r="BH64" s="38"/>
      <c r="BI64" s="494"/>
      <c r="BJ64" s="495"/>
      <c r="BK64" s="495"/>
      <c r="BL64" s="495"/>
      <c r="BM64" s="495"/>
      <c r="BN64" s="496"/>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row>
    <row r="65" spans="1:100" ht="15" customHeight="1" x14ac:dyDescent="0.25">
      <c r="A65" s="38"/>
      <c r="B65" s="291"/>
      <c r="C65" s="292"/>
      <c r="D65" s="293"/>
      <c r="E65" s="511"/>
      <c r="F65" s="512"/>
      <c r="G65" s="512"/>
      <c r="H65" s="512"/>
      <c r="I65" s="512"/>
      <c r="J65" s="432"/>
      <c r="K65" s="433"/>
      <c r="L65" s="433"/>
      <c r="M65" s="433"/>
      <c r="N65" s="433"/>
      <c r="O65" s="433"/>
      <c r="P65" s="433"/>
      <c r="Q65" s="433"/>
      <c r="R65" s="433"/>
      <c r="S65" s="434"/>
      <c r="T65" s="440"/>
      <c r="U65" s="438"/>
      <c r="V65" s="438"/>
      <c r="W65" s="438"/>
      <c r="X65" s="438"/>
      <c r="Y65" s="438"/>
      <c r="Z65" s="438"/>
      <c r="AA65" s="438"/>
      <c r="AB65" s="438"/>
      <c r="AC65" s="439"/>
      <c r="AD65" s="440"/>
      <c r="AE65" s="438"/>
      <c r="AF65" s="438"/>
      <c r="AG65" s="438"/>
      <c r="AH65" s="438"/>
      <c r="AI65" s="438"/>
      <c r="AJ65" s="438"/>
      <c r="AK65" s="438"/>
      <c r="AL65" s="438"/>
      <c r="AM65" s="439"/>
      <c r="AN65" s="443"/>
      <c r="AO65" s="444"/>
      <c r="AP65" s="444"/>
      <c r="AQ65" s="444"/>
      <c r="AR65" s="444"/>
      <c r="AS65" s="444"/>
      <c r="AT65" s="444"/>
      <c r="AU65" s="444"/>
      <c r="AV65" s="444"/>
      <c r="AW65" s="446"/>
      <c r="AX65" s="437"/>
      <c r="AY65" s="435"/>
      <c r="AZ65" s="435"/>
      <c r="BA65" s="435"/>
      <c r="BB65" s="435"/>
      <c r="BC65" s="435"/>
      <c r="BD65" s="435"/>
      <c r="BE65" s="435"/>
      <c r="BF65" s="435"/>
      <c r="BG65" s="436"/>
      <c r="BH65" s="38"/>
      <c r="BI65" s="494"/>
      <c r="BJ65" s="495"/>
      <c r="BK65" s="495"/>
      <c r="BL65" s="495"/>
      <c r="BM65" s="495"/>
      <c r="BN65" s="496"/>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row>
    <row r="66" spans="1:100" ht="15" customHeight="1" x14ac:dyDescent="0.25">
      <c r="A66" s="38"/>
      <c r="B66" s="291"/>
      <c r="C66" s="292"/>
      <c r="D66" s="293"/>
      <c r="E66" s="511"/>
      <c r="F66" s="512"/>
      <c r="G66" s="512"/>
      <c r="H66" s="512"/>
      <c r="I66" s="512"/>
      <c r="J66" s="432" t="str">
        <f>IF(AND('Mapa final'!$K$55="Baja",'Mapa final'!$O$55="Leve"),CONCATENATE("R",'Mapa final'!$A$55),"")</f>
        <v/>
      </c>
      <c r="K66" s="433"/>
      <c r="L66" s="433" t="str">
        <f>IF(AND('Mapa final'!$K$58="Baja",'Mapa final'!$O$58="Leve"),CONCATENATE("R",'Mapa final'!$A$58),"")</f>
        <v/>
      </c>
      <c r="M66" s="433"/>
      <c r="N66" s="433" t="str">
        <f>IF(AND('Mapa final'!$K$61="Baja",'Mapa final'!$O$61="Leve"),CONCATENATE("R",'Mapa final'!$A$61),"")</f>
        <v/>
      </c>
      <c r="O66" s="433"/>
      <c r="P66" s="433" t="str">
        <f>IF(AND('Mapa final'!$K$64="Baja",'Mapa final'!$O$64="Leve"),CONCATENATE("R",'Mapa final'!$A$64),"")</f>
        <v/>
      </c>
      <c r="Q66" s="433"/>
      <c r="R66" s="433" t="str">
        <f>IF(AND('Mapa final'!$K$67="Baja",'Mapa final'!$O$67="Leve"),CONCATENATE("R",'Mapa final'!$A$67),"")</f>
        <v/>
      </c>
      <c r="S66" s="434"/>
      <c r="T66" s="440" t="str">
        <f>IF(AND('Mapa final'!$K$55="Baja",'Mapa final'!$O$55="Menor"),CONCATENATE("R",'Mapa final'!$A$55),"")</f>
        <v/>
      </c>
      <c r="U66" s="438"/>
      <c r="V66" s="438" t="str">
        <f>IF(AND('Mapa final'!$K$58="Baja",'Mapa final'!$O$58="Menor"),CONCATENATE("R",'Mapa final'!$A$58),"")</f>
        <v/>
      </c>
      <c r="W66" s="438"/>
      <c r="X66" s="438" t="str">
        <f>IF(AND('Mapa final'!$K$61="Baja",'Mapa final'!$O$61="Menor"),CONCATENATE("R",'Mapa final'!$A$61),"")</f>
        <v/>
      </c>
      <c r="Y66" s="438"/>
      <c r="Z66" s="438" t="str">
        <f>IF(AND('Mapa final'!$K$64="Baja",'Mapa final'!$O$64="Menor"),CONCATENATE("R",'Mapa final'!$A$64),"")</f>
        <v/>
      </c>
      <c r="AA66" s="438"/>
      <c r="AB66" s="438" t="str">
        <f>IF(AND('Mapa final'!$K$67="Baja",'Mapa final'!$O$67="Menor"),CONCATENATE("R",'Mapa final'!$A$67),"")</f>
        <v/>
      </c>
      <c r="AC66" s="439"/>
      <c r="AD66" s="440" t="str">
        <f>IF(AND('Mapa final'!$K$55="Baja",'Mapa final'!$O$55="Moderado"),CONCATENATE("R",'Mapa final'!$A$55),"")</f>
        <v>R16</v>
      </c>
      <c r="AE66" s="438"/>
      <c r="AF66" s="438" t="str">
        <f>IF(AND('Mapa final'!$K$58="Baja",'Mapa final'!$O$58="Moderado"),CONCATENATE("R",'Mapa final'!$A$58),"")</f>
        <v/>
      </c>
      <c r="AG66" s="438"/>
      <c r="AH66" s="438" t="str">
        <f>IF(AND('Mapa final'!$K$61="Baja",'Mapa final'!$O$61="Moderado"),CONCATENATE("R",'Mapa final'!$A$61),"")</f>
        <v>R18</v>
      </c>
      <c r="AI66" s="438"/>
      <c r="AJ66" s="438" t="str">
        <f>IF(AND('Mapa final'!$K$64="Baja",'Mapa final'!$O$64="Moderado"),CONCATENATE("R",'Mapa final'!$A$64),"")</f>
        <v/>
      </c>
      <c r="AK66" s="438"/>
      <c r="AL66" s="438" t="str">
        <f>IF(AND('Mapa final'!$K$67="Baja",'Mapa final'!$O$67="Moderado"),CONCATENATE("R",'Mapa final'!$A$67),"")</f>
        <v/>
      </c>
      <c r="AM66" s="439"/>
      <c r="AN66" s="443" t="str">
        <f>IF(AND('Mapa final'!$K$55="Baja",'Mapa final'!$O$55="Mayor"),CONCATENATE("R",'Mapa final'!$A$55),"")</f>
        <v/>
      </c>
      <c r="AO66" s="444"/>
      <c r="AP66" s="444" t="str">
        <f>IF(AND('Mapa final'!$K$58="Baja",'Mapa final'!$O$58="Mayor"),CONCATENATE("R",'Mapa final'!$A$58),"")</f>
        <v/>
      </c>
      <c r="AQ66" s="444"/>
      <c r="AR66" s="444" t="str">
        <f>IF(AND('Mapa final'!$K$61="Baja",'Mapa final'!$O$61="Mayor"),CONCATENATE("R",'Mapa final'!$A$61),"")</f>
        <v/>
      </c>
      <c r="AS66" s="444"/>
      <c r="AT66" s="444" t="str">
        <f>IF(AND('Mapa final'!$K$64="Baja",'Mapa final'!$O$64="Mayor"),CONCATENATE("R",'Mapa final'!$A$64),"")</f>
        <v/>
      </c>
      <c r="AU66" s="444"/>
      <c r="AV66" s="444" t="str">
        <f>IF(AND('Mapa final'!$K$67="Baja",'Mapa final'!$O$67="Mayor"),CONCATENATE("R",'Mapa final'!$A$67),"")</f>
        <v/>
      </c>
      <c r="AW66" s="446"/>
      <c r="AX66" s="437" t="str">
        <f>IF(AND('Mapa final'!$K$55="Baja",'Mapa final'!$O$55="Catastrófico"),CONCATENATE("R",'Mapa final'!$A$55),"")</f>
        <v/>
      </c>
      <c r="AY66" s="435"/>
      <c r="AZ66" s="435" t="str">
        <f>IF(AND('Mapa final'!$K$58="Baja",'Mapa final'!$O$58="Catastrófico"),CONCATENATE("R",'Mapa final'!$A$58),"")</f>
        <v/>
      </c>
      <c r="BA66" s="435"/>
      <c r="BB66" s="435" t="str">
        <f>IF(AND('Mapa final'!$K$61="Baja",'Mapa final'!$O$61="Catastrófico"),CONCATENATE("R",'Mapa final'!$A$61),"")</f>
        <v/>
      </c>
      <c r="BC66" s="435"/>
      <c r="BD66" s="435" t="str">
        <f>IF(AND('Mapa final'!$K$64="Baja",'Mapa final'!$O$64="Catastrófico"),CONCATENATE("R",'Mapa final'!$A$64),"")</f>
        <v/>
      </c>
      <c r="BE66" s="435"/>
      <c r="BF66" s="435" t="str">
        <f>IF(AND('Mapa final'!$K$67="Baja",'Mapa final'!$O$67="Catastrófico"),CONCATENATE("R",'Mapa final'!$A$67),"")</f>
        <v/>
      </c>
      <c r="BG66" s="436"/>
      <c r="BH66" s="38"/>
      <c r="BI66" s="494"/>
      <c r="BJ66" s="495"/>
      <c r="BK66" s="495"/>
      <c r="BL66" s="495"/>
      <c r="BM66" s="495"/>
      <c r="BN66" s="496"/>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row>
    <row r="67" spans="1:100" ht="15" customHeight="1" thickBot="1" x14ac:dyDescent="0.3">
      <c r="A67" s="38"/>
      <c r="B67" s="291"/>
      <c r="C67" s="292"/>
      <c r="D67" s="293"/>
      <c r="E67" s="511"/>
      <c r="F67" s="512"/>
      <c r="G67" s="512"/>
      <c r="H67" s="512"/>
      <c r="I67" s="512"/>
      <c r="J67" s="432"/>
      <c r="K67" s="433"/>
      <c r="L67" s="433"/>
      <c r="M67" s="433"/>
      <c r="N67" s="433"/>
      <c r="O67" s="433"/>
      <c r="P67" s="433"/>
      <c r="Q67" s="433"/>
      <c r="R67" s="433"/>
      <c r="S67" s="434"/>
      <c r="T67" s="440"/>
      <c r="U67" s="438"/>
      <c r="V67" s="438"/>
      <c r="W67" s="438"/>
      <c r="X67" s="438"/>
      <c r="Y67" s="438"/>
      <c r="Z67" s="438"/>
      <c r="AA67" s="438"/>
      <c r="AB67" s="438"/>
      <c r="AC67" s="439"/>
      <c r="AD67" s="440"/>
      <c r="AE67" s="438"/>
      <c r="AF67" s="438"/>
      <c r="AG67" s="438"/>
      <c r="AH67" s="438"/>
      <c r="AI67" s="438"/>
      <c r="AJ67" s="438"/>
      <c r="AK67" s="438"/>
      <c r="AL67" s="438"/>
      <c r="AM67" s="439"/>
      <c r="AN67" s="443"/>
      <c r="AO67" s="444"/>
      <c r="AP67" s="444"/>
      <c r="AQ67" s="444"/>
      <c r="AR67" s="444"/>
      <c r="AS67" s="444"/>
      <c r="AT67" s="444"/>
      <c r="AU67" s="444"/>
      <c r="AV67" s="444"/>
      <c r="AW67" s="446"/>
      <c r="AX67" s="437"/>
      <c r="AY67" s="435"/>
      <c r="AZ67" s="435"/>
      <c r="BA67" s="435"/>
      <c r="BB67" s="435"/>
      <c r="BC67" s="435"/>
      <c r="BD67" s="435"/>
      <c r="BE67" s="435"/>
      <c r="BF67" s="435"/>
      <c r="BG67" s="436"/>
      <c r="BH67" s="38"/>
      <c r="BI67" s="497"/>
      <c r="BJ67" s="498"/>
      <c r="BK67" s="498"/>
      <c r="BL67" s="498"/>
      <c r="BM67" s="498"/>
      <c r="BN67" s="499"/>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row>
    <row r="68" spans="1:100" ht="15" customHeight="1" x14ac:dyDescent="0.25">
      <c r="A68" s="38"/>
      <c r="B68" s="291"/>
      <c r="C68" s="292"/>
      <c r="D68" s="293"/>
      <c r="E68" s="511"/>
      <c r="F68" s="512"/>
      <c r="G68" s="512"/>
      <c r="H68" s="512"/>
      <c r="I68" s="512"/>
      <c r="J68" s="432" t="str">
        <f>IF(AND('Mapa final'!$K$70="Baja",'Mapa final'!$O$70="Leve"),CONCATENATE("R",'Mapa final'!$A$70),"")</f>
        <v/>
      </c>
      <c r="K68" s="433"/>
      <c r="L68" s="433" t="str">
        <f>IF(AND('Mapa final'!$K$73="Baja",'Mapa final'!$O$73="Leve"),CONCATENATE("R",'Mapa final'!$A$73),"")</f>
        <v/>
      </c>
      <c r="M68" s="433"/>
      <c r="N68" s="433" t="str">
        <f>IF(AND('Mapa final'!$K$76="Baja",'Mapa final'!$O$76="Leve"),CONCATENATE("R",'Mapa final'!$A$76),"")</f>
        <v/>
      </c>
      <c r="O68" s="433"/>
      <c r="P68" s="433" t="str">
        <f>IF(AND('Mapa final'!$K$79="Baja",'Mapa final'!$O$79="Leve"),CONCATENATE("R",'Mapa final'!$A$79),"")</f>
        <v/>
      </c>
      <c r="Q68" s="433"/>
      <c r="R68" s="433" t="str">
        <f>IF(AND('Mapa final'!$K$82="Baja",'Mapa final'!$O$82="Leve"),CONCATENATE("R",'Mapa final'!$A$82),"")</f>
        <v/>
      </c>
      <c r="S68" s="434"/>
      <c r="T68" s="440" t="str">
        <f>IF(AND('Mapa final'!$K$70="Baja",'Mapa final'!$O$70="Menor"),CONCATENATE("R",'Mapa final'!$A$70),"")</f>
        <v/>
      </c>
      <c r="U68" s="438"/>
      <c r="V68" s="438" t="str">
        <f>IF(AND('Mapa final'!$K$73="Baja",'Mapa final'!$O$73="Menor"),CONCATENATE("R",'Mapa final'!$A$73),"")</f>
        <v/>
      </c>
      <c r="W68" s="438"/>
      <c r="X68" s="438" t="str">
        <f>IF(AND('Mapa final'!$K$76="Baja",'Mapa final'!$O$76="Menor"),CONCATENATE("R",'Mapa final'!$A$76),"")</f>
        <v/>
      </c>
      <c r="Y68" s="438"/>
      <c r="Z68" s="438" t="str">
        <f>IF(AND('Mapa final'!$K$79="Baja",'Mapa final'!$O$79="Menor"),CONCATENATE("R",'Mapa final'!$A$79),"")</f>
        <v/>
      </c>
      <c r="AA68" s="438"/>
      <c r="AB68" s="438" t="str">
        <f>IF(AND('Mapa final'!$K$82="Baja",'Mapa final'!$O$82="Menor"),CONCATENATE("R",'Mapa final'!$A$82),"")</f>
        <v/>
      </c>
      <c r="AC68" s="439"/>
      <c r="AD68" s="440" t="str">
        <f>IF(AND('Mapa final'!$K$70="Baja",'Mapa final'!$O$70="Moderado"),CONCATENATE("R",'Mapa final'!$A$70),"")</f>
        <v/>
      </c>
      <c r="AE68" s="438"/>
      <c r="AF68" s="438" t="str">
        <f>IF(AND('Mapa final'!$K$73="Baja",'Mapa final'!$O$73="Moderado"),CONCATENATE("R",'Mapa final'!$A$73),"")</f>
        <v/>
      </c>
      <c r="AG68" s="438"/>
      <c r="AH68" s="438" t="str">
        <f>IF(AND('Mapa final'!$K$76="Baja",'Mapa final'!$O$76="Moderado"),CONCATENATE("R",'Mapa final'!$A$76),"")</f>
        <v/>
      </c>
      <c r="AI68" s="438"/>
      <c r="AJ68" s="438" t="str">
        <f>IF(AND('Mapa final'!$K$79="Baja",'Mapa final'!$O$79="Moderado"),CONCATENATE("R",'Mapa final'!$A$79),"")</f>
        <v/>
      </c>
      <c r="AK68" s="438"/>
      <c r="AL68" s="438" t="str">
        <f>IF(AND('Mapa final'!$K$82="Baja",'Mapa final'!$O$82="Moderado"),CONCATENATE("R",'Mapa final'!$A$82),"")</f>
        <v/>
      </c>
      <c r="AM68" s="439"/>
      <c r="AN68" s="443" t="str">
        <f>IF(AND('Mapa final'!$K$70="Baja",'Mapa final'!$O$70="Mayor"),CONCATENATE("R",'Mapa final'!$A$70),"")</f>
        <v/>
      </c>
      <c r="AO68" s="444"/>
      <c r="AP68" s="444" t="str">
        <f>IF(AND('Mapa final'!$K$73="Baja",'Mapa final'!$O$73="Mayor"),CONCATENATE("R",'Mapa final'!$A$73),"")</f>
        <v/>
      </c>
      <c r="AQ68" s="444"/>
      <c r="AR68" s="444" t="str">
        <f>IF(AND('Mapa final'!$K$76="Baja",'Mapa final'!$O$76="Mayor"),CONCATENATE("R",'Mapa final'!$A$76),"")</f>
        <v/>
      </c>
      <c r="AS68" s="444"/>
      <c r="AT68" s="444" t="str">
        <f>IF(AND('Mapa final'!$K$79="Baja",'Mapa final'!$O$79="Mayor"),CONCATENATE("R",'Mapa final'!$A$79),"")</f>
        <v/>
      </c>
      <c r="AU68" s="444"/>
      <c r="AV68" s="444" t="str">
        <f>IF(AND('Mapa final'!$K$82="Baja",'Mapa final'!$O$82="Mayor"),CONCATENATE("R",'Mapa final'!$A$82),"")</f>
        <v/>
      </c>
      <c r="AW68" s="446"/>
      <c r="AX68" s="437" t="str">
        <f>IF(AND('Mapa final'!$K$70="Baja",'Mapa final'!$O$70="Catastrófico"),CONCATENATE("R",'Mapa final'!$A$70),"")</f>
        <v/>
      </c>
      <c r="AY68" s="435"/>
      <c r="AZ68" s="435" t="str">
        <f>IF(AND('Mapa final'!$K$73="Baja",'Mapa final'!$O$73="Catastrófico"),CONCATENATE("R",'Mapa final'!$A$73),"")</f>
        <v/>
      </c>
      <c r="BA68" s="435"/>
      <c r="BB68" s="435" t="str">
        <f>IF(AND('Mapa final'!$K$76="Baja",'Mapa final'!$O$76="Catastrófico"),CONCATENATE("R",'Mapa final'!$A$76),"")</f>
        <v/>
      </c>
      <c r="BC68" s="435"/>
      <c r="BD68" s="435" t="str">
        <f>IF(AND('Mapa final'!$K$79="Baja",'Mapa final'!$O$79="Catastrófico"),CONCATENATE("R",'Mapa final'!$A$79),"")</f>
        <v/>
      </c>
      <c r="BE68" s="435"/>
      <c r="BF68" s="435" t="str">
        <f>IF(AND('Mapa final'!$K$82="Baja",'Mapa final'!$O$82="Catastrófico"),CONCATENATE("R",'Mapa final'!$A$82),"")</f>
        <v/>
      </c>
      <c r="BG68" s="436"/>
      <c r="BH68" s="38"/>
      <c r="BI68" s="500" t="s">
        <v>76</v>
      </c>
      <c r="BJ68" s="501"/>
      <c r="BK68" s="501"/>
      <c r="BL68" s="501"/>
      <c r="BM68" s="501"/>
      <c r="BN68" s="502"/>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row>
    <row r="69" spans="1:100" ht="15" customHeight="1" x14ac:dyDescent="0.25">
      <c r="A69" s="38"/>
      <c r="B69" s="291"/>
      <c r="C69" s="292"/>
      <c r="D69" s="293"/>
      <c r="E69" s="511"/>
      <c r="F69" s="512"/>
      <c r="G69" s="512"/>
      <c r="H69" s="512"/>
      <c r="I69" s="512"/>
      <c r="J69" s="432"/>
      <c r="K69" s="433"/>
      <c r="L69" s="433"/>
      <c r="M69" s="433"/>
      <c r="N69" s="433"/>
      <c r="O69" s="433"/>
      <c r="P69" s="433"/>
      <c r="Q69" s="433"/>
      <c r="R69" s="433"/>
      <c r="S69" s="434"/>
      <c r="T69" s="440"/>
      <c r="U69" s="438"/>
      <c r="V69" s="438"/>
      <c r="W69" s="438"/>
      <c r="X69" s="438"/>
      <c r="Y69" s="438"/>
      <c r="Z69" s="438"/>
      <c r="AA69" s="438"/>
      <c r="AB69" s="438"/>
      <c r="AC69" s="439"/>
      <c r="AD69" s="440"/>
      <c r="AE69" s="438"/>
      <c r="AF69" s="438"/>
      <c r="AG69" s="438"/>
      <c r="AH69" s="438"/>
      <c r="AI69" s="438"/>
      <c r="AJ69" s="438"/>
      <c r="AK69" s="438"/>
      <c r="AL69" s="438"/>
      <c r="AM69" s="439"/>
      <c r="AN69" s="443"/>
      <c r="AO69" s="444"/>
      <c r="AP69" s="444"/>
      <c r="AQ69" s="444"/>
      <c r="AR69" s="444"/>
      <c r="AS69" s="444"/>
      <c r="AT69" s="444"/>
      <c r="AU69" s="444"/>
      <c r="AV69" s="444"/>
      <c r="AW69" s="446"/>
      <c r="AX69" s="437"/>
      <c r="AY69" s="435"/>
      <c r="AZ69" s="435"/>
      <c r="BA69" s="435"/>
      <c r="BB69" s="435"/>
      <c r="BC69" s="435"/>
      <c r="BD69" s="435"/>
      <c r="BE69" s="435"/>
      <c r="BF69" s="435"/>
      <c r="BG69" s="436"/>
      <c r="BH69" s="38"/>
      <c r="BI69" s="503"/>
      <c r="BJ69" s="504"/>
      <c r="BK69" s="504"/>
      <c r="BL69" s="504"/>
      <c r="BM69" s="504"/>
      <c r="BN69" s="505"/>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row>
    <row r="70" spans="1:100" ht="15" customHeight="1" x14ac:dyDescent="0.25">
      <c r="A70" s="38"/>
      <c r="B70" s="291"/>
      <c r="C70" s="292"/>
      <c r="D70" s="293"/>
      <c r="E70" s="511"/>
      <c r="F70" s="512"/>
      <c r="G70" s="512"/>
      <c r="H70" s="512"/>
      <c r="I70" s="512"/>
      <c r="J70" s="432" t="str">
        <f>IF(AND('Mapa final'!$K$85="Baja",'Mapa final'!$O$85="Leve"),CONCATENATE("R",'Mapa final'!$A$85),"")</f>
        <v/>
      </c>
      <c r="K70" s="433"/>
      <c r="L70" s="433" t="str">
        <f>IF(AND('Mapa final'!$K$88="Baja",'Mapa final'!$O$88="Leve"),CONCATENATE("R",'Mapa final'!$A$88),"")</f>
        <v/>
      </c>
      <c r="M70" s="433"/>
      <c r="N70" s="433" t="str">
        <f>IF(AND('Mapa final'!$K$91="Baja",'Mapa final'!$O$91="Leve"),CONCATENATE("R",'Mapa final'!$A$91),"")</f>
        <v>R28</v>
      </c>
      <c r="O70" s="433"/>
      <c r="P70" s="433" t="str">
        <f>IF(AND('Mapa final'!$K$94="Baja",'Mapa final'!$O$94="Leve"),CONCATENATE("R",'Mapa final'!$A$94),"")</f>
        <v/>
      </c>
      <c r="Q70" s="433"/>
      <c r="R70" s="433" t="str">
        <f>IF(AND('Mapa final'!$K$97="Baja",'Mapa final'!$O$97="Leve"),CONCATENATE("R",'Mapa final'!$A$97),"")</f>
        <v/>
      </c>
      <c r="S70" s="434"/>
      <c r="T70" s="440" t="str">
        <f>IF(AND('Mapa final'!$K$85="Baja",'Mapa final'!$O$85="Menor"),CONCATENATE("R",'Mapa final'!$A$85),"")</f>
        <v/>
      </c>
      <c r="U70" s="438"/>
      <c r="V70" s="438" t="str">
        <f>IF(AND('Mapa final'!$K$88="Baja",'Mapa final'!$O$88="Menor"),CONCATENATE("R",'Mapa final'!$A$88),"")</f>
        <v/>
      </c>
      <c r="W70" s="438"/>
      <c r="X70" s="438" t="str">
        <f>IF(AND('Mapa final'!$K$91="Baja",'Mapa final'!$O$91="Menor"),CONCATENATE("R",'Mapa final'!$A$91),"")</f>
        <v/>
      </c>
      <c r="Y70" s="438"/>
      <c r="Z70" s="438" t="str">
        <f>IF(AND('Mapa final'!$K$94="Baja",'Mapa final'!$O$94="Menor"),CONCATENATE("R",'Mapa final'!$A$94),"")</f>
        <v>R29</v>
      </c>
      <c r="AA70" s="438"/>
      <c r="AB70" s="438" t="str">
        <f>IF(AND('Mapa final'!$K$97="Baja",'Mapa final'!$O$97="Menor"),CONCATENATE("R",'Mapa final'!$A$97),"")</f>
        <v/>
      </c>
      <c r="AC70" s="439"/>
      <c r="AD70" s="440" t="str">
        <f>IF(AND('Mapa final'!$K$85="Baja",'Mapa final'!$O$85="Moderado"),CONCATENATE("R",'Mapa final'!$A$85),"")</f>
        <v/>
      </c>
      <c r="AE70" s="438"/>
      <c r="AF70" s="438" t="str">
        <f>IF(AND('Mapa final'!$K$88="Baja",'Mapa final'!$O$88="Moderado"),CONCATENATE("R",'Mapa final'!$A$88),"")</f>
        <v/>
      </c>
      <c r="AG70" s="438"/>
      <c r="AH70" s="438" t="str">
        <f>IF(AND('Mapa final'!$K$91="Baja",'Mapa final'!$O$91="Moderado"),CONCATENATE("R",'Mapa final'!$A$91),"")</f>
        <v/>
      </c>
      <c r="AI70" s="438"/>
      <c r="AJ70" s="438" t="str">
        <f>IF(AND('Mapa final'!$K$94="Baja",'Mapa final'!$O$94="Moderado"),CONCATENATE("R",'Mapa final'!$A$94),"")</f>
        <v/>
      </c>
      <c r="AK70" s="438"/>
      <c r="AL70" s="438" t="str">
        <f>IF(AND('Mapa final'!$K$97="Baja",'Mapa final'!$O$97="Moderado"),CONCATENATE("R",'Mapa final'!$A$97),"")</f>
        <v>R30</v>
      </c>
      <c r="AM70" s="439"/>
      <c r="AN70" s="443" t="str">
        <f>IF(AND('Mapa final'!$K$85="Baja",'Mapa final'!$O$85="Mayor"),CONCATENATE("R",'Mapa final'!$A$85),"")</f>
        <v/>
      </c>
      <c r="AO70" s="444"/>
      <c r="AP70" s="444" t="str">
        <f>IF(AND('Mapa final'!$K$88="Baja",'Mapa final'!$O$88="Mayor"),CONCATENATE("R",'Mapa final'!$A$88),"")</f>
        <v/>
      </c>
      <c r="AQ70" s="444"/>
      <c r="AR70" s="444" t="str">
        <f>IF(AND('Mapa final'!$K$91="Baja",'Mapa final'!$O$91="Mayor"),CONCATENATE("R",'Mapa final'!$A$91),"")</f>
        <v/>
      </c>
      <c r="AS70" s="444"/>
      <c r="AT70" s="444" t="str">
        <f>IF(AND('Mapa final'!$K$94="Baja",'Mapa final'!$O$94="Mayor"),CONCATENATE("R",'Mapa final'!$A$94),"")</f>
        <v/>
      </c>
      <c r="AU70" s="444"/>
      <c r="AV70" s="444" t="str">
        <f>IF(AND('Mapa final'!$K$97="Baja",'Mapa final'!$O$97="Mayor"),CONCATENATE("R",'Mapa final'!$A$97),"")</f>
        <v/>
      </c>
      <c r="AW70" s="446"/>
      <c r="AX70" s="437" t="str">
        <f>IF(AND('Mapa final'!$K$85="Baja",'Mapa final'!$O$85="Catastrófico"),CONCATENATE("R",'Mapa final'!$A$85),"")</f>
        <v/>
      </c>
      <c r="AY70" s="435"/>
      <c r="AZ70" s="435" t="str">
        <f>IF(AND('Mapa final'!$K$88="Baja",'Mapa final'!$O$88="Catastrófico"),CONCATENATE("R",'Mapa final'!$A$88),"")</f>
        <v/>
      </c>
      <c r="BA70" s="435"/>
      <c r="BB70" s="435" t="str">
        <f>IF(AND('Mapa final'!$K$91="Baja",'Mapa final'!$O$91="Catastrófico"),CONCATENATE("R",'Mapa final'!$A$91),"")</f>
        <v/>
      </c>
      <c r="BC70" s="435"/>
      <c r="BD70" s="435" t="str">
        <f>IF(AND('Mapa final'!$K$94="Baja",'Mapa final'!$O$94="Catastrófico"),CONCATENATE("R",'Mapa final'!$A$94),"")</f>
        <v/>
      </c>
      <c r="BE70" s="435"/>
      <c r="BF70" s="435" t="str">
        <f>IF(AND('Mapa final'!$K$97="Baja",'Mapa final'!$O$97="Catastrófico"),CONCATENATE("R",'Mapa final'!$A$97),"")</f>
        <v/>
      </c>
      <c r="BG70" s="436"/>
      <c r="BH70" s="38"/>
      <c r="BI70" s="503"/>
      <c r="BJ70" s="504"/>
      <c r="BK70" s="504"/>
      <c r="BL70" s="504"/>
      <c r="BM70" s="504"/>
      <c r="BN70" s="505"/>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row>
    <row r="71" spans="1:100" ht="15" customHeight="1" x14ac:dyDescent="0.25">
      <c r="A71" s="38"/>
      <c r="B71" s="291"/>
      <c r="C71" s="292"/>
      <c r="D71" s="293"/>
      <c r="E71" s="511"/>
      <c r="F71" s="512"/>
      <c r="G71" s="512"/>
      <c r="H71" s="512"/>
      <c r="I71" s="512"/>
      <c r="J71" s="432"/>
      <c r="K71" s="433"/>
      <c r="L71" s="433"/>
      <c r="M71" s="433"/>
      <c r="N71" s="433"/>
      <c r="O71" s="433"/>
      <c r="P71" s="433"/>
      <c r="Q71" s="433"/>
      <c r="R71" s="433"/>
      <c r="S71" s="434"/>
      <c r="T71" s="440"/>
      <c r="U71" s="438"/>
      <c r="V71" s="438"/>
      <c r="W71" s="438"/>
      <c r="X71" s="438"/>
      <c r="Y71" s="438"/>
      <c r="Z71" s="438"/>
      <c r="AA71" s="438"/>
      <c r="AB71" s="438"/>
      <c r="AC71" s="439"/>
      <c r="AD71" s="440"/>
      <c r="AE71" s="438"/>
      <c r="AF71" s="438"/>
      <c r="AG71" s="438"/>
      <c r="AH71" s="438"/>
      <c r="AI71" s="438"/>
      <c r="AJ71" s="438"/>
      <c r="AK71" s="438"/>
      <c r="AL71" s="438"/>
      <c r="AM71" s="439"/>
      <c r="AN71" s="443"/>
      <c r="AO71" s="444"/>
      <c r="AP71" s="444"/>
      <c r="AQ71" s="444"/>
      <c r="AR71" s="444"/>
      <c r="AS71" s="444"/>
      <c r="AT71" s="444"/>
      <c r="AU71" s="444"/>
      <c r="AV71" s="444"/>
      <c r="AW71" s="446"/>
      <c r="AX71" s="437"/>
      <c r="AY71" s="435"/>
      <c r="AZ71" s="435"/>
      <c r="BA71" s="435"/>
      <c r="BB71" s="435"/>
      <c r="BC71" s="435"/>
      <c r="BD71" s="435"/>
      <c r="BE71" s="435"/>
      <c r="BF71" s="435"/>
      <c r="BG71" s="436"/>
      <c r="BH71" s="38"/>
      <c r="BI71" s="503"/>
      <c r="BJ71" s="504"/>
      <c r="BK71" s="504"/>
      <c r="BL71" s="504"/>
      <c r="BM71" s="504"/>
      <c r="BN71" s="505"/>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row>
    <row r="72" spans="1:100" ht="15" customHeight="1" x14ac:dyDescent="0.25">
      <c r="A72" s="38"/>
      <c r="B72" s="291"/>
      <c r="C72" s="292"/>
      <c r="D72" s="293"/>
      <c r="E72" s="511"/>
      <c r="F72" s="512"/>
      <c r="G72" s="512"/>
      <c r="H72" s="512"/>
      <c r="I72" s="512"/>
      <c r="J72" s="432" t="str">
        <f>IF(AND('Mapa final'!$K$100="Baja",'Mapa final'!$O$100="Leve"),CONCATENATE("R",'Mapa final'!$A$100),"")</f>
        <v/>
      </c>
      <c r="K72" s="433"/>
      <c r="L72" s="433" t="str">
        <f>IF(AND('Mapa final'!$K$103="Baja",'Mapa final'!$O$103="Leve"),CONCATENATE("R",'Mapa final'!$A$103),"")</f>
        <v/>
      </c>
      <c r="M72" s="433"/>
      <c r="N72" s="433" t="str">
        <f>IF(AND('Mapa final'!$K$106="Baja",'Mapa final'!$O$106="Leve"),CONCATENATE("R",'Mapa final'!$A$106),"")</f>
        <v/>
      </c>
      <c r="O72" s="433"/>
      <c r="P72" s="433" t="str">
        <f>IF(AND('Mapa final'!$K$109="Baja",'Mapa final'!$O$109="Leve"),CONCATENATE("R",'Mapa final'!$A$109),"")</f>
        <v/>
      </c>
      <c r="Q72" s="433"/>
      <c r="R72" s="433" t="str">
        <f>IF(AND('Mapa final'!$K$112="Baja",'Mapa final'!$O$112="Leve"),CONCATENATE("R",'Mapa final'!$A$112),"")</f>
        <v/>
      </c>
      <c r="S72" s="433"/>
      <c r="T72" s="440" t="str">
        <f>IF(AND('Mapa final'!$K$100="Baja",'Mapa final'!$O$100="Menor"),CONCATENATE("R",'Mapa final'!$A$100),"")</f>
        <v/>
      </c>
      <c r="U72" s="438"/>
      <c r="V72" s="438" t="str">
        <f>IF(AND('Mapa final'!$K$103="Baja",'Mapa final'!$O$103="Menor"),CONCATENATE("R",'Mapa final'!$A$103),"")</f>
        <v/>
      </c>
      <c r="W72" s="438"/>
      <c r="X72" s="438" t="str">
        <f>IF(AND('Mapa final'!$K$106="Baja",'Mapa final'!$O$106="Menor"),CONCATENATE("R",'Mapa final'!$A$106),"")</f>
        <v/>
      </c>
      <c r="Y72" s="438"/>
      <c r="Z72" s="438" t="str">
        <f>IF(AND('Mapa final'!$K$109="Baja",'Mapa final'!$O$109="Menor"),CONCATENATE("R",'Mapa final'!$A$109),"")</f>
        <v/>
      </c>
      <c r="AA72" s="438"/>
      <c r="AB72" s="438" t="str">
        <f>IF(AND('Mapa final'!$K$112="Baja",'Mapa final'!$O$112="Menor"),CONCATENATE("R",'Mapa final'!$A$112),"")</f>
        <v/>
      </c>
      <c r="AC72" s="438"/>
      <c r="AD72" s="440" t="str">
        <f>IF(AND('Mapa final'!$K$100="Baja",'Mapa final'!$O$100="Moderado"),CONCATENATE("R",'Mapa final'!$A$100),"")</f>
        <v/>
      </c>
      <c r="AE72" s="438"/>
      <c r="AF72" s="438" t="str">
        <f>IF(AND('Mapa final'!$K$103="Baja",'Mapa final'!$O$103="Moderado"),CONCATENATE("R",'Mapa final'!$A$103),"")</f>
        <v>R32</v>
      </c>
      <c r="AG72" s="438"/>
      <c r="AH72" s="438" t="str">
        <f>IF(AND('Mapa final'!$K$106="Baja",'Mapa final'!$O$106="Moderado"),CONCATENATE("R",'Mapa final'!$A$106),"")</f>
        <v>R33</v>
      </c>
      <c r="AI72" s="438"/>
      <c r="AJ72" s="438" t="str">
        <f>IF(AND('Mapa final'!$K$109="Baja",'Mapa final'!$O$109="Moderado"),CONCATENATE("R",'Mapa final'!$A$109),"")</f>
        <v/>
      </c>
      <c r="AK72" s="438"/>
      <c r="AL72" s="438" t="str">
        <f>IF(AND('Mapa final'!$K$112="Baja",'Mapa final'!$O$112="Moderado"),CONCATENATE("R",'Mapa final'!$A$112),"")</f>
        <v/>
      </c>
      <c r="AM72" s="438"/>
      <c r="AN72" s="443" t="str">
        <f>IF(AND('Mapa final'!$K$100="Baja",'Mapa final'!$O$100="Mayor"),CONCATENATE("R",'Mapa final'!$A$100),"")</f>
        <v/>
      </c>
      <c r="AO72" s="444"/>
      <c r="AP72" s="444" t="str">
        <f>IF(AND('Mapa final'!$K$103="Baja",'Mapa final'!$O$103="Mayor"),CONCATENATE("R",'Mapa final'!$A$103),"")</f>
        <v/>
      </c>
      <c r="AQ72" s="444"/>
      <c r="AR72" s="444" t="str">
        <f>IF(AND('Mapa final'!$K$106="Baja",'Mapa final'!$O$106="Mayor"),CONCATENATE("R",'Mapa final'!$A$106),"")</f>
        <v/>
      </c>
      <c r="AS72" s="444"/>
      <c r="AT72" s="444" t="str">
        <f>IF(AND('Mapa final'!$K$109="Baja",'Mapa final'!$O$109="Mayor"),CONCATENATE("R",'Mapa final'!$A$109),"")</f>
        <v/>
      </c>
      <c r="AU72" s="444"/>
      <c r="AV72" s="444" t="str">
        <f>IF(AND('Mapa final'!$K$112="Baja",'Mapa final'!$O$112="Mayor"),CONCATENATE("R",'Mapa final'!$A$112),"")</f>
        <v/>
      </c>
      <c r="AW72" s="444"/>
      <c r="AX72" s="437" t="str">
        <f>IF(AND('Mapa final'!$K$100="Baja",'Mapa final'!$O$100="Catastrófico"),CONCATENATE("R",'Mapa final'!$A$100),"")</f>
        <v/>
      </c>
      <c r="AY72" s="435"/>
      <c r="AZ72" s="435" t="str">
        <f>IF(AND('Mapa final'!$K$103="Baja",'Mapa final'!$O$103="Catastrófico"),CONCATENATE("R",'Mapa final'!$A$103),"")</f>
        <v/>
      </c>
      <c r="BA72" s="435"/>
      <c r="BB72" s="435" t="str">
        <f>IF(AND('Mapa final'!$K$106="Baja",'Mapa final'!$O$106="Catastrófico"),CONCATENATE("R",'Mapa final'!$A$106),"")</f>
        <v/>
      </c>
      <c r="BC72" s="435"/>
      <c r="BD72" s="435" t="str">
        <f>IF(AND('Mapa final'!$K$109="Baja",'Mapa final'!$O$109="Catastrófico"),CONCATENATE("R",'Mapa final'!$A$109),"")</f>
        <v/>
      </c>
      <c r="BE72" s="435"/>
      <c r="BF72" s="435" t="str">
        <f>IF(AND('Mapa final'!$K$112="Baja",'Mapa final'!$O$112="Catastrófico"),CONCATENATE("R",'Mapa final'!$A$112),"")</f>
        <v/>
      </c>
      <c r="BG72" s="435"/>
      <c r="BH72" s="38"/>
      <c r="BI72" s="503"/>
      <c r="BJ72" s="504"/>
      <c r="BK72" s="504"/>
      <c r="BL72" s="504"/>
      <c r="BM72" s="504"/>
      <c r="BN72" s="505"/>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row>
    <row r="73" spans="1:100" ht="15" customHeight="1" x14ac:dyDescent="0.25">
      <c r="A73" s="38"/>
      <c r="B73" s="291"/>
      <c r="C73" s="292"/>
      <c r="D73" s="293"/>
      <c r="E73" s="511"/>
      <c r="F73" s="512"/>
      <c r="G73" s="512"/>
      <c r="H73" s="512"/>
      <c r="I73" s="512"/>
      <c r="J73" s="432"/>
      <c r="K73" s="433"/>
      <c r="L73" s="433"/>
      <c r="M73" s="433"/>
      <c r="N73" s="433"/>
      <c r="O73" s="433"/>
      <c r="P73" s="433"/>
      <c r="Q73" s="433"/>
      <c r="R73" s="433"/>
      <c r="S73" s="433"/>
      <c r="T73" s="440"/>
      <c r="U73" s="438"/>
      <c r="V73" s="438"/>
      <c r="W73" s="438"/>
      <c r="X73" s="438"/>
      <c r="Y73" s="438"/>
      <c r="Z73" s="438"/>
      <c r="AA73" s="438"/>
      <c r="AB73" s="438"/>
      <c r="AC73" s="438"/>
      <c r="AD73" s="440"/>
      <c r="AE73" s="438"/>
      <c r="AF73" s="438"/>
      <c r="AG73" s="438"/>
      <c r="AH73" s="438"/>
      <c r="AI73" s="438"/>
      <c r="AJ73" s="438"/>
      <c r="AK73" s="438"/>
      <c r="AL73" s="438"/>
      <c r="AM73" s="438"/>
      <c r="AN73" s="443"/>
      <c r="AO73" s="444"/>
      <c r="AP73" s="444"/>
      <c r="AQ73" s="444"/>
      <c r="AR73" s="444"/>
      <c r="AS73" s="444"/>
      <c r="AT73" s="444"/>
      <c r="AU73" s="444"/>
      <c r="AV73" s="444"/>
      <c r="AW73" s="444"/>
      <c r="AX73" s="437"/>
      <c r="AY73" s="435"/>
      <c r="AZ73" s="435"/>
      <c r="BA73" s="435"/>
      <c r="BB73" s="435"/>
      <c r="BC73" s="435"/>
      <c r="BD73" s="435"/>
      <c r="BE73" s="435"/>
      <c r="BF73" s="435"/>
      <c r="BG73" s="435"/>
      <c r="BH73" s="38"/>
      <c r="BI73" s="503"/>
      <c r="BJ73" s="504"/>
      <c r="BK73" s="504"/>
      <c r="BL73" s="504"/>
      <c r="BM73" s="504"/>
      <c r="BN73" s="505"/>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row>
    <row r="74" spans="1:100" ht="15" customHeight="1" x14ac:dyDescent="0.25">
      <c r="A74" s="38"/>
      <c r="B74" s="291"/>
      <c r="C74" s="292"/>
      <c r="D74" s="293"/>
      <c r="E74" s="511"/>
      <c r="F74" s="512"/>
      <c r="G74" s="512"/>
      <c r="H74" s="512"/>
      <c r="I74" s="512"/>
      <c r="J74" s="432" t="str">
        <f>IF(AND('Mapa final'!$K$115="Baja",'Mapa final'!$O$115="Leve"),CONCATENATE("R",'Mapa final'!$A$115),"")</f>
        <v/>
      </c>
      <c r="K74" s="433"/>
      <c r="L74" s="433" t="str">
        <f>IF(AND('Mapa final'!$K$118="Baja",'Mapa final'!$O$118="Leve"),CONCATENATE("R",'Mapa final'!$A$118),"")</f>
        <v/>
      </c>
      <c r="M74" s="433"/>
      <c r="N74" s="433" t="str">
        <f>IF(AND('Mapa final'!$K$121="Baja",'Mapa final'!$O$121="Leve"),CONCATENATE("R",'Mapa final'!$A$121),"")</f>
        <v/>
      </c>
      <c r="O74" s="433"/>
      <c r="P74" s="433" t="str">
        <f>IF(AND('Mapa final'!$K$124="Baja",'Mapa final'!$O$124="Leve"),CONCATENATE("R",'Mapa final'!$A$124),"")</f>
        <v/>
      </c>
      <c r="Q74" s="433"/>
      <c r="R74" s="433" t="str">
        <f>IF(AND('Mapa final'!$K$127="Baja",'Mapa final'!$O$127="Leve"),CONCATENATE("R",'Mapa final'!$A$127),"")</f>
        <v/>
      </c>
      <c r="S74" s="433"/>
      <c r="T74" s="440" t="str">
        <f>IF(AND('Mapa final'!$K$115="Baja",'Mapa final'!$O$115="Menor"),CONCATENATE("R",'Mapa final'!$A$115),"")</f>
        <v/>
      </c>
      <c r="U74" s="438"/>
      <c r="V74" s="438" t="str">
        <f>IF(AND('Mapa final'!$K$118="Baja",'Mapa final'!$O$118="Menor"),CONCATENATE("R",'Mapa final'!$A$118),"")</f>
        <v/>
      </c>
      <c r="W74" s="438"/>
      <c r="X74" s="438" t="str">
        <f>IF(AND('Mapa final'!$K$121="Baja",'Mapa final'!$O$121="Menor"),CONCATENATE("R",'Mapa final'!$A$121),"")</f>
        <v/>
      </c>
      <c r="Y74" s="438"/>
      <c r="Z74" s="438" t="str">
        <f>IF(AND('Mapa final'!$K$124="Baja",'Mapa final'!$O$124="Menor"),CONCATENATE("R",'Mapa final'!$A$124),"")</f>
        <v/>
      </c>
      <c r="AA74" s="438"/>
      <c r="AB74" s="438" t="str">
        <f>IF(AND('Mapa final'!$K$127="Baja",'Mapa final'!$O$127="Menor"),CONCATENATE("R",'Mapa final'!$A$127),"")</f>
        <v/>
      </c>
      <c r="AC74" s="438"/>
      <c r="AD74" s="440" t="str">
        <f>IF(AND('Mapa final'!$K$115="Baja",'Mapa final'!$O$115="Moderado"),CONCATENATE("R",'Mapa final'!$A$115),"")</f>
        <v/>
      </c>
      <c r="AE74" s="438"/>
      <c r="AF74" s="438" t="str">
        <f>IF(AND('Mapa final'!$K$118="Baja",'Mapa final'!$O$118="Moderado"),CONCATENATE("R",'Mapa final'!$A$118),"")</f>
        <v/>
      </c>
      <c r="AG74" s="438"/>
      <c r="AH74" s="438" t="str">
        <f>IF(AND('Mapa final'!$K$121="Baja",'Mapa final'!$O$121="Moderado"),CONCATENATE("R",'Mapa final'!$A$121),"")</f>
        <v/>
      </c>
      <c r="AI74" s="438"/>
      <c r="AJ74" s="438" t="str">
        <f>IF(AND('Mapa final'!$K$124="Baja",'Mapa final'!$O$124="Moderado"),CONCATENATE("R",'Mapa final'!$A$124),"")</f>
        <v/>
      </c>
      <c r="AK74" s="438"/>
      <c r="AL74" s="438" t="str">
        <f>IF(AND('Mapa final'!$K$127="Baja",'Mapa final'!$O$127="Moderado"),CONCATENATE("R",'Mapa final'!$A$127),"")</f>
        <v/>
      </c>
      <c r="AM74" s="438"/>
      <c r="AN74" s="443" t="str">
        <f>IF(AND('Mapa final'!$K$115="Baja",'Mapa final'!$O$115="Mayor"),CONCATENATE("R",'Mapa final'!$A$115),"")</f>
        <v/>
      </c>
      <c r="AO74" s="444"/>
      <c r="AP74" s="444" t="str">
        <f>IF(AND('Mapa final'!$K$118="Baja",'Mapa final'!$O$118="Mayor"),CONCATENATE("R",'Mapa final'!$A$118),"")</f>
        <v/>
      </c>
      <c r="AQ74" s="444"/>
      <c r="AR74" s="444" t="str">
        <f>IF(AND('Mapa final'!$K$121="Baja",'Mapa final'!$O$121="Mayor"),CONCATENATE("R",'Mapa final'!$A$121),"")</f>
        <v/>
      </c>
      <c r="AS74" s="444"/>
      <c r="AT74" s="444" t="str">
        <f>IF(AND('Mapa final'!$K$124="Baja",'Mapa final'!$O$124="Mayor"),CONCATENATE("R",'Mapa final'!$A$124),"")</f>
        <v/>
      </c>
      <c r="AU74" s="444"/>
      <c r="AV74" s="444" t="str">
        <f>IF(AND('Mapa final'!$K$127="Baja",'Mapa final'!$O$127="Mayor"),CONCATENATE("R",'Mapa final'!$A$127),"")</f>
        <v/>
      </c>
      <c r="AW74" s="444"/>
      <c r="AX74" s="437" t="str">
        <f>IF(AND('Mapa final'!$K$115="Baja",'Mapa final'!$O$115="Catastrófico"),CONCATENATE("R",'Mapa final'!$A$115),"")</f>
        <v/>
      </c>
      <c r="AY74" s="435"/>
      <c r="AZ74" s="435" t="str">
        <f>IF(AND('Mapa final'!$K$118="Baja",'Mapa final'!$O$118="Catastrófico"),CONCATENATE("R",'Mapa final'!$A$118),"")</f>
        <v/>
      </c>
      <c r="BA74" s="435"/>
      <c r="BB74" s="435" t="str">
        <f>IF(AND('Mapa final'!$K$121="Baja",'Mapa final'!$O$121="Catastrófico"),CONCATENATE("R",'Mapa final'!$A$121),"")</f>
        <v/>
      </c>
      <c r="BC74" s="435"/>
      <c r="BD74" s="435" t="str">
        <f>IF(AND('Mapa final'!$K$124="Baja",'Mapa final'!$O$124="Catastrófico"),CONCATENATE("R",'Mapa final'!$A$124),"")</f>
        <v/>
      </c>
      <c r="BE74" s="435"/>
      <c r="BF74" s="435" t="str">
        <f>IF(AND('Mapa final'!$K$127="Baja",'Mapa final'!$O$127="Catastrófico"),CONCATENATE("R",'Mapa final'!$A$127),"")</f>
        <v/>
      </c>
      <c r="BG74" s="435"/>
      <c r="BH74" s="38"/>
      <c r="BI74" s="503"/>
      <c r="BJ74" s="504"/>
      <c r="BK74" s="504"/>
      <c r="BL74" s="504"/>
      <c r="BM74" s="504"/>
      <c r="BN74" s="505"/>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row>
    <row r="75" spans="1:100" ht="15" customHeight="1" x14ac:dyDescent="0.25">
      <c r="A75" s="38"/>
      <c r="B75" s="291"/>
      <c r="C75" s="292"/>
      <c r="D75" s="293"/>
      <c r="E75" s="511"/>
      <c r="F75" s="512"/>
      <c r="G75" s="512"/>
      <c r="H75" s="512"/>
      <c r="I75" s="512"/>
      <c r="J75" s="432"/>
      <c r="K75" s="433"/>
      <c r="L75" s="433"/>
      <c r="M75" s="433"/>
      <c r="N75" s="433"/>
      <c r="O75" s="433"/>
      <c r="P75" s="433"/>
      <c r="Q75" s="433"/>
      <c r="R75" s="433"/>
      <c r="S75" s="433"/>
      <c r="T75" s="440"/>
      <c r="U75" s="438"/>
      <c r="V75" s="438"/>
      <c r="W75" s="438"/>
      <c r="X75" s="438"/>
      <c r="Y75" s="438"/>
      <c r="Z75" s="438"/>
      <c r="AA75" s="438"/>
      <c r="AB75" s="438"/>
      <c r="AC75" s="438"/>
      <c r="AD75" s="440"/>
      <c r="AE75" s="438"/>
      <c r="AF75" s="438"/>
      <c r="AG75" s="438"/>
      <c r="AH75" s="438"/>
      <c r="AI75" s="438"/>
      <c r="AJ75" s="438"/>
      <c r="AK75" s="438"/>
      <c r="AL75" s="438"/>
      <c r="AM75" s="438"/>
      <c r="AN75" s="443"/>
      <c r="AO75" s="444"/>
      <c r="AP75" s="444"/>
      <c r="AQ75" s="444"/>
      <c r="AR75" s="444"/>
      <c r="AS75" s="444"/>
      <c r="AT75" s="444"/>
      <c r="AU75" s="444"/>
      <c r="AV75" s="444"/>
      <c r="AW75" s="444"/>
      <c r="AX75" s="437"/>
      <c r="AY75" s="435"/>
      <c r="AZ75" s="435"/>
      <c r="BA75" s="435"/>
      <c r="BB75" s="435"/>
      <c r="BC75" s="435"/>
      <c r="BD75" s="435"/>
      <c r="BE75" s="435"/>
      <c r="BF75" s="435"/>
      <c r="BG75" s="435"/>
      <c r="BH75" s="38"/>
      <c r="BI75" s="503"/>
      <c r="BJ75" s="504"/>
      <c r="BK75" s="504"/>
      <c r="BL75" s="504"/>
      <c r="BM75" s="504"/>
      <c r="BN75" s="505"/>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row>
    <row r="76" spans="1:100" ht="15" customHeight="1" x14ac:dyDescent="0.25">
      <c r="A76" s="38"/>
      <c r="B76" s="291"/>
      <c r="C76" s="292"/>
      <c r="D76" s="293"/>
      <c r="E76" s="511"/>
      <c r="F76" s="512"/>
      <c r="G76" s="512"/>
      <c r="H76" s="512"/>
      <c r="I76" s="512"/>
      <c r="J76" s="432" t="str">
        <f>IF(AND('Mapa final'!$K$130="Baja",'Mapa final'!$O$130="Leve"),CONCATENATE("R",'Mapa final'!$A$130),"")</f>
        <v/>
      </c>
      <c r="K76" s="433"/>
      <c r="L76" s="433" t="str">
        <f>IF(AND('Mapa final'!$K$133="Baja",'Mapa final'!$O$133="Leve"),CONCATENATE("R",'Mapa final'!$A$133),"")</f>
        <v/>
      </c>
      <c r="M76" s="433"/>
      <c r="N76" s="433" t="str">
        <f>IF(AND('Mapa final'!$K$136="Baja",'Mapa final'!$O$136="Leve"),CONCATENATE("R",'Mapa final'!$A$136),"")</f>
        <v/>
      </c>
      <c r="O76" s="433"/>
      <c r="P76" s="433" t="str">
        <f>IF(AND('Mapa final'!$K$139="Baja",'Mapa final'!$O$139="Leve"),CONCATENATE("R",'Mapa final'!$A$139),"")</f>
        <v/>
      </c>
      <c r="Q76" s="433"/>
      <c r="R76" s="433" t="str">
        <f>IF(AND('Mapa final'!$K$142="Baja",'Mapa final'!$O$142="Leve"),CONCATENATE("R",'Mapa final'!$A$142),"")</f>
        <v/>
      </c>
      <c r="S76" s="434"/>
      <c r="T76" s="440" t="str">
        <f>IF(AND('Mapa final'!$K$130="Baja",'Mapa final'!$O$130="Menor"),CONCATENATE("R",'Mapa final'!$A$130),"")</f>
        <v/>
      </c>
      <c r="U76" s="438"/>
      <c r="V76" s="438" t="str">
        <f>IF(AND('Mapa final'!$K$133="Baja",'Mapa final'!$O$133="Menor"),CONCATENATE("R",'Mapa final'!$A$133),"")</f>
        <v/>
      </c>
      <c r="W76" s="438"/>
      <c r="X76" s="438" t="str">
        <f>IF(AND('Mapa final'!$K$136="Baja",'Mapa final'!$O$136="Menor"),CONCATENATE("R",'Mapa final'!$A$136),"")</f>
        <v/>
      </c>
      <c r="Y76" s="438"/>
      <c r="Z76" s="438" t="str">
        <f>IF(AND('Mapa final'!$K$139="Baja",'Mapa final'!$O$139="Menor"),CONCATENATE("R",'Mapa final'!$A$139),"")</f>
        <v/>
      </c>
      <c r="AA76" s="438"/>
      <c r="AB76" s="438" t="str">
        <f>IF(AND('Mapa final'!$K$142="Baja",'Mapa final'!$O$142="Menor"),CONCATENATE("R",'Mapa final'!$A$142),"")</f>
        <v/>
      </c>
      <c r="AC76" s="439"/>
      <c r="AD76" s="440" t="str">
        <f>IF(AND('Mapa final'!$K$130="Baja",'Mapa final'!$O$130="Moderado"),CONCATENATE("R",'Mapa final'!$A$130),"")</f>
        <v/>
      </c>
      <c r="AE76" s="438"/>
      <c r="AF76" s="438" t="str">
        <f>IF(AND('Mapa final'!$K$133="Baja",'Mapa final'!$O$133="Moderado"),CONCATENATE("R",'Mapa final'!$A$133),"")</f>
        <v>R42</v>
      </c>
      <c r="AG76" s="438"/>
      <c r="AH76" s="438" t="str">
        <f>IF(AND('Mapa final'!$K$136="Baja",'Mapa final'!$O$136="Moderado"),CONCATENATE("R",'Mapa final'!$A$136),"")</f>
        <v/>
      </c>
      <c r="AI76" s="438"/>
      <c r="AJ76" s="438" t="str">
        <f>IF(AND('Mapa final'!$K$139="Baja",'Mapa final'!$O$139="Moderado"),CONCATENATE("R",'Mapa final'!$A$139),"")</f>
        <v/>
      </c>
      <c r="AK76" s="438"/>
      <c r="AL76" s="438" t="str">
        <f>IF(AND('Mapa final'!$K$142="Baja",'Mapa final'!$O$142="Moderado"),CONCATENATE("R",'Mapa final'!$A$142),"")</f>
        <v/>
      </c>
      <c r="AM76" s="439"/>
      <c r="AN76" s="443" t="str">
        <f>IF(AND('Mapa final'!$K$130="Baja",'Mapa final'!$O$130="Mayor"),CONCATENATE("R",'Mapa final'!$A$130),"")</f>
        <v>R41</v>
      </c>
      <c r="AO76" s="444"/>
      <c r="AP76" s="444" t="str">
        <f>IF(AND('Mapa final'!$K$133="Baja",'Mapa final'!$O$133="Mayor"),CONCATENATE("R",'Mapa final'!$A$133),"")</f>
        <v/>
      </c>
      <c r="AQ76" s="444"/>
      <c r="AR76" s="444" t="str">
        <f>IF(AND('Mapa final'!$K$136="Baja",'Mapa final'!$O$136="Mayor"),CONCATENATE("R",'Mapa final'!$A$136),"")</f>
        <v/>
      </c>
      <c r="AS76" s="444"/>
      <c r="AT76" s="444" t="str">
        <f>IF(AND('Mapa final'!$K$139="Baja",'Mapa final'!$O$139="Mayor"),CONCATENATE("R",'Mapa final'!$A$139),"")</f>
        <v/>
      </c>
      <c r="AU76" s="444"/>
      <c r="AV76" s="444" t="str">
        <f>IF(AND('Mapa final'!$K$142="Baja",'Mapa final'!$O$142="Mayor"),CONCATENATE("R",'Mapa final'!$A$142),"")</f>
        <v/>
      </c>
      <c r="AW76" s="446"/>
      <c r="AX76" s="437" t="str">
        <f>IF(AND('Mapa final'!$K$130="Baja",'Mapa final'!$O$130="Catastrófico"),CONCATENATE("R",'Mapa final'!$A$130),"")</f>
        <v/>
      </c>
      <c r="AY76" s="435"/>
      <c r="AZ76" s="435" t="str">
        <f>IF(AND('Mapa final'!$K$133="Baja",'Mapa final'!$O$133="Catastrófico"),CONCATENATE("R",'Mapa final'!$A$133),"")</f>
        <v/>
      </c>
      <c r="BA76" s="435"/>
      <c r="BB76" s="435" t="str">
        <f>IF(AND('Mapa final'!$K$136="Baja",'Mapa final'!$O$136="Catastrófico"),CONCATENATE("R",'Mapa final'!$A$136),"")</f>
        <v/>
      </c>
      <c r="BC76" s="435"/>
      <c r="BD76" s="435" t="str">
        <f>IF(AND('Mapa final'!$K$139="Baja",'Mapa final'!$O$139="Catastrófico"),CONCATENATE("R",'Mapa final'!$A$139),"")</f>
        <v/>
      </c>
      <c r="BE76" s="435"/>
      <c r="BF76" s="435" t="str">
        <f>IF(AND('Mapa final'!$K$142="Baja",'Mapa final'!$O$142="Catastrófico"),CONCATENATE("R",'Mapa final'!$A$142),"")</f>
        <v/>
      </c>
      <c r="BG76" s="436"/>
      <c r="BH76" s="38"/>
      <c r="BI76" s="503"/>
      <c r="BJ76" s="504"/>
      <c r="BK76" s="504"/>
      <c r="BL76" s="504"/>
      <c r="BM76" s="504"/>
      <c r="BN76" s="505"/>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row>
    <row r="77" spans="1:100" ht="15" customHeight="1" thickBot="1" x14ac:dyDescent="0.3">
      <c r="A77" s="38"/>
      <c r="B77" s="291"/>
      <c r="C77" s="292"/>
      <c r="D77" s="293"/>
      <c r="E77" s="511"/>
      <c r="F77" s="512"/>
      <c r="G77" s="512"/>
      <c r="H77" s="512"/>
      <c r="I77" s="512"/>
      <c r="J77" s="432"/>
      <c r="K77" s="433"/>
      <c r="L77" s="433"/>
      <c r="M77" s="433"/>
      <c r="N77" s="433"/>
      <c r="O77" s="433"/>
      <c r="P77" s="433"/>
      <c r="Q77" s="433"/>
      <c r="R77" s="433"/>
      <c r="S77" s="434"/>
      <c r="T77" s="440"/>
      <c r="U77" s="438"/>
      <c r="V77" s="438"/>
      <c r="W77" s="438"/>
      <c r="X77" s="438"/>
      <c r="Y77" s="438"/>
      <c r="Z77" s="438"/>
      <c r="AA77" s="438"/>
      <c r="AB77" s="438"/>
      <c r="AC77" s="439"/>
      <c r="AD77" s="440"/>
      <c r="AE77" s="438"/>
      <c r="AF77" s="438"/>
      <c r="AG77" s="438"/>
      <c r="AH77" s="438"/>
      <c r="AI77" s="438"/>
      <c r="AJ77" s="438"/>
      <c r="AK77" s="438"/>
      <c r="AL77" s="438"/>
      <c r="AM77" s="439"/>
      <c r="AN77" s="443"/>
      <c r="AO77" s="444"/>
      <c r="AP77" s="444"/>
      <c r="AQ77" s="444"/>
      <c r="AR77" s="444"/>
      <c r="AS77" s="444"/>
      <c r="AT77" s="444"/>
      <c r="AU77" s="444"/>
      <c r="AV77" s="444"/>
      <c r="AW77" s="446"/>
      <c r="AX77" s="437"/>
      <c r="AY77" s="435"/>
      <c r="AZ77" s="435"/>
      <c r="BA77" s="435"/>
      <c r="BB77" s="435"/>
      <c r="BC77" s="435"/>
      <c r="BD77" s="435"/>
      <c r="BE77" s="435"/>
      <c r="BF77" s="435"/>
      <c r="BG77" s="436"/>
      <c r="BH77" s="38"/>
      <c r="BI77" s="503"/>
      <c r="BJ77" s="504"/>
      <c r="BK77" s="504"/>
      <c r="BL77" s="504"/>
      <c r="BM77" s="504"/>
      <c r="BN77" s="505"/>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row>
    <row r="78" spans="1:100" ht="15" customHeight="1" x14ac:dyDescent="0.25">
      <c r="A78" s="38"/>
      <c r="B78" s="291"/>
      <c r="C78" s="292"/>
      <c r="D78" s="293"/>
      <c r="E78" s="509" t="s">
        <v>104</v>
      </c>
      <c r="F78" s="510"/>
      <c r="G78" s="510"/>
      <c r="H78" s="510"/>
      <c r="I78" s="513"/>
      <c r="J78" s="527" t="str">
        <f>IF(AND('Mapa final'!$K$7="Muy Baja",'Mapa final'!$O$7="Leve"),CONCATENATE("R",'Mapa final'!$A$7),"")</f>
        <v/>
      </c>
      <c r="K78" s="471"/>
      <c r="L78" s="471" t="str">
        <f>IF(AND('Mapa final'!$K$10="Muy Baja",'Mapa final'!$O$10="Leve"),CONCATENATE("R",'Mapa final'!$A$10),"")</f>
        <v/>
      </c>
      <c r="M78" s="471"/>
      <c r="N78" s="471" t="str">
        <f>IF(AND('Mapa final'!$K$13="Muy Baja",'Mapa final'!$O$13="Leve"),CONCATENATE("R",'Mapa final'!$A$13),"")</f>
        <v/>
      </c>
      <c r="O78" s="471"/>
      <c r="P78" s="471" t="str">
        <f>IF(AND('Mapa final'!$K$16="Muy Baja",'Mapa final'!$O$16="Leve"),CONCATENATE("R",'Mapa final'!$A$16),"")</f>
        <v/>
      </c>
      <c r="Q78" s="471"/>
      <c r="R78" s="471" t="str">
        <f>IF(AND('Mapa final'!$K$19="Muy Baja",'Mapa final'!$O$19="Leve"),CONCATENATE("R",'Mapa final'!$A$19),"")</f>
        <v/>
      </c>
      <c r="S78" s="472"/>
      <c r="T78" s="527" t="str">
        <f>IF(AND('Mapa final'!$K$7="Muy Baja",'Mapa final'!$O$7="Menor"),CONCATENATE("R",'Mapa final'!$A$7),"")</f>
        <v/>
      </c>
      <c r="U78" s="471"/>
      <c r="V78" s="471" t="str">
        <f>IF(AND('Mapa final'!$K$10="Muy Baja",'Mapa final'!$O$10="Menor"),CONCATENATE("R",'Mapa final'!$A$10),"")</f>
        <v/>
      </c>
      <c r="W78" s="471"/>
      <c r="X78" s="471" t="str">
        <f>IF(AND('Mapa final'!$K$13="Muy Baja",'Mapa final'!$O$13="Menor"),CONCATENATE("R",'Mapa final'!$A$13),"")</f>
        <v/>
      </c>
      <c r="Y78" s="471"/>
      <c r="Z78" s="471" t="str">
        <f>IF(AND('Mapa final'!$K$16="Muy Baja",'Mapa final'!$O$16="Menor"),CONCATENATE("R",'Mapa final'!$A$16),"")</f>
        <v/>
      </c>
      <c r="AA78" s="471"/>
      <c r="AB78" s="471" t="str">
        <f>IF(AND('Mapa final'!$K$19="Muy Baja",'Mapa final'!$O$19="Menor"),CONCATENATE("R",'Mapa final'!$A$19),"")</f>
        <v/>
      </c>
      <c r="AC78" s="472"/>
      <c r="AD78" s="450" t="str">
        <f>IF(AND('Mapa final'!$K$7="Muy Baja",'Mapa final'!$O$7="Moderado"),CONCATENATE("R",'Mapa final'!$A$7),"")</f>
        <v/>
      </c>
      <c r="AE78" s="451"/>
      <c r="AF78" s="451" t="str">
        <f>IF(AND('Mapa final'!$K$10="Muy Baja",'Mapa final'!$O$10="Moderado"),CONCATENATE("R",'Mapa final'!$A$10),"")</f>
        <v/>
      </c>
      <c r="AG78" s="451"/>
      <c r="AH78" s="451" t="str">
        <f>IF(AND('Mapa final'!$K$13="Muy Baja",'Mapa final'!$O$13="Moderado"),CONCATENATE("R",'Mapa final'!$A$13),"")</f>
        <v/>
      </c>
      <c r="AI78" s="451"/>
      <c r="AJ78" s="451" t="str">
        <f>IF(AND('Mapa final'!$K$16="Muy Baja",'Mapa final'!$O$16="Moderado"),CONCATENATE("R",'Mapa final'!$A$16),"")</f>
        <v/>
      </c>
      <c r="AK78" s="451"/>
      <c r="AL78" s="451" t="str">
        <f>IF(AND('Mapa final'!$K$19="Muy Baja",'Mapa final'!$O$19="Moderado"),CONCATENATE("R",'Mapa final'!$A$19),"")</f>
        <v/>
      </c>
      <c r="AM78" s="452"/>
      <c r="AN78" s="524" t="str">
        <f>IF(AND('Mapa final'!$K$7="Muy Baja",'Mapa final'!$O$7="Mayor"),CONCATENATE("R",'Mapa final'!$A$7),"")</f>
        <v/>
      </c>
      <c r="AO78" s="522"/>
      <c r="AP78" s="522" t="str">
        <f>IF(AND('Mapa final'!$K$10="Muy Baja",'Mapa final'!$O$10="Mayor"),CONCATENATE("R",'Mapa final'!$A$10),"")</f>
        <v/>
      </c>
      <c r="AQ78" s="522"/>
      <c r="AR78" s="522" t="str">
        <f>IF(AND('Mapa final'!$K$13="Muy Baja",'Mapa final'!$O$13="Mayor"),CONCATENATE("R",'Mapa final'!$A$13),"")</f>
        <v/>
      </c>
      <c r="AS78" s="522"/>
      <c r="AT78" s="522" t="str">
        <f>IF(AND('Mapa final'!$K$16="Muy Baja",'Mapa final'!$O$16="Mayor"),CONCATENATE("R",'Mapa final'!$A$16),"")</f>
        <v/>
      </c>
      <c r="AU78" s="522"/>
      <c r="AV78" s="522" t="str">
        <f>IF(AND('Mapa final'!$K$19="Muy Baja",'Mapa final'!$O$19="Mayor"),CONCATENATE("R",'Mapa final'!$A$19),"")</f>
        <v/>
      </c>
      <c r="AW78" s="523"/>
      <c r="AX78" s="467" t="str">
        <f>IF(AND('Mapa final'!$K$7="Muy Baja",'Mapa final'!$O$7="Catastrófico"),CONCATENATE("R",'Mapa final'!$A$7),"")</f>
        <v/>
      </c>
      <c r="AY78" s="456"/>
      <c r="AZ78" s="456" t="str">
        <f>IF(AND('Mapa final'!$K$10="Muy Baja",'Mapa final'!$O$10="Catastrófico"),CONCATENATE("R",'Mapa final'!$A$10),"")</f>
        <v/>
      </c>
      <c r="BA78" s="456"/>
      <c r="BB78" s="456" t="str">
        <f>IF(AND('Mapa final'!$K$13="Muy Baja",'Mapa final'!$O$13="Catastrófico"),CONCATENATE("R",'Mapa final'!$A$13),"")</f>
        <v/>
      </c>
      <c r="BC78" s="456"/>
      <c r="BD78" s="456" t="str">
        <f>IF(AND('Mapa final'!$K$16="Muy Baja",'Mapa final'!$O$16="Catastrófico"),CONCATENATE("R",'Mapa final'!$A$16),"")</f>
        <v/>
      </c>
      <c r="BE78" s="456"/>
      <c r="BF78" s="456" t="str">
        <f>IF(AND('Mapa final'!$K$19="Muy Baja",'Mapa final'!$O$19="Catastrófico"),CONCATENATE("R",'Mapa final'!$A$19),"")</f>
        <v/>
      </c>
      <c r="BG78" s="468"/>
      <c r="BH78" s="38"/>
      <c r="BI78" s="503"/>
      <c r="BJ78" s="504"/>
      <c r="BK78" s="504"/>
      <c r="BL78" s="504"/>
      <c r="BM78" s="504"/>
      <c r="BN78" s="505"/>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row>
    <row r="79" spans="1:100" ht="15" customHeight="1" x14ac:dyDescent="0.25">
      <c r="A79" s="38"/>
      <c r="B79" s="291"/>
      <c r="C79" s="292"/>
      <c r="D79" s="293"/>
      <c r="E79" s="511"/>
      <c r="F79" s="512"/>
      <c r="G79" s="512"/>
      <c r="H79" s="512"/>
      <c r="I79" s="514"/>
      <c r="J79" s="432"/>
      <c r="K79" s="433"/>
      <c r="L79" s="433"/>
      <c r="M79" s="433"/>
      <c r="N79" s="433"/>
      <c r="O79" s="433"/>
      <c r="P79" s="433"/>
      <c r="Q79" s="433"/>
      <c r="R79" s="433"/>
      <c r="S79" s="434"/>
      <c r="T79" s="432"/>
      <c r="U79" s="433"/>
      <c r="V79" s="433"/>
      <c r="W79" s="433"/>
      <c r="X79" s="433"/>
      <c r="Y79" s="433"/>
      <c r="Z79" s="433"/>
      <c r="AA79" s="433"/>
      <c r="AB79" s="433"/>
      <c r="AC79" s="434"/>
      <c r="AD79" s="440"/>
      <c r="AE79" s="438"/>
      <c r="AF79" s="438"/>
      <c r="AG79" s="438"/>
      <c r="AH79" s="438"/>
      <c r="AI79" s="438"/>
      <c r="AJ79" s="438"/>
      <c r="AK79" s="438"/>
      <c r="AL79" s="438"/>
      <c r="AM79" s="439"/>
      <c r="AN79" s="445"/>
      <c r="AO79" s="441"/>
      <c r="AP79" s="441"/>
      <c r="AQ79" s="441"/>
      <c r="AR79" s="441"/>
      <c r="AS79" s="441"/>
      <c r="AT79" s="441"/>
      <c r="AU79" s="441"/>
      <c r="AV79" s="441"/>
      <c r="AW79" s="442"/>
      <c r="AX79" s="437"/>
      <c r="AY79" s="435"/>
      <c r="AZ79" s="435"/>
      <c r="BA79" s="435"/>
      <c r="BB79" s="435"/>
      <c r="BC79" s="435"/>
      <c r="BD79" s="435"/>
      <c r="BE79" s="435"/>
      <c r="BF79" s="435"/>
      <c r="BG79" s="436"/>
      <c r="BH79" s="38"/>
      <c r="BI79" s="503"/>
      <c r="BJ79" s="504"/>
      <c r="BK79" s="504"/>
      <c r="BL79" s="504"/>
      <c r="BM79" s="504"/>
      <c r="BN79" s="505"/>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row>
    <row r="80" spans="1:100" ht="15" customHeight="1" x14ac:dyDescent="0.25">
      <c r="A80" s="38"/>
      <c r="B80" s="291"/>
      <c r="C80" s="292"/>
      <c r="D80" s="293"/>
      <c r="E80" s="511"/>
      <c r="F80" s="512"/>
      <c r="G80" s="512"/>
      <c r="H80" s="512"/>
      <c r="I80" s="514"/>
      <c r="J80" s="432" t="str">
        <f>IF(AND('Mapa final'!$K$22="Muy Baja",'Mapa final'!$O$22="Leve"),CONCATENATE("R",'Mapa final'!$A$22),"")</f>
        <v/>
      </c>
      <c r="K80" s="433"/>
      <c r="L80" s="433" t="str">
        <f>IF(AND('Mapa final'!$K$25="Muy Baja",'Mapa final'!$O$25="Leve"),CONCATENATE("R",'Mapa final'!$A$25),"")</f>
        <v/>
      </c>
      <c r="M80" s="433"/>
      <c r="N80" s="433" t="str">
        <f>IF(AND('Mapa final'!$K$28="Muy Baja",'Mapa final'!$O$28="Leve"),CONCATENATE("R",'Mapa final'!$A$28),"")</f>
        <v/>
      </c>
      <c r="O80" s="433"/>
      <c r="P80" s="433" t="str">
        <f>IF(AND('Mapa final'!$K$31="Muy Baja",'Mapa final'!$O$31="Leve"),CONCATENATE("R",'Mapa final'!$A$31),"")</f>
        <v/>
      </c>
      <c r="Q80" s="433"/>
      <c r="R80" s="433" t="str">
        <f>IF(AND('Mapa final'!$K$34="Muy Baja",'Mapa final'!$O$34="Leve"),CONCATENATE("R",'Mapa final'!$A$34),"")</f>
        <v/>
      </c>
      <c r="S80" s="434"/>
      <c r="T80" s="432" t="str">
        <f>IF(AND('Mapa final'!$K$22="Muy Baja",'Mapa final'!$O$22="Menor"),CONCATENATE("R",'Mapa final'!$A$22),"")</f>
        <v/>
      </c>
      <c r="U80" s="433"/>
      <c r="V80" s="433" t="str">
        <f>IF(AND('Mapa final'!$K$25="Muy Baja",'Mapa final'!$O$25="Menor"),CONCATENATE("R",'Mapa final'!$A$25),"")</f>
        <v/>
      </c>
      <c r="W80" s="433"/>
      <c r="X80" s="433" t="str">
        <f>IF(AND('Mapa final'!$K$28="Muy Baja",'Mapa final'!$O$28="Menor"),CONCATENATE("R",'Mapa final'!$A$28),"")</f>
        <v/>
      </c>
      <c r="Y80" s="433"/>
      <c r="Z80" s="433" t="str">
        <f>IF(AND('Mapa final'!$K$31="Muy Baja",'Mapa final'!$O$31="Menor"),CONCATENATE("R",'Mapa final'!$A$31),"")</f>
        <v/>
      </c>
      <c r="AA80" s="433"/>
      <c r="AB80" s="433" t="str">
        <f>IF(AND('Mapa final'!$K$34="Muy Baja",'Mapa final'!$O$34="Menor"),CONCATENATE("R",'Mapa final'!$A$34),"")</f>
        <v/>
      </c>
      <c r="AC80" s="434"/>
      <c r="AD80" s="440" t="str">
        <f>IF(AND('Mapa final'!$K$22="Muy Baja",'Mapa final'!$O$22="Moderado"),CONCATENATE("R",'Mapa final'!$A$22),"")</f>
        <v/>
      </c>
      <c r="AE80" s="438"/>
      <c r="AF80" s="438" t="str">
        <f>IF(AND('Mapa final'!$K$25="Muy Baja",'Mapa final'!$O$25="Moderado"),CONCATENATE("R",'Mapa final'!$A$25),"")</f>
        <v/>
      </c>
      <c r="AG80" s="438"/>
      <c r="AH80" s="438" t="str">
        <f>IF(AND('Mapa final'!$K$28="Muy Baja",'Mapa final'!$O$28="Moderado"),CONCATENATE("R",'Mapa final'!$A$28),"")</f>
        <v/>
      </c>
      <c r="AI80" s="438"/>
      <c r="AJ80" s="438" t="str">
        <f>IF(AND('Mapa final'!$K$31="Muy Baja",'Mapa final'!$O$31="Moderado"),CONCATENATE("R",'Mapa final'!$A$31),"")</f>
        <v/>
      </c>
      <c r="AK80" s="438"/>
      <c r="AL80" s="438" t="str">
        <f>IF(AND('Mapa final'!$K$34="Muy Baja",'Mapa final'!$O$34="Moderado"),CONCATENATE("R",'Mapa final'!$A$34),"")</f>
        <v/>
      </c>
      <c r="AM80" s="439"/>
      <c r="AN80" s="445" t="str">
        <f>IF(AND('Mapa final'!$K$22="Muy Baja",'Mapa final'!$O$22="Mayor"),CONCATENATE("R",'Mapa final'!$A$22),"")</f>
        <v/>
      </c>
      <c r="AO80" s="441"/>
      <c r="AP80" s="441" t="str">
        <f>IF(AND('Mapa final'!$K$25="Muy Baja",'Mapa final'!$O$25="Mayor"),CONCATENATE("R",'Mapa final'!$A$25),"")</f>
        <v/>
      </c>
      <c r="AQ80" s="441"/>
      <c r="AR80" s="441" t="str">
        <f>IF(AND('Mapa final'!$K$28="Muy Baja",'Mapa final'!$O$28="Mayor"),CONCATENATE("R",'Mapa final'!$A$28),"")</f>
        <v/>
      </c>
      <c r="AS80" s="441"/>
      <c r="AT80" s="441" t="str">
        <f>IF(AND('Mapa final'!$K$31="Muy Baja",'Mapa final'!$O$31="Mayor"),CONCATENATE("R",'Mapa final'!$A$31),"")</f>
        <v/>
      </c>
      <c r="AU80" s="441"/>
      <c r="AV80" s="441" t="str">
        <f>IF(AND('Mapa final'!$K$34="Muy Baja",'Mapa final'!$O$34="Mayor"),CONCATENATE("R",'Mapa final'!$A$34),"")</f>
        <v/>
      </c>
      <c r="AW80" s="442"/>
      <c r="AX80" s="437" t="str">
        <f>IF(AND('Mapa final'!$K$22="Muy Baja",'Mapa final'!$O$22="Catastrófico"),CONCATENATE("R",'Mapa final'!$A$22),"")</f>
        <v/>
      </c>
      <c r="AY80" s="435"/>
      <c r="AZ80" s="435" t="str">
        <f>IF(AND('Mapa final'!$K$25="Muy Baja",'Mapa final'!$O$25="Catastrófico"),CONCATENATE("R",'Mapa final'!$A$25),"")</f>
        <v/>
      </c>
      <c r="BA80" s="435"/>
      <c r="BB80" s="435" t="str">
        <f>IF(AND('Mapa final'!$K$28="Muy Baja",'Mapa final'!$O$28="Catastrófico"),CONCATENATE("R",'Mapa final'!$A$28),"")</f>
        <v/>
      </c>
      <c r="BC80" s="435"/>
      <c r="BD80" s="435" t="str">
        <f>IF(AND('Mapa final'!$K$31="Muy Baja",'Mapa final'!$O$31="Catastrófico"),CONCATENATE("R",'Mapa final'!$A$31),"")</f>
        <v/>
      </c>
      <c r="BE80" s="435"/>
      <c r="BF80" s="435" t="str">
        <f>IF(AND('Mapa final'!$K$34="Muy Baja",'Mapa final'!$O$34="Catastrófico"),CONCATENATE("R",'Mapa final'!$A$34),"")</f>
        <v/>
      </c>
      <c r="BG80" s="436"/>
      <c r="BH80" s="38"/>
      <c r="BI80" s="503"/>
      <c r="BJ80" s="504"/>
      <c r="BK80" s="504"/>
      <c r="BL80" s="504"/>
      <c r="BM80" s="504"/>
      <c r="BN80" s="505"/>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row>
    <row r="81" spans="1:100" ht="15" customHeight="1" x14ac:dyDescent="0.25">
      <c r="A81" s="38"/>
      <c r="B81" s="291"/>
      <c r="C81" s="292"/>
      <c r="D81" s="293"/>
      <c r="E81" s="511"/>
      <c r="F81" s="512"/>
      <c r="G81" s="512"/>
      <c r="H81" s="512"/>
      <c r="I81" s="514"/>
      <c r="J81" s="432"/>
      <c r="K81" s="433"/>
      <c r="L81" s="433"/>
      <c r="M81" s="433"/>
      <c r="N81" s="433"/>
      <c r="O81" s="433"/>
      <c r="P81" s="433"/>
      <c r="Q81" s="433"/>
      <c r="R81" s="433"/>
      <c r="S81" s="434"/>
      <c r="T81" s="432"/>
      <c r="U81" s="433"/>
      <c r="V81" s="433"/>
      <c r="W81" s="433"/>
      <c r="X81" s="433"/>
      <c r="Y81" s="433"/>
      <c r="Z81" s="433"/>
      <c r="AA81" s="433"/>
      <c r="AB81" s="433"/>
      <c r="AC81" s="434"/>
      <c r="AD81" s="440"/>
      <c r="AE81" s="438"/>
      <c r="AF81" s="438"/>
      <c r="AG81" s="438"/>
      <c r="AH81" s="438"/>
      <c r="AI81" s="438"/>
      <c r="AJ81" s="438"/>
      <c r="AK81" s="438"/>
      <c r="AL81" s="438"/>
      <c r="AM81" s="439"/>
      <c r="AN81" s="445"/>
      <c r="AO81" s="441"/>
      <c r="AP81" s="441"/>
      <c r="AQ81" s="441"/>
      <c r="AR81" s="441"/>
      <c r="AS81" s="441"/>
      <c r="AT81" s="441"/>
      <c r="AU81" s="441"/>
      <c r="AV81" s="441"/>
      <c r="AW81" s="442"/>
      <c r="AX81" s="437"/>
      <c r="AY81" s="435"/>
      <c r="AZ81" s="435"/>
      <c r="BA81" s="435"/>
      <c r="BB81" s="435"/>
      <c r="BC81" s="435"/>
      <c r="BD81" s="435"/>
      <c r="BE81" s="435"/>
      <c r="BF81" s="435"/>
      <c r="BG81" s="436"/>
      <c r="BH81" s="38"/>
      <c r="BI81" s="503"/>
      <c r="BJ81" s="504"/>
      <c r="BK81" s="504"/>
      <c r="BL81" s="504"/>
      <c r="BM81" s="504"/>
      <c r="BN81" s="505"/>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row>
    <row r="82" spans="1:100" ht="15" customHeight="1" x14ac:dyDescent="0.25">
      <c r="A82" s="38"/>
      <c r="B82" s="291"/>
      <c r="C82" s="292"/>
      <c r="D82" s="293"/>
      <c r="E82" s="511"/>
      <c r="F82" s="512"/>
      <c r="G82" s="512"/>
      <c r="H82" s="512"/>
      <c r="I82" s="514"/>
      <c r="J82" s="432" t="str">
        <f>IF(AND('Mapa final'!$K$37="Muy Baja",'Mapa final'!$O$37="Leve"),CONCATENATE("R",'Mapa final'!$A$37),"")</f>
        <v/>
      </c>
      <c r="K82" s="433"/>
      <c r="L82" s="433" t="str">
        <f>IF(AND('Mapa final'!$K$40="Muy Baja",'Mapa final'!$O$40="Leve"),CONCATENATE("R",'Mapa final'!$A$40),"")</f>
        <v/>
      </c>
      <c r="M82" s="433"/>
      <c r="N82" s="433" t="str">
        <f>IF(AND('Mapa final'!$K$44="Muy Baja",'Mapa final'!$O$44="Leve"),CONCATENATE("R",'Mapa final'!$A$44),"")</f>
        <v/>
      </c>
      <c r="O82" s="433"/>
      <c r="P82" s="433" t="str">
        <f>IF(AND('Mapa final'!$K$47="Muy Baja",'Mapa final'!$O$47="Leve"),CONCATENATE("R",'Mapa final'!$A$47),"")</f>
        <v/>
      </c>
      <c r="Q82" s="433"/>
      <c r="R82" s="433" t="str">
        <f>IF(AND('Mapa final'!$K$52="Muy Baja",'Mapa final'!$O$52="Leve"),CONCATENATE("R",'Mapa final'!$A$52),"")</f>
        <v/>
      </c>
      <c r="S82" s="434"/>
      <c r="T82" s="432" t="str">
        <f>IF(AND('Mapa final'!$K$37="Muy Baja",'Mapa final'!$O$37="Menor"),CONCATENATE("R",'Mapa final'!$A$37),"")</f>
        <v/>
      </c>
      <c r="U82" s="433"/>
      <c r="V82" s="433" t="str">
        <f>IF(AND('Mapa final'!$K$40="Muy Baja",'Mapa final'!$O$40="Menor"),CONCATENATE("R",'Mapa final'!$A$40),"")</f>
        <v/>
      </c>
      <c r="W82" s="433"/>
      <c r="X82" s="433" t="str">
        <f>IF(AND('Mapa final'!$K$44="Muy Baja",'Mapa final'!$O$44="Menor"),CONCATENATE("R",'Mapa final'!$A$44),"")</f>
        <v/>
      </c>
      <c r="Y82" s="433"/>
      <c r="Z82" s="433" t="str">
        <f>IF(AND('Mapa final'!$K$47="Muy Baja",'Mapa final'!$O$47="Menor"),CONCATENATE("R",'Mapa final'!$A$47),"")</f>
        <v/>
      </c>
      <c r="AA82" s="433"/>
      <c r="AB82" s="433" t="str">
        <f>IF(AND('Mapa final'!$K$52="Muy Baja",'Mapa final'!$O$52="Menor"),CONCATENATE("R",'Mapa final'!$A$52),"")</f>
        <v/>
      </c>
      <c r="AC82" s="434"/>
      <c r="AD82" s="440" t="str">
        <f>IF(AND('Mapa final'!$K$37="Muy Baja",'Mapa final'!$O$37="Moderado"),CONCATENATE("R",'Mapa final'!$A$37),"")</f>
        <v/>
      </c>
      <c r="AE82" s="438"/>
      <c r="AF82" s="438" t="str">
        <f>IF(AND('Mapa final'!$K$40="Muy Baja",'Mapa final'!$O$40="Moderado"),CONCATENATE("R",'Mapa final'!$A$40),"")</f>
        <v/>
      </c>
      <c r="AG82" s="438"/>
      <c r="AH82" s="438" t="str">
        <f>IF(AND('Mapa final'!$K$44="Muy Baja",'Mapa final'!$O$44="Moderado"),CONCATENATE("R",'Mapa final'!$A$44),"")</f>
        <v/>
      </c>
      <c r="AI82" s="438"/>
      <c r="AJ82" s="438" t="str">
        <f>IF(AND('Mapa final'!$K$47="Muy Baja",'Mapa final'!$O$47="Moderado"),CONCATENATE("R",'Mapa final'!$A$47),"")</f>
        <v/>
      </c>
      <c r="AK82" s="438"/>
      <c r="AL82" s="438" t="str">
        <f>IF(AND('Mapa final'!$K$52="Muy Baja",'Mapa final'!$O$52="Moderado"),CONCATENATE("R",'Mapa final'!$A$52),"")</f>
        <v>R15</v>
      </c>
      <c r="AM82" s="439"/>
      <c r="AN82" s="445" t="str">
        <f>IF(AND('Mapa final'!$K$37="Muy Baja",'Mapa final'!$O$37="Mayor"),CONCATENATE("R",'Mapa final'!$A$37),"")</f>
        <v/>
      </c>
      <c r="AO82" s="441"/>
      <c r="AP82" s="441" t="str">
        <f>IF(AND('Mapa final'!$K$40="Muy Baja",'Mapa final'!$O$40="Mayor"),CONCATENATE("R",'Mapa final'!$A$40),"")</f>
        <v/>
      </c>
      <c r="AQ82" s="441"/>
      <c r="AR82" s="441" t="str">
        <f>IF(AND('Mapa final'!$K$44="Muy Baja",'Mapa final'!$O$44="Mayor"),CONCATENATE("R",'Mapa final'!$A$44),"")</f>
        <v/>
      </c>
      <c r="AS82" s="441"/>
      <c r="AT82" s="441" t="str">
        <f>IF(AND('Mapa final'!$K$47="Muy Baja",'Mapa final'!$O$47="Mayor"),CONCATENATE("R",'Mapa final'!$A$47),"")</f>
        <v/>
      </c>
      <c r="AU82" s="441"/>
      <c r="AV82" s="441" t="str">
        <f>IF(AND('Mapa final'!$K$52="Muy Baja",'Mapa final'!$O$52="Mayor"),CONCATENATE("R",'Mapa final'!$A$52),"")</f>
        <v/>
      </c>
      <c r="AW82" s="442"/>
      <c r="AX82" s="437" t="str">
        <f>IF(AND('Mapa final'!$K$37="Muy Baja",'Mapa final'!$O$37="Catastrófico"),CONCATENATE("R",'Mapa final'!$A$37),"")</f>
        <v/>
      </c>
      <c r="AY82" s="435"/>
      <c r="AZ82" s="435" t="str">
        <f>IF(AND('Mapa final'!$K$40="Muy Baja",'Mapa final'!$O$40="Catastrófico"),CONCATENATE("R",'Mapa final'!$A$40),"")</f>
        <v/>
      </c>
      <c r="BA82" s="435"/>
      <c r="BB82" s="435" t="str">
        <f>IF(AND('Mapa final'!$K$44="Muy Baja",'Mapa final'!$O$44="Catastrófico"),CONCATENATE("R",'Mapa final'!$A$44),"")</f>
        <v/>
      </c>
      <c r="BC82" s="435"/>
      <c r="BD82" s="435" t="str">
        <f>IF(AND('Mapa final'!$K$47="Muy Baja",'Mapa final'!$O$47="Catastrófico"),CONCATENATE("R",'Mapa final'!$A$47),"")</f>
        <v/>
      </c>
      <c r="BE82" s="435"/>
      <c r="BF82" s="435" t="str">
        <f>IF(AND('Mapa final'!$K$52="Muy Baja",'Mapa final'!$O$52="Catastrófico"),CONCATENATE("R",'Mapa final'!$A$52),"")</f>
        <v/>
      </c>
      <c r="BG82" s="436"/>
      <c r="BH82" s="38"/>
      <c r="BI82" s="503"/>
      <c r="BJ82" s="504"/>
      <c r="BK82" s="504"/>
      <c r="BL82" s="504"/>
      <c r="BM82" s="504"/>
      <c r="BN82" s="505"/>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row>
    <row r="83" spans="1:100" ht="15" customHeight="1" x14ac:dyDescent="0.25">
      <c r="A83" s="38"/>
      <c r="B83" s="291"/>
      <c r="C83" s="292"/>
      <c r="D83" s="293"/>
      <c r="E83" s="511"/>
      <c r="F83" s="512"/>
      <c r="G83" s="512"/>
      <c r="H83" s="512"/>
      <c r="I83" s="514"/>
      <c r="J83" s="432"/>
      <c r="K83" s="433"/>
      <c r="L83" s="433"/>
      <c r="M83" s="433"/>
      <c r="N83" s="433"/>
      <c r="O83" s="433"/>
      <c r="P83" s="433"/>
      <c r="Q83" s="433"/>
      <c r="R83" s="433"/>
      <c r="S83" s="434"/>
      <c r="T83" s="432"/>
      <c r="U83" s="433"/>
      <c r="V83" s="433"/>
      <c r="W83" s="433"/>
      <c r="X83" s="433"/>
      <c r="Y83" s="433"/>
      <c r="Z83" s="433"/>
      <c r="AA83" s="433"/>
      <c r="AB83" s="433"/>
      <c r="AC83" s="434"/>
      <c r="AD83" s="440"/>
      <c r="AE83" s="438"/>
      <c r="AF83" s="438"/>
      <c r="AG83" s="438"/>
      <c r="AH83" s="438"/>
      <c r="AI83" s="438"/>
      <c r="AJ83" s="438"/>
      <c r="AK83" s="438"/>
      <c r="AL83" s="438"/>
      <c r="AM83" s="439"/>
      <c r="AN83" s="445"/>
      <c r="AO83" s="441"/>
      <c r="AP83" s="441"/>
      <c r="AQ83" s="441"/>
      <c r="AR83" s="441"/>
      <c r="AS83" s="441"/>
      <c r="AT83" s="441"/>
      <c r="AU83" s="441"/>
      <c r="AV83" s="441"/>
      <c r="AW83" s="442"/>
      <c r="AX83" s="437"/>
      <c r="AY83" s="435"/>
      <c r="AZ83" s="435"/>
      <c r="BA83" s="435"/>
      <c r="BB83" s="435"/>
      <c r="BC83" s="435"/>
      <c r="BD83" s="435"/>
      <c r="BE83" s="435"/>
      <c r="BF83" s="435"/>
      <c r="BG83" s="436"/>
      <c r="BH83" s="38"/>
      <c r="BI83" s="503"/>
      <c r="BJ83" s="504"/>
      <c r="BK83" s="504"/>
      <c r="BL83" s="504"/>
      <c r="BM83" s="504"/>
      <c r="BN83" s="505"/>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row>
    <row r="84" spans="1:100" ht="15" customHeight="1" x14ac:dyDescent="0.25">
      <c r="A84" s="38"/>
      <c r="B84" s="291"/>
      <c r="C84" s="292"/>
      <c r="D84" s="293"/>
      <c r="E84" s="511"/>
      <c r="F84" s="512"/>
      <c r="G84" s="512"/>
      <c r="H84" s="512"/>
      <c r="I84" s="514"/>
      <c r="J84" s="432" t="str">
        <f>IF(AND('Mapa final'!$K$55="Muy Baja",'Mapa final'!$O$55="Leve"),CONCATENATE("R",'Mapa final'!$A$55),"")</f>
        <v/>
      </c>
      <c r="K84" s="433"/>
      <c r="L84" s="433" t="str">
        <f>IF(AND('Mapa final'!$K$58="Muy Baja",'Mapa final'!$O$58="Leve"),CONCATENATE("R",'Mapa final'!$A$58),"")</f>
        <v/>
      </c>
      <c r="M84" s="433"/>
      <c r="N84" s="433" t="str">
        <f>IF(AND('Mapa final'!$K$61="Muy Baja",'Mapa final'!$O$61="Leve"),CONCATENATE("R",'Mapa final'!$A$61),"")</f>
        <v/>
      </c>
      <c r="O84" s="433"/>
      <c r="P84" s="433" t="str">
        <f>IF(AND('Mapa final'!$K$64="Muy Baja",'Mapa final'!$O$64="Leve"),CONCATENATE("R",'Mapa final'!$A$64),"")</f>
        <v/>
      </c>
      <c r="Q84" s="433"/>
      <c r="R84" s="433" t="str">
        <f>IF(AND('Mapa final'!$K$67="Muy Baja",'Mapa final'!$O$67="Leve"),CONCATENATE("R",'Mapa final'!$A$67),"")</f>
        <v/>
      </c>
      <c r="S84" s="434"/>
      <c r="T84" s="432" t="str">
        <f>IF(AND('Mapa final'!$K$55="Muy Baja",'Mapa final'!$O$55="Menor"),CONCATENATE("R",'Mapa final'!$A$55),"")</f>
        <v/>
      </c>
      <c r="U84" s="433"/>
      <c r="V84" s="433" t="str">
        <f>IF(AND('Mapa final'!$K$58="Muy Baja",'Mapa final'!$O$58="Menor"),CONCATENATE("R",'Mapa final'!$A$58),"")</f>
        <v/>
      </c>
      <c r="W84" s="433"/>
      <c r="X84" s="433" t="str">
        <f>IF(AND('Mapa final'!$K$61="Muy Baja",'Mapa final'!$O$61="Menor"),CONCATENATE("R",'Mapa final'!$A$61),"")</f>
        <v/>
      </c>
      <c r="Y84" s="433"/>
      <c r="Z84" s="433" t="str">
        <f>IF(AND('Mapa final'!$K$64="Muy Baja",'Mapa final'!$O$64="Menor"),CONCATENATE("R",'Mapa final'!$A$64),"")</f>
        <v/>
      </c>
      <c r="AA84" s="433"/>
      <c r="AB84" s="433" t="str">
        <f>IF(AND('Mapa final'!$K$67="Muy Baja",'Mapa final'!$O$67="Menor"),CONCATENATE("R",'Mapa final'!$A$67),"")</f>
        <v/>
      </c>
      <c r="AC84" s="434"/>
      <c r="AD84" s="440" t="str">
        <f>IF(AND('Mapa final'!$K$55="Muy Baja",'Mapa final'!$O$55="Moderado"),CONCATENATE("R",'Mapa final'!$A$55),"")</f>
        <v/>
      </c>
      <c r="AE84" s="438"/>
      <c r="AF84" s="438" t="str">
        <f>IF(AND('Mapa final'!$K$58="Muy Baja",'Mapa final'!$O$58="Moderado"),CONCATENATE("R",'Mapa final'!$A$58),"")</f>
        <v>R17</v>
      </c>
      <c r="AG84" s="438"/>
      <c r="AH84" s="438" t="str">
        <f>IF(AND('Mapa final'!$K$61="Muy Baja",'Mapa final'!$O$61="Moderado"),CONCATENATE("R",'Mapa final'!$A$61),"")</f>
        <v/>
      </c>
      <c r="AI84" s="438"/>
      <c r="AJ84" s="438" t="str">
        <f>IF(AND('Mapa final'!$K$64="Muy Baja",'Mapa final'!$O$64="Moderado"),CONCATENATE("R",'Mapa final'!$A$64),"")</f>
        <v/>
      </c>
      <c r="AK84" s="438"/>
      <c r="AL84" s="438" t="str">
        <f>IF(AND('Mapa final'!$K$67="Muy Baja",'Mapa final'!$O$67="Moderado"),CONCATENATE("R",'Mapa final'!$A$67),"")</f>
        <v/>
      </c>
      <c r="AM84" s="439"/>
      <c r="AN84" s="445" t="str">
        <f>IF(AND('Mapa final'!$K$55="Muy Baja",'Mapa final'!$O$55="Mayor"),CONCATENATE("R",'Mapa final'!$A$55),"")</f>
        <v/>
      </c>
      <c r="AO84" s="441"/>
      <c r="AP84" s="441" t="str">
        <f>IF(AND('Mapa final'!$K$58="Muy Baja",'Mapa final'!$O$58="Mayor"),CONCATENATE("R",'Mapa final'!$A$58),"")</f>
        <v/>
      </c>
      <c r="AQ84" s="441"/>
      <c r="AR84" s="441" t="str">
        <f>IF(AND('Mapa final'!$K$61="Muy Baja",'Mapa final'!$O$61="Mayor"),CONCATENATE("R",'Mapa final'!$A$61),"")</f>
        <v/>
      </c>
      <c r="AS84" s="441"/>
      <c r="AT84" s="441" t="str">
        <f>IF(AND('Mapa final'!$K$64="Muy Baja",'Mapa final'!$O$64="Mayor"),CONCATENATE("R",'Mapa final'!$A$64),"")</f>
        <v/>
      </c>
      <c r="AU84" s="441"/>
      <c r="AV84" s="441" t="str">
        <f>IF(AND('Mapa final'!$K$67="Muy Baja",'Mapa final'!$O$67="Mayor"),CONCATENATE("R",'Mapa final'!$A$67),"")</f>
        <v/>
      </c>
      <c r="AW84" s="442"/>
      <c r="AX84" s="437" t="str">
        <f>IF(AND('Mapa final'!$K$55="Muy Baja",'Mapa final'!$O$55="Catastrófico"),CONCATENATE("R",'Mapa final'!$A$55),"")</f>
        <v/>
      </c>
      <c r="AY84" s="435"/>
      <c r="AZ84" s="435" t="str">
        <f>IF(AND('Mapa final'!$K$58="Muy Baja",'Mapa final'!$O$58="Catastrófico"),CONCATENATE("R",'Mapa final'!$A$58),"")</f>
        <v/>
      </c>
      <c r="BA84" s="435"/>
      <c r="BB84" s="435" t="str">
        <f>IF(AND('Mapa final'!$K$61="Muy Baja",'Mapa final'!$O$61="Catastrófico"),CONCATENATE("R",'Mapa final'!$A$61),"")</f>
        <v/>
      </c>
      <c r="BC84" s="435"/>
      <c r="BD84" s="435" t="str">
        <f>IF(AND('Mapa final'!$K$64="Muy Baja",'Mapa final'!$O$64="Catastrófico"),CONCATENATE("R",'Mapa final'!$A$64),"")</f>
        <v/>
      </c>
      <c r="BE84" s="435"/>
      <c r="BF84" s="435" t="str">
        <f>IF(AND('Mapa final'!$K$67="Muy Baja",'Mapa final'!$O$67="Catastrófico"),CONCATENATE("R",'Mapa final'!$A$67),"")</f>
        <v/>
      </c>
      <c r="BG84" s="436"/>
      <c r="BH84" s="38"/>
      <c r="BI84" s="503"/>
      <c r="BJ84" s="504"/>
      <c r="BK84" s="504"/>
      <c r="BL84" s="504"/>
      <c r="BM84" s="504"/>
      <c r="BN84" s="505"/>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row>
    <row r="85" spans="1:100" ht="15" customHeight="1" x14ac:dyDescent="0.25">
      <c r="A85" s="38"/>
      <c r="B85" s="291"/>
      <c r="C85" s="292"/>
      <c r="D85" s="293"/>
      <c r="E85" s="511"/>
      <c r="F85" s="512"/>
      <c r="G85" s="512"/>
      <c r="H85" s="512"/>
      <c r="I85" s="514"/>
      <c r="J85" s="432"/>
      <c r="K85" s="433"/>
      <c r="L85" s="433"/>
      <c r="M85" s="433"/>
      <c r="N85" s="433"/>
      <c r="O85" s="433"/>
      <c r="P85" s="433"/>
      <c r="Q85" s="433"/>
      <c r="R85" s="433"/>
      <c r="S85" s="434"/>
      <c r="T85" s="432"/>
      <c r="U85" s="433"/>
      <c r="V85" s="433"/>
      <c r="W85" s="433"/>
      <c r="X85" s="433"/>
      <c r="Y85" s="433"/>
      <c r="Z85" s="433"/>
      <c r="AA85" s="433"/>
      <c r="AB85" s="433"/>
      <c r="AC85" s="434"/>
      <c r="AD85" s="440"/>
      <c r="AE85" s="438"/>
      <c r="AF85" s="438"/>
      <c r="AG85" s="438"/>
      <c r="AH85" s="438"/>
      <c r="AI85" s="438"/>
      <c r="AJ85" s="438"/>
      <c r="AK85" s="438"/>
      <c r="AL85" s="438"/>
      <c r="AM85" s="439"/>
      <c r="AN85" s="445"/>
      <c r="AO85" s="441"/>
      <c r="AP85" s="441"/>
      <c r="AQ85" s="441"/>
      <c r="AR85" s="441"/>
      <c r="AS85" s="441"/>
      <c r="AT85" s="441"/>
      <c r="AU85" s="441"/>
      <c r="AV85" s="441"/>
      <c r="AW85" s="442"/>
      <c r="AX85" s="437"/>
      <c r="AY85" s="435"/>
      <c r="AZ85" s="435"/>
      <c r="BA85" s="435"/>
      <c r="BB85" s="435"/>
      <c r="BC85" s="435"/>
      <c r="BD85" s="435"/>
      <c r="BE85" s="435"/>
      <c r="BF85" s="435"/>
      <c r="BG85" s="436"/>
      <c r="BH85" s="38"/>
      <c r="BI85" s="503"/>
      <c r="BJ85" s="504"/>
      <c r="BK85" s="504"/>
      <c r="BL85" s="504"/>
      <c r="BM85" s="504"/>
      <c r="BN85" s="505"/>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row>
    <row r="86" spans="1:100" ht="15" customHeight="1" x14ac:dyDescent="0.25">
      <c r="A86" s="38"/>
      <c r="B86" s="291"/>
      <c r="C86" s="292"/>
      <c r="D86" s="293"/>
      <c r="E86" s="511"/>
      <c r="F86" s="512"/>
      <c r="G86" s="512"/>
      <c r="H86" s="512"/>
      <c r="I86" s="514"/>
      <c r="J86" s="432" t="str">
        <f>IF(AND('Mapa final'!$K$70="Muy Baja",'Mapa final'!$O$70="Leve"),CONCATENATE("R",'Mapa final'!$A$70),"")</f>
        <v/>
      </c>
      <c r="K86" s="433"/>
      <c r="L86" s="433" t="str">
        <f>IF(AND('Mapa final'!$K$73="Muy Baja",'Mapa final'!$O$73="Leve"),CONCATENATE("R",'Mapa final'!$A$73),"")</f>
        <v/>
      </c>
      <c r="M86" s="433"/>
      <c r="N86" s="433" t="str">
        <f>IF(AND('Mapa final'!$K$76="Muy Baja",'Mapa final'!$O$76="Leve"),CONCATENATE("R",'Mapa final'!$A$76),"")</f>
        <v/>
      </c>
      <c r="O86" s="433"/>
      <c r="P86" s="433" t="str">
        <f>IF(AND('Mapa final'!$K$79="Muy Baja",'Mapa final'!$O$79="Leve"),CONCATENATE("R",'Mapa final'!$A$79),"")</f>
        <v/>
      </c>
      <c r="Q86" s="433"/>
      <c r="R86" s="433" t="str">
        <f>IF(AND('Mapa final'!$K$82="Muy Baja",'Mapa final'!$O$82="Leve"),CONCATENATE("R",'Mapa final'!$A$82),"")</f>
        <v/>
      </c>
      <c r="S86" s="434"/>
      <c r="T86" s="432" t="str">
        <f>IF(AND('Mapa final'!$K$70="Muy Baja",'Mapa final'!$O$70="Menor"),CONCATENATE("R",'Mapa final'!$A$70),"")</f>
        <v/>
      </c>
      <c r="U86" s="433"/>
      <c r="V86" s="433" t="str">
        <f>IF(AND('Mapa final'!$K$73="Muy Baja",'Mapa final'!$O$73="Menor"),CONCATENATE("R",'Mapa final'!$A$73),"")</f>
        <v/>
      </c>
      <c r="W86" s="433"/>
      <c r="X86" s="433" t="str">
        <f>IF(AND('Mapa final'!$K$76="Muy Baja",'Mapa final'!$O$76="Menor"),CONCATENATE("R",'Mapa final'!$A$76),"")</f>
        <v/>
      </c>
      <c r="Y86" s="433"/>
      <c r="Z86" s="433" t="str">
        <f>IF(AND('Mapa final'!$K$79="Muy Baja",'Mapa final'!$O$79="Menor"),CONCATENATE("R",'Mapa final'!$A$79),"")</f>
        <v/>
      </c>
      <c r="AA86" s="433"/>
      <c r="AB86" s="433" t="str">
        <f>IF(AND('Mapa final'!$K$82="Muy Baja",'Mapa final'!$O$82="Menor"),CONCATENATE("R",'Mapa final'!$A$82),"")</f>
        <v/>
      </c>
      <c r="AC86" s="434"/>
      <c r="AD86" s="440" t="str">
        <f>IF(AND('Mapa final'!$K$70="Muy Baja",'Mapa final'!$O$70="Moderado"),CONCATENATE("R",'Mapa final'!$A$70),"")</f>
        <v/>
      </c>
      <c r="AE86" s="438"/>
      <c r="AF86" s="438" t="str">
        <f>IF(AND('Mapa final'!$K$73="Muy Baja",'Mapa final'!$O$73="Moderado"),CONCATENATE("R",'Mapa final'!$A$73),"")</f>
        <v/>
      </c>
      <c r="AG86" s="438"/>
      <c r="AH86" s="438" t="str">
        <f>IF(AND('Mapa final'!$K$76="Muy Baja",'Mapa final'!$O$76="Moderado"),CONCATENATE("R",'Mapa final'!$A$76),"")</f>
        <v/>
      </c>
      <c r="AI86" s="438"/>
      <c r="AJ86" s="438" t="str">
        <f>IF(AND('Mapa final'!$K$79="Muy Baja",'Mapa final'!$O$79="Moderado"),CONCATENATE("R",'Mapa final'!$A$79),"")</f>
        <v/>
      </c>
      <c r="AK86" s="438"/>
      <c r="AL86" s="438" t="str">
        <f>IF(AND('Mapa final'!$K$82="Muy Baja",'Mapa final'!$O$82="Moderado"),CONCATENATE("R",'Mapa final'!$A$82),"")</f>
        <v/>
      </c>
      <c r="AM86" s="439"/>
      <c r="AN86" s="445" t="str">
        <f>IF(AND('Mapa final'!$K$70="Muy Baja",'Mapa final'!$O$70="Mayor"),CONCATENATE("R",'Mapa final'!$A$70),"")</f>
        <v/>
      </c>
      <c r="AO86" s="441"/>
      <c r="AP86" s="441" t="str">
        <f>IF(AND('Mapa final'!$K$73="Muy Baja",'Mapa final'!$O$73="Mayor"),CONCATENATE("R",'Mapa final'!$A$73),"")</f>
        <v/>
      </c>
      <c r="AQ86" s="441"/>
      <c r="AR86" s="441" t="str">
        <f>IF(AND('Mapa final'!$K$76="Muy Baja",'Mapa final'!$O$76="Mayor"),CONCATENATE("R",'Mapa final'!$A$76),"")</f>
        <v/>
      </c>
      <c r="AS86" s="441"/>
      <c r="AT86" s="441" t="str">
        <f>IF(AND('Mapa final'!$K$79="Muy Baja",'Mapa final'!$O$79="Mayor"),CONCATENATE("R",'Mapa final'!$A$79),"")</f>
        <v/>
      </c>
      <c r="AU86" s="441"/>
      <c r="AV86" s="441" t="str">
        <f>IF(AND('Mapa final'!$K$82="Muy Baja",'Mapa final'!$O$82="Mayor"),CONCATENATE("R",'Mapa final'!$A$82),"")</f>
        <v/>
      </c>
      <c r="AW86" s="442"/>
      <c r="AX86" s="437" t="str">
        <f>IF(AND('Mapa final'!$K$70="Muy Baja",'Mapa final'!$O$70="Catastrófico"),CONCATENATE("R",'Mapa final'!$A$70),"")</f>
        <v/>
      </c>
      <c r="AY86" s="435"/>
      <c r="AZ86" s="435" t="str">
        <f>IF(AND('Mapa final'!$K$73="Muy Baja",'Mapa final'!$O$73="Catastrófico"),CONCATENATE("R",'Mapa final'!$A$73),"")</f>
        <v/>
      </c>
      <c r="BA86" s="435"/>
      <c r="BB86" s="435" t="str">
        <f>IF(AND('Mapa final'!$K$76="Muy Baja",'Mapa final'!$O$76="Catastrófico"),CONCATENATE("R",'Mapa final'!$A$76),"")</f>
        <v/>
      </c>
      <c r="BC86" s="435"/>
      <c r="BD86" s="435" t="str">
        <f>IF(AND('Mapa final'!$K$79="Muy Baja",'Mapa final'!$O$79="Catastrófico"),CONCATENATE("R",'Mapa final'!$A$79),"")</f>
        <v/>
      </c>
      <c r="BE86" s="435"/>
      <c r="BF86" s="435" t="str">
        <f>IF(AND('Mapa final'!$K$82="Muy Baja",'Mapa final'!$O$82="Catastrófico"),CONCATENATE("R",'Mapa final'!$A$82),"")</f>
        <v/>
      </c>
      <c r="BG86" s="436"/>
      <c r="BH86" s="38"/>
      <c r="BI86" s="503"/>
      <c r="BJ86" s="504"/>
      <c r="BK86" s="504"/>
      <c r="BL86" s="504"/>
      <c r="BM86" s="504"/>
      <c r="BN86" s="505"/>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row>
    <row r="87" spans="1:100" ht="15" customHeight="1" x14ac:dyDescent="0.25">
      <c r="A87" s="38"/>
      <c r="B87" s="291"/>
      <c r="C87" s="292"/>
      <c r="D87" s="293"/>
      <c r="E87" s="511"/>
      <c r="F87" s="512"/>
      <c r="G87" s="512"/>
      <c r="H87" s="512"/>
      <c r="I87" s="514"/>
      <c r="J87" s="432"/>
      <c r="K87" s="433"/>
      <c r="L87" s="433"/>
      <c r="M87" s="433"/>
      <c r="N87" s="433"/>
      <c r="O87" s="433"/>
      <c r="P87" s="433"/>
      <c r="Q87" s="433"/>
      <c r="R87" s="433"/>
      <c r="S87" s="434"/>
      <c r="T87" s="432"/>
      <c r="U87" s="433"/>
      <c r="V87" s="433"/>
      <c r="W87" s="433"/>
      <c r="X87" s="433"/>
      <c r="Y87" s="433"/>
      <c r="Z87" s="433"/>
      <c r="AA87" s="433"/>
      <c r="AB87" s="433"/>
      <c r="AC87" s="434"/>
      <c r="AD87" s="440"/>
      <c r="AE87" s="438"/>
      <c r="AF87" s="438"/>
      <c r="AG87" s="438"/>
      <c r="AH87" s="438"/>
      <c r="AI87" s="438"/>
      <c r="AJ87" s="438"/>
      <c r="AK87" s="438"/>
      <c r="AL87" s="438"/>
      <c r="AM87" s="439"/>
      <c r="AN87" s="445"/>
      <c r="AO87" s="441"/>
      <c r="AP87" s="441"/>
      <c r="AQ87" s="441"/>
      <c r="AR87" s="441"/>
      <c r="AS87" s="441"/>
      <c r="AT87" s="441"/>
      <c r="AU87" s="441"/>
      <c r="AV87" s="441"/>
      <c r="AW87" s="442"/>
      <c r="AX87" s="437"/>
      <c r="AY87" s="435"/>
      <c r="AZ87" s="435"/>
      <c r="BA87" s="435"/>
      <c r="BB87" s="435"/>
      <c r="BC87" s="435"/>
      <c r="BD87" s="435"/>
      <c r="BE87" s="435"/>
      <c r="BF87" s="435"/>
      <c r="BG87" s="436"/>
      <c r="BH87" s="38"/>
      <c r="BI87" s="503"/>
      <c r="BJ87" s="504"/>
      <c r="BK87" s="504"/>
      <c r="BL87" s="504"/>
      <c r="BM87" s="504"/>
      <c r="BN87" s="505"/>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row>
    <row r="88" spans="1:100" ht="15" customHeight="1" x14ac:dyDescent="0.25">
      <c r="A88" s="38"/>
      <c r="B88" s="291"/>
      <c r="C88" s="292"/>
      <c r="D88" s="293"/>
      <c r="E88" s="511"/>
      <c r="F88" s="512"/>
      <c r="G88" s="512"/>
      <c r="H88" s="512"/>
      <c r="I88" s="514"/>
      <c r="J88" s="432" t="str">
        <f>IF(AND('Mapa final'!$K$85="Muy Baja",'Mapa final'!$O$85="Leve"),CONCATENATE("R",'Mapa final'!$A$85),"")</f>
        <v>R26</v>
      </c>
      <c r="K88" s="433"/>
      <c r="L88" s="433" t="str">
        <f>IF(AND('Mapa final'!$K$88="Muy Baja",'Mapa final'!$O$88="Leve"),CONCATENATE("R",'Mapa final'!$A$88),"")</f>
        <v/>
      </c>
      <c r="M88" s="433"/>
      <c r="N88" s="433" t="str">
        <f>IF(AND('Mapa final'!$K$91="Muy Baja",'Mapa final'!$O$91="Leve"),CONCATENATE("R",'Mapa final'!$A$91),"")</f>
        <v/>
      </c>
      <c r="O88" s="433"/>
      <c r="P88" s="433" t="str">
        <f>IF(AND('Mapa final'!$K$94="Muy Baja",'Mapa final'!$O$94="Leve"),CONCATENATE("R",'Mapa final'!$A$94),"")</f>
        <v/>
      </c>
      <c r="Q88" s="433"/>
      <c r="R88" s="433" t="str">
        <f>IF(AND('Mapa final'!$K$97="Muy Baja",'Mapa final'!$O$97="Leve"),CONCATENATE("R",'Mapa final'!$A$97),"")</f>
        <v/>
      </c>
      <c r="S88" s="434"/>
      <c r="T88" s="432" t="str">
        <f>IF(AND('Mapa final'!$K$85="Muy Baja",'Mapa final'!$O$85="Menor"),CONCATENATE("R",'Mapa final'!$A$85),"")</f>
        <v/>
      </c>
      <c r="U88" s="433"/>
      <c r="V88" s="433" t="str">
        <f>IF(AND('Mapa final'!$K$88="Muy Baja",'Mapa final'!$O$88="Menor"),CONCATENATE("R",'Mapa final'!$A$88),"")</f>
        <v/>
      </c>
      <c r="W88" s="433"/>
      <c r="X88" s="433" t="str">
        <f>IF(AND('Mapa final'!$K$91="Muy Baja",'Mapa final'!$O$91="Menor"),CONCATENATE("R",'Mapa final'!$A$91),"")</f>
        <v/>
      </c>
      <c r="Y88" s="433"/>
      <c r="Z88" s="433" t="str">
        <f>IF(AND('Mapa final'!$K$94="Muy Baja",'Mapa final'!$O$94="Menor"),CONCATENATE("R",'Mapa final'!$A$94),"")</f>
        <v/>
      </c>
      <c r="AA88" s="433"/>
      <c r="AB88" s="433" t="str">
        <f>IF(AND('Mapa final'!$K$97="Muy Baja",'Mapa final'!$O$97="Menor"),CONCATENATE("R",'Mapa final'!$A$97),"")</f>
        <v/>
      </c>
      <c r="AC88" s="434"/>
      <c r="AD88" s="440" t="str">
        <f>IF(AND('Mapa final'!$K$85="Muy Baja",'Mapa final'!$O$85="Moderado"),CONCATENATE("R",'Mapa final'!$A$85),"")</f>
        <v/>
      </c>
      <c r="AE88" s="438"/>
      <c r="AF88" s="438" t="str">
        <f>IF(AND('Mapa final'!$K$88="Muy Baja",'Mapa final'!$O$88="Moderado"),CONCATENATE("R",'Mapa final'!$A$88),"")</f>
        <v/>
      </c>
      <c r="AG88" s="438"/>
      <c r="AH88" s="438" t="str">
        <f>IF(AND('Mapa final'!$K$91="Muy Baja",'Mapa final'!$O$91="Moderado"),CONCATENATE("R",'Mapa final'!$A$91),"")</f>
        <v/>
      </c>
      <c r="AI88" s="438"/>
      <c r="AJ88" s="438" t="str">
        <f>IF(AND('Mapa final'!$K$94="Muy Baja",'Mapa final'!$O$94="Moderado"),CONCATENATE("R",'Mapa final'!$A$94),"")</f>
        <v/>
      </c>
      <c r="AK88" s="438"/>
      <c r="AL88" s="438" t="str">
        <f>IF(AND('Mapa final'!$K$97="Muy Baja",'Mapa final'!$O$97="Moderado"),CONCATENATE("R",'Mapa final'!$A$97),"")</f>
        <v/>
      </c>
      <c r="AM88" s="439"/>
      <c r="AN88" s="445" t="str">
        <f>IF(AND('Mapa final'!$K$85="Muy Baja",'Mapa final'!$O$85="Mayor"),CONCATENATE("R",'Mapa final'!$A$85),"")</f>
        <v/>
      </c>
      <c r="AO88" s="441"/>
      <c r="AP88" s="441" t="str">
        <f>IF(AND('Mapa final'!$K$88="Muy Baja",'Mapa final'!$O$88="Mayor"),CONCATENATE("R",'Mapa final'!$A$88),"")</f>
        <v/>
      </c>
      <c r="AQ88" s="441"/>
      <c r="AR88" s="441" t="str">
        <f>IF(AND('Mapa final'!$K$91="Muy Baja",'Mapa final'!$O$91="Mayor"),CONCATENATE("R",'Mapa final'!$A$91),"")</f>
        <v/>
      </c>
      <c r="AS88" s="441"/>
      <c r="AT88" s="441" t="str">
        <f>IF(AND('Mapa final'!$K$94="Muy Baja",'Mapa final'!$O$94="Mayor"),CONCATENATE("R",'Mapa final'!$A$94),"")</f>
        <v/>
      </c>
      <c r="AU88" s="441"/>
      <c r="AV88" s="441" t="str">
        <f>IF(AND('Mapa final'!$K$97="Muy Baja",'Mapa final'!$O$97="Mayor"),CONCATENATE("R",'Mapa final'!$A$97),"")</f>
        <v/>
      </c>
      <c r="AW88" s="442"/>
      <c r="AX88" s="437" t="str">
        <f>IF(AND('Mapa final'!$K$85="Muy Baja",'Mapa final'!$O$85="Catastrófico"),CONCATENATE("R",'Mapa final'!$A$85),"")</f>
        <v/>
      </c>
      <c r="AY88" s="435"/>
      <c r="AZ88" s="435" t="str">
        <f>IF(AND('Mapa final'!$K$88="Muy Baja",'Mapa final'!$O$88="Catastrófico"),CONCATENATE("R",'Mapa final'!$A$88),"")</f>
        <v/>
      </c>
      <c r="BA88" s="435"/>
      <c r="BB88" s="435" t="str">
        <f>IF(AND('Mapa final'!$K$91="Muy Baja",'Mapa final'!$O$91="Catastrófico"),CONCATENATE("R",'Mapa final'!$A$91),"")</f>
        <v/>
      </c>
      <c r="BC88" s="435"/>
      <c r="BD88" s="435" t="str">
        <f>IF(AND('Mapa final'!$K$94="Muy Baja",'Mapa final'!$O$94="Catastrófico"),CONCATENATE("R",'Mapa final'!$A$94),"")</f>
        <v/>
      </c>
      <c r="BE88" s="435"/>
      <c r="BF88" s="435" t="str">
        <f>IF(AND('Mapa final'!$K$97="Muy Baja",'Mapa final'!$O$97="Catastrófico"),CONCATENATE("R",'Mapa final'!$A$97),"")</f>
        <v/>
      </c>
      <c r="BG88" s="436"/>
      <c r="BH88" s="38"/>
      <c r="BI88" s="503"/>
      <c r="BJ88" s="504"/>
      <c r="BK88" s="504"/>
      <c r="BL88" s="504"/>
      <c r="BM88" s="504"/>
      <c r="BN88" s="505"/>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row>
    <row r="89" spans="1:100" ht="15" customHeight="1" thickBot="1" x14ac:dyDescent="0.3">
      <c r="A89" s="38"/>
      <c r="B89" s="291"/>
      <c r="C89" s="292"/>
      <c r="D89" s="293"/>
      <c r="E89" s="511"/>
      <c r="F89" s="512"/>
      <c r="G89" s="512"/>
      <c r="H89" s="512"/>
      <c r="I89" s="514"/>
      <c r="J89" s="432"/>
      <c r="K89" s="433"/>
      <c r="L89" s="433"/>
      <c r="M89" s="433"/>
      <c r="N89" s="433"/>
      <c r="O89" s="433"/>
      <c r="P89" s="433"/>
      <c r="Q89" s="433"/>
      <c r="R89" s="433"/>
      <c r="S89" s="434"/>
      <c r="T89" s="432"/>
      <c r="U89" s="433"/>
      <c r="V89" s="433"/>
      <c r="W89" s="433"/>
      <c r="X89" s="433"/>
      <c r="Y89" s="433"/>
      <c r="Z89" s="433"/>
      <c r="AA89" s="433"/>
      <c r="AB89" s="433"/>
      <c r="AC89" s="434"/>
      <c r="AD89" s="440"/>
      <c r="AE89" s="438"/>
      <c r="AF89" s="438"/>
      <c r="AG89" s="438"/>
      <c r="AH89" s="438"/>
      <c r="AI89" s="438"/>
      <c r="AJ89" s="438"/>
      <c r="AK89" s="438"/>
      <c r="AL89" s="438"/>
      <c r="AM89" s="439"/>
      <c r="AN89" s="445"/>
      <c r="AO89" s="441"/>
      <c r="AP89" s="441"/>
      <c r="AQ89" s="441"/>
      <c r="AR89" s="441"/>
      <c r="AS89" s="441"/>
      <c r="AT89" s="441"/>
      <c r="AU89" s="441"/>
      <c r="AV89" s="441"/>
      <c r="AW89" s="442"/>
      <c r="AX89" s="437"/>
      <c r="AY89" s="435"/>
      <c r="AZ89" s="435"/>
      <c r="BA89" s="435"/>
      <c r="BB89" s="435"/>
      <c r="BC89" s="435"/>
      <c r="BD89" s="435"/>
      <c r="BE89" s="435"/>
      <c r="BF89" s="435"/>
      <c r="BG89" s="436"/>
      <c r="BH89" s="38"/>
      <c r="BI89" s="506"/>
      <c r="BJ89" s="507"/>
      <c r="BK89" s="507"/>
      <c r="BL89" s="507"/>
      <c r="BM89" s="507"/>
      <c r="BN89" s="50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row>
    <row r="90" spans="1:100" ht="15" customHeight="1" x14ac:dyDescent="0.25">
      <c r="A90" s="38"/>
      <c r="B90" s="291"/>
      <c r="C90" s="292"/>
      <c r="D90" s="293"/>
      <c r="E90" s="511"/>
      <c r="F90" s="512"/>
      <c r="G90" s="512"/>
      <c r="H90" s="512"/>
      <c r="I90" s="514"/>
      <c r="J90" s="432" t="str">
        <f>IF(AND('Mapa final'!$K$100="Muy Baja",'Mapa final'!$O$100="Leve"),CONCATENATE("R",'Mapa final'!$A$100),"")</f>
        <v/>
      </c>
      <c r="K90" s="433"/>
      <c r="L90" s="433" t="str">
        <f>IF(AND('Mapa final'!$K$103="Muy Baja",'Mapa final'!$O$103="Leve"),CONCATENATE("R",'Mapa final'!$A$103),"")</f>
        <v/>
      </c>
      <c r="M90" s="433"/>
      <c r="N90" s="433" t="str">
        <f>IF(AND('Mapa final'!$K$106="Muy Baja",'Mapa final'!$O$106="Leve"),CONCATENATE("R",'Mapa final'!$A$106),"")</f>
        <v/>
      </c>
      <c r="O90" s="433"/>
      <c r="P90" s="433" t="str">
        <f>IF(AND('Mapa final'!$K$109="Muy Baja",'Mapa final'!$O$109="Leve"),CONCATENATE("R",'Mapa final'!$A$109),"")</f>
        <v/>
      </c>
      <c r="Q90" s="433"/>
      <c r="R90" s="433" t="str">
        <f>IF(AND('Mapa final'!$K$112="Muy Baja",'Mapa final'!$O$112="Leve"),CONCATENATE("R",'Mapa final'!$A$112),"")</f>
        <v/>
      </c>
      <c r="S90" s="434"/>
      <c r="T90" s="432" t="str">
        <f>IF(AND('Mapa final'!$K$100="Muy Baja",'Mapa final'!$O$100="Menor"),CONCATENATE("R",'Mapa final'!$A$100),"")</f>
        <v/>
      </c>
      <c r="U90" s="433"/>
      <c r="V90" s="433" t="str">
        <f>IF(AND('Mapa final'!$K$103="Muy Baja",'Mapa final'!$O$103="Menor"),CONCATENATE("R",'Mapa final'!$A$103),"")</f>
        <v/>
      </c>
      <c r="W90" s="433"/>
      <c r="X90" s="433" t="str">
        <f>IF(AND('Mapa final'!$K$106="Muy Baja",'Mapa final'!$O$106="Menor"),CONCATENATE("R",'Mapa final'!$A$106),"")</f>
        <v/>
      </c>
      <c r="Y90" s="433"/>
      <c r="Z90" s="433" t="str">
        <f>IF(AND('Mapa final'!$K$109="Muy Baja",'Mapa final'!$O$109="Menor"),CONCATENATE("R",'Mapa final'!$A$109),"")</f>
        <v/>
      </c>
      <c r="AA90" s="433"/>
      <c r="AB90" s="433" t="str">
        <f>IF(AND('Mapa final'!$K$112="Muy Baja",'Mapa final'!$O$112="Menor"),CONCATENATE("R",'Mapa final'!$A$112),"")</f>
        <v/>
      </c>
      <c r="AC90" s="434"/>
      <c r="AD90" s="440" t="str">
        <f>IF(AND('Mapa final'!$K$100="Muy Baja",'Mapa final'!$O$100="Moderado"),CONCATENATE("R",'Mapa final'!$A$100),"")</f>
        <v/>
      </c>
      <c r="AE90" s="438"/>
      <c r="AF90" s="438" t="str">
        <f>IF(AND('Mapa final'!$K$103="Muy Baja",'Mapa final'!$O$103="Moderado"),CONCATENATE("R",'Mapa final'!$A$103),"")</f>
        <v/>
      </c>
      <c r="AG90" s="438"/>
      <c r="AH90" s="438" t="str">
        <f>IF(AND('Mapa final'!$K$106="Muy Baja",'Mapa final'!$O$106="Moderado"),CONCATENATE("R",'Mapa final'!$A$106),"")</f>
        <v/>
      </c>
      <c r="AI90" s="438"/>
      <c r="AJ90" s="438" t="str">
        <f>IF(AND('Mapa final'!$K$109="Muy Baja",'Mapa final'!$O$109="Moderado"),CONCATENATE("R",'Mapa final'!$A$109),"")</f>
        <v/>
      </c>
      <c r="AK90" s="438"/>
      <c r="AL90" s="438" t="str">
        <f>IF(AND('Mapa final'!$K$112="Muy Baja",'Mapa final'!$O$112="Moderado"),CONCATENATE("R",'Mapa final'!$A$112),"")</f>
        <v/>
      </c>
      <c r="AM90" s="439"/>
      <c r="AN90" s="445" t="str">
        <f>IF(AND('Mapa final'!$K$100="Muy Baja",'Mapa final'!$O$100="Mayor"),CONCATENATE("R",'Mapa final'!$A$100),"")</f>
        <v/>
      </c>
      <c r="AO90" s="441"/>
      <c r="AP90" s="441" t="str">
        <f>IF(AND('Mapa final'!$K$103="Muy Baja",'Mapa final'!$O$103="Mayor"),CONCATENATE("R",'Mapa final'!$A$103),"")</f>
        <v/>
      </c>
      <c r="AQ90" s="441"/>
      <c r="AR90" s="441" t="str">
        <f>IF(AND('Mapa final'!$K$106="Muy Baja",'Mapa final'!$O$106="Mayor"),CONCATENATE("R",'Mapa final'!$A$106),"")</f>
        <v/>
      </c>
      <c r="AS90" s="441"/>
      <c r="AT90" s="441" t="str">
        <f>IF(AND('Mapa final'!$K$109="Muy Baja",'Mapa final'!$O$109="Mayor"),CONCATENATE("R",'Mapa final'!$A$109),"")</f>
        <v/>
      </c>
      <c r="AU90" s="441"/>
      <c r="AV90" s="441" t="str">
        <f>IF(AND('Mapa final'!$K$112="Muy Baja",'Mapa final'!$O$112="Mayor"),CONCATENATE("R",'Mapa final'!$A$112),"")</f>
        <v/>
      </c>
      <c r="AW90" s="442"/>
      <c r="AX90" s="437" t="str">
        <f>IF(AND('Mapa final'!$K$100="Muy Baja",'Mapa final'!$O$100="Catastrófico"),CONCATENATE("R",'Mapa final'!$A$100),"")</f>
        <v/>
      </c>
      <c r="AY90" s="435"/>
      <c r="AZ90" s="435" t="str">
        <f>IF(AND('Mapa final'!$K$103="Muy Baja",'Mapa final'!$O$103="Catastrófico"),CONCATENATE("R",'Mapa final'!$A$103),"")</f>
        <v/>
      </c>
      <c r="BA90" s="435"/>
      <c r="BB90" s="435" t="str">
        <f>IF(AND('Mapa final'!$K$106="Muy Baja",'Mapa final'!$O$106="Catastrófico"),CONCATENATE("R",'Mapa final'!$A$106),"")</f>
        <v/>
      </c>
      <c r="BC90" s="435"/>
      <c r="BD90" s="435" t="str">
        <f>IF(AND('Mapa final'!$K$109="Muy Baja",'Mapa final'!$O$109="Catastrófico"),CONCATENATE("R",'Mapa final'!$A$109),"")</f>
        <v/>
      </c>
      <c r="BE90" s="435"/>
      <c r="BF90" s="435" t="str">
        <f>IF(AND('Mapa final'!$K$112="Muy Baja",'Mapa final'!$O$112="Catastrófico"),CONCATENATE("R",'Mapa final'!$A$112),"")</f>
        <v/>
      </c>
      <c r="BG90" s="436"/>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row>
    <row r="91" spans="1:100" ht="15" customHeight="1" x14ac:dyDescent="0.25">
      <c r="A91" s="38"/>
      <c r="B91" s="291"/>
      <c r="C91" s="292"/>
      <c r="D91" s="293"/>
      <c r="E91" s="511"/>
      <c r="F91" s="512"/>
      <c r="G91" s="512"/>
      <c r="H91" s="512"/>
      <c r="I91" s="514"/>
      <c r="J91" s="432"/>
      <c r="K91" s="433"/>
      <c r="L91" s="433"/>
      <c r="M91" s="433"/>
      <c r="N91" s="433"/>
      <c r="O91" s="433"/>
      <c r="P91" s="433"/>
      <c r="Q91" s="433"/>
      <c r="R91" s="433"/>
      <c r="S91" s="434"/>
      <c r="T91" s="432"/>
      <c r="U91" s="433"/>
      <c r="V91" s="433"/>
      <c r="W91" s="433"/>
      <c r="X91" s="433"/>
      <c r="Y91" s="433"/>
      <c r="Z91" s="433"/>
      <c r="AA91" s="433"/>
      <c r="AB91" s="433"/>
      <c r="AC91" s="434"/>
      <c r="AD91" s="440"/>
      <c r="AE91" s="438"/>
      <c r="AF91" s="438"/>
      <c r="AG91" s="438"/>
      <c r="AH91" s="438"/>
      <c r="AI91" s="438"/>
      <c r="AJ91" s="438"/>
      <c r="AK91" s="438"/>
      <c r="AL91" s="438"/>
      <c r="AM91" s="439"/>
      <c r="AN91" s="445"/>
      <c r="AO91" s="441"/>
      <c r="AP91" s="441"/>
      <c r="AQ91" s="441"/>
      <c r="AR91" s="441"/>
      <c r="AS91" s="441"/>
      <c r="AT91" s="441"/>
      <c r="AU91" s="441"/>
      <c r="AV91" s="441"/>
      <c r="AW91" s="442"/>
      <c r="AX91" s="437"/>
      <c r="AY91" s="435"/>
      <c r="AZ91" s="435"/>
      <c r="BA91" s="435"/>
      <c r="BB91" s="435"/>
      <c r="BC91" s="435"/>
      <c r="BD91" s="435"/>
      <c r="BE91" s="435"/>
      <c r="BF91" s="435"/>
      <c r="BG91" s="436"/>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row>
    <row r="92" spans="1:100" ht="15" customHeight="1" x14ac:dyDescent="0.25">
      <c r="A92" s="38"/>
      <c r="B92" s="291"/>
      <c r="C92" s="292"/>
      <c r="D92" s="293"/>
      <c r="E92" s="511"/>
      <c r="F92" s="512"/>
      <c r="G92" s="512"/>
      <c r="H92" s="512"/>
      <c r="I92" s="514"/>
      <c r="J92" s="432" t="str">
        <f>IF(AND('Mapa final'!$K$115="Muy Baja",'Mapa final'!$O$115="Leve"),CONCATENATE("R",'Mapa final'!$A$115),"")</f>
        <v/>
      </c>
      <c r="K92" s="433"/>
      <c r="L92" s="433" t="str">
        <f>IF(AND('Mapa final'!$K$118="Muy Baja",'Mapa final'!$O$118="Leve"),CONCATENATE("R",'Mapa final'!$A$118),"")</f>
        <v/>
      </c>
      <c r="M92" s="433"/>
      <c r="N92" s="433" t="str">
        <f>IF(AND('Mapa final'!$K$121="Muy Baja",'Mapa final'!$O$121="Leve"),CONCATENATE("R",'Mapa final'!$A$121),"")</f>
        <v/>
      </c>
      <c r="O92" s="433"/>
      <c r="P92" s="433" t="str">
        <f>IF(AND('Mapa final'!$K$124="Muy Baja",'Mapa final'!$O$124="Leve"),CONCATENATE("R",'Mapa final'!$A$124),"")</f>
        <v/>
      </c>
      <c r="Q92" s="433"/>
      <c r="R92" s="433" t="str">
        <f>IF(AND('Mapa final'!$K$127="Muy Baja",'Mapa final'!$O$127="Leve"),CONCATENATE("R",'Mapa final'!$A$127),"")</f>
        <v/>
      </c>
      <c r="S92" s="434"/>
      <c r="T92" s="432" t="str">
        <f>IF(AND('Mapa final'!$K$115="Muy Baja",'Mapa final'!$O$115="Menor"),CONCATENATE("R",'Mapa final'!$A$115),"")</f>
        <v/>
      </c>
      <c r="U92" s="433"/>
      <c r="V92" s="433" t="str">
        <f>IF(AND('Mapa final'!$K$118="Muy Baja",'Mapa final'!$O$118="Menor"),CONCATENATE("R",'Mapa final'!$A$118),"")</f>
        <v/>
      </c>
      <c r="W92" s="433"/>
      <c r="X92" s="433" t="str">
        <f>IF(AND('Mapa final'!$K$121="Muy Baja",'Mapa final'!$O$121="Menor"),CONCATENATE("R",'Mapa final'!$A$121),"")</f>
        <v/>
      </c>
      <c r="Y92" s="433"/>
      <c r="Z92" s="433" t="str">
        <f>IF(AND('Mapa final'!$K$124="Muy Baja",'Mapa final'!$O$124="Menor"),CONCATENATE("R",'Mapa final'!$A$124),"")</f>
        <v/>
      </c>
      <c r="AA92" s="433"/>
      <c r="AB92" s="433" t="str">
        <f>IF(AND('Mapa final'!$K$127="Muy Baja",'Mapa final'!$O$127="Menor"),CONCATENATE("R",'Mapa final'!$A$127),"")</f>
        <v/>
      </c>
      <c r="AC92" s="434"/>
      <c r="AD92" s="440" t="str">
        <f>IF(AND('Mapa final'!$K$115="Muy Baja",'Mapa final'!$O$115="Moderado"),CONCATENATE("R",'Mapa final'!$A$115),"")</f>
        <v/>
      </c>
      <c r="AE92" s="438"/>
      <c r="AF92" s="438" t="str">
        <f>IF(AND('Mapa final'!$K$118="Muy Baja",'Mapa final'!$O$118="Moderado"),CONCATENATE("R",'Mapa final'!$A$118),"")</f>
        <v/>
      </c>
      <c r="AG92" s="438"/>
      <c r="AH92" s="438" t="str">
        <f>IF(AND('Mapa final'!$K$121="Muy Baja",'Mapa final'!$O$121="Moderado"),CONCATENATE("R",'Mapa final'!$A$121),"")</f>
        <v/>
      </c>
      <c r="AI92" s="438"/>
      <c r="AJ92" s="438" t="str">
        <f>IF(AND('Mapa final'!$K$124="Muy Baja",'Mapa final'!$O$124="Moderado"),CONCATENATE("R",'Mapa final'!$A$124),"")</f>
        <v/>
      </c>
      <c r="AK92" s="438"/>
      <c r="AL92" s="438" t="str">
        <f>IF(AND('Mapa final'!$K$127="Muy Baja",'Mapa final'!$O$127="Moderado"),CONCATENATE("R",'Mapa final'!$A$127),"")</f>
        <v/>
      </c>
      <c r="AM92" s="439"/>
      <c r="AN92" s="445" t="str">
        <f>IF(AND('Mapa final'!$K$115="Muy Baja",'Mapa final'!$O$115="Mayor"),CONCATENATE("R",'Mapa final'!$A$115),"")</f>
        <v/>
      </c>
      <c r="AO92" s="441"/>
      <c r="AP92" s="441" t="str">
        <f>IF(AND('Mapa final'!$K$118="Muy Baja",'Mapa final'!$O$118="Mayor"),CONCATENATE("R",'Mapa final'!$A$118),"")</f>
        <v/>
      </c>
      <c r="AQ92" s="441"/>
      <c r="AR92" s="441" t="str">
        <f>IF(AND('Mapa final'!$K$121="Muy Baja",'Mapa final'!$O$121="Mayor"),CONCATENATE("R",'Mapa final'!$A$121),"")</f>
        <v/>
      </c>
      <c r="AS92" s="441"/>
      <c r="AT92" s="441" t="str">
        <f>IF(AND('Mapa final'!$K$124="Muy Baja",'Mapa final'!$O$124="Mayor"),CONCATENATE("R",'Mapa final'!$A$124),"")</f>
        <v/>
      </c>
      <c r="AU92" s="441"/>
      <c r="AV92" s="441" t="str">
        <f>IF(AND('Mapa final'!$K$127="Muy Baja",'Mapa final'!$O$127="Mayor"),CONCATENATE("R",'Mapa final'!$A$127),"")</f>
        <v/>
      </c>
      <c r="AW92" s="442"/>
      <c r="AX92" s="437" t="str">
        <f>IF(AND('Mapa final'!$K$115="Muy Baja",'Mapa final'!$O$115="Catastrófico"),CONCATENATE("R",'Mapa final'!$A$115),"")</f>
        <v/>
      </c>
      <c r="AY92" s="435"/>
      <c r="AZ92" s="435" t="str">
        <f>IF(AND('Mapa final'!$K$118="Muy Baja",'Mapa final'!$O$118="Catastrófico"),CONCATENATE("R",'Mapa final'!$A$118),"")</f>
        <v/>
      </c>
      <c r="BA92" s="435"/>
      <c r="BB92" s="435" t="str">
        <f>IF(AND('Mapa final'!$K$121="Muy Baja",'Mapa final'!$O$121="Catastrófico"),CONCATENATE("R",'Mapa final'!$A$121),"")</f>
        <v/>
      </c>
      <c r="BC92" s="435"/>
      <c r="BD92" s="435" t="str">
        <f>IF(AND('Mapa final'!$K$124="Muy Baja",'Mapa final'!$O$124="Catastrófico"),CONCATENATE("R",'Mapa final'!$A$124),"")</f>
        <v/>
      </c>
      <c r="BE92" s="435"/>
      <c r="BF92" s="435" t="str">
        <f>IF(AND('Mapa final'!$K$127="Muy Baja",'Mapa final'!$O$127="Catastrófico"),CONCATENATE("R",'Mapa final'!$A$127),"")</f>
        <v/>
      </c>
      <c r="BG92" s="436"/>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row>
    <row r="93" spans="1:100" ht="15" customHeight="1" x14ac:dyDescent="0.25">
      <c r="A93" s="38"/>
      <c r="B93" s="291"/>
      <c r="C93" s="292"/>
      <c r="D93" s="293"/>
      <c r="E93" s="511"/>
      <c r="F93" s="512"/>
      <c r="G93" s="512"/>
      <c r="H93" s="512"/>
      <c r="I93" s="514"/>
      <c r="J93" s="432"/>
      <c r="K93" s="433"/>
      <c r="L93" s="433"/>
      <c r="M93" s="433"/>
      <c r="N93" s="433"/>
      <c r="O93" s="433"/>
      <c r="P93" s="433"/>
      <c r="Q93" s="433"/>
      <c r="R93" s="433"/>
      <c r="S93" s="434"/>
      <c r="T93" s="432"/>
      <c r="U93" s="433"/>
      <c r="V93" s="433"/>
      <c r="W93" s="433"/>
      <c r="X93" s="433"/>
      <c r="Y93" s="433"/>
      <c r="Z93" s="433"/>
      <c r="AA93" s="433"/>
      <c r="AB93" s="433"/>
      <c r="AC93" s="434"/>
      <c r="AD93" s="440"/>
      <c r="AE93" s="438"/>
      <c r="AF93" s="438"/>
      <c r="AG93" s="438"/>
      <c r="AH93" s="438"/>
      <c r="AI93" s="438"/>
      <c r="AJ93" s="438"/>
      <c r="AK93" s="438"/>
      <c r="AL93" s="438"/>
      <c r="AM93" s="439"/>
      <c r="AN93" s="445"/>
      <c r="AO93" s="441"/>
      <c r="AP93" s="441"/>
      <c r="AQ93" s="441"/>
      <c r="AR93" s="441"/>
      <c r="AS93" s="441"/>
      <c r="AT93" s="441"/>
      <c r="AU93" s="441"/>
      <c r="AV93" s="441"/>
      <c r="AW93" s="442"/>
      <c r="AX93" s="437"/>
      <c r="AY93" s="435"/>
      <c r="AZ93" s="435"/>
      <c r="BA93" s="435"/>
      <c r="BB93" s="435"/>
      <c r="BC93" s="435"/>
      <c r="BD93" s="435"/>
      <c r="BE93" s="435"/>
      <c r="BF93" s="435"/>
      <c r="BG93" s="436"/>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row>
    <row r="94" spans="1:100" ht="15" customHeight="1" x14ac:dyDescent="0.25">
      <c r="A94" s="38"/>
      <c r="B94" s="291"/>
      <c r="C94" s="292"/>
      <c r="D94" s="293"/>
      <c r="E94" s="511"/>
      <c r="F94" s="512"/>
      <c r="G94" s="512"/>
      <c r="H94" s="512"/>
      <c r="I94" s="514"/>
      <c r="J94" s="432" t="str">
        <f>IF(AND('Mapa final'!$K$130="Muy Baja",'Mapa final'!$O$130="Leve"),CONCATENATE("R",'Mapa final'!$A$130),"")</f>
        <v/>
      </c>
      <c r="K94" s="433"/>
      <c r="L94" s="433" t="str">
        <f>IF(AND('Mapa final'!$K$133="Muy Baja",'Mapa final'!$O$133="Leve"),CONCATENATE("R",'Mapa final'!$A$133),"")</f>
        <v/>
      </c>
      <c r="M94" s="433"/>
      <c r="N94" s="433" t="str">
        <f>IF(AND('Mapa final'!$K$136="Muy Baja",'Mapa final'!$O$136="Leve"),CONCATENATE("R",'Mapa final'!$A$136),"")</f>
        <v/>
      </c>
      <c r="O94" s="433"/>
      <c r="P94" s="433" t="str">
        <f>IF(AND('Mapa final'!$K$139="Muy Baja",'Mapa final'!$O$139="Leve"),CONCATENATE("R",'Mapa final'!$A$139),"")</f>
        <v/>
      </c>
      <c r="Q94" s="433"/>
      <c r="R94" s="433" t="str">
        <f>IF(AND('Mapa final'!$K$142="Muy Baja",'Mapa final'!$O$142="Leve"),CONCATENATE("R",'Mapa final'!$A$142),"")</f>
        <v/>
      </c>
      <c r="S94" s="434"/>
      <c r="T94" s="432" t="str">
        <f>IF(AND('Mapa final'!$K$130="Muy Baja",'Mapa final'!$O$130="Menor"),CONCATENATE("R",'Mapa final'!$A$130),"")</f>
        <v/>
      </c>
      <c r="U94" s="433"/>
      <c r="V94" s="433" t="str">
        <f>IF(AND('Mapa final'!$K$133="Muy Baja",'Mapa final'!$O$133="Menor"),CONCATENATE("R",'Mapa final'!$A$133),"")</f>
        <v/>
      </c>
      <c r="W94" s="433"/>
      <c r="X94" s="433" t="str">
        <f>IF(AND('Mapa final'!$K$136="Muy Baja",'Mapa final'!$O$136="Menor"),CONCATENATE("R",'Mapa final'!$A$136),"")</f>
        <v/>
      </c>
      <c r="Y94" s="433"/>
      <c r="Z94" s="433" t="str">
        <f>IF(AND('Mapa final'!$K$139="Muy Baja",'Mapa final'!$O$139="Menor"),CONCATENATE("R",'Mapa final'!$A$139),"")</f>
        <v/>
      </c>
      <c r="AA94" s="433"/>
      <c r="AB94" s="433" t="str">
        <f>IF(AND('Mapa final'!$K$142="Muy Baja",'Mapa final'!$O$142="Menor"),CONCATENATE("R",'Mapa final'!$A$142),"")</f>
        <v/>
      </c>
      <c r="AC94" s="434"/>
      <c r="AD94" s="440" t="str">
        <f>IF(AND('Mapa final'!$K$130="Muy Baja",'Mapa final'!$O$130="Moderado"),CONCATENATE("R",'Mapa final'!$A$130),"")</f>
        <v/>
      </c>
      <c r="AE94" s="438"/>
      <c r="AF94" s="438" t="str">
        <f>IF(AND('Mapa final'!$K$133="Muy Baja",'Mapa final'!$O$133="Moderado"),CONCATENATE("R",'Mapa final'!$A$133),"")</f>
        <v/>
      </c>
      <c r="AG94" s="438"/>
      <c r="AH94" s="438" t="str">
        <f>IF(AND('Mapa final'!$K$136="Muy Baja",'Mapa final'!$O$136="Moderado"),CONCATENATE("R",'Mapa final'!$A$136),"")</f>
        <v/>
      </c>
      <c r="AI94" s="438"/>
      <c r="AJ94" s="438" t="str">
        <f>IF(AND('Mapa final'!$K$139="Muy Baja",'Mapa final'!$O$139="Moderado"),CONCATENATE("R",'Mapa final'!$A$139),"")</f>
        <v/>
      </c>
      <c r="AK94" s="438"/>
      <c r="AL94" s="438" t="str">
        <f>IF(AND('Mapa final'!$K$142="Muy Baja",'Mapa final'!$O$142="Moderado"),CONCATENATE("R",'Mapa final'!$A$142),"")</f>
        <v/>
      </c>
      <c r="AM94" s="439"/>
      <c r="AN94" s="445" t="str">
        <f>IF(AND('Mapa final'!$K$130="Muy Baja",'Mapa final'!$O$130="Mayor"),CONCATENATE("R",'Mapa final'!$A$130),"")</f>
        <v/>
      </c>
      <c r="AO94" s="441"/>
      <c r="AP94" s="441" t="str">
        <f>IF(AND('Mapa final'!$K$133="Muy Baja",'Mapa final'!$O$133="Mayor"),CONCATENATE("R",'Mapa final'!$A$133),"")</f>
        <v/>
      </c>
      <c r="AQ94" s="441"/>
      <c r="AR94" s="441" t="str">
        <f>IF(AND('Mapa final'!$K$136="Muy Baja",'Mapa final'!$O$136="Mayor"),CONCATENATE("R",'Mapa final'!$A$136),"")</f>
        <v/>
      </c>
      <c r="AS94" s="441"/>
      <c r="AT94" s="441" t="str">
        <f>IF(AND('Mapa final'!$K$139="Muy Baja",'Mapa final'!$O$139="Mayor"),CONCATENATE("R",'Mapa final'!$A$139),"")</f>
        <v/>
      </c>
      <c r="AU94" s="441"/>
      <c r="AV94" s="441" t="str">
        <f>IF(AND('Mapa final'!$K$142="Muy Baja",'Mapa final'!$O$142="Mayor"),CONCATENATE("R",'Mapa final'!$A$142),"")</f>
        <v/>
      </c>
      <c r="AW94" s="442"/>
      <c r="AX94" s="437" t="str">
        <f>IF(AND('Mapa final'!$K$130="Muy Baja",'Mapa final'!$O$130="Catastrófico"),CONCATENATE("R",'Mapa final'!$A$130),"")</f>
        <v/>
      </c>
      <c r="AY94" s="435"/>
      <c r="AZ94" s="435" t="str">
        <f>IF(AND('Mapa final'!$K$133="Muy Baja",'Mapa final'!$O$133="Catastrófico"),CONCATENATE("R",'Mapa final'!$A$133),"")</f>
        <v/>
      </c>
      <c r="BA94" s="435"/>
      <c r="BB94" s="435" t="str">
        <f>IF(AND('Mapa final'!$K$136="Muy Baja",'Mapa final'!$O$136="Catastrófico"),CONCATENATE("R",'Mapa final'!$A$136),"")</f>
        <v/>
      </c>
      <c r="BC94" s="435"/>
      <c r="BD94" s="435" t="str">
        <f>IF(AND('Mapa final'!$K$139="Muy Baja",'Mapa final'!$O$139="Catastrófico"),CONCATENATE("R",'Mapa final'!$A$139),"")</f>
        <v/>
      </c>
      <c r="BE94" s="435"/>
      <c r="BF94" s="435" t="str">
        <f>IF(AND('Mapa final'!$K$142="Muy Baja",'Mapa final'!$O$142="Catastrófico"),CONCATENATE("R",'Mapa final'!$A$142),"")</f>
        <v/>
      </c>
      <c r="BG94" s="436"/>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row>
    <row r="95" spans="1:100" ht="15" customHeight="1" thickBot="1" x14ac:dyDescent="0.3">
      <c r="A95" s="38"/>
      <c r="B95" s="294"/>
      <c r="C95" s="295"/>
      <c r="D95" s="296"/>
      <c r="E95" s="515"/>
      <c r="F95" s="516"/>
      <c r="G95" s="516"/>
      <c r="H95" s="516"/>
      <c r="I95" s="517"/>
      <c r="J95" s="459"/>
      <c r="K95" s="460"/>
      <c r="L95" s="460"/>
      <c r="M95" s="460"/>
      <c r="N95" s="460"/>
      <c r="O95" s="460"/>
      <c r="P95" s="460"/>
      <c r="Q95" s="460"/>
      <c r="R95" s="460"/>
      <c r="S95" s="461"/>
      <c r="T95" s="459"/>
      <c r="U95" s="460"/>
      <c r="V95" s="460"/>
      <c r="W95" s="460"/>
      <c r="X95" s="460"/>
      <c r="Y95" s="460"/>
      <c r="Z95" s="460"/>
      <c r="AA95" s="460"/>
      <c r="AB95" s="460"/>
      <c r="AC95" s="461"/>
      <c r="AD95" s="462"/>
      <c r="AE95" s="463"/>
      <c r="AF95" s="463"/>
      <c r="AG95" s="463"/>
      <c r="AH95" s="463"/>
      <c r="AI95" s="463"/>
      <c r="AJ95" s="463"/>
      <c r="AK95" s="463"/>
      <c r="AL95" s="463"/>
      <c r="AM95" s="464"/>
      <c r="AN95" s="465"/>
      <c r="AO95" s="466"/>
      <c r="AP95" s="466"/>
      <c r="AQ95" s="466"/>
      <c r="AR95" s="466"/>
      <c r="AS95" s="466"/>
      <c r="AT95" s="466"/>
      <c r="AU95" s="466"/>
      <c r="AV95" s="466"/>
      <c r="AW95" s="525"/>
      <c r="AX95" s="469"/>
      <c r="AY95" s="457"/>
      <c r="AZ95" s="457"/>
      <c r="BA95" s="457"/>
      <c r="BB95" s="457"/>
      <c r="BC95" s="457"/>
      <c r="BD95" s="457"/>
      <c r="BE95" s="457"/>
      <c r="BF95" s="457"/>
      <c r="BG95" s="45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row>
    <row r="96" spans="1:100" x14ac:dyDescent="0.25">
      <c r="A96" s="38"/>
      <c r="B96" s="38"/>
      <c r="C96" s="38"/>
      <c r="D96" s="38"/>
      <c r="E96" s="38"/>
      <c r="F96" s="38"/>
      <c r="G96" s="38"/>
      <c r="H96" s="38"/>
      <c r="I96" s="38"/>
      <c r="J96" s="518" t="s">
        <v>103</v>
      </c>
      <c r="K96" s="512"/>
      <c r="L96" s="512"/>
      <c r="M96" s="512"/>
      <c r="N96" s="512"/>
      <c r="O96" s="512"/>
      <c r="P96" s="512"/>
      <c r="Q96" s="512"/>
      <c r="R96" s="512"/>
      <c r="S96" s="514"/>
      <c r="T96" s="518" t="s">
        <v>102</v>
      </c>
      <c r="U96" s="512"/>
      <c r="V96" s="512"/>
      <c r="W96" s="512"/>
      <c r="X96" s="512"/>
      <c r="Y96" s="512"/>
      <c r="Z96" s="512"/>
      <c r="AA96" s="512"/>
      <c r="AB96" s="512"/>
      <c r="AC96" s="514"/>
      <c r="AD96" s="518" t="s">
        <v>101</v>
      </c>
      <c r="AE96" s="512"/>
      <c r="AF96" s="512"/>
      <c r="AG96" s="512"/>
      <c r="AH96" s="512"/>
      <c r="AI96" s="512"/>
      <c r="AJ96" s="512"/>
      <c r="AK96" s="512"/>
      <c r="AL96" s="512"/>
      <c r="AM96" s="514"/>
      <c r="AN96" s="518" t="s">
        <v>100</v>
      </c>
      <c r="AO96" s="521"/>
      <c r="AP96" s="521"/>
      <c r="AQ96" s="521"/>
      <c r="AR96" s="521"/>
      <c r="AS96" s="521"/>
      <c r="AT96" s="512"/>
      <c r="AU96" s="512"/>
      <c r="AV96" s="512"/>
      <c r="AW96" s="514"/>
      <c r="AX96" s="518" t="s">
        <v>99</v>
      </c>
      <c r="AY96" s="512"/>
      <c r="AZ96" s="512"/>
      <c r="BA96" s="512"/>
      <c r="BB96" s="512"/>
      <c r="BC96" s="512"/>
      <c r="BD96" s="512"/>
      <c r="BE96" s="512"/>
      <c r="BF96" s="512"/>
      <c r="BG96" s="514"/>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row>
    <row r="97" spans="1:100" x14ac:dyDescent="0.25">
      <c r="A97" s="38"/>
      <c r="B97" s="38"/>
      <c r="C97" s="38"/>
      <c r="D97" s="38"/>
      <c r="E97" s="38"/>
      <c r="F97" s="38"/>
      <c r="G97" s="38"/>
      <c r="H97" s="38"/>
      <c r="I97" s="38"/>
      <c r="J97" s="511"/>
      <c r="K97" s="512"/>
      <c r="L97" s="512"/>
      <c r="M97" s="512"/>
      <c r="N97" s="512"/>
      <c r="O97" s="512"/>
      <c r="P97" s="512"/>
      <c r="Q97" s="512"/>
      <c r="R97" s="512"/>
      <c r="S97" s="514"/>
      <c r="T97" s="511"/>
      <c r="U97" s="512"/>
      <c r="V97" s="512"/>
      <c r="W97" s="512"/>
      <c r="X97" s="512"/>
      <c r="Y97" s="512"/>
      <c r="Z97" s="512"/>
      <c r="AA97" s="512"/>
      <c r="AB97" s="512"/>
      <c r="AC97" s="514"/>
      <c r="AD97" s="511"/>
      <c r="AE97" s="512"/>
      <c r="AF97" s="512"/>
      <c r="AG97" s="512"/>
      <c r="AH97" s="512"/>
      <c r="AI97" s="512"/>
      <c r="AJ97" s="512"/>
      <c r="AK97" s="512"/>
      <c r="AL97" s="512"/>
      <c r="AM97" s="514"/>
      <c r="AN97" s="511"/>
      <c r="AO97" s="512"/>
      <c r="AP97" s="512"/>
      <c r="AQ97" s="512"/>
      <c r="AR97" s="512"/>
      <c r="AS97" s="512"/>
      <c r="AT97" s="512"/>
      <c r="AU97" s="512"/>
      <c r="AV97" s="512"/>
      <c r="AW97" s="514"/>
      <c r="AX97" s="511"/>
      <c r="AY97" s="512"/>
      <c r="AZ97" s="512"/>
      <c r="BA97" s="512"/>
      <c r="BB97" s="512"/>
      <c r="BC97" s="512"/>
      <c r="BD97" s="512"/>
      <c r="BE97" s="512"/>
      <c r="BF97" s="512"/>
      <c r="BG97" s="514"/>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row>
    <row r="98" spans="1:100" x14ac:dyDescent="0.25">
      <c r="A98" s="38"/>
      <c r="B98" s="38"/>
      <c r="C98" s="38"/>
      <c r="D98" s="38"/>
      <c r="E98" s="38"/>
      <c r="F98" s="38"/>
      <c r="G98" s="38"/>
      <c r="H98" s="38"/>
      <c r="I98" s="38"/>
      <c r="J98" s="511"/>
      <c r="K98" s="512"/>
      <c r="L98" s="512"/>
      <c r="M98" s="512"/>
      <c r="N98" s="512"/>
      <c r="O98" s="512"/>
      <c r="P98" s="512"/>
      <c r="Q98" s="512"/>
      <c r="R98" s="512"/>
      <c r="S98" s="514"/>
      <c r="T98" s="511"/>
      <c r="U98" s="512"/>
      <c r="V98" s="512"/>
      <c r="W98" s="512"/>
      <c r="X98" s="512"/>
      <c r="Y98" s="512"/>
      <c r="Z98" s="512"/>
      <c r="AA98" s="512"/>
      <c r="AB98" s="512"/>
      <c r="AC98" s="514"/>
      <c r="AD98" s="511"/>
      <c r="AE98" s="512"/>
      <c r="AF98" s="512"/>
      <c r="AG98" s="512"/>
      <c r="AH98" s="512"/>
      <c r="AI98" s="512"/>
      <c r="AJ98" s="512"/>
      <c r="AK98" s="512"/>
      <c r="AL98" s="512"/>
      <c r="AM98" s="514"/>
      <c r="AN98" s="511"/>
      <c r="AO98" s="512"/>
      <c r="AP98" s="512"/>
      <c r="AQ98" s="512"/>
      <c r="AR98" s="512"/>
      <c r="AS98" s="512"/>
      <c r="AT98" s="512"/>
      <c r="AU98" s="512"/>
      <c r="AV98" s="512"/>
      <c r="AW98" s="514"/>
      <c r="AX98" s="511"/>
      <c r="AY98" s="512"/>
      <c r="AZ98" s="512"/>
      <c r="BA98" s="512"/>
      <c r="BB98" s="512"/>
      <c r="BC98" s="512"/>
      <c r="BD98" s="512"/>
      <c r="BE98" s="512"/>
      <c r="BF98" s="512"/>
      <c r="BG98" s="514"/>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row>
    <row r="99" spans="1:100" x14ac:dyDescent="0.25">
      <c r="A99" s="38"/>
      <c r="B99" s="38"/>
      <c r="C99" s="38"/>
      <c r="D99" s="38"/>
      <c r="E99" s="38"/>
      <c r="F99" s="38"/>
      <c r="G99" s="38"/>
      <c r="H99" s="38"/>
      <c r="I99" s="38"/>
      <c r="J99" s="511"/>
      <c r="K99" s="512"/>
      <c r="L99" s="512"/>
      <c r="M99" s="512"/>
      <c r="N99" s="512"/>
      <c r="O99" s="512"/>
      <c r="P99" s="512"/>
      <c r="Q99" s="512"/>
      <c r="R99" s="512"/>
      <c r="S99" s="514"/>
      <c r="T99" s="511"/>
      <c r="U99" s="512"/>
      <c r="V99" s="512"/>
      <c r="W99" s="512"/>
      <c r="X99" s="512"/>
      <c r="Y99" s="512"/>
      <c r="Z99" s="512"/>
      <c r="AA99" s="512"/>
      <c r="AB99" s="512"/>
      <c r="AC99" s="514"/>
      <c r="AD99" s="511"/>
      <c r="AE99" s="512"/>
      <c r="AF99" s="512"/>
      <c r="AG99" s="512"/>
      <c r="AH99" s="512"/>
      <c r="AI99" s="512"/>
      <c r="AJ99" s="512"/>
      <c r="AK99" s="512"/>
      <c r="AL99" s="512"/>
      <c r="AM99" s="514"/>
      <c r="AN99" s="511"/>
      <c r="AO99" s="512"/>
      <c r="AP99" s="512"/>
      <c r="AQ99" s="512"/>
      <c r="AR99" s="512"/>
      <c r="AS99" s="512"/>
      <c r="AT99" s="512"/>
      <c r="AU99" s="512"/>
      <c r="AV99" s="512"/>
      <c r="AW99" s="514"/>
      <c r="AX99" s="511"/>
      <c r="AY99" s="512"/>
      <c r="AZ99" s="512"/>
      <c r="BA99" s="512"/>
      <c r="BB99" s="512"/>
      <c r="BC99" s="512"/>
      <c r="BD99" s="512"/>
      <c r="BE99" s="512"/>
      <c r="BF99" s="512"/>
      <c r="BG99" s="514"/>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row>
    <row r="100" spans="1:100" x14ac:dyDescent="0.25">
      <c r="A100" s="38"/>
      <c r="B100" s="38"/>
      <c r="C100" s="38"/>
      <c r="D100" s="38"/>
      <c r="E100" s="38"/>
      <c r="F100" s="38"/>
      <c r="G100" s="38"/>
      <c r="H100" s="38"/>
      <c r="I100" s="38"/>
      <c r="J100" s="511"/>
      <c r="K100" s="512"/>
      <c r="L100" s="512"/>
      <c r="M100" s="512"/>
      <c r="N100" s="512"/>
      <c r="O100" s="512"/>
      <c r="P100" s="512"/>
      <c r="Q100" s="512"/>
      <c r="R100" s="512"/>
      <c r="S100" s="514"/>
      <c r="T100" s="511"/>
      <c r="U100" s="512"/>
      <c r="V100" s="512"/>
      <c r="W100" s="512"/>
      <c r="X100" s="512"/>
      <c r="Y100" s="512"/>
      <c r="Z100" s="512"/>
      <c r="AA100" s="512"/>
      <c r="AB100" s="512"/>
      <c r="AC100" s="514"/>
      <c r="AD100" s="511"/>
      <c r="AE100" s="512"/>
      <c r="AF100" s="512"/>
      <c r="AG100" s="512"/>
      <c r="AH100" s="512"/>
      <c r="AI100" s="512"/>
      <c r="AJ100" s="512"/>
      <c r="AK100" s="512"/>
      <c r="AL100" s="512"/>
      <c r="AM100" s="514"/>
      <c r="AN100" s="511"/>
      <c r="AO100" s="512"/>
      <c r="AP100" s="512"/>
      <c r="AQ100" s="512"/>
      <c r="AR100" s="512"/>
      <c r="AS100" s="512"/>
      <c r="AT100" s="512"/>
      <c r="AU100" s="512"/>
      <c r="AV100" s="512"/>
      <c r="AW100" s="514"/>
      <c r="AX100" s="511"/>
      <c r="AY100" s="512"/>
      <c r="AZ100" s="512"/>
      <c r="BA100" s="512"/>
      <c r="BB100" s="512"/>
      <c r="BC100" s="512"/>
      <c r="BD100" s="512"/>
      <c r="BE100" s="512"/>
      <c r="BF100" s="512"/>
      <c r="BG100" s="514"/>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row>
    <row r="101" spans="1:100" ht="15.75" thickBot="1" x14ac:dyDescent="0.3">
      <c r="A101" s="38"/>
      <c r="B101" s="38"/>
      <c r="C101" s="38"/>
      <c r="D101" s="38"/>
      <c r="E101" s="38"/>
      <c r="F101" s="38"/>
      <c r="G101" s="38"/>
      <c r="H101" s="38"/>
      <c r="I101" s="38"/>
      <c r="J101" s="515"/>
      <c r="K101" s="516"/>
      <c r="L101" s="516"/>
      <c r="M101" s="516"/>
      <c r="N101" s="516"/>
      <c r="O101" s="516"/>
      <c r="P101" s="516"/>
      <c r="Q101" s="516"/>
      <c r="R101" s="516"/>
      <c r="S101" s="517"/>
      <c r="T101" s="515"/>
      <c r="U101" s="516"/>
      <c r="V101" s="516"/>
      <c r="W101" s="516"/>
      <c r="X101" s="516"/>
      <c r="Y101" s="516"/>
      <c r="Z101" s="516"/>
      <c r="AA101" s="516"/>
      <c r="AB101" s="516"/>
      <c r="AC101" s="517"/>
      <c r="AD101" s="515"/>
      <c r="AE101" s="516"/>
      <c r="AF101" s="516"/>
      <c r="AG101" s="516"/>
      <c r="AH101" s="516"/>
      <c r="AI101" s="516"/>
      <c r="AJ101" s="516"/>
      <c r="AK101" s="516"/>
      <c r="AL101" s="516"/>
      <c r="AM101" s="517"/>
      <c r="AN101" s="515"/>
      <c r="AO101" s="516"/>
      <c r="AP101" s="516"/>
      <c r="AQ101" s="516"/>
      <c r="AR101" s="516"/>
      <c r="AS101" s="516"/>
      <c r="AT101" s="516"/>
      <c r="AU101" s="516"/>
      <c r="AV101" s="516"/>
      <c r="AW101" s="517"/>
      <c r="AX101" s="515"/>
      <c r="AY101" s="516"/>
      <c r="AZ101" s="516"/>
      <c r="BA101" s="516"/>
      <c r="BB101" s="516"/>
      <c r="BC101" s="516"/>
      <c r="BD101" s="516"/>
      <c r="BE101" s="516"/>
      <c r="BF101" s="516"/>
      <c r="BG101" s="517"/>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row>
    <row r="102" spans="1:100" x14ac:dyDescent="0.25">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row>
    <row r="103" spans="1:100" ht="15" customHeight="1" x14ac:dyDescent="0.25">
      <c r="A103" s="38"/>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row>
    <row r="104" spans="1:100" ht="15" customHeight="1" x14ac:dyDescent="0.25">
      <c r="A104" s="38"/>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row>
    <row r="105" spans="1:100" x14ac:dyDescent="0.25">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row>
    <row r="106" spans="1:100" x14ac:dyDescent="0.25">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row>
    <row r="107" spans="1:100" x14ac:dyDescent="0.25">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row>
    <row r="108" spans="1:100" x14ac:dyDescent="0.25">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row>
    <row r="109" spans="1:100" x14ac:dyDescent="0.25">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row>
    <row r="110" spans="1:100" x14ac:dyDescent="0.25">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row>
    <row r="111" spans="1:100" ht="21" x14ac:dyDescent="0.25">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42"/>
      <c r="BJ111" s="42"/>
      <c r="BK111" s="42"/>
      <c r="BL111" s="42"/>
      <c r="BM111" s="42"/>
      <c r="BN111" s="42"/>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row>
    <row r="112" spans="1:100" ht="21" x14ac:dyDescent="0.25">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42"/>
      <c r="BJ112" s="42"/>
      <c r="BK112" s="42"/>
      <c r="BL112" s="42"/>
      <c r="BM112" s="42"/>
      <c r="BN112" s="42"/>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row>
    <row r="113" spans="1:100" x14ac:dyDescent="0.25">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row>
    <row r="114" spans="1:100" x14ac:dyDescent="0.25">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row>
    <row r="115" spans="1:100" x14ac:dyDescent="0.25">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row>
    <row r="116" spans="1:100" x14ac:dyDescent="0.25">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row>
    <row r="117" spans="1:100" x14ac:dyDescent="0.25">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row>
    <row r="118" spans="1:100" x14ac:dyDescent="0.25">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row>
    <row r="119" spans="1:100" x14ac:dyDescent="0.25">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row>
    <row r="120" spans="1:100" x14ac:dyDescent="0.25">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row>
    <row r="121" spans="1:100" x14ac:dyDescent="0.25">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row>
    <row r="122" spans="1:100" x14ac:dyDescent="0.25">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row>
    <row r="123" spans="1:100" x14ac:dyDescent="0.25">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row>
    <row r="124" spans="1:100" x14ac:dyDescent="0.25">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row>
    <row r="125" spans="1:100" x14ac:dyDescent="0.2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row>
    <row r="126" spans="1:100" x14ac:dyDescent="0.25">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row>
    <row r="127" spans="1:100" x14ac:dyDescent="0.25">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row>
    <row r="128" spans="1:100" x14ac:dyDescent="0.25">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row>
    <row r="129" spans="1:83" x14ac:dyDescent="0.25">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row>
    <row r="130" spans="1:83" x14ac:dyDescent="0.25">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row>
    <row r="131" spans="1:83" x14ac:dyDescent="0.25">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row>
    <row r="132" spans="1:83" x14ac:dyDescent="0.25">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row>
    <row r="133" spans="1:83" x14ac:dyDescent="0.25">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row>
    <row r="134" spans="1:83" x14ac:dyDescent="0.25">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row>
    <row r="135" spans="1:83" x14ac:dyDescent="0.25">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row>
    <row r="136" spans="1:83" x14ac:dyDescent="0.25">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row>
    <row r="137" spans="1:83" x14ac:dyDescent="0.25">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row>
    <row r="138" spans="1:83" x14ac:dyDescent="0.25">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row>
    <row r="139" spans="1:83" x14ac:dyDescent="0.25">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row>
    <row r="140" spans="1:83" x14ac:dyDescent="0.25">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row>
    <row r="141" spans="1:83" x14ac:dyDescent="0.25">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row>
    <row r="142" spans="1:83" x14ac:dyDescent="0.25">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row>
    <row r="143" spans="1:83" x14ac:dyDescent="0.25">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row>
    <row r="144" spans="1:83" x14ac:dyDescent="0.25">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row>
    <row r="145" spans="1:83" x14ac:dyDescent="0.25">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row>
    <row r="146" spans="1:83" x14ac:dyDescent="0.25">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row>
    <row r="147" spans="1:83" x14ac:dyDescent="0.25">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row>
    <row r="148" spans="1:83" x14ac:dyDescent="0.25">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row>
    <row r="149" spans="1:83" x14ac:dyDescent="0.25">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row>
    <row r="150" spans="1:83" x14ac:dyDescent="0.25">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row>
    <row r="151" spans="1:83" x14ac:dyDescent="0.25">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row>
    <row r="152" spans="1:83" x14ac:dyDescent="0.25">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row>
    <row r="153" spans="1:83" x14ac:dyDescent="0.25">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row>
    <row r="154" spans="1:83" x14ac:dyDescent="0.25">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38"/>
      <c r="BZ154" s="38"/>
      <c r="CA154" s="38"/>
      <c r="CB154" s="38"/>
      <c r="CC154" s="38"/>
      <c r="CD154" s="38"/>
      <c r="CE154" s="38"/>
    </row>
    <row r="155" spans="1:83" x14ac:dyDescent="0.25">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38"/>
      <c r="BZ155" s="38"/>
      <c r="CA155" s="38"/>
      <c r="CB155" s="38"/>
      <c r="CC155" s="38"/>
      <c r="CD155" s="38"/>
      <c r="CE155" s="38"/>
    </row>
    <row r="156" spans="1:83" x14ac:dyDescent="0.25">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38"/>
      <c r="BZ156" s="38"/>
      <c r="CA156" s="38"/>
      <c r="CB156" s="38"/>
      <c r="CC156" s="38"/>
      <c r="CD156" s="38"/>
      <c r="CE156" s="38"/>
    </row>
    <row r="157" spans="1:83" x14ac:dyDescent="0.25">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row>
    <row r="158" spans="1:83" x14ac:dyDescent="0.25">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38"/>
      <c r="BZ158" s="38"/>
      <c r="CA158" s="38"/>
      <c r="CB158" s="38"/>
      <c r="CC158" s="38"/>
      <c r="CD158" s="38"/>
      <c r="CE158" s="38"/>
    </row>
    <row r="159" spans="1:83" x14ac:dyDescent="0.25">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row>
    <row r="160" spans="1:83" x14ac:dyDescent="0.25">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row>
    <row r="161" spans="1:83" x14ac:dyDescent="0.25">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row>
    <row r="162" spans="1:83" x14ac:dyDescent="0.25">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row>
    <row r="163" spans="1:83" x14ac:dyDescent="0.25">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row>
    <row r="164" spans="1:83" x14ac:dyDescent="0.25">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row>
    <row r="165" spans="1:83" x14ac:dyDescent="0.25">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38"/>
      <c r="BZ165" s="38"/>
      <c r="CA165" s="38"/>
      <c r="CB165" s="38"/>
      <c r="CC165" s="38"/>
      <c r="CD165" s="38"/>
      <c r="CE165" s="38"/>
    </row>
    <row r="166" spans="1:83" x14ac:dyDescent="0.25">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row>
    <row r="167" spans="1:83" x14ac:dyDescent="0.25">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row>
    <row r="168" spans="1:83" x14ac:dyDescent="0.25">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row>
    <row r="169" spans="1:83" x14ac:dyDescent="0.25">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row>
    <row r="170" spans="1:83" x14ac:dyDescent="0.25">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row>
    <row r="171" spans="1:83" x14ac:dyDescent="0.25">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row>
    <row r="172" spans="1:83" x14ac:dyDescent="0.25">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row>
    <row r="173" spans="1:83" x14ac:dyDescent="0.25">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row>
    <row r="174" spans="1:83" x14ac:dyDescent="0.25">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row>
    <row r="175" spans="1:83" x14ac:dyDescent="0.25">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row>
    <row r="176" spans="1:83" x14ac:dyDescent="0.25">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row>
    <row r="177" spans="2:83" x14ac:dyDescent="0.25">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row>
    <row r="178" spans="2:83" x14ac:dyDescent="0.25">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row>
    <row r="179" spans="2:83" x14ac:dyDescent="0.25">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row>
    <row r="180" spans="2:83" x14ac:dyDescent="0.25">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row>
    <row r="181" spans="2:83" x14ac:dyDescent="0.25">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row>
    <row r="182" spans="2:83" x14ac:dyDescent="0.25">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row>
    <row r="183" spans="2:83" x14ac:dyDescent="0.25">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row>
    <row r="184" spans="2:83" x14ac:dyDescent="0.25">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38"/>
      <c r="BZ184" s="38"/>
      <c r="CA184" s="38"/>
      <c r="CB184" s="38"/>
      <c r="CC184" s="38"/>
      <c r="CD184" s="38"/>
      <c r="CE184" s="38"/>
    </row>
    <row r="185" spans="2:83" x14ac:dyDescent="0.25">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c r="BN185" s="38"/>
      <c r="BO185" s="38"/>
      <c r="BP185" s="38"/>
      <c r="BQ185" s="38"/>
      <c r="BR185" s="38"/>
      <c r="BS185" s="38"/>
      <c r="BT185" s="38"/>
      <c r="BU185" s="38"/>
      <c r="BV185" s="38"/>
      <c r="BW185" s="38"/>
      <c r="BX185" s="38"/>
      <c r="BY185" s="38"/>
      <c r="BZ185" s="38"/>
      <c r="CA185" s="38"/>
      <c r="CB185" s="38"/>
      <c r="CC185" s="38"/>
      <c r="CD185" s="38"/>
      <c r="CE185" s="38"/>
    </row>
    <row r="186" spans="2:83" x14ac:dyDescent="0.25">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c r="BN186" s="38"/>
      <c r="BO186" s="38"/>
      <c r="BP186" s="38"/>
      <c r="BQ186" s="38"/>
      <c r="BR186" s="38"/>
      <c r="BS186" s="38"/>
      <c r="BT186" s="38"/>
      <c r="BU186" s="38"/>
      <c r="BV186" s="38"/>
      <c r="BW186" s="38"/>
      <c r="BX186" s="38"/>
      <c r="BY186" s="38"/>
      <c r="BZ186" s="38"/>
      <c r="CA186" s="38"/>
      <c r="CB186" s="38"/>
      <c r="CC186" s="38"/>
      <c r="CD186" s="38"/>
      <c r="CE186" s="38"/>
    </row>
    <row r="187" spans="2:83" x14ac:dyDescent="0.25">
      <c r="B187" s="38"/>
      <c r="C187" s="38"/>
      <c r="D187" s="38"/>
      <c r="E187" s="38"/>
      <c r="F187" s="38"/>
      <c r="G187" s="38"/>
      <c r="H187" s="38"/>
      <c r="I187" s="38"/>
      <c r="BI187" s="38"/>
      <c r="BJ187" s="38"/>
      <c r="BK187" s="38"/>
      <c r="BL187" s="38"/>
      <c r="BM187" s="38"/>
      <c r="BN187" s="38"/>
    </row>
    <row r="188" spans="2:83" x14ac:dyDescent="0.25">
      <c r="B188" s="38"/>
      <c r="C188" s="38"/>
      <c r="D188" s="38"/>
      <c r="E188" s="38"/>
      <c r="F188" s="38"/>
      <c r="G188" s="38"/>
      <c r="H188" s="38"/>
      <c r="I188" s="38"/>
      <c r="BI188" s="38"/>
      <c r="BJ188" s="38"/>
      <c r="BK188" s="38"/>
      <c r="BL188" s="38"/>
      <c r="BM188" s="38"/>
      <c r="BN188" s="38"/>
    </row>
    <row r="189" spans="2:83" x14ac:dyDescent="0.25">
      <c r="B189" s="38"/>
      <c r="C189" s="38"/>
      <c r="D189" s="38"/>
      <c r="E189" s="38"/>
      <c r="F189" s="38"/>
      <c r="G189" s="38"/>
      <c r="H189" s="38"/>
      <c r="I189" s="38"/>
      <c r="BI189" s="38"/>
      <c r="BJ189" s="38"/>
      <c r="BK189" s="38"/>
      <c r="BL189" s="38"/>
      <c r="BM189" s="38"/>
      <c r="BN189" s="38"/>
    </row>
    <row r="190" spans="2:83" x14ac:dyDescent="0.25">
      <c r="B190" s="38"/>
      <c r="C190" s="38"/>
      <c r="D190" s="38"/>
      <c r="E190" s="38"/>
      <c r="F190" s="38"/>
      <c r="G190" s="38"/>
      <c r="H190" s="38"/>
      <c r="I190" s="38"/>
      <c r="BI190" s="38"/>
      <c r="BJ190" s="38"/>
      <c r="BK190" s="38"/>
      <c r="BL190" s="38"/>
      <c r="BM190" s="38"/>
      <c r="BN190" s="38"/>
    </row>
    <row r="191" spans="2:83" x14ac:dyDescent="0.25">
      <c r="BI191" s="38"/>
      <c r="BJ191" s="38"/>
      <c r="BK191" s="38"/>
      <c r="BL191" s="38"/>
      <c r="BM191" s="38"/>
      <c r="BN191" s="38"/>
    </row>
    <row r="192" spans="2:83" x14ac:dyDescent="0.25">
      <c r="BI192" s="38"/>
      <c r="BJ192" s="38"/>
      <c r="BK192" s="38"/>
      <c r="BL192" s="38"/>
      <c r="BM192" s="38"/>
      <c r="BN192" s="38"/>
    </row>
    <row r="193" spans="61:66" x14ac:dyDescent="0.25">
      <c r="BI193" s="38"/>
      <c r="BJ193" s="38"/>
      <c r="BK193" s="38"/>
      <c r="BL193" s="38"/>
      <c r="BM193" s="38"/>
      <c r="BN193" s="38"/>
    </row>
    <row r="194" spans="61:66" x14ac:dyDescent="0.25">
      <c r="BI194" s="38"/>
      <c r="BJ194" s="38"/>
      <c r="BK194" s="38"/>
      <c r="BL194" s="38"/>
      <c r="BM194" s="38"/>
      <c r="BN194" s="38"/>
    </row>
  </sheetData>
  <mergeCells count="1142">
    <mergeCell ref="AB60:AC61"/>
    <mergeCell ref="T62:U63"/>
    <mergeCell ref="AJ90:AK91"/>
    <mergeCell ref="AL90:AM91"/>
    <mergeCell ref="AD80:AE81"/>
    <mergeCell ref="AF80:AG81"/>
    <mergeCell ref="AH80:AI81"/>
    <mergeCell ref="AJ80:AK81"/>
    <mergeCell ref="AD92:AE93"/>
    <mergeCell ref="AJ92:AK93"/>
    <mergeCell ref="AL92:AM93"/>
    <mergeCell ref="AD76:AE77"/>
    <mergeCell ref="AD86:AE87"/>
    <mergeCell ref="AF86:AG87"/>
    <mergeCell ref="AF90:AG91"/>
    <mergeCell ref="AH82:AI83"/>
    <mergeCell ref="AJ82:AK83"/>
    <mergeCell ref="J92:K93"/>
    <mergeCell ref="L92:M93"/>
    <mergeCell ref="J78:K79"/>
    <mergeCell ref="AF92:AG93"/>
    <mergeCell ref="AH92:AI93"/>
    <mergeCell ref="AH90:AI91"/>
    <mergeCell ref="T78:U79"/>
    <mergeCell ref="J74:K75"/>
    <mergeCell ref="L74:M75"/>
    <mergeCell ref="J60:K61"/>
    <mergeCell ref="L60:M61"/>
    <mergeCell ref="J62:K63"/>
    <mergeCell ref="J64:K65"/>
    <mergeCell ref="J66:K67"/>
    <mergeCell ref="J56:K57"/>
    <mergeCell ref="L56:M57"/>
    <mergeCell ref="J2:BG4"/>
    <mergeCell ref="E6:I23"/>
    <mergeCell ref="E24:I41"/>
    <mergeCell ref="J6:K7"/>
    <mergeCell ref="T26:U27"/>
    <mergeCell ref="Z26:AA27"/>
    <mergeCell ref="AB26:AC27"/>
    <mergeCell ref="T34:U35"/>
    <mergeCell ref="T30:U31"/>
    <mergeCell ref="T28:U29"/>
    <mergeCell ref="J50:K51"/>
    <mergeCell ref="AJ62:AK63"/>
    <mergeCell ref="AJ64:AK65"/>
    <mergeCell ref="AF72:AG73"/>
    <mergeCell ref="AL48:AM49"/>
    <mergeCell ref="AF50:AG51"/>
    <mergeCell ref="AJ68:AK69"/>
    <mergeCell ref="AL68:AM69"/>
    <mergeCell ref="AD70:AE71"/>
    <mergeCell ref="T74:U75"/>
    <mergeCell ref="Z74:AA75"/>
    <mergeCell ref="AB74:AC75"/>
    <mergeCell ref="J14:K15"/>
    <mergeCell ref="L50:M51"/>
    <mergeCell ref="P66:Q67"/>
    <mergeCell ref="P30:Q31"/>
    <mergeCell ref="P32:Q33"/>
    <mergeCell ref="P34:Q35"/>
    <mergeCell ref="N50:O51"/>
    <mergeCell ref="P48:Q49"/>
    <mergeCell ref="P50:Q51"/>
    <mergeCell ref="N56:O57"/>
    <mergeCell ref="P56:Q57"/>
    <mergeCell ref="P60:Q61"/>
    <mergeCell ref="R60:S61"/>
    <mergeCell ref="R56:S57"/>
    <mergeCell ref="R50:S51"/>
    <mergeCell ref="R42:S43"/>
    <mergeCell ref="Z56:AA57"/>
    <mergeCell ref="B2:I4"/>
    <mergeCell ref="B6:D95"/>
    <mergeCell ref="L10:M11"/>
    <mergeCell ref="L12:M13"/>
    <mergeCell ref="T76:U77"/>
    <mergeCell ref="T80:U81"/>
    <mergeCell ref="T60:U61"/>
    <mergeCell ref="Z60:AA61"/>
    <mergeCell ref="T82:U83"/>
    <mergeCell ref="T90:U91"/>
    <mergeCell ref="AJ54:AK55"/>
    <mergeCell ref="AD78:AE79"/>
    <mergeCell ref="AJ78:AK79"/>
    <mergeCell ref="AL78:AM79"/>
    <mergeCell ref="AF78:AG79"/>
    <mergeCell ref="AH78:AI79"/>
    <mergeCell ref="AD62:AE63"/>
    <mergeCell ref="AF62:AG63"/>
    <mergeCell ref="AD64:AE65"/>
    <mergeCell ref="AD66:AE67"/>
    <mergeCell ref="AL62:AM63"/>
    <mergeCell ref="AL64:AM65"/>
    <mergeCell ref="AL66:AM67"/>
    <mergeCell ref="AF64:AG65"/>
    <mergeCell ref="AJ70:AK71"/>
    <mergeCell ref="AL70:AM71"/>
    <mergeCell ref="AD72:AE73"/>
    <mergeCell ref="AD90:AE91"/>
    <mergeCell ref="X84:Y85"/>
    <mergeCell ref="Z84:AA85"/>
    <mergeCell ref="AB84:AC85"/>
    <mergeCell ref="V86:W87"/>
    <mergeCell ref="AF76:AG77"/>
    <mergeCell ref="AL76:AM77"/>
    <mergeCell ref="V72:W73"/>
    <mergeCell ref="X62:Y63"/>
    <mergeCell ref="AF70:AG71"/>
    <mergeCell ref="T64:U65"/>
    <mergeCell ref="T66:U67"/>
    <mergeCell ref="AB66:AC67"/>
    <mergeCell ref="BB94:BC95"/>
    <mergeCell ref="BD80:BE81"/>
    <mergeCell ref="BF80:BG81"/>
    <mergeCell ref="AX86:AY87"/>
    <mergeCell ref="AX80:AY81"/>
    <mergeCell ref="AZ80:BA81"/>
    <mergeCell ref="BB80:BC81"/>
    <mergeCell ref="AX94:AY95"/>
    <mergeCell ref="AZ94:BA95"/>
    <mergeCell ref="AL82:AM83"/>
    <mergeCell ref="L30:M31"/>
    <mergeCell ref="T32:U33"/>
    <mergeCell ref="Z32:AA33"/>
    <mergeCell ref="J32:K33"/>
    <mergeCell ref="L32:M33"/>
    <mergeCell ref="J30:K31"/>
    <mergeCell ref="J34:K35"/>
    <mergeCell ref="R30:S31"/>
    <mergeCell ref="R32:S33"/>
    <mergeCell ref="R34:S35"/>
    <mergeCell ref="T50:U51"/>
    <mergeCell ref="AB62:AC63"/>
    <mergeCell ref="V62:W63"/>
    <mergeCell ref="AB50:AC51"/>
    <mergeCell ref="T46:U47"/>
    <mergeCell ref="T48:U49"/>
    <mergeCell ref="AB48:AC49"/>
    <mergeCell ref="AB46:AC47"/>
    <mergeCell ref="V44:W45"/>
    <mergeCell ref="N30:O31"/>
    <mergeCell ref="N32:O33"/>
    <mergeCell ref="N34:O35"/>
    <mergeCell ref="AX64:AY65"/>
    <mergeCell ref="AZ64:BA65"/>
    <mergeCell ref="BB64:BC65"/>
    <mergeCell ref="BD64:BE65"/>
    <mergeCell ref="BF64:BG65"/>
    <mergeCell ref="AZ50:BA51"/>
    <mergeCell ref="BB50:BC51"/>
    <mergeCell ref="AZ56:BA57"/>
    <mergeCell ref="BB56:BC57"/>
    <mergeCell ref="BD50:BE51"/>
    <mergeCell ref="BF50:BG51"/>
    <mergeCell ref="AX58:AY59"/>
    <mergeCell ref="AZ58:BA59"/>
    <mergeCell ref="BD58:BE59"/>
    <mergeCell ref="BF58:BG59"/>
    <mergeCell ref="BD92:BE93"/>
    <mergeCell ref="BF92:BG93"/>
    <mergeCell ref="BF78:BG79"/>
    <mergeCell ref="AX90:AY91"/>
    <mergeCell ref="BD90:BE91"/>
    <mergeCell ref="BF90:BG91"/>
    <mergeCell ref="AX82:AY83"/>
    <mergeCell ref="AZ82:BA83"/>
    <mergeCell ref="BB82:BC83"/>
    <mergeCell ref="BD82:BE83"/>
    <mergeCell ref="BF82:BG83"/>
    <mergeCell ref="AZ90:BA91"/>
    <mergeCell ref="BB90:BC91"/>
    <mergeCell ref="AZ92:BA93"/>
    <mergeCell ref="BB92:BC93"/>
    <mergeCell ref="AX92:AY93"/>
    <mergeCell ref="BF34:BG35"/>
    <mergeCell ref="AX20:AY21"/>
    <mergeCell ref="AZ20:BA21"/>
    <mergeCell ref="BD76:BE77"/>
    <mergeCell ref="BF76:BG77"/>
    <mergeCell ref="BD72:BE73"/>
    <mergeCell ref="BF72:BG73"/>
    <mergeCell ref="AZ86:BA87"/>
    <mergeCell ref="BB86:BC87"/>
    <mergeCell ref="BD38:BE39"/>
    <mergeCell ref="BF38:BG39"/>
    <mergeCell ref="AX40:AY41"/>
    <mergeCell ref="AZ40:BA41"/>
    <mergeCell ref="BB40:BC41"/>
    <mergeCell ref="BD40:BE41"/>
    <mergeCell ref="BD46:BE47"/>
    <mergeCell ref="BF46:BG47"/>
    <mergeCell ref="AX48:AY49"/>
    <mergeCell ref="AZ48:BA49"/>
    <mergeCell ref="AZ60:BA61"/>
    <mergeCell ref="BB60:BC61"/>
    <mergeCell ref="BD42:BE43"/>
    <mergeCell ref="BF42:BG43"/>
    <mergeCell ref="BF40:BG41"/>
    <mergeCell ref="BD52:BE53"/>
    <mergeCell ref="BF52:BG53"/>
    <mergeCell ref="BD54:BE55"/>
    <mergeCell ref="BF54:BG55"/>
    <mergeCell ref="AZ62:BA63"/>
    <mergeCell ref="BB62:BC63"/>
    <mergeCell ref="BD62:BE63"/>
    <mergeCell ref="BF62:BG63"/>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4:BA45"/>
    <mergeCell ref="AX44:AY45"/>
    <mergeCell ref="BD32:BE33"/>
    <mergeCell ref="BF32:BG33"/>
    <mergeCell ref="AX26:AY27"/>
    <mergeCell ref="BD26:BE27"/>
    <mergeCell ref="BF26:BG27"/>
    <mergeCell ref="AX28:AY29"/>
    <mergeCell ref="AZ28:BA29"/>
    <mergeCell ref="BB28:BC29"/>
    <mergeCell ref="BD28:BE29"/>
    <mergeCell ref="BF28:BG29"/>
    <mergeCell ref="AX30:AY31"/>
    <mergeCell ref="AZ30:BA31"/>
    <mergeCell ref="BB30:BC31"/>
    <mergeCell ref="BD30:BE31"/>
    <mergeCell ref="BF30:BG31"/>
    <mergeCell ref="AZ32:BA33"/>
    <mergeCell ref="BB26:BC27"/>
    <mergeCell ref="AV90:AW91"/>
    <mergeCell ref="AT80:AU81"/>
    <mergeCell ref="AV80:AW81"/>
    <mergeCell ref="AN82:AO83"/>
    <mergeCell ref="AP82:AQ83"/>
    <mergeCell ref="AR82:AS83"/>
    <mergeCell ref="AT82:AU83"/>
    <mergeCell ref="AV82:AW83"/>
    <mergeCell ref="AP92:AQ93"/>
    <mergeCell ref="AR92:AS93"/>
    <mergeCell ref="AR94:AS95"/>
    <mergeCell ref="AT94:AU95"/>
    <mergeCell ref="AV94:AW95"/>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T92:AU93"/>
    <mergeCell ref="AV92:AW93"/>
    <mergeCell ref="AP78:AQ79"/>
    <mergeCell ref="AR78:AS79"/>
    <mergeCell ref="AN80:AO81"/>
    <mergeCell ref="AP80:AQ81"/>
    <mergeCell ref="AR80:AS81"/>
    <mergeCell ref="AN74:AO75"/>
    <mergeCell ref="AP90:AQ91"/>
    <mergeCell ref="AR90:AS91"/>
    <mergeCell ref="AP62:AQ63"/>
    <mergeCell ref="AR62:AS63"/>
    <mergeCell ref="AT62:AU63"/>
    <mergeCell ref="AV62:AW63"/>
    <mergeCell ref="AV84:AW85"/>
    <mergeCell ref="AN86:AO87"/>
    <mergeCell ref="AP86:AQ87"/>
    <mergeCell ref="AR86:AS87"/>
    <mergeCell ref="AN88:AO89"/>
    <mergeCell ref="AP88:AQ89"/>
    <mergeCell ref="AR88:AS89"/>
    <mergeCell ref="AP84:AQ85"/>
    <mergeCell ref="AR84:AS85"/>
    <mergeCell ref="AT84:AU85"/>
    <mergeCell ref="AV78:AW79"/>
    <mergeCell ref="AT88:AU89"/>
    <mergeCell ref="AV88:AW89"/>
    <mergeCell ref="AV68:AW69"/>
    <mergeCell ref="AN78:AO79"/>
    <mergeCell ref="AT78:AU79"/>
    <mergeCell ref="AN90:AO91"/>
    <mergeCell ref="AT90:AU91"/>
    <mergeCell ref="T6:U7"/>
    <mergeCell ref="L6:M7"/>
    <mergeCell ref="L8:M9"/>
    <mergeCell ref="J8:K9"/>
    <mergeCell ref="E60:I77"/>
    <mergeCell ref="T8:U9"/>
    <mergeCell ref="Z8:AA9"/>
    <mergeCell ref="AB8:AC9"/>
    <mergeCell ref="AV6:AW7"/>
    <mergeCell ref="AN8:AO9"/>
    <mergeCell ref="AT8:AU9"/>
    <mergeCell ref="AV8:AW9"/>
    <mergeCell ref="AF6:AG7"/>
    <mergeCell ref="AH6:AI7"/>
    <mergeCell ref="AF8:AG9"/>
    <mergeCell ref="AH8:AI9"/>
    <mergeCell ref="AD10:AE11"/>
    <mergeCell ref="AF10:AG11"/>
    <mergeCell ref="AH10:AI11"/>
    <mergeCell ref="AJ10:AK11"/>
    <mergeCell ref="R6:S7"/>
    <mergeCell ref="P6:Q7"/>
    <mergeCell ref="J10:K11"/>
    <mergeCell ref="J12:K13"/>
    <mergeCell ref="AJ26:AK27"/>
    <mergeCell ref="AL26:AM27"/>
    <mergeCell ref="AT16:AU17"/>
    <mergeCell ref="AV16:AW17"/>
    <mergeCell ref="AF24:AG25"/>
    <mergeCell ref="AH24:AI25"/>
    <mergeCell ref="AF26:AG27"/>
    <mergeCell ref="AH26:AI27"/>
    <mergeCell ref="J42:K43"/>
    <mergeCell ref="BI14:BN31"/>
    <mergeCell ref="BI32:BN49"/>
    <mergeCell ref="BI50:BN67"/>
    <mergeCell ref="BI68:BN89"/>
    <mergeCell ref="E42:I59"/>
    <mergeCell ref="E78:I95"/>
    <mergeCell ref="J96:S101"/>
    <mergeCell ref="T96:AC101"/>
    <mergeCell ref="AD96:AM10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L10:AM11"/>
    <mergeCell ref="AD12:AE13"/>
    <mergeCell ref="AF12:AG13"/>
    <mergeCell ref="AH12:AI13"/>
    <mergeCell ref="AJ12:AK13"/>
    <mergeCell ref="AL12:AM13"/>
    <mergeCell ref="N6:O7"/>
    <mergeCell ref="AN96:AW101"/>
    <mergeCell ref="AX96:BG101"/>
    <mergeCell ref="J22:K23"/>
    <mergeCell ref="L22:M23"/>
    <mergeCell ref="N8:O9"/>
    <mergeCell ref="N10:O11"/>
    <mergeCell ref="N12:O13"/>
    <mergeCell ref="N14:O15"/>
    <mergeCell ref="P8:Q9"/>
    <mergeCell ref="P10:Q11"/>
    <mergeCell ref="P12:Q13"/>
    <mergeCell ref="P14:Q15"/>
    <mergeCell ref="R14:S15"/>
    <mergeCell ref="R12:S13"/>
    <mergeCell ref="R10:S11"/>
    <mergeCell ref="R8:S9"/>
    <mergeCell ref="P38:Q39"/>
    <mergeCell ref="R38:S39"/>
    <mergeCell ref="J40:K41"/>
    <mergeCell ref="L40:M41"/>
    <mergeCell ref="N40:O41"/>
    <mergeCell ref="P40:Q41"/>
    <mergeCell ref="R40:S41"/>
    <mergeCell ref="L14:M15"/>
    <mergeCell ref="N20:O21"/>
    <mergeCell ref="P20:Q21"/>
    <mergeCell ref="R20:S21"/>
    <mergeCell ref="J84:K85"/>
    <mergeCell ref="L84:M85"/>
    <mergeCell ref="J16:K17"/>
    <mergeCell ref="L16:M17"/>
    <mergeCell ref="N16:O17"/>
    <mergeCell ref="P16:Q17"/>
    <mergeCell ref="R16:S17"/>
    <mergeCell ref="N24:O25"/>
    <mergeCell ref="P24:Q25"/>
    <mergeCell ref="R24:S25"/>
    <mergeCell ref="J28:K29"/>
    <mergeCell ref="L28:M29"/>
    <mergeCell ref="J24:K25"/>
    <mergeCell ref="L24:M25"/>
    <mergeCell ref="J26:K27"/>
    <mergeCell ref="L26:M27"/>
    <mergeCell ref="R26:S27"/>
    <mergeCell ref="P26:Q27"/>
    <mergeCell ref="N26:O27"/>
    <mergeCell ref="N28:O29"/>
    <mergeCell ref="P28:Q29"/>
    <mergeCell ref="R28:S29"/>
    <mergeCell ref="J18:K19"/>
    <mergeCell ref="L18:M19"/>
    <mergeCell ref="N18:O19"/>
    <mergeCell ref="P18:Q19"/>
    <mergeCell ref="N22:O23"/>
    <mergeCell ref="P22:Q23"/>
    <mergeCell ref="R22:S23"/>
    <mergeCell ref="R52:S53"/>
    <mergeCell ref="R18:S19"/>
    <mergeCell ref="J20:K21"/>
    <mergeCell ref="T24:U25"/>
    <mergeCell ref="R92:S93"/>
    <mergeCell ref="P64:Q65"/>
    <mergeCell ref="R64:S65"/>
    <mergeCell ref="J80:K81"/>
    <mergeCell ref="J82:K83"/>
    <mergeCell ref="L80:M81"/>
    <mergeCell ref="L82:M83"/>
    <mergeCell ref="N80:O81"/>
    <mergeCell ref="N82:O83"/>
    <mergeCell ref="P78:Q79"/>
    <mergeCell ref="R78:S79"/>
    <mergeCell ref="N74:O75"/>
    <mergeCell ref="P74:Q75"/>
    <mergeCell ref="R74:S75"/>
    <mergeCell ref="R66:S67"/>
    <mergeCell ref="N78:O79"/>
    <mergeCell ref="L66:M67"/>
    <mergeCell ref="L64:M65"/>
    <mergeCell ref="N64:O65"/>
    <mergeCell ref="N90:O91"/>
    <mergeCell ref="N92:O93"/>
    <mergeCell ref="J76:K77"/>
    <mergeCell ref="L76:M77"/>
    <mergeCell ref="N76:O77"/>
    <mergeCell ref="J86:K87"/>
    <mergeCell ref="L90:M91"/>
    <mergeCell ref="L78:M79"/>
    <mergeCell ref="J90:K91"/>
    <mergeCell ref="P44:Q45"/>
    <mergeCell ref="J54:K55"/>
    <mergeCell ref="L54:M55"/>
    <mergeCell ref="L34:M35"/>
    <mergeCell ref="P80:Q81"/>
    <mergeCell ref="P82:Q83"/>
    <mergeCell ref="P90:Q91"/>
    <mergeCell ref="L62:M63"/>
    <mergeCell ref="N62:O63"/>
    <mergeCell ref="P62:Q63"/>
    <mergeCell ref="R62:S63"/>
    <mergeCell ref="L86:M87"/>
    <mergeCell ref="N86:O87"/>
    <mergeCell ref="N36:O37"/>
    <mergeCell ref="P36:Q37"/>
    <mergeCell ref="R36:S37"/>
    <mergeCell ref="P76:Q77"/>
    <mergeCell ref="R76:S77"/>
    <mergeCell ref="N60:O61"/>
    <mergeCell ref="N72:O73"/>
    <mergeCell ref="P72:Q73"/>
    <mergeCell ref="R72:S73"/>
    <mergeCell ref="R48:S49"/>
    <mergeCell ref="R80:S81"/>
    <mergeCell ref="R82:S83"/>
    <mergeCell ref="R90:S91"/>
    <mergeCell ref="N84:O85"/>
    <mergeCell ref="P84:Q85"/>
    <mergeCell ref="L44:M45"/>
    <mergeCell ref="L46:M47"/>
    <mergeCell ref="L48:M49"/>
    <mergeCell ref="N44:O45"/>
    <mergeCell ref="N46:O47"/>
    <mergeCell ref="P46:Q47"/>
    <mergeCell ref="N48:O49"/>
    <mergeCell ref="L20:M21"/>
    <mergeCell ref="V6:W7"/>
    <mergeCell ref="X6:Y7"/>
    <mergeCell ref="V24:W25"/>
    <mergeCell ref="X24:Y25"/>
    <mergeCell ref="AB28:AC29"/>
    <mergeCell ref="T10:U11"/>
    <mergeCell ref="T12:U13"/>
    <mergeCell ref="T14:U15"/>
    <mergeCell ref="T16:U17"/>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Z28:AA29"/>
    <mergeCell ref="X20:Y21"/>
    <mergeCell ref="T20:U21"/>
    <mergeCell ref="AR12:AS13"/>
    <mergeCell ref="AT12:AU13"/>
    <mergeCell ref="AV12:AW13"/>
    <mergeCell ref="AN14:AO15"/>
    <mergeCell ref="AP14:AQ15"/>
    <mergeCell ref="AR14:AS15"/>
    <mergeCell ref="AT14:AU15"/>
    <mergeCell ref="AV14:AW15"/>
    <mergeCell ref="AH30:AI31"/>
    <mergeCell ref="AJ30:AK31"/>
    <mergeCell ref="AL30:AM31"/>
    <mergeCell ref="AF32:AG33"/>
    <mergeCell ref="AH32:AI33"/>
    <mergeCell ref="AH14:AI15"/>
    <mergeCell ref="AJ14:AK15"/>
    <mergeCell ref="AL14:AM15"/>
    <mergeCell ref="AP22:AQ23"/>
    <mergeCell ref="AR22:AS23"/>
    <mergeCell ref="AF14:AG15"/>
    <mergeCell ref="AF18:AG19"/>
    <mergeCell ref="AH18:AI19"/>
    <mergeCell ref="AP20:AQ21"/>
    <mergeCell ref="AR20:AS21"/>
    <mergeCell ref="AT18:AU19"/>
    <mergeCell ref="AV18:AW19"/>
    <mergeCell ref="AF20:AG21"/>
    <mergeCell ref="AH20:AI21"/>
    <mergeCell ref="AJ20:AK21"/>
    <mergeCell ref="AT22:AU23"/>
    <mergeCell ref="AT24:AU25"/>
    <mergeCell ref="AP12:AQ13"/>
    <mergeCell ref="X78:Y79"/>
    <mergeCell ref="V78:W79"/>
    <mergeCell ref="V80:W81"/>
    <mergeCell ref="X80:Y81"/>
    <mergeCell ref="V82:W83"/>
    <mergeCell ref="V90:W91"/>
    <mergeCell ref="V92:W93"/>
    <mergeCell ref="X82:Y83"/>
    <mergeCell ref="X90:Y91"/>
    <mergeCell ref="X92:Y93"/>
    <mergeCell ref="AB92:AC93"/>
    <mergeCell ref="AB90:AC91"/>
    <mergeCell ref="AB82:AC83"/>
    <mergeCell ref="AB80:AC81"/>
    <mergeCell ref="AB78:AC79"/>
    <mergeCell ref="Z78:AA79"/>
    <mergeCell ref="Z80:AA81"/>
    <mergeCell ref="Z82:AA83"/>
    <mergeCell ref="Z90:AA91"/>
    <mergeCell ref="Z92:AA93"/>
    <mergeCell ref="Z20:AA21"/>
    <mergeCell ref="AB20:AC21"/>
    <mergeCell ref="V84:W85"/>
    <mergeCell ref="AB18:AC19"/>
    <mergeCell ref="V18:W19"/>
    <mergeCell ref="X18:Y19"/>
    <mergeCell ref="Z18:AA19"/>
    <mergeCell ref="AN92:AO93"/>
    <mergeCell ref="AL80:AM81"/>
    <mergeCell ref="AD82:AE83"/>
    <mergeCell ref="AF82:AG83"/>
    <mergeCell ref="AZ36:BA37"/>
    <mergeCell ref="AX62:AY63"/>
    <mergeCell ref="BB32:BC33"/>
    <mergeCell ref="AP6:AQ7"/>
    <mergeCell ref="AR6:AS7"/>
    <mergeCell ref="AP8:AQ9"/>
    <mergeCell ref="AR8:AS9"/>
    <mergeCell ref="AN10:AO11"/>
    <mergeCell ref="AP10:AQ11"/>
    <mergeCell ref="AR10:AS11"/>
    <mergeCell ref="AD16:AE17"/>
    <mergeCell ref="AF16:AG17"/>
    <mergeCell ref="AH16:AI17"/>
    <mergeCell ref="AJ16:AK17"/>
    <mergeCell ref="AL16:AM17"/>
    <mergeCell ref="AN16:AO17"/>
    <mergeCell ref="AP16:AQ17"/>
    <mergeCell ref="AR16:AS17"/>
    <mergeCell ref="AL18:AM19"/>
    <mergeCell ref="AN18:AO19"/>
    <mergeCell ref="AD18:AE19"/>
    <mergeCell ref="AD14:AE15"/>
    <mergeCell ref="AP18:AQ19"/>
    <mergeCell ref="AR18:AS19"/>
    <mergeCell ref="AJ18:AK19"/>
    <mergeCell ref="AJ24:AK25"/>
    <mergeCell ref="AL24:AM25"/>
    <mergeCell ref="AH36:AI37"/>
    <mergeCell ref="AJ36:AK37"/>
    <mergeCell ref="AT10:AU11"/>
    <mergeCell ref="AV10:AW11"/>
    <mergeCell ref="AN12:AO13"/>
    <mergeCell ref="AT38:AU39"/>
    <mergeCell ref="AV38:AW39"/>
    <mergeCell ref="AT42:AU43"/>
    <mergeCell ref="BB10:BC11"/>
    <mergeCell ref="BB12:BC13"/>
    <mergeCell ref="BB14:BC15"/>
    <mergeCell ref="AX10:AY11"/>
    <mergeCell ref="AX12:AY13"/>
    <mergeCell ref="AX14:AY15"/>
    <mergeCell ref="AX16:AY17"/>
    <mergeCell ref="AX24:AY25"/>
    <mergeCell ref="AX32:AY33"/>
    <mergeCell ref="BB18:BC19"/>
    <mergeCell ref="AZ78:BA79"/>
    <mergeCell ref="BB78:BC79"/>
    <mergeCell ref="BB66:BC67"/>
    <mergeCell ref="BB20:BC21"/>
    <mergeCell ref="AX22:AY23"/>
    <mergeCell ref="AZ22:BA23"/>
    <mergeCell ref="BB22:BC23"/>
    <mergeCell ref="AX42:AY43"/>
    <mergeCell ref="AZ42:BA43"/>
    <mergeCell ref="BB42:BC43"/>
    <mergeCell ref="AX52:AY53"/>
    <mergeCell ref="AZ52:BA53"/>
    <mergeCell ref="BB52:BC53"/>
    <mergeCell ref="AX54:AY55"/>
    <mergeCell ref="AZ54:BA55"/>
    <mergeCell ref="BB54:BC55"/>
    <mergeCell ref="AX38:AY39"/>
    <mergeCell ref="AZ38:BA39"/>
    <mergeCell ref="BB38:BC39"/>
    <mergeCell ref="AX66:AY67"/>
    <mergeCell ref="AT58:AU59"/>
    <mergeCell ref="AV58:AW59"/>
    <mergeCell ref="BB36:BC37"/>
    <mergeCell ref="BD36:BE37"/>
    <mergeCell ref="BF36:BG37"/>
    <mergeCell ref="AX56:AY57"/>
    <mergeCell ref="BD56:BE57"/>
    <mergeCell ref="BF56:BG57"/>
    <mergeCell ref="AX60:AY61"/>
    <mergeCell ref="BD60:BE61"/>
    <mergeCell ref="BF60:BG61"/>
    <mergeCell ref="AX50:AY51"/>
    <mergeCell ref="AP34:AQ35"/>
    <mergeCell ref="AR34:AS35"/>
    <mergeCell ref="BB44:BC45"/>
    <mergeCell ref="BD44:BE45"/>
    <mergeCell ref="BF44:BG45"/>
    <mergeCell ref="AX46:AY47"/>
    <mergeCell ref="AZ46:BA47"/>
    <mergeCell ref="BB46:BC47"/>
    <mergeCell ref="AX34:AY35"/>
    <mergeCell ref="AZ34:BA35"/>
    <mergeCell ref="BB34:BC35"/>
    <mergeCell ref="AT46:AU47"/>
    <mergeCell ref="AV46:AW47"/>
    <mergeCell ref="AV54:AW55"/>
    <mergeCell ref="BB58:BC59"/>
    <mergeCell ref="BB48:BC49"/>
    <mergeCell ref="BD48:BE49"/>
    <mergeCell ref="BF48:BG49"/>
    <mergeCell ref="AV52:AW53"/>
    <mergeCell ref="AV76:AW77"/>
    <mergeCell ref="AD68:AE69"/>
    <mergeCell ref="AJ94:AK95"/>
    <mergeCell ref="AL94:AM95"/>
    <mergeCell ref="AN94:AO95"/>
    <mergeCell ref="AP94:AQ95"/>
    <mergeCell ref="BD34:BE35"/>
    <mergeCell ref="AP48:AQ49"/>
    <mergeCell ref="AR48:AS49"/>
    <mergeCell ref="AT48:AU49"/>
    <mergeCell ref="AV48:AW49"/>
    <mergeCell ref="AP50:AQ51"/>
    <mergeCell ref="AN64:AO65"/>
    <mergeCell ref="AP64:AQ65"/>
    <mergeCell ref="AR64:AS65"/>
    <mergeCell ref="AT64:AU65"/>
    <mergeCell ref="AV64:AW65"/>
    <mergeCell ref="AN66:AO67"/>
    <mergeCell ref="AX78:AY79"/>
    <mergeCell ref="AP66:AQ67"/>
    <mergeCell ref="AR66:AS67"/>
    <mergeCell ref="AT66:AU67"/>
    <mergeCell ref="BD78:BE79"/>
    <mergeCell ref="AJ38:AK39"/>
    <mergeCell ref="AL38:AM39"/>
    <mergeCell ref="AJ34:AK35"/>
    <mergeCell ref="AL34:AM35"/>
    <mergeCell ref="AR36:AS37"/>
    <mergeCell ref="AV66:AW67"/>
    <mergeCell ref="AN62:AO63"/>
    <mergeCell ref="AP58:AQ59"/>
    <mergeCell ref="AR58:AS59"/>
    <mergeCell ref="N94:O95"/>
    <mergeCell ref="P94:Q95"/>
    <mergeCell ref="R94:S95"/>
    <mergeCell ref="T94:U95"/>
    <mergeCell ref="V94:W95"/>
    <mergeCell ref="X94:Y95"/>
    <mergeCell ref="Z94:AA95"/>
    <mergeCell ref="AB94:AC95"/>
    <mergeCell ref="AD94:AE95"/>
    <mergeCell ref="AF94:AG95"/>
    <mergeCell ref="AH94:AI95"/>
    <mergeCell ref="AH38:AI39"/>
    <mergeCell ref="P92:Q93"/>
    <mergeCell ref="AH48:AI49"/>
    <mergeCell ref="AH54:AI55"/>
    <mergeCell ref="V76:W77"/>
    <mergeCell ref="X76:Y77"/>
    <mergeCell ref="Z76:AA77"/>
    <mergeCell ref="N66:O67"/>
    <mergeCell ref="AH76:AI77"/>
    <mergeCell ref="Z64:AA65"/>
    <mergeCell ref="V60:W61"/>
    <mergeCell ref="X60:Y61"/>
    <mergeCell ref="X72:Y73"/>
    <mergeCell ref="Z72:AA73"/>
    <mergeCell ref="AB72:AC73"/>
    <mergeCell ref="AB76:AC77"/>
    <mergeCell ref="T92:U93"/>
    <mergeCell ref="Z50:AA51"/>
    <mergeCell ref="R46:S47"/>
    <mergeCell ref="T86:U87"/>
    <mergeCell ref="T84:U85"/>
    <mergeCell ref="AX18:AY19"/>
    <mergeCell ref="AZ18:BA19"/>
    <mergeCell ref="BD94:BE95"/>
    <mergeCell ref="BF94:BG95"/>
    <mergeCell ref="J58:K59"/>
    <mergeCell ref="L58:M59"/>
    <mergeCell ref="N58:O59"/>
    <mergeCell ref="P58:Q59"/>
    <mergeCell ref="R58:S59"/>
    <mergeCell ref="T58:U59"/>
    <mergeCell ref="V58:W59"/>
    <mergeCell ref="X58:Y59"/>
    <mergeCell ref="Z58:AA59"/>
    <mergeCell ref="AB58:AC59"/>
    <mergeCell ref="AD58:AE59"/>
    <mergeCell ref="AF58:AG59"/>
    <mergeCell ref="AH58:AI59"/>
    <mergeCell ref="AJ58:AK59"/>
    <mergeCell ref="AL58:AM59"/>
    <mergeCell ref="AN58:AO59"/>
    <mergeCell ref="J36:K37"/>
    <mergeCell ref="L36:M37"/>
    <mergeCell ref="J94:K95"/>
    <mergeCell ref="AJ76:AK77"/>
    <mergeCell ref="L94:M95"/>
    <mergeCell ref="AF36:AG37"/>
    <mergeCell ref="BD66:BE67"/>
    <mergeCell ref="BF66:BG67"/>
    <mergeCell ref="AZ74:BA75"/>
    <mergeCell ref="BB74:BC75"/>
    <mergeCell ref="X48:Y49"/>
    <mergeCell ref="AZ66:BA67"/>
    <mergeCell ref="BD74:BE75"/>
    <mergeCell ref="BF74:BG75"/>
    <mergeCell ref="AZ76:BA77"/>
    <mergeCell ref="AN70:AO71"/>
    <mergeCell ref="AP70:AQ71"/>
    <mergeCell ref="AR70:AS71"/>
    <mergeCell ref="AT70:AU71"/>
    <mergeCell ref="AV70:AW71"/>
    <mergeCell ref="BF68:BG69"/>
    <mergeCell ref="AX70:AY71"/>
    <mergeCell ref="AZ70:BA71"/>
    <mergeCell ref="BB70:BC71"/>
    <mergeCell ref="BD70:BE71"/>
    <mergeCell ref="BF70:BG71"/>
    <mergeCell ref="AX72:AY73"/>
    <mergeCell ref="AZ72:BA73"/>
    <mergeCell ref="BB72:BC73"/>
    <mergeCell ref="BD68:BE69"/>
    <mergeCell ref="BB76:BC77"/>
    <mergeCell ref="AR72:AS73"/>
    <mergeCell ref="AT72:AU73"/>
    <mergeCell ref="AV72:AW73"/>
    <mergeCell ref="AX68:AY69"/>
    <mergeCell ref="AZ68:BA69"/>
    <mergeCell ref="BB68:BC69"/>
    <mergeCell ref="AX74:AY75"/>
    <mergeCell ref="AN76:AO77"/>
    <mergeCell ref="AP76:AQ77"/>
    <mergeCell ref="AR76:AS77"/>
    <mergeCell ref="AT76:AU77"/>
    <mergeCell ref="AN72:AO73"/>
    <mergeCell ref="AX76:AY77"/>
    <mergeCell ref="AP72:AQ73"/>
    <mergeCell ref="V66:W67"/>
    <mergeCell ref="V74:W75"/>
    <mergeCell ref="X64:Y65"/>
    <mergeCell ref="X66:Y67"/>
    <mergeCell ref="X74:Y75"/>
    <mergeCell ref="Z66:AA67"/>
    <mergeCell ref="AD74:AE75"/>
    <mergeCell ref="AJ74:AK75"/>
    <mergeCell ref="X70:Y71"/>
    <mergeCell ref="Z70:AA71"/>
    <mergeCell ref="AB70:AC71"/>
    <mergeCell ref="AH64:AI65"/>
    <mergeCell ref="AH66:AI67"/>
    <mergeCell ref="X68:Y69"/>
    <mergeCell ref="Z68:AA69"/>
    <mergeCell ref="AB68:AC69"/>
    <mergeCell ref="AH72:AI73"/>
    <mergeCell ref="AJ72:AK73"/>
    <mergeCell ref="AH68:AI69"/>
    <mergeCell ref="AF66:AG67"/>
    <mergeCell ref="AF74:AG75"/>
    <mergeCell ref="AH74:AI75"/>
    <mergeCell ref="V64:W65"/>
    <mergeCell ref="V70:W71"/>
    <mergeCell ref="AB64:AC65"/>
    <mergeCell ref="AF46:AG47"/>
    <mergeCell ref="AH46:AI47"/>
    <mergeCell ref="AJ46:AK47"/>
    <mergeCell ref="AL46:AM47"/>
    <mergeCell ref="AD48:AE49"/>
    <mergeCell ref="AF48:AG49"/>
    <mergeCell ref="AT54:AU55"/>
    <mergeCell ref="AP74:AQ75"/>
    <mergeCell ref="AR74:AS75"/>
    <mergeCell ref="AT74:AU75"/>
    <mergeCell ref="AV74:AW75"/>
    <mergeCell ref="AL74:AM75"/>
    <mergeCell ref="AL72:AM73"/>
    <mergeCell ref="AD56:AE57"/>
    <mergeCell ref="AL56:AM57"/>
    <mergeCell ref="AD60:AE61"/>
    <mergeCell ref="AJ60:AK61"/>
    <mergeCell ref="AL60:AM61"/>
    <mergeCell ref="AF60:AG61"/>
    <mergeCell ref="AH60:AI61"/>
    <mergeCell ref="AN56:AO57"/>
    <mergeCell ref="AT56:AU57"/>
    <mergeCell ref="AV56:AW57"/>
    <mergeCell ref="AJ56:AK57"/>
    <mergeCell ref="AH62:AI63"/>
    <mergeCell ref="AJ66:AK67"/>
    <mergeCell ref="AL52:AM53"/>
    <mergeCell ref="AJ48:AK49"/>
    <mergeCell ref="AH70:AI71"/>
    <mergeCell ref="AP56:AQ57"/>
    <mergeCell ref="AP60:AQ61"/>
    <mergeCell ref="AR60:AS61"/>
    <mergeCell ref="Z62:AA63"/>
    <mergeCell ref="AF68:AG69"/>
    <mergeCell ref="AL20:AM21"/>
    <mergeCell ref="AD22:AE23"/>
    <mergeCell ref="AF22:AG23"/>
    <mergeCell ref="AH22:AI23"/>
    <mergeCell ref="AJ22:AK23"/>
    <mergeCell ref="AL22:AM23"/>
    <mergeCell ref="AD30:AE31"/>
    <mergeCell ref="AF30:AG31"/>
    <mergeCell ref="AD24:AE25"/>
    <mergeCell ref="AD26:AE27"/>
    <mergeCell ref="AV44:AW45"/>
    <mergeCell ref="AV28:AW29"/>
    <mergeCell ref="AT32:AU33"/>
    <mergeCell ref="AV32:AW33"/>
    <mergeCell ref="AP38:AQ39"/>
    <mergeCell ref="AR38:AS39"/>
    <mergeCell ref="AN54:AO55"/>
    <mergeCell ref="AR46:AS47"/>
    <mergeCell ref="AP54:AQ55"/>
    <mergeCell ref="AR54:AS55"/>
    <mergeCell ref="AT20:AU21"/>
    <mergeCell ref="AV20:AW21"/>
    <mergeCell ref="AV22:AW23"/>
    <mergeCell ref="AV42:AW43"/>
    <mergeCell ref="AT40:AU41"/>
    <mergeCell ref="AV50:AW51"/>
    <mergeCell ref="AN46:AO47"/>
    <mergeCell ref="AP46:AQ47"/>
    <mergeCell ref="AH52:AI53"/>
    <mergeCell ref="AJ52:AK53"/>
    <mergeCell ref="AX36:AY37"/>
    <mergeCell ref="T38:U39"/>
    <mergeCell ref="V38:W39"/>
    <mergeCell ref="X38:Y39"/>
    <mergeCell ref="Z38:AA39"/>
    <mergeCell ref="AB38:AC39"/>
    <mergeCell ref="T40:U41"/>
    <mergeCell ref="V40:W41"/>
    <mergeCell ref="AL32:AM33"/>
    <mergeCell ref="T36:U37"/>
    <mergeCell ref="V36:W37"/>
    <mergeCell ref="X36:Y37"/>
    <mergeCell ref="V34:W35"/>
    <mergeCell ref="AD40:AE41"/>
    <mergeCell ref="AF40:AG41"/>
    <mergeCell ref="AH40:AI41"/>
    <mergeCell ref="AJ40:AK41"/>
    <mergeCell ref="V32:W33"/>
    <mergeCell ref="Z36:AA37"/>
    <mergeCell ref="X32:Y33"/>
    <mergeCell ref="X34:Y35"/>
    <mergeCell ref="AD34:AE35"/>
    <mergeCell ref="AF34:AG35"/>
    <mergeCell ref="AH34:AI35"/>
    <mergeCell ref="AN32:AO33"/>
    <mergeCell ref="AB32:AC33"/>
    <mergeCell ref="AP40:AQ41"/>
    <mergeCell ref="AD38:AE39"/>
    <mergeCell ref="AF38:AG39"/>
    <mergeCell ref="AB36:AC37"/>
    <mergeCell ref="AD36:AE37"/>
    <mergeCell ref="AP36:AQ37"/>
    <mergeCell ref="N54:O55"/>
    <mergeCell ref="P54:Q55"/>
    <mergeCell ref="R54:S55"/>
    <mergeCell ref="T52:U53"/>
    <mergeCell ref="V52:W53"/>
    <mergeCell ref="X52:Y53"/>
    <mergeCell ref="AB34:AC35"/>
    <mergeCell ref="V26:W27"/>
    <mergeCell ref="V28:W29"/>
    <mergeCell ref="V30:W31"/>
    <mergeCell ref="Z52:AA53"/>
    <mergeCell ref="T42:U43"/>
    <mergeCell ref="V42:W43"/>
    <mergeCell ref="X42:Y43"/>
    <mergeCell ref="Z42:AA43"/>
    <mergeCell ref="AB42:AC43"/>
    <mergeCell ref="X40:Y41"/>
    <mergeCell ref="R44:S45"/>
    <mergeCell ref="X30:Y31"/>
    <mergeCell ref="Z30:AA31"/>
    <mergeCell ref="Z34:AA35"/>
    <mergeCell ref="AB30:AC31"/>
    <mergeCell ref="J52:K53"/>
    <mergeCell ref="L52:M53"/>
    <mergeCell ref="N52:O53"/>
    <mergeCell ref="P52:Q53"/>
    <mergeCell ref="V46:W47"/>
    <mergeCell ref="Z40:AA41"/>
    <mergeCell ref="Z48:AA49"/>
    <mergeCell ref="J44:K45"/>
    <mergeCell ref="J46:K47"/>
    <mergeCell ref="J48:K49"/>
    <mergeCell ref="J38:K39"/>
    <mergeCell ref="L38:M39"/>
    <mergeCell ref="N38:O39"/>
    <mergeCell ref="AZ24:BA25"/>
    <mergeCell ref="AT30:AU31"/>
    <mergeCell ref="AV30:AW31"/>
    <mergeCell ref="AP32:AQ33"/>
    <mergeCell ref="AR32:AS33"/>
    <mergeCell ref="AT34:AU35"/>
    <mergeCell ref="AV34:AW35"/>
    <mergeCell ref="AP24:AQ25"/>
    <mergeCell ref="AR24:AS25"/>
    <mergeCell ref="AP26:AQ27"/>
    <mergeCell ref="AR26:AS27"/>
    <mergeCell ref="AN28:AO29"/>
    <mergeCell ref="AP28:AQ29"/>
    <mergeCell ref="AR28:AS29"/>
    <mergeCell ref="AN30:AO31"/>
    <mergeCell ref="AP30:AQ31"/>
    <mergeCell ref="AR30:AS31"/>
    <mergeCell ref="AT28:AU29"/>
    <mergeCell ref="AV24:AW25"/>
    <mergeCell ref="AN34:AO35"/>
    <mergeCell ref="AZ26:BA27"/>
    <mergeCell ref="AT26:AU27"/>
    <mergeCell ref="AV26:AW27"/>
    <mergeCell ref="AN26:AO27"/>
    <mergeCell ref="L42:M43"/>
    <mergeCell ref="N42:O43"/>
    <mergeCell ref="P42:Q43"/>
    <mergeCell ref="AR42:AS43"/>
    <mergeCell ref="AN22:AO23"/>
    <mergeCell ref="AN20:AO21"/>
    <mergeCell ref="AB40:AC41"/>
    <mergeCell ref="AD20:AE21"/>
    <mergeCell ref="AD28:AE29"/>
    <mergeCell ref="AF28:AG29"/>
    <mergeCell ref="AH28:AI29"/>
    <mergeCell ref="AJ28:AK29"/>
    <mergeCell ref="AL28:AM29"/>
    <mergeCell ref="AD32:AE33"/>
    <mergeCell ref="AJ32:AK33"/>
    <mergeCell ref="AR40:AS41"/>
    <mergeCell ref="T22:U23"/>
    <mergeCell ref="V22:W23"/>
    <mergeCell ref="X22:Y23"/>
    <mergeCell ref="Z22:AA23"/>
    <mergeCell ref="AB22:AC23"/>
    <mergeCell ref="AL36:AM37"/>
    <mergeCell ref="AN36:AO37"/>
    <mergeCell ref="AN38:AO39"/>
    <mergeCell ref="X26:Y27"/>
    <mergeCell ref="X28:Y29"/>
    <mergeCell ref="V20:W21"/>
    <mergeCell ref="AV40:AW41"/>
    <mergeCell ref="AT36:AU37"/>
    <mergeCell ref="AV36:AW37"/>
    <mergeCell ref="AF54:AG55"/>
    <mergeCell ref="AN42:AO43"/>
    <mergeCell ref="AP42:AQ43"/>
    <mergeCell ref="AN44:AO45"/>
    <mergeCell ref="AN60:AO61"/>
    <mergeCell ref="AT60:AU61"/>
    <mergeCell ref="AV60:AW61"/>
    <mergeCell ref="AN48:AO49"/>
    <mergeCell ref="AR50:AS51"/>
    <mergeCell ref="AT52:AU53"/>
    <mergeCell ref="AB52:AC53"/>
    <mergeCell ref="V54:W55"/>
    <mergeCell ref="X44:Y45"/>
    <mergeCell ref="AR44:AS45"/>
    <mergeCell ref="AN40:AO41"/>
    <mergeCell ref="AL40:AM41"/>
    <mergeCell ref="AD42:AE43"/>
    <mergeCell ref="AF42:AG43"/>
    <mergeCell ref="AH42:AI43"/>
    <mergeCell ref="AJ42:AK43"/>
    <mergeCell ref="AL42:AM43"/>
    <mergeCell ref="AB56:AC57"/>
    <mergeCell ref="AD52:AE53"/>
    <mergeCell ref="AF52:AG53"/>
    <mergeCell ref="AD54:AE55"/>
    <mergeCell ref="AD44:AE45"/>
    <mergeCell ref="AF44:AG45"/>
    <mergeCell ref="X46:Y47"/>
    <mergeCell ref="AT50:AU51"/>
    <mergeCell ref="AT44:AU45"/>
    <mergeCell ref="AR56:AS57"/>
    <mergeCell ref="Z44:AA45"/>
    <mergeCell ref="AB44:AC45"/>
    <mergeCell ref="AL54:AM55"/>
    <mergeCell ref="AN52:AO53"/>
    <mergeCell ref="AP52:AQ53"/>
    <mergeCell ref="AR52:AS53"/>
    <mergeCell ref="AN50:AO51"/>
    <mergeCell ref="T44:U45"/>
    <mergeCell ref="X50:Y51"/>
    <mergeCell ref="X56:Y57"/>
    <mergeCell ref="Z46:AA47"/>
    <mergeCell ref="V48:W49"/>
    <mergeCell ref="V50:W51"/>
    <mergeCell ref="T56:U57"/>
    <mergeCell ref="V56:W57"/>
    <mergeCell ref="AD50:AE51"/>
    <mergeCell ref="AJ50:AK51"/>
    <mergeCell ref="AL50:AM51"/>
    <mergeCell ref="AH50:AI51"/>
    <mergeCell ref="AF56:AG57"/>
    <mergeCell ref="AH56:AI57"/>
    <mergeCell ref="AH44:AI45"/>
    <mergeCell ref="AJ44:AK45"/>
    <mergeCell ref="AL44:AM45"/>
    <mergeCell ref="T54:U55"/>
    <mergeCell ref="X54:Y55"/>
    <mergeCell ref="Z54:AA55"/>
    <mergeCell ref="AB54:AC55"/>
    <mergeCell ref="AP44:AQ45"/>
    <mergeCell ref="AD46:AE47"/>
    <mergeCell ref="R84:S85"/>
    <mergeCell ref="AD84:AE85"/>
    <mergeCell ref="AF84:AG85"/>
    <mergeCell ref="AH84:AI85"/>
    <mergeCell ref="AJ84:AK85"/>
    <mergeCell ref="AL84:AM85"/>
    <mergeCell ref="AX84:AY85"/>
    <mergeCell ref="AZ84:BA85"/>
    <mergeCell ref="BB84:BC85"/>
    <mergeCell ref="BD84:BE85"/>
    <mergeCell ref="BF84:BG85"/>
    <mergeCell ref="AN68:AO69"/>
    <mergeCell ref="AP68:AQ69"/>
    <mergeCell ref="AR68:AS69"/>
    <mergeCell ref="AT68:AU69"/>
    <mergeCell ref="AN84:AO85"/>
    <mergeCell ref="J68:K69"/>
    <mergeCell ref="L68:M69"/>
    <mergeCell ref="N68:O69"/>
    <mergeCell ref="P68:Q69"/>
    <mergeCell ref="R68:S69"/>
    <mergeCell ref="J70:K71"/>
    <mergeCell ref="L70:M71"/>
    <mergeCell ref="N70:O71"/>
    <mergeCell ref="P70:Q71"/>
    <mergeCell ref="R70:S71"/>
    <mergeCell ref="J72:K73"/>
    <mergeCell ref="L72:M73"/>
    <mergeCell ref="T68:U69"/>
    <mergeCell ref="V68:W69"/>
    <mergeCell ref="T72:U73"/>
    <mergeCell ref="T70:U71"/>
    <mergeCell ref="J88:K89"/>
    <mergeCell ref="L88:M89"/>
    <mergeCell ref="N88:O89"/>
    <mergeCell ref="P88:Q89"/>
    <mergeCell ref="R88:S89"/>
    <mergeCell ref="X86:Y87"/>
    <mergeCell ref="Z86:AA87"/>
    <mergeCell ref="AB86:AC87"/>
    <mergeCell ref="T88:U89"/>
    <mergeCell ref="V88:W89"/>
    <mergeCell ref="X88:Y89"/>
    <mergeCell ref="Z88:AA89"/>
    <mergeCell ref="AB88:AC89"/>
    <mergeCell ref="P86:Q87"/>
    <mergeCell ref="R86:S87"/>
    <mergeCell ref="BD86:BE87"/>
    <mergeCell ref="BF86:BG87"/>
    <mergeCell ref="AX88:AY89"/>
    <mergeCell ref="AZ88:BA89"/>
    <mergeCell ref="BB88:BC89"/>
    <mergeCell ref="BD88:BE89"/>
    <mergeCell ref="BF88:BG89"/>
    <mergeCell ref="AH86:AI87"/>
    <mergeCell ref="AJ86:AK87"/>
    <mergeCell ref="AL86:AM87"/>
    <mergeCell ref="AD88:AE89"/>
    <mergeCell ref="AF88:AG89"/>
    <mergeCell ref="AH88:AI89"/>
    <mergeCell ref="AJ88:AK89"/>
    <mergeCell ref="AL88:AM89"/>
    <mergeCell ref="AT86:AU87"/>
    <mergeCell ref="AV86:AW8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38"/>
      <c r="B1" s="528" t="s">
        <v>49</v>
      </c>
      <c r="C1" s="528"/>
      <c r="D1" s="528"/>
      <c r="E1" s="38"/>
      <c r="F1" s="38"/>
      <c r="G1" s="38"/>
      <c r="H1" s="38"/>
      <c r="I1" s="38"/>
      <c r="J1" s="38"/>
      <c r="K1" s="38"/>
      <c r="L1" s="38"/>
      <c r="M1" s="38"/>
      <c r="N1" s="38"/>
      <c r="O1" s="38"/>
      <c r="P1" s="38"/>
      <c r="Q1" s="38"/>
      <c r="R1" s="38"/>
      <c r="S1" s="38"/>
      <c r="T1" s="38"/>
      <c r="U1" s="38"/>
      <c r="V1" s="38"/>
      <c r="W1" s="38"/>
      <c r="X1" s="38"/>
      <c r="Y1" s="38"/>
      <c r="Z1" s="38"/>
      <c r="AA1" s="38"/>
      <c r="AB1" s="38"/>
      <c r="AC1" s="38"/>
      <c r="AD1" s="38"/>
      <c r="AE1" s="38"/>
    </row>
    <row r="2" spans="1:37"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row>
    <row r="3" spans="1:37" ht="25.5" x14ac:dyDescent="0.25">
      <c r="A3" s="38"/>
      <c r="B3" s="7"/>
      <c r="C3" s="8" t="s">
        <v>46</v>
      </c>
      <c r="D3" s="8" t="s">
        <v>4</v>
      </c>
      <c r="E3" s="38"/>
      <c r="F3" s="38"/>
      <c r="G3" s="38"/>
      <c r="H3" s="38"/>
      <c r="I3" s="38"/>
      <c r="J3" s="38"/>
      <c r="K3" s="38"/>
      <c r="L3" s="38"/>
      <c r="M3" s="38"/>
      <c r="N3" s="38"/>
      <c r="O3" s="38"/>
      <c r="P3" s="38"/>
      <c r="Q3" s="38"/>
      <c r="R3" s="38"/>
      <c r="S3" s="38"/>
      <c r="T3" s="38"/>
      <c r="U3" s="38"/>
      <c r="V3" s="38"/>
      <c r="W3" s="38"/>
      <c r="X3" s="38"/>
      <c r="Y3" s="38"/>
      <c r="Z3" s="38"/>
      <c r="AA3" s="38"/>
      <c r="AB3" s="38"/>
      <c r="AC3" s="38"/>
      <c r="AD3" s="38"/>
      <c r="AE3" s="38"/>
    </row>
    <row r="4" spans="1:37" ht="51" x14ac:dyDescent="0.25">
      <c r="A4" s="38"/>
      <c r="B4" s="9" t="s">
        <v>45</v>
      </c>
      <c r="C4" s="10" t="s">
        <v>93</v>
      </c>
      <c r="D4" s="11">
        <v>0.2</v>
      </c>
      <c r="E4" s="38"/>
      <c r="F4" s="38"/>
      <c r="G4" s="38"/>
      <c r="H4" s="38"/>
      <c r="I4" s="38"/>
      <c r="J4" s="38"/>
      <c r="K4" s="38"/>
      <c r="L4" s="38"/>
      <c r="M4" s="38"/>
      <c r="N4" s="38"/>
      <c r="O4" s="38"/>
      <c r="P4" s="38"/>
      <c r="Q4" s="38"/>
      <c r="R4" s="38"/>
      <c r="S4" s="38"/>
      <c r="T4" s="38"/>
      <c r="U4" s="38"/>
      <c r="V4" s="38"/>
      <c r="W4" s="38"/>
      <c r="X4" s="38"/>
      <c r="Y4" s="38"/>
      <c r="Z4" s="38"/>
      <c r="AA4" s="38"/>
      <c r="AB4" s="38"/>
      <c r="AC4" s="38"/>
      <c r="AD4" s="38"/>
      <c r="AE4" s="38"/>
    </row>
    <row r="5" spans="1:37" ht="51" x14ac:dyDescent="0.25">
      <c r="A5" s="38"/>
      <c r="B5" s="12" t="s">
        <v>47</v>
      </c>
      <c r="C5" s="13" t="s">
        <v>94</v>
      </c>
      <c r="D5" s="14">
        <v>0.4</v>
      </c>
      <c r="E5" s="38"/>
      <c r="F5" s="38"/>
      <c r="G5" s="38"/>
      <c r="H5" s="38"/>
      <c r="I5" s="38"/>
      <c r="J5" s="38"/>
      <c r="K5" s="38"/>
      <c r="L5" s="38"/>
      <c r="M5" s="38"/>
      <c r="N5" s="38"/>
      <c r="O5" s="38"/>
      <c r="P5" s="38"/>
      <c r="Q5" s="38"/>
      <c r="R5" s="38"/>
      <c r="S5" s="38"/>
      <c r="T5" s="38"/>
      <c r="U5" s="38"/>
      <c r="V5" s="38"/>
      <c r="W5" s="38"/>
      <c r="X5" s="38"/>
      <c r="Y5" s="38"/>
      <c r="Z5" s="38"/>
      <c r="AA5" s="38"/>
      <c r="AB5" s="38"/>
      <c r="AC5" s="38"/>
      <c r="AD5" s="38"/>
      <c r="AE5" s="38"/>
    </row>
    <row r="6" spans="1:37" ht="51" x14ac:dyDescent="0.25">
      <c r="A6" s="38"/>
      <c r="B6" s="15" t="s">
        <v>98</v>
      </c>
      <c r="C6" s="13" t="s">
        <v>95</v>
      </c>
      <c r="D6" s="14">
        <v>0.6</v>
      </c>
      <c r="E6" s="38"/>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1:37" ht="76.5" x14ac:dyDescent="0.25">
      <c r="A7" s="38"/>
      <c r="B7" s="16" t="s">
        <v>6</v>
      </c>
      <c r="C7" s="13" t="s">
        <v>96</v>
      </c>
      <c r="D7" s="14">
        <v>0.8</v>
      </c>
      <c r="E7" s="38"/>
      <c r="F7" s="38"/>
      <c r="G7" s="38"/>
      <c r="H7" s="38"/>
      <c r="I7" s="38"/>
      <c r="J7" s="38"/>
      <c r="K7" s="38"/>
      <c r="L7" s="38"/>
      <c r="M7" s="38"/>
      <c r="N7" s="38"/>
      <c r="O7" s="38"/>
      <c r="P7" s="38"/>
      <c r="Q7" s="38"/>
      <c r="R7" s="38"/>
      <c r="S7" s="38"/>
      <c r="T7" s="38"/>
      <c r="U7" s="38"/>
      <c r="V7" s="38"/>
      <c r="W7" s="38"/>
      <c r="X7" s="38"/>
      <c r="Y7" s="38"/>
      <c r="Z7" s="38"/>
      <c r="AA7" s="38"/>
      <c r="AB7" s="38"/>
      <c r="AC7" s="38"/>
      <c r="AD7" s="38"/>
      <c r="AE7" s="38"/>
    </row>
    <row r="8" spans="1:37" ht="51" x14ac:dyDescent="0.25">
      <c r="A8" s="38"/>
      <c r="B8" s="17" t="s">
        <v>48</v>
      </c>
      <c r="C8" s="13" t="s">
        <v>97</v>
      </c>
      <c r="D8" s="14">
        <v>1</v>
      </c>
      <c r="E8" s="38"/>
      <c r="F8" s="38"/>
      <c r="G8" s="38"/>
      <c r="H8" s="38"/>
      <c r="I8" s="38"/>
      <c r="J8" s="38"/>
      <c r="K8" s="38"/>
      <c r="L8" s="38"/>
      <c r="M8" s="38"/>
      <c r="N8" s="38"/>
      <c r="O8" s="38"/>
      <c r="P8" s="38"/>
      <c r="Q8" s="38"/>
      <c r="R8" s="38"/>
      <c r="S8" s="38"/>
      <c r="T8" s="38"/>
      <c r="U8" s="38"/>
      <c r="V8" s="38"/>
      <c r="W8" s="38"/>
      <c r="X8" s="38"/>
      <c r="Y8" s="38"/>
      <c r="Z8" s="38"/>
      <c r="AA8" s="38"/>
      <c r="AB8" s="38"/>
      <c r="AC8" s="38"/>
      <c r="AD8" s="38"/>
      <c r="AE8" s="38"/>
    </row>
    <row r="9" spans="1:37" x14ac:dyDescent="0.25">
      <c r="A9" s="38"/>
      <c r="B9" s="62"/>
      <c r="C9" s="62"/>
      <c r="D9" s="62"/>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row>
    <row r="10" spans="1:37" ht="16.5" x14ac:dyDescent="0.25">
      <c r="A10" s="38"/>
      <c r="B10" s="63"/>
      <c r="C10" s="62"/>
      <c r="D10" s="62"/>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row>
    <row r="11" spans="1:37" x14ac:dyDescent="0.25">
      <c r="A11" s="38"/>
      <c r="B11" s="62"/>
      <c r="C11" s="62"/>
      <c r="D11" s="62"/>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row>
    <row r="12" spans="1:37" x14ac:dyDescent="0.25">
      <c r="A12" s="38"/>
      <c r="B12" s="62"/>
      <c r="C12" s="62"/>
      <c r="D12" s="62"/>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row>
    <row r="13" spans="1:37" x14ac:dyDescent="0.25">
      <c r="A13" s="38"/>
      <c r="B13" s="62"/>
      <c r="C13" s="62"/>
      <c r="D13" s="62"/>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row>
    <row r="14" spans="1:37" x14ac:dyDescent="0.25">
      <c r="A14" s="38"/>
      <c r="B14" s="62"/>
      <c r="C14" s="62"/>
      <c r="D14" s="62"/>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row>
    <row r="15" spans="1:37" x14ac:dyDescent="0.25">
      <c r="A15" s="38"/>
      <c r="B15" s="62"/>
      <c r="C15" s="62"/>
      <c r="D15" s="62"/>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row>
    <row r="16" spans="1:37" x14ac:dyDescent="0.25">
      <c r="A16" s="38"/>
      <c r="B16" s="62"/>
      <c r="C16" s="62"/>
      <c r="D16" s="62"/>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row>
    <row r="17" spans="1:37" x14ac:dyDescent="0.25">
      <c r="A17" s="38"/>
      <c r="B17" s="62"/>
      <c r="C17" s="62"/>
      <c r="D17" s="62"/>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37" x14ac:dyDescent="0.25">
      <c r="A18" s="38"/>
      <c r="B18" s="62"/>
      <c r="C18" s="62"/>
      <c r="D18" s="62"/>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row>
    <row r="19" spans="1:37" x14ac:dyDescent="0.25">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row>
    <row r="20" spans="1:37" x14ac:dyDescent="0.25">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row>
    <row r="21" spans="1:37" x14ac:dyDescent="0.25">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row>
    <row r="22" spans="1:37" x14ac:dyDescent="0.25">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row>
    <row r="23" spans="1:37"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row>
    <row r="24" spans="1:37"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row>
    <row r="25" spans="1:37"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row>
    <row r="26" spans="1:37"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row>
    <row r="27" spans="1:37"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row>
    <row r="28" spans="1:37"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row>
    <row r="29" spans="1:37"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row>
    <row r="30" spans="1:37"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row>
    <row r="31" spans="1:37"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row>
    <row r="32" spans="1:37"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row>
    <row r="33" spans="1:31" x14ac:dyDescent="0.25">
      <c r="A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row>
    <row r="34" spans="1:31" x14ac:dyDescent="0.25">
      <c r="A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row>
    <row r="35" spans="1:31" x14ac:dyDescent="0.25">
      <c r="A35" s="38"/>
    </row>
    <row r="36" spans="1:31" x14ac:dyDescent="0.25">
      <c r="A36" s="38"/>
    </row>
    <row r="37" spans="1:31" x14ac:dyDescent="0.25">
      <c r="A37" s="38"/>
    </row>
    <row r="38" spans="1:31" x14ac:dyDescent="0.25">
      <c r="A38" s="38"/>
    </row>
    <row r="39" spans="1:31" x14ac:dyDescent="0.25">
      <c r="A39" s="38"/>
    </row>
    <row r="40" spans="1:31" x14ac:dyDescent="0.25">
      <c r="A40" s="38"/>
    </row>
    <row r="41" spans="1:31" x14ac:dyDescent="0.25">
      <c r="A41" s="38"/>
    </row>
    <row r="42" spans="1:31" x14ac:dyDescent="0.25">
      <c r="A42" s="38"/>
    </row>
    <row r="43" spans="1:31" x14ac:dyDescent="0.25">
      <c r="A43" s="38"/>
    </row>
    <row r="44" spans="1:31" x14ac:dyDescent="0.25">
      <c r="A44" s="38"/>
    </row>
    <row r="45" spans="1:31" x14ac:dyDescent="0.25">
      <c r="A45" s="38"/>
    </row>
    <row r="46" spans="1:31" x14ac:dyDescent="0.25">
      <c r="A46" s="38"/>
    </row>
    <row r="47" spans="1:31" x14ac:dyDescent="0.25">
      <c r="A47" s="38"/>
    </row>
    <row r="48" spans="1:31" x14ac:dyDescent="0.25">
      <c r="A48" s="38"/>
    </row>
    <row r="49" spans="1:1" x14ac:dyDescent="0.25">
      <c r="A49" s="38"/>
    </row>
    <row r="50" spans="1:1" x14ac:dyDescent="0.25">
      <c r="A50" s="38"/>
    </row>
    <row r="51" spans="1:1" x14ac:dyDescent="0.25">
      <c r="A51" s="38"/>
    </row>
    <row r="52" spans="1:1" x14ac:dyDescent="0.25">
      <c r="A52" s="38"/>
    </row>
    <row r="53" spans="1:1" x14ac:dyDescent="0.25">
      <c r="A53" s="38"/>
    </row>
    <row r="54" spans="1:1" x14ac:dyDescent="0.25">
      <c r="A54" s="38"/>
    </row>
    <row r="55" spans="1:1" x14ac:dyDescent="0.25">
      <c r="A55" s="38"/>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204" zoomScale="70" zoomScaleNormal="70" workbookViewId="0">
      <selection activeCell="C218" sqref="C218"/>
    </sheetView>
  </sheetViews>
  <sheetFormatPr baseColWidth="10" defaultRowHeight="15" x14ac:dyDescent="0.25"/>
  <cols>
    <col min="2" max="2" width="40.42578125" customWidth="1"/>
    <col min="3" max="3" width="74.85546875" customWidth="1"/>
    <col min="4" max="4" width="135" bestFit="1" customWidth="1"/>
    <col min="5" max="5" width="144.5703125" bestFit="1" customWidth="1"/>
  </cols>
  <sheetData>
    <row r="1" spans="1:21" ht="33.75" x14ac:dyDescent="0.25">
      <c r="A1" s="38"/>
      <c r="B1" s="529" t="s">
        <v>57</v>
      </c>
      <c r="C1" s="529"/>
      <c r="D1" s="529"/>
      <c r="E1" s="38"/>
      <c r="F1" s="38"/>
      <c r="G1" s="38"/>
      <c r="H1" s="38"/>
      <c r="I1" s="38"/>
      <c r="J1" s="38"/>
      <c r="K1" s="38"/>
      <c r="L1" s="38"/>
      <c r="M1" s="38"/>
      <c r="N1" s="38"/>
      <c r="O1" s="38"/>
      <c r="P1" s="38"/>
      <c r="Q1" s="38"/>
      <c r="R1" s="38"/>
      <c r="S1" s="38"/>
      <c r="T1" s="38"/>
      <c r="U1" s="38"/>
    </row>
    <row r="2" spans="1:21" x14ac:dyDescent="0.25">
      <c r="A2" s="38"/>
      <c r="B2" s="38"/>
      <c r="C2" s="38"/>
      <c r="D2" s="38"/>
      <c r="E2" s="38"/>
      <c r="F2" s="38"/>
      <c r="G2" s="38"/>
      <c r="H2" s="38"/>
      <c r="I2" s="38"/>
      <c r="J2" s="38"/>
      <c r="K2" s="38"/>
      <c r="L2" s="38"/>
      <c r="M2" s="38"/>
      <c r="N2" s="38"/>
      <c r="O2" s="38"/>
      <c r="P2" s="38"/>
      <c r="Q2" s="38"/>
      <c r="R2" s="38"/>
      <c r="S2" s="38"/>
      <c r="T2" s="38"/>
      <c r="U2" s="38"/>
    </row>
    <row r="3" spans="1:21" ht="30" x14ac:dyDescent="0.25">
      <c r="A3" s="38"/>
      <c r="B3" s="59"/>
      <c r="C3" s="28" t="s">
        <v>50</v>
      </c>
      <c r="D3" s="28" t="s">
        <v>51</v>
      </c>
      <c r="E3" s="38"/>
      <c r="F3" s="38"/>
      <c r="G3" s="38"/>
      <c r="H3" s="38"/>
      <c r="I3" s="38"/>
      <c r="J3" s="38"/>
      <c r="K3" s="38"/>
      <c r="L3" s="38"/>
      <c r="M3" s="38"/>
      <c r="N3" s="38"/>
      <c r="O3" s="38"/>
      <c r="P3" s="38"/>
      <c r="Q3" s="38"/>
      <c r="R3" s="38"/>
      <c r="S3" s="38"/>
      <c r="T3" s="38"/>
      <c r="U3" s="38"/>
    </row>
    <row r="4" spans="1:21" ht="33.75" x14ac:dyDescent="0.25">
      <c r="A4" s="58" t="s">
        <v>77</v>
      </c>
      <c r="B4" s="31" t="s">
        <v>92</v>
      </c>
      <c r="C4" s="36" t="s">
        <v>132</v>
      </c>
      <c r="D4" s="29" t="s">
        <v>90</v>
      </c>
      <c r="E4" s="38"/>
      <c r="F4" s="38"/>
      <c r="G4" s="38"/>
      <c r="H4" s="38"/>
      <c r="I4" s="38"/>
      <c r="J4" s="38"/>
      <c r="K4" s="38"/>
      <c r="L4" s="38"/>
      <c r="M4" s="38"/>
      <c r="N4" s="38"/>
      <c r="O4" s="38"/>
      <c r="P4" s="38"/>
      <c r="Q4" s="38"/>
      <c r="R4" s="38"/>
      <c r="S4" s="38"/>
      <c r="T4" s="38"/>
      <c r="U4" s="38"/>
    </row>
    <row r="5" spans="1:21" ht="101.25" x14ac:dyDescent="0.25">
      <c r="A5" s="58" t="s">
        <v>78</v>
      </c>
      <c r="B5" s="32" t="s">
        <v>53</v>
      </c>
      <c r="C5" s="37" t="s">
        <v>86</v>
      </c>
      <c r="D5" s="30" t="s">
        <v>252</v>
      </c>
      <c r="E5" s="38"/>
      <c r="F5" s="38"/>
      <c r="G5" s="38"/>
      <c r="H5" s="38"/>
      <c r="I5" s="38"/>
      <c r="J5" s="38"/>
      <c r="K5" s="38"/>
      <c r="L5" s="38"/>
      <c r="M5" s="38"/>
      <c r="N5" s="38"/>
      <c r="O5" s="38"/>
      <c r="P5" s="38"/>
      <c r="Q5" s="38"/>
      <c r="R5" s="38"/>
      <c r="S5" s="38"/>
      <c r="T5" s="38"/>
      <c r="U5" s="38"/>
    </row>
    <row r="6" spans="1:21" ht="67.5" x14ac:dyDescent="0.25">
      <c r="A6" s="58" t="s">
        <v>75</v>
      </c>
      <c r="B6" s="33" t="s">
        <v>54</v>
      </c>
      <c r="C6" s="37" t="s">
        <v>87</v>
      </c>
      <c r="D6" s="30" t="s">
        <v>91</v>
      </c>
      <c r="E6" s="38"/>
      <c r="F6" s="38"/>
      <c r="G6" s="38"/>
      <c r="H6" s="38"/>
      <c r="I6" s="38"/>
      <c r="J6" s="38"/>
      <c r="K6" s="38"/>
      <c r="L6" s="38"/>
      <c r="M6" s="38"/>
      <c r="N6" s="38"/>
      <c r="O6" s="38"/>
      <c r="P6" s="38"/>
      <c r="Q6" s="38"/>
      <c r="R6" s="38"/>
      <c r="S6" s="38"/>
      <c r="T6" s="38"/>
      <c r="U6" s="38"/>
    </row>
    <row r="7" spans="1:21" ht="101.25" x14ac:dyDescent="0.25">
      <c r="A7" s="58" t="s">
        <v>7</v>
      </c>
      <c r="B7" s="34" t="s">
        <v>55</v>
      </c>
      <c r="C7" s="37" t="s">
        <v>88</v>
      </c>
      <c r="D7" s="30" t="s">
        <v>254</v>
      </c>
      <c r="E7" s="38"/>
      <c r="F7" s="38"/>
      <c r="G7" s="38"/>
      <c r="H7" s="38"/>
      <c r="I7" s="38"/>
      <c r="J7" s="38"/>
      <c r="K7" s="38"/>
      <c r="L7" s="38"/>
      <c r="M7" s="38"/>
      <c r="N7" s="38"/>
      <c r="O7" s="38"/>
      <c r="P7" s="38"/>
      <c r="Q7" s="38"/>
      <c r="R7" s="38"/>
      <c r="S7" s="38"/>
      <c r="T7" s="38"/>
      <c r="U7" s="38"/>
    </row>
    <row r="8" spans="1:21" ht="67.5" x14ac:dyDescent="0.25">
      <c r="A8" s="58" t="s">
        <v>79</v>
      </c>
      <c r="B8" s="35" t="s">
        <v>56</v>
      </c>
      <c r="C8" s="37" t="s">
        <v>89</v>
      </c>
      <c r="D8" s="30" t="s">
        <v>109</v>
      </c>
      <c r="E8" s="38"/>
      <c r="F8" s="38"/>
      <c r="G8" s="38"/>
      <c r="H8" s="38"/>
      <c r="I8" s="38"/>
      <c r="J8" s="38"/>
      <c r="K8" s="38"/>
      <c r="L8" s="38"/>
      <c r="M8" s="38"/>
      <c r="N8" s="38"/>
      <c r="O8" s="38"/>
      <c r="P8" s="38"/>
      <c r="Q8" s="38"/>
      <c r="R8" s="38"/>
      <c r="S8" s="38"/>
      <c r="T8" s="38"/>
      <c r="U8" s="38"/>
    </row>
    <row r="9" spans="1:21" ht="20.25" x14ac:dyDescent="0.25">
      <c r="A9" s="58"/>
      <c r="B9" s="58"/>
      <c r="C9" s="60"/>
      <c r="D9" s="60"/>
      <c r="E9" s="38"/>
      <c r="F9" s="38"/>
      <c r="G9" s="38"/>
      <c r="H9" s="38"/>
      <c r="I9" s="38"/>
      <c r="J9" s="38"/>
      <c r="K9" s="38"/>
      <c r="L9" s="38"/>
      <c r="M9" s="38"/>
      <c r="N9" s="38"/>
      <c r="O9" s="38"/>
      <c r="P9" s="38"/>
      <c r="Q9" s="38"/>
      <c r="R9" s="38"/>
      <c r="S9" s="38"/>
      <c r="T9" s="38"/>
      <c r="U9" s="38"/>
    </row>
    <row r="10" spans="1:21" ht="16.5" x14ac:dyDescent="0.25">
      <c r="A10" s="58"/>
      <c r="B10" s="61"/>
      <c r="C10" s="61"/>
      <c r="D10" s="61"/>
      <c r="E10" s="38"/>
      <c r="F10" s="38"/>
      <c r="G10" s="38"/>
      <c r="H10" s="38"/>
      <c r="I10" s="38"/>
      <c r="J10" s="38"/>
      <c r="K10" s="38"/>
      <c r="L10" s="38"/>
      <c r="M10" s="38"/>
      <c r="N10" s="38"/>
      <c r="O10" s="38"/>
      <c r="P10" s="38"/>
      <c r="Q10" s="38"/>
      <c r="R10" s="38"/>
      <c r="S10" s="38"/>
      <c r="T10" s="38"/>
      <c r="U10" s="38"/>
    </row>
    <row r="11" spans="1:21" x14ac:dyDescent="0.25">
      <c r="A11" s="58"/>
      <c r="B11" s="58" t="s">
        <v>84</v>
      </c>
      <c r="C11" s="58" t="s">
        <v>244</v>
      </c>
      <c r="D11" s="58" t="s">
        <v>245</v>
      </c>
      <c r="E11" s="38"/>
      <c r="F11" s="38"/>
      <c r="G11" s="38"/>
      <c r="H11" s="38"/>
      <c r="I11" s="38"/>
      <c r="J11" s="38"/>
      <c r="K11" s="38"/>
      <c r="L11" s="38"/>
      <c r="M11" s="38"/>
      <c r="N11" s="38"/>
      <c r="O11" s="38"/>
      <c r="P11" s="38"/>
      <c r="Q11" s="38"/>
      <c r="R11" s="38"/>
      <c r="S11" s="38"/>
      <c r="T11" s="38"/>
      <c r="U11" s="38"/>
    </row>
    <row r="12" spans="1:21" x14ac:dyDescent="0.25">
      <c r="A12" s="58"/>
      <c r="B12" s="58" t="s">
        <v>82</v>
      </c>
      <c r="C12" s="58" t="s">
        <v>246</v>
      </c>
      <c r="D12" s="58" t="s">
        <v>253</v>
      </c>
      <c r="E12" s="38"/>
      <c r="F12" s="38"/>
      <c r="G12" s="38"/>
      <c r="H12" s="38"/>
      <c r="I12" s="38"/>
      <c r="J12" s="38"/>
      <c r="K12" s="38"/>
      <c r="L12" s="38"/>
      <c r="M12" s="38"/>
      <c r="N12" s="38"/>
      <c r="O12" s="38"/>
      <c r="P12" s="38"/>
      <c r="Q12" s="38"/>
      <c r="R12" s="38"/>
      <c r="S12" s="38"/>
      <c r="T12" s="38"/>
      <c r="U12" s="38"/>
    </row>
    <row r="13" spans="1:21" x14ac:dyDescent="0.25">
      <c r="A13" s="58"/>
      <c r="B13" s="58"/>
      <c r="C13" s="58" t="s">
        <v>247</v>
      </c>
      <c r="D13" s="58" t="s">
        <v>248</v>
      </c>
      <c r="E13" s="38"/>
      <c r="F13" s="38"/>
      <c r="G13" s="38"/>
      <c r="H13" s="38"/>
      <c r="I13" s="38"/>
      <c r="J13" s="38"/>
      <c r="K13" s="38"/>
      <c r="L13" s="38"/>
      <c r="M13" s="38"/>
      <c r="N13" s="38"/>
      <c r="O13" s="38"/>
      <c r="P13" s="38"/>
      <c r="Q13" s="38"/>
      <c r="R13" s="38"/>
      <c r="S13" s="38"/>
      <c r="T13" s="38"/>
      <c r="U13" s="38"/>
    </row>
    <row r="14" spans="1:21" x14ac:dyDescent="0.25">
      <c r="A14" s="58"/>
      <c r="B14" s="58"/>
      <c r="C14" s="58" t="s">
        <v>249</v>
      </c>
      <c r="D14" s="58" t="s">
        <v>255</v>
      </c>
      <c r="E14" s="38"/>
      <c r="F14" s="38"/>
      <c r="G14" s="38"/>
      <c r="H14" s="38"/>
      <c r="I14" s="38"/>
      <c r="J14" s="38"/>
      <c r="K14" s="38"/>
      <c r="L14" s="38"/>
      <c r="M14" s="38"/>
      <c r="N14" s="38"/>
      <c r="O14" s="38"/>
      <c r="P14" s="38"/>
      <c r="Q14" s="38"/>
      <c r="R14" s="38"/>
      <c r="S14" s="38"/>
      <c r="T14" s="38"/>
      <c r="U14" s="38"/>
    </row>
    <row r="15" spans="1:21" x14ac:dyDescent="0.25">
      <c r="A15" s="58"/>
      <c r="B15" s="58"/>
      <c r="C15" s="58" t="s">
        <v>250</v>
      </c>
      <c r="D15" s="58" t="s">
        <v>251</v>
      </c>
      <c r="E15" s="38"/>
      <c r="F15" s="38"/>
      <c r="G15" s="38"/>
      <c r="H15" s="38"/>
      <c r="I15" s="38"/>
      <c r="J15" s="38"/>
      <c r="K15" s="38"/>
      <c r="L15" s="38"/>
      <c r="M15" s="38"/>
      <c r="N15" s="38"/>
      <c r="O15" s="38"/>
      <c r="P15" s="38"/>
      <c r="Q15" s="38"/>
      <c r="R15" s="38"/>
      <c r="S15" s="38"/>
      <c r="T15" s="38"/>
      <c r="U15" s="38"/>
    </row>
    <row r="16" spans="1:21" x14ac:dyDescent="0.25">
      <c r="A16" s="58"/>
      <c r="B16" s="58"/>
      <c r="C16" s="58"/>
      <c r="D16" s="58"/>
      <c r="E16" s="38"/>
      <c r="F16" s="38"/>
      <c r="G16" s="38"/>
      <c r="H16" s="38"/>
      <c r="I16" s="38"/>
      <c r="J16" s="38"/>
      <c r="K16" s="38"/>
      <c r="L16" s="38"/>
      <c r="M16" s="38"/>
      <c r="N16" s="38"/>
      <c r="O16" s="38"/>
    </row>
    <row r="17" spans="1:15" x14ac:dyDescent="0.25">
      <c r="A17" s="58"/>
      <c r="B17" s="58"/>
      <c r="C17" s="58"/>
      <c r="D17" s="58"/>
      <c r="E17" s="38"/>
      <c r="F17" s="38"/>
      <c r="G17" s="38"/>
      <c r="H17" s="38"/>
      <c r="I17" s="38"/>
      <c r="J17" s="38"/>
      <c r="K17" s="38"/>
      <c r="L17" s="38"/>
      <c r="M17" s="38"/>
      <c r="N17" s="38"/>
      <c r="O17" s="38"/>
    </row>
    <row r="18" spans="1:15" x14ac:dyDescent="0.25">
      <c r="A18" s="58"/>
      <c r="B18" s="62"/>
      <c r="C18" s="62"/>
      <c r="D18" s="62"/>
      <c r="E18" s="38"/>
      <c r="F18" s="38"/>
      <c r="G18" s="38"/>
      <c r="H18" s="38"/>
      <c r="I18" s="38"/>
      <c r="J18" s="38"/>
      <c r="K18" s="38"/>
      <c r="L18" s="38"/>
      <c r="M18" s="38"/>
      <c r="N18" s="38"/>
      <c r="O18" s="38"/>
    </row>
    <row r="19" spans="1:15" x14ac:dyDescent="0.25">
      <c r="A19" s="58"/>
      <c r="B19" s="62"/>
      <c r="C19" s="62"/>
      <c r="D19" s="62"/>
      <c r="E19" s="38"/>
      <c r="F19" s="38"/>
      <c r="G19" s="38"/>
      <c r="H19" s="38"/>
      <c r="I19" s="38"/>
      <c r="J19" s="38"/>
      <c r="K19" s="38"/>
      <c r="L19" s="38"/>
      <c r="M19" s="38"/>
      <c r="N19" s="38"/>
      <c r="O19" s="38"/>
    </row>
    <row r="20" spans="1:15" x14ac:dyDescent="0.25">
      <c r="A20" s="58"/>
      <c r="B20" s="62"/>
      <c r="C20" s="62"/>
      <c r="D20" s="62"/>
      <c r="E20" s="38"/>
      <c r="F20" s="38"/>
      <c r="G20" s="38"/>
      <c r="H20" s="38"/>
      <c r="I20" s="38"/>
      <c r="J20" s="38"/>
      <c r="K20" s="38"/>
      <c r="L20" s="38"/>
      <c r="M20" s="38"/>
      <c r="N20" s="38"/>
      <c r="O20" s="38"/>
    </row>
    <row r="21" spans="1:15" x14ac:dyDescent="0.25">
      <c r="A21" s="58"/>
      <c r="B21" s="62"/>
      <c r="C21" s="62"/>
      <c r="D21" s="62"/>
      <c r="E21" s="38"/>
      <c r="F21" s="38"/>
      <c r="G21" s="38"/>
      <c r="H21" s="38"/>
      <c r="I21" s="38"/>
      <c r="J21" s="38"/>
      <c r="K21" s="38"/>
      <c r="L21" s="38"/>
      <c r="M21" s="38"/>
      <c r="N21" s="38"/>
      <c r="O21" s="38"/>
    </row>
    <row r="22" spans="1:15" ht="20.25" x14ac:dyDescent="0.25">
      <c r="A22" s="58"/>
      <c r="B22" s="58"/>
      <c r="C22" s="60"/>
      <c r="D22" s="60"/>
      <c r="E22" s="38"/>
      <c r="F22" s="38"/>
      <c r="G22" s="38"/>
      <c r="H22" s="38"/>
      <c r="I22" s="38"/>
      <c r="J22" s="38"/>
      <c r="K22" s="38"/>
      <c r="L22" s="38"/>
      <c r="M22" s="38"/>
      <c r="N22" s="38"/>
      <c r="O22" s="38"/>
    </row>
    <row r="23" spans="1:15" ht="20.25" x14ac:dyDescent="0.25">
      <c r="A23" s="58"/>
      <c r="B23" s="58"/>
      <c r="C23" s="60"/>
      <c r="D23" s="60"/>
      <c r="E23" s="38"/>
      <c r="F23" s="38"/>
      <c r="G23" s="38"/>
      <c r="H23" s="38"/>
      <c r="I23" s="38"/>
      <c r="J23" s="38"/>
      <c r="K23" s="38"/>
      <c r="L23" s="38"/>
      <c r="M23" s="38"/>
      <c r="N23" s="38"/>
      <c r="O23" s="38"/>
    </row>
    <row r="24" spans="1:15" ht="20.25" x14ac:dyDescent="0.25">
      <c r="A24" s="58"/>
      <c r="B24" s="58"/>
      <c r="C24" s="60"/>
      <c r="D24" s="60"/>
      <c r="E24" s="38"/>
      <c r="F24" s="38"/>
      <c r="G24" s="38"/>
      <c r="H24" s="38"/>
      <c r="I24" s="38"/>
      <c r="J24" s="38"/>
      <c r="K24" s="38"/>
      <c r="L24" s="38"/>
      <c r="M24" s="38"/>
      <c r="N24" s="38"/>
      <c r="O24" s="38"/>
    </row>
    <row r="25" spans="1:15" ht="20.25" x14ac:dyDescent="0.25">
      <c r="A25" s="58"/>
      <c r="B25" s="58"/>
      <c r="C25" s="60"/>
      <c r="D25" s="60"/>
      <c r="E25" s="38"/>
      <c r="F25" s="38"/>
      <c r="G25" s="38"/>
      <c r="H25" s="38"/>
      <c r="I25" s="38"/>
      <c r="J25" s="38"/>
      <c r="K25" s="38"/>
      <c r="L25" s="38"/>
      <c r="M25" s="38"/>
      <c r="N25" s="38"/>
      <c r="O25" s="38"/>
    </row>
    <row r="26" spans="1:15" ht="20.25" x14ac:dyDescent="0.25">
      <c r="A26" s="58"/>
      <c r="B26" s="58"/>
      <c r="C26" s="60"/>
      <c r="D26" s="60"/>
      <c r="E26" s="38"/>
      <c r="F26" s="38"/>
      <c r="G26" s="38"/>
      <c r="H26" s="38"/>
      <c r="I26" s="38"/>
      <c r="J26" s="38"/>
      <c r="K26" s="38"/>
      <c r="L26" s="38"/>
      <c r="M26" s="38"/>
      <c r="N26" s="38"/>
      <c r="O26" s="38"/>
    </row>
    <row r="27" spans="1:15" ht="20.25" x14ac:dyDescent="0.25">
      <c r="A27" s="58"/>
      <c r="B27" s="58"/>
      <c r="C27" s="60"/>
      <c r="D27" s="60"/>
      <c r="E27" s="38"/>
      <c r="F27" s="38"/>
      <c r="G27" s="38"/>
      <c r="H27" s="38"/>
      <c r="I27" s="38"/>
      <c r="J27" s="38"/>
      <c r="K27" s="38"/>
      <c r="L27" s="38"/>
      <c r="M27" s="38"/>
      <c r="N27" s="38"/>
      <c r="O27" s="38"/>
    </row>
    <row r="28" spans="1:15" ht="20.25" x14ac:dyDescent="0.25">
      <c r="A28" s="58"/>
      <c r="B28" s="58"/>
      <c r="C28" s="60"/>
      <c r="D28" s="60"/>
      <c r="E28" s="38"/>
      <c r="F28" s="38"/>
      <c r="G28" s="38"/>
      <c r="H28" s="38"/>
      <c r="I28" s="38"/>
      <c r="J28" s="38"/>
      <c r="K28" s="38"/>
      <c r="L28" s="38"/>
      <c r="M28" s="38"/>
      <c r="N28" s="38"/>
      <c r="O28" s="38"/>
    </row>
    <row r="29" spans="1:15" ht="20.25" x14ac:dyDescent="0.25">
      <c r="A29" s="58"/>
      <c r="B29" s="58"/>
      <c r="C29" s="60"/>
      <c r="D29" s="60"/>
      <c r="E29" s="38"/>
      <c r="F29" s="38"/>
      <c r="G29" s="38"/>
      <c r="H29" s="38"/>
      <c r="I29" s="38"/>
      <c r="J29" s="38"/>
      <c r="K29" s="38"/>
      <c r="L29" s="38"/>
      <c r="M29" s="38"/>
      <c r="N29" s="38"/>
      <c r="O29" s="38"/>
    </row>
    <row r="30" spans="1:15" ht="20.25" x14ac:dyDescent="0.25">
      <c r="A30" s="58"/>
      <c r="B30" s="58"/>
      <c r="C30" s="60"/>
      <c r="D30" s="60"/>
      <c r="E30" s="38"/>
      <c r="F30" s="38"/>
      <c r="G30" s="38"/>
      <c r="H30" s="38"/>
      <c r="I30" s="38"/>
      <c r="J30" s="38"/>
      <c r="K30" s="38"/>
      <c r="L30" s="38"/>
      <c r="M30" s="38"/>
      <c r="N30" s="38"/>
      <c r="O30" s="38"/>
    </row>
    <row r="31" spans="1:15" ht="20.25" x14ac:dyDescent="0.25">
      <c r="A31" s="58"/>
      <c r="B31" s="58"/>
      <c r="C31" s="60"/>
      <c r="D31" s="60"/>
      <c r="E31" s="38"/>
      <c r="F31" s="38"/>
      <c r="G31" s="38"/>
      <c r="H31" s="38"/>
      <c r="I31" s="38"/>
      <c r="J31" s="38"/>
      <c r="K31" s="38"/>
      <c r="L31" s="38"/>
      <c r="M31" s="38"/>
      <c r="N31" s="38"/>
      <c r="O31" s="38"/>
    </row>
    <row r="32" spans="1:15" ht="20.25" x14ac:dyDescent="0.25">
      <c r="A32" s="58"/>
      <c r="B32" s="58"/>
      <c r="C32" s="60"/>
      <c r="D32" s="60"/>
      <c r="E32" s="38"/>
      <c r="F32" s="38"/>
      <c r="G32" s="38"/>
      <c r="H32" s="38"/>
      <c r="I32" s="38"/>
      <c r="J32" s="38"/>
      <c r="K32" s="38"/>
      <c r="L32" s="38"/>
      <c r="M32" s="38"/>
      <c r="N32" s="38"/>
      <c r="O32" s="38"/>
    </row>
    <row r="33" spans="1:15" ht="20.25" x14ac:dyDescent="0.25">
      <c r="A33" s="58"/>
      <c r="B33" s="58"/>
      <c r="C33" s="60"/>
      <c r="D33" s="60"/>
      <c r="E33" s="38"/>
      <c r="F33" s="38"/>
      <c r="G33" s="38"/>
      <c r="H33" s="38"/>
      <c r="I33" s="38"/>
      <c r="J33" s="38"/>
      <c r="K33" s="38"/>
      <c r="L33" s="38"/>
      <c r="M33" s="38"/>
      <c r="N33" s="38"/>
      <c r="O33" s="38"/>
    </row>
    <row r="34" spans="1:15" ht="20.25" x14ac:dyDescent="0.25">
      <c r="A34" s="58"/>
      <c r="B34" s="58"/>
      <c r="C34" s="60"/>
      <c r="D34" s="60"/>
      <c r="E34" s="38"/>
      <c r="F34" s="38"/>
      <c r="G34" s="38"/>
      <c r="H34" s="38"/>
      <c r="I34" s="38"/>
      <c r="J34" s="38"/>
      <c r="K34" s="38"/>
      <c r="L34" s="38"/>
      <c r="M34" s="38"/>
      <c r="N34" s="38"/>
      <c r="O34" s="38"/>
    </row>
    <row r="35" spans="1:15" ht="20.25" x14ac:dyDescent="0.25">
      <c r="A35" s="58"/>
      <c r="B35" s="58"/>
      <c r="C35" s="60"/>
      <c r="D35" s="60"/>
      <c r="E35" s="38"/>
      <c r="F35" s="38"/>
      <c r="G35" s="38"/>
      <c r="H35" s="38"/>
      <c r="I35" s="38"/>
      <c r="J35" s="38"/>
      <c r="K35" s="38"/>
      <c r="L35" s="38"/>
      <c r="M35" s="38"/>
      <c r="N35" s="38"/>
      <c r="O35" s="38"/>
    </row>
    <row r="36" spans="1:15" ht="20.25" x14ac:dyDescent="0.25">
      <c r="A36" s="58"/>
      <c r="B36" s="58"/>
      <c r="C36" s="60"/>
      <c r="D36" s="60"/>
      <c r="E36" s="38"/>
      <c r="F36" s="38"/>
      <c r="G36" s="38"/>
      <c r="H36" s="38"/>
      <c r="I36" s="38"/>
      <c r="J36" s="38"/>
      <c r="K36" s="38"/>
      <c r="L36" s="38"/>
      <c r="M36" s="38"/>
      <c r="N36" s="38"/>
      <c r="O36" s="38"/>
    </row>
    <row r="37" spans="1:15" ht="20.25" x14ac:dyDescent="0.25">
      <c r="A37" s="58"/>
      <c r="B37" s="58"/>
      <c r="C37" s="60"/>
      <c r="D37" s="60"/>
      <c r="E37" s="38"/>
      <c r="F37" s="38"/>
      <c r="G37" s="38"/>
      <c r="H37" s="38"/>
      <c r="I37" s="38"/>
      <c r="J37" s="38"/>
      <c r="K37" s="38"/>
      <c r="L37" s="38"/>
      <c r="M37" s="38"/>
      <c r="N37" s="38"/>
      <c r="O37" s="38"/>
    </row>
    <row r="38" spans="1:15" ht="20.25" x14ac:dyDescent="0.25">
      <c r="A38" s="58"/>
      <c r="B38" s="58"/>
      <c r="C38" s="60"/>
      <c r="D38" s="60"/>
      <c r="E38" s="38"/>
      <c r="F38" s="38"/>
      <c r="G38" s="38"/>
      <c r="H38" s="38"/>
      <c r="I38" s="38"/>
      <c r="J38" s="38"/>
      <c r="K38" s="38"/>
      <c r="L38" s="38"/>
      <c r="M38" s="38"/>
      <c r="N38" s="38"/>
      <c r="O38" s="38"/>
    </row>
    <row r="39" spans="1:15" ht="20.25" x14ac:dyDescent="0.25">
      <c r="A39" s="58"/>
      <c r="B39" s="58"/>
      <c r="C39" s="60"/>
      <c r="D39" s="60"/>
      <c r="E39" s="38"/>
      <c r="F39" s="38"/>
      <c r="G39" s="38"/>
      <c r="H39" s="38"/>
      <c r="I39" s="38"/>
      <c r="J39" s="38"/>
      <c r="K39" s="38"/>
      <c r="L39" s="38"/>
      <c r="M39" s="38"/>
      <c r="N39" s="38"/>
      <c r="O39" s="38"/>
    </row>
    <row r="40" spans="1:15" ht="20.25" x14ac:dyDescent="0.25">
      <c r="A40" s="58"/>
      <c r="B40" s="58"/>
      <c r="C40" s="60"/>
      <c r="D40" s="60"/>
      <c r="E40" s="38"/>
      <c r="F40" s="38"/>
      <c r="G40" s="38"/>
      <c r="H40" s="38"/>
      <c r="I40" s="38"/>
      <c r="J40" s="38"/>
      <c r="K40" s="38"/>
      <c r="L40" s="38"/>
      <c r="M40" s="38"/>
      <c r="N40" s="38"/>
      <c r="O40" s="38"/>
    </row>
    <row r="41" spans="1:15" ht="20.25" x14ac:dyDescent="0.25">
      <c r="A41" s="58"/>
      <c r="B41" s="58"/>
      <c r="C41" s="60"/>
      <c r="D41" s="60"/>
      <c r="E41" s="38"/>
      <c r="F41" s="38"/>
      <c r="G41" s="38"/>
      <c r="H41" s="38"/>
      <c r="I41" s="38"/>
      <c r="J41" s="38"/>
      <c r="K41" s="38"/>
      <c r="L41" s="38"/>
      <c r="M41" s="38"/>
      <c r="N41" s="38"/>
      <c r="O41" s="38"/>
    </row>
    <row r="42" spans="1:15" ht="20.25" x14ac:dyDescent="0.25">
      <c r="A42" s="58"/>
      <c r="B42" s="58"/>
      <c r="C42" s="60"/>
      <c r="D42" s="60"/>
      <c r="E42" s="38"/>
      <c r="F42" s="38"/>
      <c r="G42" s="38"/>
      <c r="H42" s="38"/>
      <c r="I42" s="38"/>
      <c r="J42" s="38"/>
      <c r="K42" s="38"/>
      <c r="L42" s="38"/>
      <c r="M42" s="38"/>
      <c r="N42" s="38"/>
      <c r="O42" s="38"/>
    </row>
    <row r="43" spans="1:15" ht="20.25" x14ac:dyDescent="0.25">
      <c r="A43" s="58"/>
      <c r="B43" s="58"/>
      <c r="C43" s="60"/>
      <c r="D43" s="60"/>
      <c r="E43" s="38"/>
      <c r="F43" s="38"/>
      <c r="G43" s="38"/>
      <c r="H43" s="38"/>
      <c r="I43" s="38"/>
      <c r="J43" s="38"/>
      <c r="K43" s="38"/>
      <c r="L43" s="38"/>
      <c r="M43" s="38"/>
      <c r="N43" s="38"/>
      <c r="O43" s="38"/>
    </row>
    <row r="44" spans="1:15" ht="20.25" x14ac:dyDescent="0.25">
      <c r="A44" s="58"/>
      <c r="B44" s="58"/>
      <c r="C44" s="60"/>
      <c r="D44" s="60"/>
      <c r="E44" s="38"/>
      <c r="F44" s="38"/>
      <c r="G44" s="38"/>
      <c r="H44" s="38"/>
      <c r="I44" s="38"/>
      <c r="J44" s="38"/>
      <c r="K44" s="38"/>
      <c r="L44" s="38"/>
      <c r="M44" s="38"/>
      <c r="N44" s="38"/>
      <c r="O44" s="38"/>
    </row>
    <row r="45" spans="1:15" ht="20.25" x14ac:dyDescent="0.25">
      <c r="A45" s="58"/>
      <c r="B45" s="58"/>
      <c r="C45" s="60"/>
      <c r="D45" s="60"/>
      <c r="E45" s="38"/>
      <c r="F45" s="38"/>
      <c r="G45" s="38"/>
      <c r="H45" s="38"/>
      <c r="I45" s="38"/>
      <c r="J45" s="38"/>
      <c r="K45" s="38"/>
      <c r="L45" s="38"/>
      <c r="M45" s="38"/>
      <c r="N45" s="38"/>
      <c r="O45" s="38"/>
    </row>
    <row r="46" spans="1:15" ht="20.25" x14ac:dyDescent="0.25">
      <c r="A46" s="58"/>
      <c r="B46" s="58"/>
      <c r="C46" s="60"/>
      <c r="D46" s="60"/>
      <c r="E46" s="38"/>
      <c r="F46" s="38"/>
      <c r="G46" s="38"/>
      <c r="H46" s="38"/>
      <c r="I46" s="38"/>
      <c r="J46" s="38"/>
      <c r="K46" s="38"/>
      <c r="L46" s="38"/>
      <c r="M46" s="38"/>
      <c r="N46" s="38"/>
      <c r="O46" s="38"/>
    </row>
    <row r="47" spans="1:15" ht="20.25" x14ac:dyDescent="0.25">
      <c r="A47" s="58"/>
      <c r="B47" s="58"/>
      <c r="C47" s="60"/>
      <c r="D47" s="60"/>
      <c r="E47" s="38"/>
      <c r="F47" s="38"/>
      <c r="G47" s="38"/>
      <c r="H47" s="38"/>
      <c r="I47" s="38"/>
      <c r="J47" s="38"/>
      <c r="K47" s="38"/>
      <c r="L47" s="38"/>
      <c r="M47" s="38"/>
      <c r="N47" s="38"/>
      <c r="O47" s="38"/>
    </row>
    <row r="48" spans="1:15" ht="20.25" x14ac:dyDescent="0.25">
      <c r="A48" s="58"/>
      <c r="B48" s="58"/>
      <c r="C48" s="60"/>
      <c r="D48" s="60"/>
      <c r="E48" s="38"/>
      <c r="F48" s="38"/>
      <c r="G48" s="38"/>
      <c r="H48" s="38"/>
      <c r="I48" s="38"/>
      <c r="J48" s="38"/>
      <c r="K48" s="38"/>
      <c r="L48" s="38"/>
      <c r="M48" s="38"/>
      <c r="N48" s="38"/>
      <c r="O48" s="38"/>
    </row>
    <row r="49" spans="1:15" ht="20.25" x14ac:dyDescent="0.25">
      <c r="A49" s="58"/>
      <c r="B49" s="58"/>
      <c r="C49" s="60"/>
      <c r="D49" s="60"/>
      <c r="E49" s="38"/>
      <c r="F49" s="38"/>
      <c r="G49" s="38"/>
      <c r="H49" s="38"/>
      <c r="I49" s="38"/>
      <c r="J49" s="38"/>
      <c r="K49" s="38"/>
      <c r="L49" s="38"/>
      <c r="M49" s="38"/>
      <c r="N49" s="38"/>
      <c r="O49" s="38"/>
    </row>
    <row r="50" spans="1:15" ht="20.25" x14ac:dyDescent="0.25">
      <c r="A50" s="58"/>
      <c r="B50" s="58"/>
      <c r="C50" s="60"/>
      <c r="D50" s="60"/>
      <c r="E50" s="38"/>
      <c r="F50" s="38"/>
      <c r="G50" s="38"/>
      <c r="H50" s="38"/>
      <c r="I50" s="38"/>
      <c r="J50" s="38"/>
      <c r="K50" s="38"/>
      <c r="L50" s="38"/>
      <c r="M50" s="38"/>
      <c r="N50" s="38"/>
      <c r="O50" s="38"/>
    </row>
    <row r="51" spans="1:15" ht="20.25" x14ac:dyDescent="0.25">
      <c r="A51" s="58"/>
      <c r="B51" s="58"/>
      <c r="C51" s="60"/>
      <c r="D51" s="60"/>
      <c r="E51" s="38"/>
      <c r="F51" s="38"/>
      <c r="G51" s="38"/>
      <c r="H51" s="38"/>
      <c r="I51" s="38"/>
      <c r="J51" s="38"/>
      <c r="K51" s="38"/>
      <c r="L51" s="38"/>
      <c r="M51" s="38"/>
      <c r="N51" s="38"/>
      <c r="O51" s="38"/>
    </row>
    <row r="52" spans="1:15" ht="20.25" x14ac:dyDescent="0.25">
      <c r="A52" s="58"/>
      <c r="B52" s="19"/>
      <c r="C52" s="26"/>
      <c r="D52" s="26"/>
    </row>
    <row r="53" spans="1:15" ht="20.25" x14ac:dyDescent="0.25">
      <c r="A53" s="58"/>
      <c r="B53" s="19"/>
      <c r="C53" s="26"/>
      <c r="D53" s="26"/>
    </row>
    <row r="54" spans="1:15" ht="20.25" x14ac:dyDescent="0.25">
      <c r="A54" s="58"/>
      <c r="B54" s="19"/>
      <c r="C54" s="26"/>
      <c r="D54" s="26"/>
    </row>
    <row r="55" spans="1:15" ht="20.25" x14ac:dyDescent="0.25">
      <c r="A55" s="58"/>
      <c r="B55" s="19"/>
      <c r="C55" s="26"/>
      <c r="D55" s="26"/>
    </row>
    <row r="56" spans="1:15" ht="20.25" x14ac:dyDescent="0.25">
      <c r="A56" s="58"/>
      <c r="B56" s="19"/>
      <c r="C56" s="26"/>
      <c r="D56" s="26"/>
    </row>
    <row r="57" spans="1:15" ht="20.25" x14ac:dyDescent="0.25">
      <c r="A57" s="58"/>
      <c r="B57" s="19"/>
      <c r="C57" s="26"/>
      <c r="D57" s="26"/>
    </row>
    <row r="58" spans="1:15" ht="20.25" x14ac:dyDescent="0.25">
      <c r="A58" s="58"/>
      <c r="B58" s="19"/>
      <c r="C58" s="26"/>
      <c r="D58" s="26"/>
    </row>
    <row r="59" spans="1:15" ht="20.25" x14ac:dyDescent="0.25">
      <c r="A59" s="58"/>
      <c r="B59" s="19"/>
      <c r="C59" s="26"/>
      <c r="D59" s="26"/>
    </row>
    <row r="60" spans="1:15" ht="20.25" x14ac:dyDescent="0.25">
      <c r="A60" s="58"/>
      <c r="B60" s="19"/>
      <c r="C60" s="26"/>
      <c r="D60" s="26"/>
    </row>
    <row r="61" spans="1:15" ht="20.25" x14ac:dyDescent="0.25">
      <c r="A61" s="58"/>
      <c r="B61" s="19"/>
      <c r="C61" s="26"/>
      <c r="D61" s="26"/>
    </row>
    <row r="62" spans="1:15" ht="20.25" x14ac:dyDescent="0.25">
      <c r="A62" s="58"/>
      <c r="B62" s="19"/>
      <c r="C62" s="26"/>
      <c r="D62" s="26"/>
    </row>
    <row r="63" spans="1:15" ht="20.25" x14ac:dyDescent="0.25">
      <c r="A63" s="58"/>
      <c r="B63" s="19"/>
      <c r="C63" s="26"/>
      <c r="D63" s="26"/>
    </row>
    <row r="64" spans="1:15" ht="20.25" x14ac:dyDescent="0.25">
      <c r="A64" s="58"/>
      <c r="B64" s="19"/>
      <c r="C64" s="26"/>
      <c r="D64" s="26"/>
    </row>
    <row r="65" spans="1:4" ht="20.25" x14ac:dyDescent="0.25">
      <c r="A65" s="58"/>
      <c r="B65" s="19"/>
      <c r="C65" s="26"/>
      <c r="D65" s="26"/>
    </row>
    <row r="66" spans="1:4" ht="20.25" x14ac:dyDescent="0.25">
      <c r="A66" s="58"/>
      <c r="B66" s="19"/>
      <c r="C66" s="26"/>
      <c r="D66" s="26"/>
    </row>
    <row r="67" spans="1:4" ht="20.25" x14ac:dyDescent="0.25">
      <c r="A67" s="58"/>
      <c r="B67" s="19"/>
      <c r="C67" s="26"/>
      <c r="D67" s="26"/>
    </row>
    <row r="68" spans="1:4" ht="20.25" x14ac:dyDescent="0.25">
      <c r="A68" s="58"/>
      <c r="B68" s="19"/>
      <c r="C68" s="26"/>
      <c r="D68" s="26"/>
    </row>
    <row r="69" spans="1:4" ht="20.25" x14ac:dyDescent="0.25">
      <c r="A69" s="58"/>
      <c r="B69" s="19"/>
      <c r="C69" s="26"/>
      <c r="D69" s="26"/>
    </row>
    <row r="70" spans="1:4" ht="20.25" x14ac:dyDescent="0.25">
      <c r="A70" s="58"/>
      <c r="B70" s="19"/>
      <c r="C70" s="26"/>
      <c r="D70" s="26"/>
    </row>
    <row r="71" spans="1:4" ht="20.25" x14ac:dyDescent="0.25">
      <c r="A71" s="58"/>
      <c r="B71" s="19"/>
      <c r="C71" s="26"/>
      <c r="D71" s="26"/>
    </row>
    <row r="72" spans="1:4" ht="20.25" x14ac:dyDescent="0.25">
      <c r="A72" s="58"/>
      <c r="B72" s="19"/>
      <c r="C72" s="26"/>
      <c r="D72" s="26"/>
    </row>
    <row r="73" spans="1:4" ht="20.25" x14ac:dyDescent="0.25">
      <c r="A73" s="58"/>
      <c r="B73" s="19"/>
      <c r="C73" s="26"/>
      <c r="D73" s="26"/>
    </row>
    <row r="74" spans="1:4" ht="20.25" x14ac:dyDescent="0.25">
      <c r="A74" s="58"/>
      <c r="B74" s="19"/>
      <c r="C74" s="26"/>
      <c r="D74" s="26"/>
    </row>
    <row r="75" spans="1:4" ht="20.25" x14ac:dyDescent="0.25">
      <c r="A75" s="58"/>
      <c r="B75" s="19"/>
      <c r="C75" s="26"/>
      <c r="D75" s="26"/>
    </row>
    <row r="76" spans="1:4" ht="20.25" x14ac:dyDescent="0.25">
      <c r="A76" s="58"/>
      <c r="B76" s="19"/>
      <c r="C76" s="26"/>
      <c r="D76" s="26"/>
    </row>
    <row r="77" spans="1:4" ht="20.25" x14ac:dyDescent="0.25">
      <c r="A77" s="58"/>
      <c r="B77" s="19"/>
      <c r="C77" s="26"/>
      <c r="D77" s="26"/>
    </row>
    <row r="78" spans="1:4" ht="20.25" x14ac:dyDescent="0.25">
      <c r="A78" s="58"/>
      <c r="B78" s="19"/>
      <c r="C78" s="26"/>
      <c r="D78" s="26"/>
    </row>
    <row r="79" spans="1:4" ht="20.25" x14ac:dyDescent="0.25">
      <c r="A79" s="58"/>
      <c r="B79" s="19"/>
      <c r="C79" s="26"/>
      <c r="D79" s="26"/>
    </row>
    <row r="80" spans="1:4" ht="20.25" x14ac:dyDescent="0.25">
      <c r="A80" s="58"/>
      <c r="B80" s="19"/>
      <c r="C80" s="26"/>
      <c r="D80" s="26"/>
    </row>
    <row r="81" spans="1:4" ht="20.25" x14ac:dyDescent="0.25">
      <c r="A81" s="58"/>
      <c r="B81" s="19"/>
      <c r="C81" s="26"/>
      <c r="D81" s="26"/>
    </row>
    <row r="82" spans="1:4" ht="20.25" x14ac:dyDescent="0.25">
      <c r="A82" s="58"/>
      <c r="B82" s="19"/>
      <c r="C82" s="26"/>
      <c r="D82" s="26"/>
    </row>
    <row r="83" spans="1:4" ht="20.25" x14ac:dyDescent="0.25">
      <c r="A83" s="58"/>
      <c r="B83" s="19"/>
      <c r="C83" s="26"/>
      <c r="D83" s="26"/>
    </row>
    <row r="84" spans="1:4" ht="20.25" x14ac:dyDescent="0.25">
      <c r="A84" s="58"/>
      <c r="B84" s="19"/>
      <c r="C84" s="26"/>
      <c r="D84" s="26"/>
    </row>
    <row r="85" spans="1:4" ht="20.25" x14ac:dyDescent="0.25">
      <c r="A85" s="58"/>
      <c r="B85" s="19"/>
      <c r="C85" s="26"/>
      <c r="D85" s="26"/>
    </row>
    <row r="86" spans="1:4" ht="20.25" x14ac:dyDescent="0.25">
      <c r="A86" s="58"/>
      <c r="B86" s="19"/>
      <c r="C86" s="26"/>
      <c r="D86" s="26"/>
    </row>
    <row r="87" spans="1:4" ht="20.25" x14ac:dyDescent="0.25">
      <c r="A87" s="58"/>
      <c r="B87" s="19"/>
      <c r="C87" s="26"/>
      <c r="D87" s="26"/>
    </row>
    <row r="88" spans="1:4" ht="20.25" x14ac:dyDescent="0.25">
      <c r="A88" s="58"/>
      <c r="B88" s="19"/>
      <c r="C88" s="26"/>
      <c r="D88" s="26"/>
    </row>
    <row r="89" spans="1:4" ht="20.25" x14ac:dyDescent="0.25">
      <c r="A89" s="58"/>
      <c r="B89" s="19"/>
      <c r="C89" s="26"/>
      <c r="D89" s="26"/>
    </row>
    <row r="90" spans="1:4" ht="20.25" x14ac:dyDescent="0.25">
      <c r="A90" s="58"/>
      <c r="B90" s="19"/>
      <c r="C90" s="26"/>
      <c r="D90" s="26"/>
    </row>
    <row r="91" spans="1:4" ht="20.25" x14ac:dyDescent="0.25">
      <c r="A91" s="58"/>
      <c r="B91" s="19"/>
      <c r="C91" s="26"/>
      <c r="D91" s="26"/>
    </row>
    <row r="92" spans="1:4" ht="20.25" x14ac:dyDescent="0.25">
      <c r="A92" s="58"/>
      <c r="B92" s="19"/>
      <c r="C92" s="26"/>
      <c r="D92" s="26"/>
    </row>
    <row r="93" spans="1:4" ht="20.25" x14ac:dyDescent="0.25">
      <c r="A93" s="58"/>
      <c r="B93" s="19"/>
      <c r="C93" s="26"/>
      <c r="D93" s="26"/>
    </row>
    <row r="94" spans="1:4" ht="20.25" x14ac:dyDescent="0.25">
      <c r="A94" s="58"/>
      <c r="B94" s="19"/>
      <c r="C94" s="26"/>
      <c r="D94" s="26"/>
    </row>
    <row r="95" spans="1:4" ht="20.25" x14ac:dyDescent="0.25">
      <c r="A95" s="58"/>
      <c r="B95" s="19"/>
      <c r="C95" s="26"/>
      <c r="D95" s="26"/>
    </row>
    <row r="96" spans="1:4" ht="20.25" x14ac:dyDescent="0.25">
      <c r="A96" s="58"/>
      <c r="B96" s="19"/>
      <c r="C96" s="26"/>
      <c r="D96" s="26"/>
    </row>
    <row r="97" spans="1:4" ht="20.25" x14ac:dyDescent="0.25">
      <c r="A97" s="58"/>
      <c r="B97" s="19"/>
      <c r="C97" s="26"/>
      <c r="D97" s="26"/>
    </row>
    <row r="98" spans="1:4" ht="20.25" x14ac:dyDescent="0.25">
      <c r="A98" s="58"/>
      <c r="B98" s="19"/>
      <c r="C98" s="26"/>
      <c r="D98" s="26"/>
    </row>
    <row r="99" spans="1:4" ht="20.25" x14ac:dyDescent="0.25">
      <c r="A99" s="58"/>
      <c r="B99" s="19"/>
      <c r="C99" s="26"/>
      <c r="D99" s="26"/>
    </row>
    <row r="100" spans="1:4" ht="20.25" x14ac:dyDescent="0.25">
      <c r="A100" s="58"/>
      <c r="B100" s="19"/>
      <c r="C100" s="26"/>
      <c r="D100" s="26"/>
    </row>
    <row r="101" spans="1:4" ht="20.25" x14ac:dyDescent="0.25">
      <c r="A101" s="58"/>
      <c r="B101" s="19"/>
      <c r="C101" s="26"/>
      <c r="D101" s="26"/>
    </row>
    <row r="102" spans="1:4" ht="20.25" x14ac:dyDescent="0.25">
      <c r="A102" s="58"/>
      <c r="B102" s="19"/>
      <c r="C102" s="26"/>
      <c r="D102" s="26"/>
    </row>
    <row r="103" spans="1:4" ht="20.25" x14ac:dyDescent="0.25">
      <c r="A103" s="58"/>
      <c r="B103" s="19"/>
      <c r="C103" s="26"/>
      <c r="D103" s="26"/>
    </row>
    <row r="104" spans="1:4" ht="20.25" x14ac:dyDescent="0.25">
      <c r="A104" s="58"/>
      <c r="B104" s="19"/>
      <c r="C104" s="26"/>
      <c r="D104" s="26"/>
    </row>
    <row r="105" spans="1:4" ht="20.25" x14ac:dyDescent="0.25">
      <c r="A105" s="58"/>
      <c r="B105" s="19"/>
      <c r="C105" s="26"/>
      <c r="D105" s="26"/>
    </row>
    <row r="106" spans="1:4" ht="20.25" x14ac:dyDescent="0.25">
      <c r="A106" s="58"/>
      <c r="B106" s="19"/>
      <c r="C106" s="26"/>
      <c r="D106" s="26"/>
    </row>
    <row r="107" spans="1:4" ht="20.25" x14ac:dyDescent="0.25">
      <c r="A107" s="58"/>
      <c r="B107" s="19"/>
      <c r="C107" s="26"/>
      <c r="D107" s="26"/>
    </row>
    <row r="108" spans="1:4" ht="20.25" x14ac:dyDescent="0.25">
      <c r="A108" s="58"/>
      <c r="B108" s="19"/>
      <c r="C108" s="26"/>
      <c r="D108" s="26"/>
    </row>
    <row r="109" spans="1:4" ht="20.25" x14ac:dyDescent="0.25">
      <c r="A109" s="58"/>
      <c r="B109" s="19"/>
      <c r="C109" s="26"/>
      <c r="D109" s="26"/>
    </row>
    <row r="110" spans="1:4" ht="20.25" x14ac:dyDescent="0.25">
      <c r="A110" s="58"/>
      <c r="B110" s="19"/>
      <c r="C110" s="26"/>
      <c r="D110" s="26"/>
    </row>
    <row r="111" spans="1:4" ht="20.25" x14ac:dyDescent="0.25">
      <c r="A111" s="58"/>
      <c r="B111" s="19"/>
      <c r="C111" s="26"/>
      <c r="D111" s="26"/>
    </row>
    <row r="112" spans="1:4" ht="20.25" x14ac:dyDescent="0.25">
      <c r="A112" s="58"/>
      <c r="B112" s="19"/>
      <c r="C112" s="26"/>
      <c r="D112" s="26"/>
    </row>
    <row r="113" spans="1:4" ht="20.25" x14ac:dyDescent="0.25">
      <c r="A113" s="58"/>
      <c r="B113" s="19"/>
      <c r="C113" s="26"/>
      <c r="D113" s="26"/>
    </row>
    <row r="114" spans="1:4" ht="20.25" x14ac:dyDescent="0.25">
      <c r="A114" s="58"/>
      <c r="B114" s="19"/>
      <c r="C114" s="26"/>
      <c r="D114" s="26"/>
    </row>
    <row r="115" spans="1:4" ht="20.25" x14ac:dyDescent="0.25">
      <c r="A115" s="58"/>
      <c r="B115" s="19"/>
      <c r="C115" s="26"/>
      <c r="D115" s="26"/>
    </row>
    <row r="116" spans="1:4" ht="20.25" x14ac:dyDescent="0.25">
      <c r="A116" s="58"/>
      <c r="B116" s="19"/>
      <c r="C116" s="26"/>
      <c r="D116" s="26"/>
    </row>
    <row r="117" spans="1:4" ht="20.25" x14ac:dyDescent="0.25">
      <c r="A117" s="58"/>
      <c r="B117" s="19"/>
      <c r="C117" s="26"/>
      <c r="D117" s="26"/>
    </row>
    <row r="118" spans="1:4" ht="20.25" x14ac:dyDescent="0.25">
      <c r="A118" s="58"/>
      <c r="B118" s="19"/>
      <c r="C118" s="26"/>
      <c r="D118" s="26"/>
    </row>
    <row r="119" spans="1:4" ht="20.25" x14ac:dyDescent="0.25">
      <c r="A119" s="58"/>
      <c r="B119" s="19"/>
      <c r="C119" s="26"/>
      <c r="D119" s="26"/>
    </row>
    <row r="120" spans="1:4" ht="20.25" x14ac:dyDescent="0.25">
      <c r="A120" s="58"/>
      <c r="B120" s="19"/>
      <c r="C120" s="26"/>
      <c r="D120" s="26"/>
    </row>
    <row r="121" spans="1:4" ht="20.25" x14ac:dyDescent="0.25">
      <c r="A121" s="58"/>
      <c r="B121" s="19"/>
      <c r="C121" s="26"/>
      <c r="D121" s="26"/>
    </row>
    <row r="122" spans="1:4" ht="20.25" x14ac:dyDescent="0.25">
      <c r="A122" s="58"/>
      <c r="B122" s="19"/>
      <c r="C122" s="26"/>
      <c r="D122" s="26"/>
    </row>
    <row r="123" spans="1:4" ht="20.25" x14ac:dyDescent="0.25">
      <c r="A123" s="58"/>
      <c r="B123" s="19"/>
      <c r="C123" s="26"/>
      <c r="D123" s="26"/>
    </row>
    <row r="124" spans="1:4" ht="20.25" x14ac:dyDescent="0.25">
      <c r="A124" s="58"/>
      <c r="B124" s="19"/>
      <c r="C124" s="26"/>
      <c r="D124" s="26"/>
    </row>
    <row r="125" spans="1:4" ht="20.25" x14ac:dyDescent="0.25">
      <c r="A125" s="58"/>
      <c r="B125" s="19"/>
      <c r="C125" s="26"/>
      <c r="D125" s="26"/>
    </row>
    <row r="126" spans="1:4" ht="20.25" x14ac:dyDescent="0.25">
      <c r="A126" s="58"/>
      <c r="B126" s="19"/>
      <c r="C126" s="26"/>
      <c r="D126" s="26"/>
    </row>
    <row r="127" spans="1:4" ht="20.25" x14ac:dyDescent="0.25">
      <c r="A127" s="58"/>
      <c r="B127" s="19"/>
      <c r="C127" s="26"/>
      <c r="D127" s="26"/>
    </row>
    <row r="128" spans="1:4" ht="20.25" x14ac:dyDescent="0.25">
      <c r="A128" s="58"/>
      <c r="B128" s="19"/>
      <c r="C128" s="26"/>
      <c r="D128" s="26"/>
    </row>
    <row r="129" spans="1:4" ht="20.25" x14ac:dyDescent="0.25">
      <c r="A129" s="58"/>
      <c r="B129" s="19"/>
      <c r="C129" s="26"/>
      <c r="D129" s="26"/>
    </row>
    <row r="130" spans="1:4" ht="20.25" x14ac:dyDescent="0.25">
      <c r="A130" s="58"/>
      <c r="B130" s="19"/>
      <c r="C130" s="26"/>
      <c r="D130" s="26"/>
    </row>
    <row r="131" spans="1:4" ht="20.25" x14ac:dyDescent="0.25">
      <c r="A131" s="58"/>
      <c r="B131" s="19"/>
      <c r="C131" s="26"/>
      <c r="D131" s="26"/>
    </row>
    <row r="132" spans="1:4" ht="20.25" x14ac:dyDescent="0.25">
      <c r="A132" s="58"/>
      <c r="B132" s="19"/>
      <c r="C132" s="26"/>
      <c r="D132" s="26"/>
    </row>
    <row r="133" spans="1:4" ht="20.25" x14ac:dyDescent="0.25">
      <c r="A133" s="58"/>
      <c r="B133" s="19"/>
      <c r="C133" s="26"/>
      <c r="D133" s="26"/>
    </row>
    <row r="134" spans="1:4" ht="20.25" x14ac:dyDescent="0.25">
      <c r="A134" s="58"/>
      <c r="B134" s="19"/>
      <c r="C134" s="26"/>
      <c r="D134" s="26"/>
    </row>
    <row r="135" spans="1:4" ht="20.25" x14ac:dyDescent="0.25">
      <c r="A135" s="58"/>
      <c r="B135" s="19"/>
      <c r="C135" s="26"/>
      <c r="D135" s="26"/>
    </row>
    <row r="136" spans="1:4" ht="20.25" x14ac:dyDescent="0.25">
      <c r="A136" s="58"/>
      <c r="B136" s="19"/>
      <c r="C136" s="26"/>
      <c r="D136" s="26"/>
    </row>
    <row r="137" spans="1:4" ht="20.25" x14ac:dyDescent="0.25">
      <c r="A137" s="58"/>
      <c r="B137" s="19"/>
      <c r="C137" s="26"/>
      <c r="D137" s="26"/>
    </row>
    <row r="138" spans="1:4" ht="20.25" x14ac:dyDescent="0.25">
      <c r="A138" s="58"/>
      <c r="B138" s="19"/>
      <c r="C138" s="26"/>
      <c r="D138" s="26"/>
    </row>
    <row r="139" spans="1:4" ht="20.25" x14ac:dyDescent="0.25">
      <c r="A139" s="58"/>
      <c r="B139" s="19"/>
      <c r="C139" s="26"/>
      <c r="D139" s="26"/>
    </row>
    <row r="140" spans="1:4" ht="20.25" x14ac:dyDescent="0.25">
      <c r="A140" s="58"/>
      <c r="B140" s="19"/>
      <c r="C140" s="26"/>
      <c r="D140" s="26"/>
    </row>
    <row r="141" spans="1:4" ht="20.25" x14ac:dyDescent="0.25">
      <c r="A141" s="58"/>
      <c r="B141" s="19"/>
      <c r="C141" s="26"/>
      <c r="D141" s="26"/>
    </row>
    <row r="142" spans="1:4" ht="20.25" x14ac:dyDescent="0.25">
      <c r="A142" s="58"/>
      <c r="B142" s="19"/>
      <c r="C142" s="26"/>
      <c r="D142" s="26"/>
    </row>
    <row r="143" spans="1:4" ht="20.25" x14ac:dyDescent="0.25">
      <c r="A143" s="58"/>
      <c r="B143" s="19"/>
      <c r="C143" s="26"/>
      <c r="D143" s="26"/>
    </row>
    <row r="144" spans="1:4" ht="20.25" x14ac:dyDescent="0.25">
      <c r="A144" s="58"/>
      <c r="B144" s="19"/>
      <c r="C144" s="26"/>
      <c r="D144" s="26"/>
    </row>
    <row r="145" spans="1:4" ht="20.25" x14ac:dyDescent="0.25">
      <c r="A145" s="58"/>
      <c r="B145" s="19"/>
      <c r="C145" s="26"/>
      <c r="D145" s="26"/>
    </row>
    <row r="146" spans="1:4" ht="20.25" x14ac:dyDescent="0.25">
      <c r="A146" s="58"/>
      <c r="B146" s="19"/>
      <c r="C146" s="26"/>
      <c r="D146" s="26"/>
    </row>
    <row r="147" spans="1:4" ht="20.25" x14ac:dyDescent="0.25">
      <c r="A147" s="58"/>
      <c r="B147" s="19"/>
      <c r="C147" s="26"/>
      <c r="D147" s="26"/>
    </row>
    <row r="148" spans="1:4" ht="20.25" x14ac:dyDescent="0.25">
      <c r="A148" s="58"/>
      <c r="B148" s="19"/>
      <c r="C148" s="26"/>
      <c r="D148" s="26"/>
    </row>
    <row r="149" spans="1:4" ht="20.25" x14ac:dyDescent="0.25">
      <c r="A149" s="58"/>
      <c r="B149" s="19"/>
      <c r="C149" s="26"/>
      <c r="D149" s="26"/>
    </row>
    <row r="150" spans="1:4" ht="20.25" x14ac:dyDescent="0.25">
      <c r="A150" s="58"/>
      <c r="B150" s="19"/>
      <c r="C150" s="26"/>
      <c r="D150" s="26"/>
    </row>
    <row r="151" spans="1:4" ht="20.25" x14ac:dyDescent="0.25">
      <c r="A151" s="58"/>
      <c r="B151" s="19"/>
      <c r="C151" s="26"/>
      <c r="D151" s="26"/>
    </row>
    <row r="152" spans="1:4" ht="20.25" x14ac:dyDescent="0.25">
      <c r="A152" s="58"/>
      <c r="B152" s="19"/>
      <c r="C152" s="26"/>
      <c r="D152" s="26"/>
    </row>
    <row r="153" spans="1:4" ht="20.25" x14ac:dyDescent="0.25">
      <c r="A153" s="58"/>
      <c r="B153" s="19"/>
      <c r="C153" s="26"/>
      <c r="D153" s="26"/>
    </row>
    <row r="154" spans="1:4" ht="20.25" x14ac:dyDescent="0.25">
      <c r="A154" s="58"/>
      <c r="B154" s="19"/>
      <c r="C154" s="26"/>
      <c r="D154" s="26"/>
    </row>
    <row r="155" spans="1:4" ht="20.25" x14ac:dyDescent="0.25">
      <c r="A155" s="58"/>
      <c r="B155" s="19"/>
      <c r="C155" s="26"/>
      <c r="D155" s="26"/>
    </row>
    <row r="156" spans="1:4" ht="20.25" x14ac:dyDescent="0.25">
      <c r="A156" s="58"/>
      <c r="B156" s="19"/>
      <c r="C156" s="26"/>
      <c r="D156" s="26"/>
    </row>
    <row r="157" spans="1:4" ht="20.25" x14ac:dyDescent="0.25">
      <c r="A157" s="58"/>
      <c r="B157" s="19"/>
      <c r="C157" s="26"/>
      <c r="D157" s="26"/>
    </row>
    <row r="158" spans="1:4" ht="20.25" x14ac:dyDescent="0.25">
      <c r="A158" s="58"/>
      <c r="B158" s="19"/>
      <c r="C158" s="26"/>
      <c r="D158" s="26"/>
    </row>
    <row r="159" spans="1:4" ht="20.25" x14ac:dyDescent="0.25">
      <c r="A159" s="58"/>
      <c r="B159" s="19"/>
      <c r="C159" s="26"/>
      <c r="D159" s="26"/>
    </row>
    <row r="160" spans="1:4" ht="20.25" x14ac:dyDescent="0.25">
      <c r="A160" s="58"/>
      <c r="B160" s="19"/>
      <c r="C160" s="26"/>
      <c r="D160" s="26"/>
    </row>
    <row r="161" spans="1:4" ht="20.25" x14ac:dyDescent="0.25">
      <c r="A161" s="58"/>
      <c r="B161" s="19"/>
      <c r="C161" s="26"/>
      <c r="D161" s="26"/>
    </row>
    <row r="162" spans="1:4" ht="20.25" x14ac:dyDescent="0.25">
      <c r="A162" s="58"/>
      <c r="B162" s="19"/>
      <c r="C162" s="26"/>
      <c r="D162" s="26"/>
    </row>
    <row r="163" spans="1:4" ht="20.25" x14ac:dyDescent="0.25">
      <c r="A163" s="58"/>
      <c r="B163" s="19"/>
      <c r="C163" s="26"/>
      <c r="D163" s="26"/>
    </row>
    <row r="164" spans="1:4" ht="20.25" x14ac:dyDescent="0.25">
      <c r="A164" s="58"/>
      <c r="B164" s="19"/>
      <c r="C164" s="26"/>
      <c r="D164" s="26"/>
    </row>
    <row r="165" spans="1:4" ht="20.25" x14ac:dyDescent="0.25">
      <c r="A165" s="58"/>
      <c r="B165" s="19"/>
      <c r="C165" s="26"/>
      <c r="D165" s="26"/>
    </row>
    <row r="166" spans="1:4" ht="20.25" x14ac:dyDescent="0.25">
      <c r="A166" s="58"/>
      <c r="B166" s="19"/>
      <c r="C166" s="26"/>
      <c r="D166" s="26"/>
    </row>
    <row r="167" spans="1:4" ht="20.25" x14ac:dyDescent="0.25">
      <c r="A167" s="58"/>
      <c r="B167" s="19"/>
      <c r="C167" s="26"/>
      <c r="D167" s="26"/>
    </row>
    <row r="168" spans="1:4" ht="20.25" x14ac:dyDescent="0.25">
      <c r="A168" s="58"/>
      <c r="B168" s="19"/>
      <c r="C168" s="26"/>
      <c r="D168" s="26"/>
    </row>
    <row r="169" spans="1:4" ht="20.25" x14ac:dyDescent="0.25">
      <c r="A169" s="58"/>
      <c r="B169" s="19"/>
      <c r="C169" s="26"/>
      <c r="D169" s="26"/>
    </row>
    <row r="170" spans="1:4" ht="20.25" x14ac:dyDescent="0.25">
      <c r="A170" s="58"/>
      <c r="B170" s="19"/>
      <c r="C170" s="26"/>
      <c r="D170" s="26"/>
    </row>
    <row r="171" spans="1:4" ht="20.25" x14ac:dyDescent="0.25">
      <c r="A171" s="58"/>
      <c r="B171" s="19"/>
      <c r="C171" s="26"/>
      <c r="D171" s="26"/>
    </row>
    <row r="172" spans="1:4" ht="20.25" x14ac:dyDescent="0.25">
      <c r="A172" s="58"/>
      <c r="B172" s="19"/>
      <c r="C172" s="26"/>
      <c r="D172" s="26"/>
    </row>
    <row r="173" spans="1:4" ht="20.25" x14ac:dyDescent="0.25">
      <c r="A173" s="58"/>
      <c r="B173" s="19"/>
      <c r="C173" s="26"/>
      <c r="D173" s="26"/>
    </row>
    <row r="174" spans="1:4" ht="20.25" x14ac:dyDescent="0.25">
      <c r="A174" s="58"/>
      <c r="B174" s="19"/>
      <c r="C174" s="26"/>
      <c r="D174" s="26"/>
    </row>
    <row r="175" spans="1:4" ht="20.25" x14ac:dyDescent="0.25">
      <c r="A175" s="58"/>
      <c r="B175" s="19"/>
      <c r="C175" s="26"/>
      <c r="D175" s="26"/>
    </row>
    <row r="176" spans="1:4" ht="20.25" x14ac:dyDescent="0.25">
      <c r="A176" s="58"/>
      <c r="B176" s="19"/>
      <c r="C176" s="26"/>
      <c r="D176" s="26"/>
    </row>
    <row r="177" spans="1:4" ht="20.25" x14ac:dyDescent="0.25">
      <c r="A177" s="58"/>
      <c r="B177" s="19"/>
      <c r="C177" s="26"/>
      <c r="D177" s="26"/>
    </row>
    <row r="178" spans="1:4" ht="20.25" x14ac:dyDescent="0.25">
      <c r="A178" s="58"/>
      <c r="B178" s="19"/>
      <c r="C178" s="26"/>
      <c r="D178" s="26"/>
    </row>
    <row r="179" spans="1:4" ht="20.25" x14ac:dyDescent="0.25">
      <c r="A179" s="58"/>
      <c r="B179" s="19"/>
      <c r="C179" s="26"/>
      <c r="D179" s="26"/>
    </row>
    <row r="180" spans="1:4" ht="20.25" x14ac:dyDescent="0.25">
      <c r="A180" s="58"/>
      <c r="B180" s="19"/>
      <c r="C180" s="26"/>
      <c r="D180" s="26"/>
    </row>
    <row r="181" spans="1:4" ht="20.25" x14ac:dyDescent="0.25">
      <c r="A181" s="58"/>
      <c r="B181" s="19"/>
      <c r="C181" s="26"/>
      <c r="D181" s="26"/>
    </row>
    <row r="182" spans="1:4" ht="20.25" x14ac:dyDescent="0.25">
      <c r="A182" s="58"/>
      <c r="B182" s="19"/>
      <c r="C182" s="26"/>
      <c r="D182" s="26"/>
    </row>
    <row r="183" spans="1:4" ht="20.25" x14ac:dyDescent="0.25">
      <c r="A183" s="58"/>
      <c r="B183" s="19"/>
      <c r="C183" s="26"/>
      <c r="D183" s="26"/>
    </row>
    <row r="184" spans="1:4" ht="20.25" x14ac:dyDescent="0.25">
      <c r="A184" s="58"/>
      <c r="B184" s="19"/>
      <c r="C184" s="26"/>
      <c r="D184" s="26"/>
    </row>
    <row r="185" spans="1:4" ht="20.25" x14ac:dyDescent="0.25">
      <c r="A185" s="58"/>
      <c r="B185" s="19"/>
      <c r="C185" s="26"/>
      <c r="D185" s="26"/>
    </row>
    <row r="186" spans="1:4" ht="20.25" x14ac:dyDescent="0.25">
      <c r="A186" s="58"/>
      <c r="B186" s="19"/>
      <c r="C186" s="26"/>
      <c r="D186" s="26"/>
    </row>
    <row r="187" spans="1:4" ht="20.25" x14ac:dyDescent="0.25">
      <c r="A187" s="58"/>
      <c r="B187" s="19"/>
      <c r="C187" s="26"/>
      <c r="D187" s="26"/>
    </row>
    <row r="188" spans="1:4" ht="20.25" x14ac:dyDescent="0.25">
      <c r="A188" s="58"/>
      <c r="B188" s="19"/>
      <c r="C188" s="26"/>
      <c r="D188" s="26"/>
    </row>
    <row r="189" spans="1:4" ht="20.25" x14ac:dyDescent="0.25">
      <c r="A189" s="58"/>
      <c r="B189" s="19"/>
      <c r="C189" s="26"/>
      <c r="D189" s="26"/>
    </row>
    <row r="190" spans="1:4" ht="20.25" x14ac:dyDescent="0.25">
      <c r="A190" s="58"/>
      <c r="B190" s="19"/>
      <c r="C190" s="26"/>
      <c r="D190" s="26"/>
    </row>
    <row r="191" spans="1:4" ht="20.25" x14ac:dyDescent="0.25">
      <c r="A191" s="58"/>
      <c r="B191" s="19"/>
      <c r="C191" s="26"/>
      <c r="D191" s="26"/>
    </row>
    <row r="192" spans="1:4" ht="20.25" x14ac:dyDescent="0.25">
      <c r="A192" s="58"/>
      <c r="B192" s="19"/>
      <c r="C192" s="26"/>
      <c r="D192" s="26"/>
    </row>
    <row r="193" spans="1:4" ht="20.25" x14ac:dyDescent="0.25">
      <c r="A193" s="58"/>
      <c r="B193" s="19"/>
      <c r="C193" s="26"/>
      <c r="D193" s="26"/>
    </row>
    <row r="194" spans="1:4" ht="20.25" x14ac:dyDescent="0.25">
      <c r="A194" s="58"/>
      <c r="B194" s="19"/>
      <c r="C194" s="26"/>
      <c r="D194" s="26"/>
    </row>
    <row r="195" spans="1:4" ht="20.25" x14ac:dyDescent="0.25">
      <c r="A195" s="58"/>
      <c r="B195" s="19"/>
      <c r="C195" s="26"/>
      <c r="D195" s="26"/>
    </row>
    <row r="196" spans="1:4" ht="20.25" x14ac:dyDescent="0.25">
      <c r="A196" s="58"/>
      <c r="B196" s="19"/>
      <c r="C196" s="26"/>
      <c r="D196" s="26"/>
    </row>
    <row r="197" spans="1:4" ht="20.25" x14ac:dyDescent="0.25">
      <c r="A197" s="58"/>
      <c r="B197" s="19"/>
      <c r="C197" s="26"/>
      <c r="D197" s="26"/>
    </row>
    <row r="198" spans="1:4" ht="20.25" x14ac:dyDescent="0.25">
      <c r="A198" s="58"/>
      <c r="B198" s="19"/>
      <c r="C198" s="26"/>
      <c r="D198" s="26"/>
    </row>
    <row r="199" spans="1:4" ht="20.25" x14ac:dyDescent="0.25">
      <c r="A199" s="58"/>
      <c r="B199" s="19"/>
      <c r="C199" s="26"/>
      <c r="D199" s="26"/>
    </row>
    <row r="200" spans="1:4" ht="20.25" x14ac:dyDescent="0.25">
      <c r="A200" s="58"/>
      <c r="B200" s="19"/>
      <c r="C200" s="26"/>
      <c r="D200" s="26"/>
    </row>
    <row r="201" spans="1:4" ht="20.25" x14ac:dyDescent="0.25">
      <c r="A201" s="58"/>
      <c r="B201" s="19"/>
      <c r="C201" s="26"/>
      <c r="D201" s="26"/>
    </row>
    <row r="202" spans="1:4" ht="20.25" x14ac:dyDescent="0.25">
      <c r="A202" s="58"/>
      <c r="B202" s="19"/>
      <c r="C202" s="26"/>
      <c r="D202" s="26"/>
    </row>
    <row r="203" spans="1:4" ht="20.25" x14ac:dyDescent="0.25">
      <c r="A203" s="58"/>
      <c r="B203" s="19"/>
      <c r="C203" s="26"/>
      <c r="D203" s="26"/>
    </row>
    <row r="204" spans="1:4" ht="20.25" x14ac:dyDescent="0.25">
      <c r="A204" s="58"/>
      <c r="B204" s="19"/>
      <c r="C204" s="26"/>
      <c r="D204" s="26"/>
    </row>
    <row r="205" spans="1:4" ht="20.25" x14ac:dyDescent="0.25">
      <c r="A205" s="58"/>
      <c r="B205" s="19"/>
      <c r="C205" s="26"/>
      <c r="D205" s="26"/>
    </row>
    <row r="206" spans="1:4" ht="20.25" x14ac:dyDescent="0.25">
      <c r="A206" s="58"/>
      <c r="B206" s="19"/>
      <c r="C206" s="26"/>
      <c r="D206" s="26"/>
    </row>
    <row r="207" spans="1:4" ht="20.25" x14ac:dyDescent="0.25">
      <c r="A207" s="58"/>
      <c r="B207" s="19"/>
      <c r="C207" s="26"/>
      <c r="D207" s="26"/>
    </row>
    <row r="208" spans="1:4" x14ac:dyDescent="0.25">
      <c r="A208" s="38"/>
      <c r="B208" s="19"/>
      <c r="C208" s="19"/>
      <c r="D208" s="19"/>
    </row>
    <row r="209" spans="1:8" ht="20.25" x14ac:dyDescent="0.25">
      <c r="A209" s="38"/>
      <c r="B209" s="22" t="s">
        <v>81</v>
      </c>
      <c r="C209" s="22" t="s">
        <v>129</v>
      </c>
      <c r="D209" s="25" t="s">
        <v>81</v>
      </c>
      <c r="E209" s="25" t="s">
        <v>129</v>
      </c>
    </row>
    <row r="210" spans="1:8" ht="21" x14ac:dyDescent="0.35">
      <c r="A210" s="38"/>
      <c r="B210" s="23" t="s">
        <v>83</v>
      </c>
      <c r="C210" s="23" t="s">
        <v>52</v>
      </c>
      <c r="D210" t="s">
        <v>83</v>
      </c>
      <c r="F210" t="str">
        <f t="shared" ref="F210:F221" si="0">IF(NOT(ISBLANK(D210)),D210,IF(NOT(ISBLANK(E210))," "&amp;E210,FALSE))</f>
        <v>Afectación Económica o presupuestal</v>
      </c>
      <c r="G210" t="s">
        <v>83</v>
      </c>
      <c r="H210" t="str">
        <f>IF(NOT(ISERROR(MATCH(G210,_xlfn.ANCHORARRAY(B221),0))),F223&amp;"Por favor no seleccionar los criterios de impacto",G210)</f>
        <v>❌Por favor no seleccionar los criterios de impacto</v>
      </c>
    </row>
    <row r="211" spans="1:8" ht="21" x14ac:dyDescent="0.35">
      <c r="A211" s="38"/>
      <c r="B211" s="23" t="s">
        <v>83</v>
      </c>
      <c r="C211" s="23" t="s">
        <v>86</v>
      </c>
      <c r="E211" t="s">
        <v>52</v>
      </c>
      <c r="F211" t="str">
        <f t="shared" si="0"/>
        <v xml:space="preserve"> Afectación menor a 10 SMLMV .</v>
      </c>
    </row>
    <row r="212" spans="1:8" ht="21" x14ac:dyDescent="0.35">
      <c r="A212" s="38"/>
      <c r="B212" s="23" t="s">
        <v>83</v>
      </c>
      <c r="C212" s="23" t="s">
        <v>87</v>
      </c>
      <c r="E212" t="s">
        <v>86</v>
      </c>
      <c r="F212" t="str">
        <f t="shared" si="0"/>
        <v xml:space="preserve"> Entre 10 y 50 SMLMV </v>
      </c>
    </row>
    <row r="213" spans="1:8" ht="21" x14ac:dyDescent="0.35">
      <c r="A213" s="38"/>
      <c r="B213" s="23" t="s">
        <v>83</v>
      </c>
      <c r="C213" s="23" t="s">
        <v>88</v>
      </c>
      <c r="E213" t="s">
        <v>87</v>
      </c>
      <c r="F213" t="str">
        <f t="shared" si="0"/>
        <v xml:space="preserve"> Entre 50 y 100 SMLMV </v>
      </c>
    </row>
    <row r="214" spans="1:8" ht="21" x14ac:dyDescent="0.35">
      <c r="A214" s="38"/>
      <c r="B214" s="23" t="s">
        <v>83</v>
      </c>
      <c r="C214" s="23" t="s">
        <v>89</v>
      </c>
      <c r="E214" t="s">
        <v>88</v>
      </c>
      <c r="F214" t="str">
        <f t="shared" si="0"/>
        <v xml:space="preserve"> Entre 100 y 500 SMLMV </v>
      </c>
    </row>
    <row r="215" spans="1:8" ht="21" x14ac:dyDescent="0.35">
      <c r="A215" s="38"/>
      <c r="B215" s="23" t="s">
        <v>51</v>
      </c>
      <c r="C215" s="23" t="s">
        <v>90</v>
      </c>
      <c r="E215" t="s">
        <v>89</v>
      </c>
      <c r="F215" t="str">
        <f t="shared" si="0"/>
        <v xml:space="preserve"> Mayor a 500 SMLMV </v>
      </c>
    </row>
    <row r="216" spans="1:8" ht="21" x14ac:dyDescent="0.35">
      <c r="A216" s="38"/>
      <c r="B216" s="23" t="s">
        <v>51</v>
      </c>
      <c r="C216" s="23" t="s">
        <v>252</v>
      </c>
      <c r="D216" t="s">
        <v>51</v>
      </c>
      <c r="F216" t="str">
        <f t="shared" si="0"/>
        <v>Pérdida Reputacional</v>
      </c>
    </row>
    <row r="217" spans="1:8" ht="21" x14ac:dyDescent="0.35">
      <c r="A217" s="38"/>
      <c r="B217" s="23" t="s">
        <v>51</v>
      </c>
      <c r="C217" s="23" t="s">
        <v>91</v>
      </c>
      <c r="E217" t="s">
        <v>90</v>
      </c>
      <c r="F217" t="str">
        <f t="shared" si="0"/>
        <v xml:space="preserve"> El riesgo afecta la imagen de alguna área de la organización</v>
      </c>
    </row>
    <row r="218" spans="1:8" ht="21" x14ac:dyDescent="0.35">
      <c r="A218" s="38"/>
      <c r="B218" s="23" t="s">
        <v>51</v>
      </c>
      <c r="C218" s="23" t="s">
        <v>254</v>
      </c>
      <c r="E218" t="s">
        <v>252</v>
      </c>
      <c r="F218" t="str">
        <f t="shared" si="0"/>
        <v xml:space="preserve"> El riesgo afecta la imagen de la entidad internamente, de conocimiento general, nivel interno, de junta directiva y accionistas y/o de proveedores</v>
      </c>
    </row>
    <row r="219" spans="1:8" ht="21" x14ac:dyDescent="0.35">
      <c r="A219" s="38"/>
      <c r="B219" s="23" t="s">
        <v>51</v>
      </c>
      <c r="C219" s="23" t="s">
        <v>109</v>
      </c>
      <c r="E219" t="s">
        <v>91</v>
      </c>
      <c r="F219" t="str">
        <f t="shared" si="0"/>
        <v xml:space="preserve"> El riesgo afecta la imagen de la entidad con algunos usuarios de relevancia frente al logro de los objetivos</v>
      </c>
    </row>
    <row r="220" spans="1:8" x14ac:dyDescent="0.25">
      <c r="A220" s="38"/>
      <c r="B220" s="24"/>
      <c r="C220" s="24"/>
      <c r="E220" t="s">
        <v>254</v>
      </c>
      <c r="F220" t="str">
        <f t="shared" si="0"/>
        <v xml:space="preserve"> El riesgo afecta la imagen de la entidad con efecto publicitario sostenido a nivel de sector administrativo, nivel departamental o municipal</v>
      </c>
    </row>
    <row r="221" spans="1:8" x14ac:dyDescent="0.25">
      <c r="A221" s="38"/>
      <c r="B221" s="24" t="str">
        <f t="array" ref="B221:B223">_xlfn.UNIQUE(Tabla1[[#All],[Criterios]])</f>
        <v>Criterios</v>
      </c>
      <c r="C221" s="24"/>
      <c r="E221" t="s">
        <v>109</v>
      </c>
      <c r="F221" t="str">
        <f t="shared" si="0"/>
        <v xml:space="preserve"> El riesgo afecta la imagen de la entidad a nivel nacional, con efecto publicitarios sostenible a nivel país</v>
      </c>
    </row>
    <row r="222" spans="1:8" x14ac:dyDescent="0.25">
      <c r="A222" s="38"/>
      <c r="B222" s="24" t="str">
        <v>Afectación Económica o presupuestal</v>
      </c>
      <c r="C222" s="24"/>
    </row>
    <row r="223" spans="1:8" x14ac:dyDescent="0.25">
      <c r="B223" s="24" t="str">
        <v>Pérdida Reputacional</v>
      </c>
      <c r="C223" s="24"/>
      <c r="F223" s="27" t="s">
        <v>130</v>
      </c>
    </row>
    <row r="224" spans="1:8" x14ac:dyDescent="0.25">
      <c r="B224" s="18"/>
      <c r="C224" s="18"/>
      <c r="F224" s="27" t="s">
        <v>131</v>
      </c>
    </row>
    <row r="225" spans="2:4" x14ac:dyDescent="0.25">
      <c r="B225" s="18"/>
      <c r="C225" s="18"/>
    </row>
    <row r="226" spans="2:4" x14ac:dyDescent="0.25">
      <c r="B226" s="18"/>
      <c r="C226" s="18"/>
    </row>
    <row r="227" spans="2:4" x14ac:dyDescent="0.25">
      <c r="B227" s="18"/>
      <c r="C227" s="18"/>
      <c r="D227" s="18"/>
    </row>
    <row r="228" spans="2:4" x14ac:dyDescent="0.25">
      <c r="B228" s="18"/>
      <c r="C228" s="18"/>
      <c r="D228" s="18"/>
    </row>
    <row r="229" spans="2:4" x14ac:dyDescent="0.25">
      <c r="B229" s="18"/>
      <c r="C229" s="18"/>
      <c r="D229" s="18"/>
    </row>
    <row r="230" spans="2:4" x14ac:dyDescent="0.25">
      <c r="B230" s="18"/>
      <c r="C230" s="18"/>
      <c r="D230" s="18"/>
    </row>
    <row r="231" spans="2:4" x14ac:dyDescent="0.25">
      <c r="B231" s="18"/>
      <c r="C231" s="18"/>
      <c r="D231" s="18"/>
    </row>
    <row r="232" spans="2:4" x14ac:dyDescent="0.25">
      <c r="B232" s="18"/>
      <c r="C232" s="18"/>
      <c r="D232" s="18"/>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C7" sqref="C7:C8"/>
    </sheetView>
  </sheetViews>
  <sheetFormatPr baseColWidth="10" defaultColWidth="14.42578125" defaultRowHeight="12.75" x14ac:dyDescent="0.2"/>
  <cols>
    <col min="1" max="2" width="14.42578125" style="43"/>
    <col min="3" max="3" width="17" style="43" customWidth="1"/>
    <col min="4" max="4" width="14.42578125" style="43"/>
    <col min="5" max="5" width="46" style="43" customWidth="1"/>
    <col min="6" max="16384" width="14.42578125" style="43"/>
  </cols>
  <sheetData>
    <row r="1" spans="2:6" ht="24" customHeight="1" thickBot="1" x14ac:dyDescent="0.25">
      <c r="B1" s="530" t="s">
        <v>72</v>
      </c>
      <c r="C1" s="531"/>
      <c r="D1" s="531"/>
      <c r="E1" s="531"/>
      <c r="F1" s="532"/>
    </row>
    <row r="2" spans="2:6" ht="16.5" thickBot="1" x14ac:dyDescent="0.3">
      <c r="B2" s="44"/>
      <c r="C2" s="44"/>
      <c r="D2" s="44"/>
      <c r="E2" s="44"/>
      <c r="F2" s="44"/>
    </row>
    <row r="3" spans="2:6" ht="16.5" thickBot="1" x14ac:dyDescent="0.25">
      <c r="B3" s="534" t="s">
        <v>58</v>
      </c>
      <c r="C3" s="535"/>
      <c r="D3" s="535"/>
      <c r="E3" s="56" t="s">
        <v>59</v>
      </c>
      <c r="F3" s="57" t="s">
        <v>60</v>
      </c>
    </row>
    <row r="4" spans="2:6" ht="31.5" x14ac:dyDescent="0.2">
      <c r="B4" s="536" t="s">
        <v>61</v>
      </c>
      <c r="C4" s="538" t="s">
        <v>13</v>
      </c>
      <c r="D4" s="45" t="s">
        <v>14</v>
      </c>
      <c r="E4" s="46" t="s">
        <v>62</v>
      </c>
      <c r="F4" s="47">
        <v>0.25</v>
      </c>
    </row>
    <row r="5" spans="2:6" ht="47.25" x14ac:dyDescent="0.2">
      <c r="B5" s="537"/>
      <c r="C5" s="539"/>
      <c r="D5" s="48" t="s">
        <v>15</v>
      </c>
      <c r="E5" s="49" t="s">
        <v>63</v>
      </c>
      <c r="F5" s="50">
        <v>0.15</v>
      </c>
    </row>
    <row r="6" spans="2:6" ht="47.25" x14ac:dyDescent="0.2">
      <c r="B6" s="537"/>
      <c r="C6" s="539"/>
      <c r="D6" s="48" t="s">
        <v>16</v>
      </c>
      <c r="E6" s="49" t="s">
        <v>64</v>
      </c>
      <c r="F6" s="50">
        <v>0.1</v>
      </c>
    </row>
    <row r="7" spans="2:6" ht="63" x14ac:dyDescent="0.2">
      <c r="B7" s="537"/>
      <c r="C7" s="539" t="s">
        <v>17</v>
      </c>
      <c r="D7" s="48" t="s">
        <v>10</v>
      </c>
      <c r="E7" s="49" t="s">
        <v>65</v>
      </c>
      <c r="F7" s="50">
        <v>0.25</v>
      </c>
    </row>
    <row r="8" spans="2:6" ht="31.5" x14ac:dyDescent="0.2">
      <c r="B8" s="537"/>
      <c r="C8" s="539"/>
      <c r="D8" s="48" t="s">
        <v>9</v>
      </c>
      <c r="E8" s="49" t="s">
        <v>66</v>
      </c>
      <c r="F8" s="50">
        <v>0.15</v>
      </c>
    </row>
    <row r="9" spans="2:6" ht="47.25" x14ac:dyDescent="0.2">
      <c r="B9" s="537" t="s">
        <v>136</v>
      </c>
      <c r="C9" s="539" t="s">
        <v>18</v>
      </c>
      <c r="D9" s="48" t="s">
        <v>19</v>
      </c>
      <c r="E9" s="49" t="s">
        <v>67</v>
      </c>
      <c r="F9" s="51" t="s">
        <v>68</v>
      </c>
    </row>
    <row r="10" spans="2:6" ht="63" x14ac:dyDescent="0.2">
      <c r="B10" s="537"/>
      <c r="C10" s="539"/>
      <c r="D10" s="48" t="s">
        <v>20</v>
      </c>
      <c r="E10" s="49" t="s">
        <v>69</v>
      </c>
      <c r="F10" s="51" t="s">
        <v>68</v>
      </c>
    </row>
    <row r="11" spans="2:6" ht="47.25" x14ac:dyDescent="0.2">
      <c r="B11" s="537"/>
      <c r="C11" s="539" t="s">
        <v>21</v>
      </c>
      <c r="D11" s="48" t="s">
        <v>22</v>
      </c>
      <c r="E11" s="49" t="s">
        <v>70</v>
      </c>
      <c r="F11" s="51" t="s">
        <v>68</v>
      </c>
    </row>
    <row r="12" spans="2:6" ht="47.25" x14ac:dyDescent="0.2">
      <c r="B12" s="537"/>
      <c r="C12" s="539"/>
      <c r="D12" s="48" t="s">
        <v>23</v>
      </c>
      <c r="E12" s="49" t="s">
        <v>71</v>
      </c>
      <c r="F12" s="51" t="s">
        <v>68</v>
      </c>
    </row>
    <row r="13" spans="2:6" ht="31.5" x14ac:dyDescent="0.2">
      <c r="B13" s="537"/>
      <c r="C13" s="539" t="s">
        <v>24</v>
      </c>
      <c r="D13" s="48" t="s">
        <v>110</v>
      </c>
      <c r="E13" s="49" t="s">
        <v>113</v>
      </c>
      <c r="F13" s="51" t="s">
        <v>68</v>
      </c>
    </row>
    <row r="14" spans="2:6" ht="32.25" thickBot="1" x14ac:dyDescent="0.25">
      <c r="B14" s="540"/>
      <c r="C14" s="541"/>
      <c r="D14" s="52" t="s">
        <v>111</v>
      </c>
      <c r="E14" s="53" t="s">
        <v>112</v>
      </c>
      <c r="F14" s="54" t="s">
        <v>68</v>
      </c>
    </row>
    <row r="15" spans="2:6" ht="49.5" customHeight="1" x14ac:dyDescent="0.2">
      <c r="B15" s="533" t="s">
        <v>133</v>
      </c>
      <c r="C15" s="533"/>
      <c r="D15" s="533"/>
      <c r="E15" s="533"/>
      <c r="F15" s="533"/>
    </row>
    <row r="16" spans="2:6" ht="27" customHeight="1" x14ac:dyDescent="0.25">
      <c r="B16" s="5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256</v>
      </c>
    </row>
    <row r="9" spans="2:5" x14ac:dyDescent="0.25">
      <c r="B9" t="s">
        <v>36</v>
      </c>
    </row>
    <row r="10" spans="2:5" x14ac:dyDescent="0.25">
      <c r="B10" t="s">
        <v>37</v>
      </c>
    </row>
    <row r="13" spans="2:5" x14ac:dyDescent="0.25">
      <c r="B13" t="s">
        <v>218</v>
      </c>
    </row>
    <row r="14" spans="2:5" x14ac:dyDescent="0.25">
      <c r="B14" t="s">
        <v>217</v>
      </c>
    </row>
    <row r="15" spans="2:5" x14ac:dyDescent="0.25">
      <c r="B15" t="s">
        <v>219</v>
      </c>
    </row>
    <row r="16" spans="2:5" x14ac:dyDescent="0.25">
      <c r="B16" t="s">
        <v>114</v>
      </c>
    </row>
    <row r="17" spans="2:2" x14ac:dyDescent="0.25">
      <c r="B17" t="s">
        <v>115</v>
      </c>
    </row>
    <row r="18" spans="2:2" x14ac:dyDescent="0.25">
      <c r="B18" t="s">
        <v>116</v>
      </c>
    </row>
    <row r="19" spans="2:2" x14ac:dyDescent="0.25">
      <c r="B19" t="s">
        <v>117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2578125" defaultRowHeight="12.75" x14ac:dyDescent="0.2"/>
  <cols>
    <col min="1" max="1" width="32.85546875" style="5" customWidth="1"/>
    <col min="2" max="16384" width="11.42578125" style="5"/>
  </cols>
  <sheetData>
    <row r="3" spans="1:1" x14ac:dyDescent="0.2">
      <c r="A3" s="6" t="s">
        <v>14</v>
      </c>
    </row>
    <row r="4" spans="1:1" x14ac:dyDescent="0.2">
      <c r="A4" s="6" t="s">
        <v>15</v>
      </c>
    </row>
    <row r="5" spans="1:1" x14ac:dyDescent="0.2">
      <c r="A5" s="6" t="s">
        <v>16</v>
      </c>
    </row>
    <row r="6" spans="1:1" x14ac:dyDescent="0.2">
      <c r="A6" s="6" t="s">
        <v>10</v>
      </c>
    </row>
    <row r="7" spans="1:1" x14ac:dyDescent="0.2">
      <c r="A7" s="6" t="s">
        <v>9</v>
      </c>
    </row>
    <row r="8" spans="1:1" x14ac:dyDescent="0.2">
      <c r="A8" s="6" t="s">
        <v>19</v>
      </c>
    </row>
    <row r="9" spans="1:1" x14ac:dyDescent="0.2">
      <c r="A9" s="6" t="s">
        <v>20</v>
      </c>
    </row>
    <row r="10" spans="1:1" x14ac:dyDescent="0.2">
      <c r="A10" s="6" t="s">
        <v>22</v>
      </c>
    </row>
    <row r="11" spans="1:1" x14ac:dyDescent="0.2">
      <c r="A11" s="6" t="s">
        <v>23</v>
      </c>
    </row>
    <row r="12" spans="1:1" x14ac:dyDescent="0.2">
      <c r="A12" s="6" t="s">
        <v>25</v>
      </c>
    </row>
    <row r="13" spans="1:1" x14ac:dyDescent="0.2">
      <c r="A13" s="6" t="s">
        <v>26</v>
      </c>
    </row>
    <row r="14" spans="1:1" x14ac:dyDescent="0.2">
      <c r="A14" s="6" t="s">
        <v>27</v>
      </c>
    </row>
    <row r="16" spans="1:1" x14ac:dyDescent="0.2">
      <c r="A16" s="6" t="s">
        <v>30</v>
      </c>
    </row>
    <row r="17" spans="1:1" x14ac:dyDescent="0.2">
      <c r="A17" s="6" t="s">
        <v>31</v>
      </c>
    </row>
    <row r="18" spans="1:1" x14ac:dyDescent="0.2">
      <c r="A18" s="6" t="s">
        <v>32</v>
      </c>
    </row>
    <row r="20" spans="1:1" x14ac:dyDescent="0.2">
      <c r="A20" s="6" t="s">
        <v>36</v>
      </c>
    </row>
    <row r="21" spans="1:1" x14ac:dyDescent="0.2">
      <c r="A21" s="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lily johanna moreno gonzalez</cp:lastModifiedBy>
  <cp:lastPrinted>2024-06-11T20:11:51Z</cp:lastPrinted>
  <dcterms:created xsi:type="dcterms:W3CDTF">2020-03-24T23:12:47Z</dcterms:created>
  <dcterms:modified xsi:type="dcterms:W3CDTF">2024-09-30T20:08:35Z</dcterms:modified>
</cp:coreProperties>
</file>