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2A3D7410-79B6-47CD-9255-B053B21D7DD4}" xr6:coauthVersionLast="47" xr6:coauthVersionMax="47" xr10:uidLastSave="{00000000-0000-0000-0000-000000000000}"/>
  <bookViews>
    <workbookView xWindow="-120" yWindow="-120" windowWidth="29040" windowHeight="15840" tabRatio="882" activeTab="2" xr2:uid="{00000000-000D-0000-FFFF-FFFF00000000}"/>
  </bookViews>
  <sheets>
    <sheet name="Ins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s>
  <definedNames>
    <definedName name="_xlnm._FilterDatabase" localSheetId="2" hidden="1">'Mapa final'!$A$6:$BU$157</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P28" i="1" l="1"/>
  <c r="AP157" i="1" s="1"/>
  <c r="AS157" i="1"/>
  <c r="AE30" i="1" l="1"/>
  <c r="AD30" i="1" s="1"/>
  <c r="N28" i="1" l="1"/>
  <c r="K70" i="1" l="1"/>
  <c r="L70" i="1" s="1"/>
  <c r="W70" i="1"/>
  <c r="T70" i="1"/>
  <c r="AA70" i="1" l="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42" i="1"/>
  <c r="T142" i="1"/>
  <c r="AA142" i="1" s="1"/>
  <c r="W142" i="1"/>
  <c r="T143" i="1"/>
  <c r="AA143" i="1" s="1"/>
  <c r="W143" i="1"/>
  <c r="T144" i="1"/>
  <c r="AA144" i="1" s="1"/>
  <c r="W144" i="1"/>
  <c r="K145" i="1"/>
  <c r="T145" i="1"/>
  <c r="AA145" i="1" s="1"/>
  <c r="W145" i="1"/>
  <c r="T146" i="1"/>
  <c r="AA146" i="1" s="1"/>
  <c r="W146" i="1"/>
  <c r="T147" i="1"/>
  <c r="AA147" i="1" s="1"/>
  <c r="AC147" i="1" s="1"/>
  <c r="W147" i="1"/>
  <c r="K148" i="1"/>
  <c r="T148" i="1"/>
  <c r="AA148" i="1" s="1"/>
  <c r="W148" i="1"/>
  <c r="T149" i="1"/>
  <c r="AA149" i="1" s="1"/>
  <c r="W149" i="1"/>
  <c r="T150" i="1"/>
  <c r="AA150" i="1" s="1"/>
  <c r="W150" i="1"/>
  <c r="K151" i="1"/>
  <c r="L151" i="1" s="1"/>
  <c r="T151" i="1"/>
  <c r="AE151" i="1" s="1"/>
  <c r="AD151" i="1" s="1"/>
  <c r="W151" i="1"/>
  <c r="T152" i="1"/>
  <c r="AA152" i="1" s="1"/>
  <c r="W152" i="1"/>
  <c r="T153" i="1"/>
  <c r="AA153" i="1" s="1"/>
  <c r="W153" i="1"/>
  <c r="K154" i="1"/>
  <c r="T154" i="1"/>
  <c r="AA154" i="1" s="1"/>
  <c r="W154" i="1"/>
  <c r="T155" i="1"/>
  <c r="AA155" i="1" s="1"/>
  <c r="W155" i="1"/>
  <c r="T156" i="1"/>
  <c r="AA156" i="1" s="1"/>
  <c r="W156" i="1"/>
  <c r="W103" i="1"/>
  <c r="T103" i="1"/>
  <c r="N103" i="1"/>
  <c r="O103" i="1" s="1"/>
  <c r="P103" i="1" s="1"/>
  <c r="K103" i="1"/>
  <c r="AE152" i="1" l="1"/>
  <c r="AD152" i="1" s="1"/>
  <c r="AA151" i="1"/>
  <c r="AC151" i="1" s="1"/>
  <c r="AE147" i="1"/>
  <c r="AD147" i="1" s="1"/>
  <c r="AE145" i="1"/>
  <c r="AD145" i="1" s="1"/>
  <c r="AB147" i="1"/>
  <c r="AE146" i="1"/>
  <c r="AD146" i="1" s="1"/>
  <c r="AC70" i="1"/>
  <c r="AB70" i="1"/>
  <c r="AC152" i="1"/>
  <c r="AB152" i="1"/>
  <c r="AC145" i="1"/>
  <c r="AB145" i="1"/>
  <c r="AC146" i="1"/>
  <c r="AB146" i="1"/>
  <c r="AC153" i="1"/>
  <c r="AB153" i="1"/>
  <c r="L142" i="1"/>
  <c r="AE153" i="1"/>
  <c r="AD153" i="1" s="1"/>
  <c r="L148" i="1"/>
  <c r="L154" i="1"/>
  <c r="L145" i="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5" i="1"/>
  <c r="AC155" i="1"/>
  <c r="AB144" i="1"/>
  <c r="AC144" i="1"/>
  <c r="AB142" i="1"/>
  <c r="AC142" i="1"/>
  <c r="AB150" i="1"/>
  <c r="AC150" i="1"/>
  <c r="AB148" i="1"/>
  <c r="AC148" i="1"/>
  <c r="AB156" i="1"/>
  <c r="AC156" i="1"/>
  <c r="AB154" i="1"/>
  <c r="AC154" i="1"/>
  <c r="AB143" i="1"/>
  <c r="AC143" i="1"/>
  <c r="AB149" i="1"/>
  <c r="AC149" i="1"/>
  <c r="AE156" i="1"/>
  <c r="AD156" i="1" s="1"/>
  <c r="AE155" i="1"/>
  <c r="AD155" i="1" s="1"/>
  <c r="AE154" i="1"/>
  <c r="AD154" i="1" s="1"/>
  <c r="AE150" i="1"/>
  <c r="AD150" i="1" s="1"/>
  <c r="AE149" i="1"/>
  <c r="AD149" i="1" s="1"/>
  <c r="AE148" i="1"/>
  <c r="AD148" i="1" s="1"/>
  <c r="AE144" i="1"/>
  <c r="AD144" i="1" s="1"/>
  <c r="AE143" i="1"/>
  <c r="AD143" i="1" s="1"/>
  <c r="AE142" i="1"/>
  <c r="AD142" i="1" s="1"/>
  <c r="Q103" i="1"/>
  <c r="AE103" i="1"/>
  <c r="AD103" i="1" s="1"/>
  <c r="L103" i="1"/>
  <c r="AA103" i="1" s="1"/>
  <c r="X52" i="19" l="1"/>
  <c r="R52" i="19"/>
  <c r="O52" i="19"/>
  <c r="AB151" i="1"/>
  <c r="S254" i="19" s="1"/>
  <c r="R102" i="19"/>
  <c r="U52" i="19"/>
  <c r="AF147" i="1"/>
  <c r="O152" i="19"/>
  <c r="L202" i="19"/>
  <c r="L252" i="19"/>
  <c r="L102" i="19"/>
  <c r="X102" i="19"/>
  <c r="O252" i="19"/>
  <c r="L52" i="19"/>
  <c r="L152" i="19"/>
  <c r="O102" i="19"/>
  <c r="X152" i="19"/>
  <c r="O202" i="19"/>
  <c r="R252" i="19"/>
  <c r="R152" i="19"/>
  <c r="U252" i="19"/>
  <c r="U102" i="19"/>
  <c r="X202" i="19"/>
  <c r="R202" i="19"/>
  <c r="X252" i="19"/>
  <c r="U152" i="19"/>
  <c r="U202" i="19"/>
  <c r="V154" i="19"/>
  <c r="P254" i="19"/>
  <c r="P54" i="19"/>
  <c r="J104" i="19"/>
  <c r="J204" i="19"/>
  <c r="AF153"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5" i="1"/>
  <c r="V252" i="19"/>
  <c r="V52" i="19"/>
  <c r="V202" i="19"/>
  <c r="S252" i="19"/>
  <c r="V152" i="19"/>
  <c r="S202" i="19"/>
  <c r="V102" i="19"/>
  <c r="S102" i="19"/>
  <c r="P152" i="19"/>
  <c r="M202" i="19"/>
  <c r="S52" i="19"/>
  <c r="P102" i="19"/>
  <c r="M152" i="19"/>
  <c r="S152" i="19"/>
  <c r="P202" i="19"/>
  <c r="M252" i="19"/>
  <c r="J202" i="19"/>
  <c r="M52" i="19"/>
  <c r="J252" i="19"/>
  <c r="P252" i="19"/>
  <c r="M102" i="19"/>
  <c r="J102" i="19"/>
  <c r="J52" i="19"/>
  <c r="P52" i="19"/>
  <c r="J152" i="19"/>
  <c r="AF149"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3"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6"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6"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52"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V201" i="19"/>
  <c r="S251" i="19"/>
  <c r="V151" i="19"/>
  <c r="S201" i="19"/>
  <c r="V101" i="19"/>
  <c r="V251" i="19"/>
  <c r="V51" i="19"/>
  <c r="S51" i="19"/>
  <c r="P101" i="19"/>
  <c r="M151" i="19"/>
  <c r="P251" i="19"/>
  <c r="P51" i="19"/>
  <c r="M101" i="19"/>
  <c r="M51" i="19"/>
  <c r="J251" i="19"/>
  <c r="S151" i="19"/>
  <c r="P201" i="19"/>
  <c r="M251" i="19"/>
  <c r="J101" i="19"/>
  <c r="J151" i="19"/>
  <c r="S101" i="19"/>
  <c r="M201" i="19"/>
  <c r="J201" i="19"/>
  <c r="J51" i="19"/>
  <c r="P151" i="19"/>
  <c r="AF150" i="1"/>
  <c r="AF142" i="1"/>
  <c r="AF154" i="1"/>
  <c r="AF148" i="1"/>
  <c r="AF144" i="1"/>
  <c r="AF155" i="1"/>
  <c r="AB103" i="1"/>
  <c r="AF103" i="1" s="1"/>
  <c r="AC103" i="1"/>
  <c r="M204" i="19" l="1"/>
  <c r="J54" i="19"/>
  <c r="V204" i="19"/>
  <c r="M154" i="19"/>
  <c r="P104" i="19"/>
  <c r="J254" i="19"/>
  <c r="M254" i="19"/>
  <c r="V54" i="19"/>
  <c r="M54" i="19"/>
  <c r="P204" i="19"/>
  <c r="V254" i="19"/>
  <c r="P154" i="19"/>
  <c r="S154" i="19"/>
  <c r="V104" i="19"/>
  <c r="AF151"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AD101" i="1" l="1"/>
  <c r="W101" i="1"/>
  <c r="T101" i="1"/>
  <c r="F221" i="13" l="1"/>
  <c r="F220" i="13"/>
  <c r="F219" i="13"/>
  <c r="F218" i="13"/>
  <c r="F217" i="13"/>
  <c r="F216" i="13"/>
  <c r="F215" i="13"/>
  <c r="F214" i="13"/>
  <c r="F213" i="13"/>
  <c r="F212" i="13"/>
  <c r="F211" i="13"/>
  <c r="F210" i="13"/>
  <c r="W85" i="1" l="1"/>
  <c r="T85" i="1"/>
  <c r="K85" i="1"/>
  <c r="L85" i="1" l="1"/>
  <c r="AA85" i="1" s="1"/>
  <c r="AB85" i="1" l="1"/>
  <c r="AC85" i="1"/>
  <c r="T33" i="1" l="1"/>
  <c r="T21" i="1" l="1"/>
  <c r="AE21" i="1" s="1"/>
  <c r="AD21" i="1" s="1"/>
  <c r="T20" i="1"/>
  <c r="AE20" i="1" s="1"/>
  <c r="AD20" i="1" s="1"/>
  <c r="T18" i="1"/>
  <c r="AE18" i="1" s="1"/>
  <c r="AD18" i="1" s="1"/>
  <c r="T17" i="1"/>
  <c r="AE17" i="1" s="1"/>
  <c r="AD17" i="1" s="1"/>
  <c r="W139" i="1"/>
  <c r="T139" i="1"/>
  <c r="K139" i="1"/>
  <c r="W138" i="1"/>
  <c r="T138" i="1"/>
  <c r="AD138" i="1" s="1"/>
  <c r="W137" i="1"/>
  <c r="T137" i="1"/>
  <c r="AD137" i="1" s="1"/>
  <c r="W136" i="1"/>
  <c r="T136" i="1"/>
  <c r="K136" i="1"/>
  <c r="W135" i="1"/>
  <c r="T135" i="1"/>
  <c r="AD135" i="1" s="1"/>
  <c r="W134" i="1"/>
  <c r="T134" i="1"/>
  <c r="AD134" i="1" s="1"/>
  <c r="W133" i="1"/>
  <c r="T133" i="1"/>
  <c r="K133" i="1"/>
  <c r="T132" i="1"/>
  <c r="AE132" i="1" s="1"/>
  <c r="AD132" i="1" s="1"/>
  <c r="T131" i="1"/>
  <c r="AE131" i="1" s="1"/>
  <c r="AD131" i="1" s="1"/>
  <c r="W130" i="1"/>
  <c r="T130" i="1"/>
  <c r="K130" i="1"/>
  <c r="L139" i="1" l="1"/>
  <c r="AA139" i="1" s="1"/>
  <c r="L136" i="1"/>
  <c r="AA136" i="1" s="1"/>
  <c r="AA137" i="1" s="1"/>
  <c r="AA138" i="1" s="1"/>
  <c r="L133" i="1"/>
  <c r="AA133" i="1" s="1"/>
  <c r="AA134" i="1" s="1"/>
  <c r="AA135" i="1" s="1"/>
  <c r="L130" i="1"/>
  <c r="AA130" i="1" s="1"/>
  <c r="AA131" i="1" s="1"/>
  <c r="AA132" i="1" s="1"/>
  <c r="T126" i="1"/>
  <c r="W125" i="1"/>
  <c r="T125" i="1"/>
  <c r="W124" i="1"/>
  <c r="T124" i="1"/>
  <c r="K124" i="1"/>
  <c r="W123" i="1"/>
  <c r="T123" i="1"/>
  <c r="W122" i="1"/>
  <c r="T122" i="1"/>
  <c r="W121" i="1"/>
  <c r="T121" i="1"/>
  <c r="K121" i="1"/>
  <c r="T120" i="1"/>
  <c r="W119" i="1"/>
  <c r="T119" i="1"/>
  <c r="W118" i="1"/>
  <c r="T118" i="1"/>
  <c r="K118" i="1"/>
  <c r="T117" i="1"/>
  <c r="W116" i="1"/>
  <c r="T116" i="1"/>
  <c r="W115" i="1"/>
  <c r="T115" i="1"/>
  <c r="K115" i="1"/>
  <c r="T114" i="1"/>
  <c r="W113" i="1"/>
  <c r="T113" i="1"/>
  <c r="W112" i="1"/>
  <c r="T112" i="1"/>
  <c r="K112" i="1"/>
  <c r="K127" i="1"/>
  <c r="K109" i="1"/>
  <c r="K106" i="1"/>
  <c r="K100" i="1"/>
  <c r="K97" i="1"/>
  <c r="K94" i="1"/>
  <c r="K91" i="1"/>
  <c r="K88" i="1"/>
  <c r="K82" i="1"/>
  <c r="K79" i="1"/>
  <c r="K76" i="1"/>
  <c r="K73" i="1"/>
  <c r="K67" i="1"/>
  <c r="K64" i="1"/>
  <c r="K61" i="1"/>
  <c r="K58" i="1"/>
  <c r="K55" i="1"/>
  <c r="K52" i="1"/>
  <c r="K49" i="1"/>
  <c r="K46" i="1"/>
  <c r="K43" i="1"/>
  <c r="K40" i="1"/>
  <c r="K37" i="1"/>
  <c r="K34" i="1"/>
  <c r="K31" i="1"/>
  <c r="K28" i="1"/>
  <c r="K25" i="1"/>
  <c r="K22" i="1"/>
  <c r="K19" i="1"/>
  <c r="K16" i="1"/>
  <c r="K13" i="1"/>
  <c r="K10" i="1"/>
  <c r="T129" i="1"/>
  <c r="AE129" i="1" s="1"/>
  <c r="AD129" i="1" s="1"/>
  <c r="T128" i="1"/>
  <c r="AE128" i="1" s="1"/>
  <c r="AD128" i="1" s="1"/>
  <c r="W127" i="1"/>
  <c r="T127" i="1"/>
  <c r="T111" i="1"/>
  <c r="W110" i="1"/>
  <c r="T110" i="1"/>
  <c r="T108" i="1"/>
  <c r="W107" i="1"/>
  <c r="T107" i="1"/>
  <c r="W106" i="1"/>
  <c r="T106" i="1"/>
  <c r="W100" i="1"/>
  <c r="T100" i="1"/>
  <c r="W98" i="1"/>
  <c r="T98" i="1"/>
  <c r="T96" i="1"/>
  <c r="W95" i="1"/>
  <c r="T95" i="1"/>
  <c r="T93" i="1"/>
  <c r="W94" i="1"/>
  <c r="T94" i="1"/>
  <c r="W92" i="1"/>
  <c r="T92" i="1"/>
  <c r="AA92" i="1" s="1"/>
  <c r="T90" i="1"/>
  <c r="T89" i="1"/>
  <c r="W84" i="1"/>
  <c r="T84" i="1"/>
  <c r="W83" i="1"/>
  <c r="T83" i="1"/>
  <c r="W81" i="1"/>
  <c r="T81" i="1"/>
  <c r="AD81" i="1" s="1"/>
  <c r="W80" i="1"/>
  <c r="T80" i="1"/>
  <c r="T78" i="1"/>
  <c r="W76" i="1"/>
  <c r="T76" i="1"/>
  <c r="T77" i="1"/>
  <c r="W75" i="1"/>
  <c r="T75" i="1"/>
  <c r="AD75" i="1" s="1"/>
  <c r="W74" i="1"/>
  <c r="T74" i="1"/>
  <c r="W73" i="1"/>
  <c r="T73" i="1"/>
  <c r="T66" i="1"/>
  <c r="T63" i="1"/>
  <c r="AE63" i="1" s="1"/>
  <c r="AD63" i="1" s="1"/>
  <c r="T62" i="1"/>
  <c r="T60" i="1"/>
  <c r="AE60" i="1" s="1"/>
  <c r="AD60" i="1" s="1"/>
  <c r="T59" i="1"/>
  <c r="T57" i="1"/>
  <c r="AE57" i="1" s="1"/>
  <c r="AD57" i="1" s="1"/>
  <c r="W56" i="1"/>
  <c r="T56" i="1"/>
  <c r="T54" i="1"/>
  <c r="T53" i="1"/>
  <c r="T51" i="1"/>
  <c r="AE51" i="1" s="1"/>
  <c r="AD51" i="1" s="1"/>
  <c r="W52" i="1"/>
  <c r="T52" i="1"/>
  <c r="T50" i="1"/>
  <c r="T48" i="1"/>
  <c r="AE48" i="1" s="1"/>
  <c r="AD48" i="1" s="1"/>
  <c r="T47" i="1"/>
  <c r="T45" i="1"/>
  <c r="AE45" i="1" s="1"/>
  <c r="AD45" i="1" s="1"/>
  <c r="W44" i="1"/>
  <c r="T44" i="1"/>
  <c r="W46" i="1"/>
  <c r="T46" i="1"/>
  <c r="W43" i="1"/>
  <c r="T43" i="1"/>
  <c r="T42" i="1"/>
  <c r="T41" i="1"/>
  <c r="W40" i="1"/>
  <c r="T40" i="1"/>
  <c r="T39" i="1"/>
  <c r="AE39" i="1" s="1"/>
  <c r="AD39" i="1" s="1"/>
  <c r="T38" i="1"/>
  <c r="W37" i="1"/>
  <c r="T37" i="1"/>
  <c r="T36" i="1"/>
  <c r="AE36" i="1" s="1"/>
  <c r="AD36" i="1" s="1"/>
  <c r="T35" i="1"/>
  <c r="W34" i="1"/>
  <c r="T34" i="1"/>
  <c r="W33" i="1"/>
  <c r="AD33" i="1"/>
  <c r="W32" i="1"/>
  <c r="T32" i="1"/>
  <c r="W31" i="1"/>
  <c r="T31" i="1"/>
  <c r="W29" i="1"/>
  <c r="T29" i="1"/>
  <c r="W28" i="1"/>
  <c r="T28" i="1"/>
  <c r="T27" i="1"/>
  <c r="AE27" i="1" s="1"/>
  <c r="AD27" i="1" s="1"/>
  <c r="T26" i="1"/>
  <c r="W25" i="1"/>
  <c r="T25" i="1"/>
  <c r="W24" i="1"/>
  <c r="T24" i="1"/>
  <c r="AE24" i="1" s="1"/>
  <c r="AD24" i="1" s="1"/>
  <c r="W23" i="1"/>
  <c r="T23" i="1"/>
  <c r="AE26" i="1" l="1"/>
  <c r="AD26" i="1" s="1"/>
  <c r="AD32" i="1"/>
  <c r="AE38" i="1"/>
  <c r="AD38" i="1" s="1"/>
  <c r="AD56" i="1"/>
  <c r="AE62" i="1"/>
  <c r="AD62" i="1" s="1"/>
  <c r="AD80" i="1"/>
  <c r="AE89" i="1"/>
  <c r="AD89" i="1" s="1"/>
  <c r="AE93" i="1"/>
  <c r="AD93" i="1" s="1"/>
  <c r="AA93" i="1"/>
  <c r="AE117" i="1"/>
  <c r="AD117" i="1" s="1"/>
  <c r="AD122" i="1"/>
  <c r="AE23" i="1"/>
  <c r="AD23" i="1" s="1"/>
  <c r="AD29" i="1"/>
  <c r="AE35" i="1"/>
  <c r="AD35" i="1" s="1"/>
  <c r="AE47" i="1"/>
  <c r="AD47" i="1" s="1"/>
  <c r="AE50" i="1"/>
  <c r="AD50" i="1" s="1"/>
  <c r="AE54" i="1"/>
  <c r="AD54" i="1" s="1"/>
  <c r="AD74" i="1"/>
  <c r="AE77" i="1"/>
  <c r="AD77" i="1" s="1"/>
  <c r="AE78" i="1"/>
  <c r="AD78" i="1" s="1"/>
  <c r="AE90" i="1"/>
  <c r="AD90" i="1" s="1"/>
  <c r="AD95" i="1"/>
  <c r="AD98" i="1"/>
  <c r="AD107" i="1"/>
  <c r="AD110" i="1"/>
  <c r="AE114" i="1"/>
  <c r="AD114" i="1" s="1"/>
  <c r="AD119" i="1"/>
  <c r="AE53" i="1"/>
  <c r="AD53" i="1" s="1"/>
  <c r="AE59" i="1"/>
  <c r="AD59" i="1" s="1"/>
  <c r="AE96" i="1"/>
  <c r="AD96" i="1" s="1"/>
  <c r="AE108" i="1"/>
  <c r="AD108" i="1" s="1"/>
  <c r="AE111" i="1"/>
  <c r="AD111" i="1" s="1"/>
  <c r="AD113" i="1"/>
  <c r="AE120" i="1"/>
  <c r="AD120" i="1" s="1"/>
  <c r="AE125" i="1"/>
  <c r="AD125" i="1" s="1"/>
  <c r="AD116" i="1"/>
  <c r="AD123" i="1"/>
  <c r="AE92" i="1"/>
  <c r="AD92" i="1" s="1"/>
  <c r="AD44" i="1"/>
  <c r="AB139" i="1"/>
  <c r="AC139" i="1"/>
  <c r="AB136" i="1"/>
  <c r="AC136" i="1"/>
  <c r="AB138" i="1"/>
  <c r="AC138" i="1"/>
  <c r="AB137" i="1"/>
  <c r="AC137" i="1"/>
  <c r="AB133" i="1"/>
  <c r="AC133" i="1"/>
  <c r="AB135" i="1"/>
  <c r="AC135" i="1"/>
  <c r="AB134" i="1"/>
  <c r="AC134" i="1"/>
  <c r="AB130" i="1"/>
  <c r="AC130" i="1"/>
  <c r="AB132" i="1"/>
  <c r="AC132" i="1"/>
  <c r="AB131" i="1"/>
  <c r="AC131" i="1"/>
  <c r="L124" i="1"/>
  <c r="AA124" i="1" s="1"/>
  <c r="AA125" i="1" s="1"/>
  <c r="L121" i="1"/>
  <c r="AA121" i="1" s="1"/>
  <c r="AA122" i="1" s="1"/>
  <c r="AA123" i="1" s="1"/>
  <c r="L118" i="1"/>
  <c r="AA118" i="1" s="1"/>
  <c r="AA119" i="1" s="1"/>
  <c r="AA120" i="1" s="1"/>
  <c r="L115" i="1"/>
  <c r="AA115" i="1" s="1"/>
  <c r="AA116" i="1" s="1"/>
  <c r="AA117" i="1" s="1"/>
  <c r="L112" i="1"/>
  <c r="AA112" i="1" s="1"/>
  <c r="AA113" i="1" s="1"/>
  <c r="AA114" i="1" s="1"/>
  <c r="L127" i="1"/>
  <c r="AA127" i="1" s="1"/>
  <c r="AA128" i="1" s="1"/>
  <c r="AA129" i="1" s="1"/>
  <c r="L109" i="1"/>
  <c r="L106" i="1"/>
  <c r="AA106" i="1" s="1"/>
  <c r="AA107" i="1" s="1"/>
  <c r="AA108" i="1" s="1"/>
  <c r="L100" i="1"/>
  <c r="AA100" i="1" s="1"/>
  <c r="L97" i="1"/>
  <c r="L94" i="1"/>
  <c r="AA94" i="1" s="1"/>
  <c r="AA95" i="1" s="1"/>
  <c r="AA96" i="1" s="1"/>
  <c r="L91" i="1"/>
  <c r="L88" i="1"/>
  <c r="L82" i="1"/>
  <c r="L79" i="1"/>
  <c r="L76" i="1"/>
  <c r="AA76" i="1" s="1"/>
  <c r="AA77" i="1" s="1"/>
  <c r="AA78" i="1" s="1"/>
  <c r="L73" i="1"/>
  <c r="AA73" i="1" s="1"/>
  <c r="AA74" i="1" s="1"/>
  <c r="AA75" i="1" s="1"/>
  <c r="L67" i="1"/>
  <c r="L64" i="1"/>
  <c r="L61" i="1"/>
  <c r="L58" i="1"/>
  <c r="L55" i="1"/>
  <c r="L52" i="1"/>
  <c r="AA52" i="1" s="1"/>
  <c r="AA53" i="1" s="1"/>
  <c r="AA54" i="1" s="1"/>
  <c r="L49" i="1"/>
  <c r="L46" i="1"/>
  <c r="AA46" i="1" s="1"/>
  <c r="AA47" i="1" s="1"/>
  <c r="AA48" i="1" s="1"/>
  <c r="L43" i="1"/>
  <c r="AA43" i="1" s="1"/>
  <c r="AA44" i="1" s="1"/>
  <c r="AA45" i="1" s="1"/>
  <c r="L40" i="1"/>
  <c r="AA40" i="1" s="1"/>
  <c r="L37" i="1"/>
  <c r="AA37" i="1" s="1"/>
  <c r="AA38" i="1" s="1"/>
  <c r="AA39" i="1" s="1"/>
  <c r="L34" i="1"/>
  <c r="AA34" i="1" s="1"/>
  <c r="AA35" i="1" s="1"/>
  <c r="AA36" i="1" s="1"/>
  <c r="L31" i="1"/>
  <c r="AA31" i="1" s="1"/>
  <c r="AA32" i="1" s="1"/>
  <c r="AA33" i="1" s="1"/>
  <c r="L28" i="1"/>
  <c r="AA28" i="1" s="1"/>
  <c r="AA29" i="1" s="1"/>
  <c r="AA30" i="1" s="1"/>
  <c r="L25" i="1"/>
  <c r="AA25" i="1" s="1"/>
  <c r="AA26" i="1" s="1"/>
  <c r="AA27" i="1" s="1"/>
  <c r="L22" i="1"/>
  <c r="L19" i="1"/>
  <c r="L16" i="1"/>
  <c r="L13" i="1"/>
  <c r="L10" i="1"/>
  <c r="T16" i="1"/>
  <c r="W16" i="1"/>
  <c r="T19" i="1"/>
  <c r="W19" i="1"/>
  <c r="T22" i="1"/>
  <c r="W22" i="1"/>
  <c r="T49" i="1"/>
  <c r="W49" i="1"/>
  <c r="T55" i="1"/>
  <c r="W55" i="1"/>
  <c r="T58" i="1"/>
  <c r="W58" i="1"/>
  <c r="T61" i="1"/>
  <c r="W61" i="1"/>
  <c r="T64" i="1"/>
  <c r="W64" i="1"/>
  <c r="T67" i="1"/>
  <c r="W67" i="1"/>
  <c r="T79" i="1"/>
  <c r="W79" i="1"/>
  <c r="T82" i="1"/>
  <c r="W82" i="1"/>
  <c r="T88" i="1"/>
  <c r="W88" i="1"/>
  <c r="T91" i="1"/>
  <c r="W91" i="1"/>
  <c r="T97" i="1"/>
  <c r="W97" i="1"/>
  <c r="T109" i="1"/>
  <c r="W109" i="1"/>
  <c r="T14" i="1"/>
  <c r="T15" i="1"/>
  <c r="T11" i="1"/>
  <c r="T12" i="1"/>
  <c r="AC30" i="1" l="1"/>
  <c r="AB30" i="1"/>
  <c r="AF30" i="1" s="1"/>
  <c r="W147" i="19"/>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7" i="1"/>
  <c r="AF135" i="1"/>
  <c r="AF134" i="1"/>
  <c r="AF131" i="1"/>
  <c r="AF132" i="1"/>
  <c r="AF138" i="1"/>
  <c r="AB124" i="1"/>
  <c r="AC124" i="1"/>
  <c r="AB125" i="1"/>
  <c r="AC125" i="1"/>
  <c r="AB122" i="1"/>
  <c r="AC122" i="1"/>
  <c r="AB121" i="1"/>
  <c r="AC121" i="1"/>
  <c r="AB123" i="1"/>
  <c r="AC123" i="1"/>
  <c r="AB118" i="1"/>
  <c r="AC118" i="1"/>
  <c r="AB119" i="1"/>
  <c r="AC119" i="1"/>
  <c r="AB120" i="1"/>
  <c r="AC120" i="1"/>
  <c r="AB115" i="1"/>
  <c r="AC115" i="1"/>
  <c r="AB116" i="1"/>
  <c r="AC116" i="1"/>
  <c r="AB117" i="1"/>
  <c r="AC117" i="1"/>
  <c r="AB112" i="1"/>
  <c r="AC112" i="1"/>
  <c r="AB113" i="1"/>
  <c r="AC113" i="1"/>
  <c r="AB114" i="1"/>
  <c r="AC114" i="1"/>
  <c r="AB129" i="1"/>
  <c r="AC129" i="1"/>
  <c r="AB128" i="1"/>
  <c r="AC128" i="1"/>
  <c r="AB127" i="1"/>
  <c r="AC127" i="1"/>
  <c r="AB108" i="1"/>
  <c r="AC108" i="1"/>
  <c r="AB107" i="1"/>
  <c r="AC107" i="1"/>
  <c r="AB106" i="1"/>
  <c r="AC106" i="1"/>
  <c r="AB100" i="1"/>
  <c r="AC100" i="1"/>
  <c r="AB96" i="1"/>
  <c r="AC96" i="1"/>
  <c r="AB95" i="1"/>
  <c r="AC95" i="1"/>
  <c r="AB93" i="1"/>
  <c r="AC93" i="1"/>
  <c r="AB94" i="1"/>
  <c r="AC94" i="1"/>
  <c r="AB92" i="1"/>
  <c r="AC92" i="1"/>
  <c r="AB78" i="1"/>
  <c r="AC78" i="1"/>
  <c r="AB76" i="1"/>
  <c r="AC76" i="1"/>
  <c r="AB77" i="1"/>
  <c r="AC77" i="1"/>
  <c r="AB75" i="1"/>
  <c r="AC75" i="1"/>
  <c r="AB74" i="1"/>
  <c r="AC74" i="1"/>
  <c r="AB73" i="1"/>
  <c r="AC73" i="1"/>
  <c r="AB54" i="1"/>
  <c r="AC54" i="1"/>
  <c r="AB53" i="1"/>
  <c r="AC53" i="1"/>
  <c r="AB52" i="1"/>
  <c r="AC52" i="1"/>
  <c r="AB48" i="1"/>
  <c r="AC48" i="1"/>
  <c r="AB47" i="1"/>
  <c r="AC47" i="1"/>
  <c r="AB45" i="1"/>
  <c r="AC45" i="1"/>
  <c r="AB44" i="1"/>
  <c r="AC44" i="1"/>
  <c r="AB46" i="1"/>
  <c r="AC46" i="1"/>
  <c r="AB43" i="1"/>
  <c r="AC43" i="1"/>
  <c r="AB40" i="1"/>
  <c r="AC40" i="1"/>
  <c r="AB39" i="1"/>
  <c r="AC39" i="1"/>
  <c r="AB38" i="1"/>
  <c r="AC38" i="1"/>
  <c r="AB37" i="1"/>
  <c r="AC37" i="1"/>
  <c r="AB36" i="1"/>
  <c r="AC36" i="1"/>
  <c r="AB35" i="1"/>
  <c r="AC35" i="1"/>
  <c r="AB34" i="1"/>
  <c r="AC34" i="1"/>
  <c r="AB33" i="1"/>
  <c r="AC33" i="1"/>
  <c r="AB32" i="1"/>
  <c r="AC32" i="1"/>
  <c r="AB31" i="1"/>
  <c r="AC31" i="1"/>
  <c r="AB29" i="1"/>
  <c r="AC29" i="1"/>
  <c r="AB28" i="1"/>
  <c r="AC28" i="1"/>
  <c r="AB27" i="1"/>
  <c r="AC27" i="1"/>
  <c r="AB26" i="1"/>
  <c r="AC26" i="1"/>
  <c r="AB25" i="1"/>
  <c r="AC25"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29" i="1"/>
  <c r="AF93" i="1"/>
  <c r="AF116" i="1"/>
  <c r="AF26" i="1"/>
  <c r="AF38" i="1"/>
  <c r="AF47" i="1"/>
  <c r="AF77" i="1"/>
  <c r="AF95" i="1"/>
  <c r="AF107" i="1"/>
  <c r="AF113" i="1"/>
  <c r="AF123" i="1"/>
  <c r="AF33" i="1"/>
  <c r="AF92" i="1"/>
  <c r="AF96" i="1"/>
  <c r="AF108" i="1"/>
  <c r="AF120" i="1"/>
  <c r="AF75" i="1"/>
  <c r="AF114" i="1"/>
  <c r="AF35" i="1"/>
  <c r="AF39" i="1"/>
  <c r="AF48" i="1"/>
  <c r="AF53" i="1"/>
  <c r="AF128" i="1"/>
  <c r="AF125" i="1"/>
  <c r="AF27" i="1"/>
  <c r="AF32" i="1"/>
  <c r="AF36" i="1"/>
  <c r="AF44" i="1"/>
  <c r="AF54" i="1"/>
  <c r="AF74" i="1"/>
  <c r="AF78" i="1"/>
  <c r="AF129" i="1"/>
  <c r="AF117" i="1"/>
  <c r="AF119" i="1"/>
  <c r="AF122" i="1"/>
  <c r="AF45" i="1"/>
  <c r="AA49" i="1"/>
  <c r="AA50" i="1" s="1"/>
  <c r="AA58" i="1"/>
  <c r="AA59" i="1" s="1"/>
  <c r="AA61" i="1"/>
  <c r="AA62" i="1" s="1"/>
  <c r="AA64" i="1"/>
  <c r="AA67" i="1"/>
  <c r="AA79" i="1"/>
  <c r="AA80" i="1" s="1"/>
  <c r="AA88" i="1"/>
  <c r="AA89" i="1" s="1"/>
  <c r="AA109" i="1"/>
  <c r="AA110" i="1" s="1"/>
  <c r="AA111" i="1" l="1"/>
  <c r="AC110" i="1"/>
  <c r="AB110" i="1"/>
  <c r="AA63" i="1"/>
  <c r="AB62" i="1"/>
  <c r="AC62" i="1"/>
  <c r="AA51" i="1"/>
  <c r="AC50" i="1"/>
  <c r="AB50" i="1"/>
  <c r="AA90" i="1"/>
  <c r="AB89" i="1"/>
  <c r="AC89" i="1"/>
  <c r="AA81" i="1"/>
  <c r="AB80" i="1"/>
  <c r="AC80" i="1"/>
  <c r="AA60" i="1"/>
  <c r="AB59" i="1"/>
  <c r="AC59" i="1"/>
  <c r="AC88" i="1"/>
  <c r="AB88" i="1"/>
  <c r="AC58" i="1"/>
  <c r="AB58" i="1"/>
  <c r="AC61" i="1"/>
  <c r="AB61" i="1"/>
  <c r="AC82" i="1"/>
  <c r="AB82" i="1"/>
  <c r="AC67" i="1"/>
  <c r="AB67" i="1"/>
  <c r="AC91" i="1"/>
  <c r="AB91" i="1"/>
  <c r="AC49" i="1"/>
  <c r="AB49" i="1"/>
  <c r="AC109" i="1"/>
  <c r="AB109" i="1"/>
  <c r="AC79" i="1"/>
  <c r="AB79" i="1"/>
  <c r="AC64" i="1"/>
  <c r="AB64" i="1"/>
  <c r="AA97" i="1"/>
  <c r="AA98" i="1" s="1"/>
  <c r="AA101" i="1" s="1"/>
  <c r="AA55" i="1"/>
  <c r="AA56" i="1" s="1"/>
  <c r="AA19" i="1"/>
  <c r="AA20"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B101" i="1"/>
  <c r="AC101" i="1"/>
  <c r="AB98" i="1"/>
  <c r="AC98" i="1"/>
  <c r="AF89" i="1"/>
  <c r="AA18" i="1"/>
  <c r="AC17" i="1"/>
  <c r="AB17" i="1"/>
  <c r="AF80" i="1"/>
  <c r="AC90" i="1"/>
  <c r="AB90" i="1"/>
  <c r="AF50" i="1"/>
  <c r="AF62" i="1"/>
  <c r="AB111" i="1"/>
  <c r="AC111" i="1"/>
  <c r="AA21" i="1"/>
  <c r="AB20" i="1"/>
  <c r="AC20" i="1"/>
  <c r="AF59" i="1"/>
  <c r="AB81" i="1"/>
  <c r="AC81" i="1"/>
  <c r="AB63" i="1"/>
  <c r="AC63" i="1"/>
  <c r="AA57" i="1"/>
  <c r="AB56" i="1"/>
  <c r="AC56" i="1"/>
  <c r="AC60" i="1"/>
  <c r="AB60" i="1"/>
  <c r="AB51" i="1"/>
  <c r="AC51" i="1"/>
  <c r="AF110" i="1"/>
  <c r="AC19" i="1"/>
  <c r="AB19" i="1"/>
  <c r="AC55" i="1"/>
  <c r="AB55" i="1"/>
  <c r="AC16" i="1"/>
  <c r="AB16" i="1"/>
  <c r="AC97" i="1"/>
  <c r="AB97" i="1"/>
  <c r="L7" i="1"/>
  <c r="AA8" i="1" s="1"/>
  <c r="AA9" i="1" s="1"/>
  <c r="AA22" i="1"/>
  <c r="AA23"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101" i="1"/>
  <c r="AF60" i="1"/>
  <c r="AB57" i="1"/>
  <c r="AC57" i="1"/>
  <c r="AF81" i="1"/>
  <c r="AF20" i="1"/>
  <c r="AF90" i="1"/>
  <c r="AF17" i="1"/>
  <c r="AF51" i="1"/>
  <c r="AB21" i="1"/>
  <c r="AC21" i="1"/>
  <c r="AA24" i="1"/>
  <c r="AC23" i="1"/>
  <c r="AB23" i="1"/>
  <c r="AF63" i="1"/>
  <c r="AB18" i="1"/>
  <c r="AC18" i="1"/>
  <c r="AF98" i="1"/>
  <c r="AF56" i="1"/>
  <c r="AF111" i="1"/>
  <c r="AC22" i="1"/>
  <c r="AB22"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AF18" i="1"/>
  <c r="AB24" i="1"/>
  <c r="AC24" i="1"/>
  <c r="AF21" i="1"/>
  <c r="AF57" i="1"/>
  <c r="AF23" i="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BD46" i="18"/>
  <c r="AJ86" i="18"/>
  <c r="BD86" i="18"/>
  <c r="AT26" i="18"/>
  <c r="BD26" i="18"/>
  <c r="AJ66" i="18"/>
  <c r="AT86" i="18"/>
  <c r="Z46" i="18"/>
  <c r="AT66" i="18"/>
  <c r="AT6" i="18"/>
  <c r="AJ6" i="18"/>
  <c r="Z26" i="18"/>
  <c r="AT46" i="18"/>
  <c r="AJ26" i="18"/>
  <c r="P26" i="18"/>
  <c r="BD66" i="18"/>
  <c r="P66" i="18"/>
  <c r="Z86" i="18"/>
  <c r="Z66" i="18"/>
  <c r="AJ46" i="18"/>
  <c r="Z6" i="18"/>
  <c r="P86" i="18"/>
  <c r="BD6" i="18"/>
  <c r="P46" i="18"/>
  <c r="L12" i="19"/>
  <c r="AF24" i="1"/>
  <c r="P6" i="18"/>
  <c r="AE15" i="1" l="1"/>
  <c r="AD15" i="1" s="1"/>
  <c r="AE14" i="1"/>
  <c r="AD14" i="1" s="1"/>
  <c r="AE12" i="1"/>
  <c r="AD12" i="1" s="1"/>
  <c r="AE11" i="1"/>
  <c r="AD11" i="1" s="1"/>
  <c r="W10" i="1"/>
  <c r="AA10" i="1" s="1"/>
  <c r="AA11" i="1" s="1"/>
  <c r="W13" i="1"/>
  <c r="AA13" i="1" s="1"/>
  <c r="AA14" i="1" s="1"/>
  <c r="AA15" i="1" l="1"/>
  <c r="AC14" i="1"/>
  <c r="AB14" i="1"/>
  <c r="W208" i="19" s="1"/>
  <c r="AA12" i="1"/>
  <c r="AB11" i="1"/>
  <c r="W207" i="19" s="1"/>
  <c r="AC11" i="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K7" i="19"/>
  <c r="K8" i="19"/>
  <c r="AF14" i="1"/>
  <c r="AF11" i="1"/>
  <c r="AC15" i="1"/>
  <c r="AB15" i="1"/>
  <c r="AB12" i="1"/>
  <c r="AC12"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AC10" i="1" l="1"/>
  <c r="AB13" i="1" s="1"/>
  <c r="AC13" i="1" l="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AE9" i="1" l="1"/>
  <c r="AD9" i="1" s="1"/>
  <c r="AE8" i="1"/>
  <c r="AD8" i="1" s="1"/>
  <c r="X206" i="19" l="1"/>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AF9" i="1"/>
  <c r="AF8" i="1"/>
  <c r="B223" i="13"/>
  <c r="B222" i="13"/>
  <c r="N70" i="1" l="1"/>
  <c r="O70" i="1" s="1"/>
  <c r="N52" i="1"/>
  <c r="O52" i="1" s="1"/>
  <c r="N76" i="1"/>
  <c r="O76" i="1" s="1"/>
  <c r="N115" i="1"/>
  <c r="O115" i="1" s="1"/>
  <c r="N25" i="1"/>
  <c r="O25" i="1" s="1"/>
  <c r="N82" i="1"/>
  <c r="O82" i="1" s="1"/>
  <c r="N112" i="1"/>
  <c r="O112" i="1" s="1"/>
  <c r="N22" i="1"/>
  <c r="O22" i="1" s="1"/>
  <c r="N142" i="1"/>
  <c r="O142" i="1" s="1"/>
  <c r="N136" i="1"/>
  <c r="O136" i="1" s="1"/>
  <c r="N31" i="1"/>
  <c r="O31" i="1" s="1"/>
  <c r="N61" i="1"/>
  <c r="O61" i="1" s="1"/>
  <c r="N79" i="1"/>
  <c r="O79" i="1" s="1"/>
  <c r="N145" i="1"/>
  <c r="O145" i="1" s="1"/>
  <c r="N85" i="1"/>
  <c r="O85" i="1" s="1"/>
  <c r="N133" i="1"/>
  <c r="O133" i="1" s="1"/>
  <c r="N19" i="1"/>
  <c r="O19" i="1" s="1"/>
  <c r="N49" i="1"/>
  <c r="O49" i="1" s="1"/>
  <c r="N100" i="1"/>
  <c r="O100" i="1" s="1"/>
  <c r="N97" i="1"/>
  <c r="O97" i="1" s="1"/>
  <c r="N13" i="1"/>
  <c r="O13" i="1" s="1"/>
  <c r="N148" i="1"/>
  <c r="O148" i="1" s="1"/>
  <c r="N130" i="1"/>
  <c r="O130" i="1" s="1"/>
  <c r="N10" i="1"/>
  <c r="O10" i="1" s="1"/>
  <c r="N40" i="1"/>
  <c r="O40" i="1" s="1"/>
  <c r="N88" i="1"/>
  <c r="O88" i="1" s="1"/>
  <c r="N34" i="1"/>
  <c r="O34" i="1" s="1"/>
  <c r="N151" i="1"/>
  <c r="O151" i="1" s="1"/>
  <c r="N139" i="1"/>
  <c r="O139" i="1" s="1"/>
  <c r="N109" i="1"/>
  <c r="O109" i="1" s="1"/>
  <c r="O28" i="1"/>
  <c r="N73" i="1"/>
  <c r="O73" i="1" s="1"/>
  <c r="N67" i="1"/>
  <c r="O67" i="1" s="1"/>
  <c r="N46" i="1"/>
  <c r="O46" i="1" s="1"/>
  <c r="N154" i="1"/>
  <c r="O154" i="1" s="1"/>
  <c r="N94" i="1"/>
  <c r="O94" i="1" s="1"/>
  <c r="N16" i="1"/>
  <c r="O16" i="1" s="1"/>
  <c r="N124" i="1"/>
  <c r="O124" i="1" s="1"/>
  <c r="N58" i="1"/>
  <c r="O58" i="1" s="1"/>
  <c r="N127" i="1"/>
  <c r="O127" i="1" s="1"/>
  <c r="N106" i="1"/>
  <c r="O106" i="1" s="1"/>
  <c r="N64" i="1"/>
  <c r="O64" i="1" s="1"/>
  <c r="N91" i="1"/>
  <c r="O91" i="1" s="1"/>
  <c r="N118" i="1"/>
  <c r="O118" i="1" s="1"/>
  <c r="N37" i="1"/>
  <c r="O37" i="1" s="1"/>
  <c r="N43" i="1"/>
  <c r="O43" i="1" s="1"/>
  <c r="N55" i="1"/>
  <c r="O55" i="1" s="1"/>
  <c r="N121" i="1"/>
  <c r="O121" i="1" s="1"/>
  <c r="N7" i="1"/>
  <c r="O7" i="1" s="1"/>
  <c r="AD82" i="18" l="1"/>
  <c r="AN42" i="18"/>
  <c r="J102" i="18"/>
  <c r="AX82" i="18"/>
  <c r="T22" i="18"/>
  <c r="J62" i="18"/>
  <c r="P127" i="1"/>
  <c r="AE127" i="1" s="1"/>
  <c r="AD127" i="1" s="1"/>
  <c r="Q127" i="1"/>
  <c r="AN22" i="18"/>
  <c r="AD42" i="18"/>
  <c r="T102" i="18"/>
  <c r="T42" i="18"/>
  <c r="AX22" i="18"/>
  <c r="J22" i="18"/>
  <c r="J82" i="18"/>
  <c r="AD62" i="18"/>
  <c r="AN82" i="18"/>
  <c r="AX102" i="18"/>
  <c r="T62" i="18"/>
  <c r="AD102" i="18"/>
  <c r="T82" i="18"/>
  <c r="AD22" i="18"/>
  <c r="AX42" i="18"/>
  <c r="AN102" i="18"/>
  <c r="AN62" i="18"/>
  <c r="AX62" i="18"/>
  <c r="J42" i="18"/>
  <c r="AH32" i="18"/>
  <c r="AH72" i="18"/>
  <c r="BB72" i="18"/>
  <c r="BB92" i="18"/>
  <c r="X92" i="18"/>
  <c r="AH92" i="18"/>
  <c r="X12" i="18"/>
  <c r="X72" i="18"/>
  <c r="N72" i="18"/>
  <c r="AR72" i="18"/>
  <c r="X52" i="18"/>
  <c r="AH12" i="18"/>
  <c r="BB12" i="18"/>
  <c r="AR12" i="18"/>
  <c r="X32" i="18"/>
  <c r="AH52" i="18"/>
  <c r="N92" i="18"/>
  <c r="AR52" i="18"/>
  <c r="AR92" i="18"/>
  <c r="N52" i="18"/>
  <c r="AR32" i="18"/>
  <c r="Q55" i="1"/>
  <c r="BB52" i="18"/>
  <c r="BB32" i="18"/>
  <c r="N12" i="18"/>
  <c r="N32" i="18"/>
  <c r="P55" i="1"/>
  <c r="AE55" i="1" s="1"/>
  <c r="AD55" i="1" s="1"/>
  <c r="BD12" i="18"/>
  <c r="Z12" i="18"/>
  <c r="P52" i="18"/>
  <c r="AT52" i="18"/>
  <c r="AJ72" i="18"/>
  <c r="P92" i="18"/>
  <c r="AT92" i="18"/>
  <c r="Z92" i="18"/>
  <c r="P32" i="18"/>
  <c r="BD92" i="18"/>
  <c r="Z72" i="18"/>
  <c r="AJ92" i="18"/>
  <c r="AT32" i="18"/>
  <c r="Z52" i="18"/>
  <c r="P72" i="18"/>
  <c r="BD32" i="18"/>
  <c r="Z32" i="18"/>
  <c r="AJ52" i="18"/>
  <c r="BD72" i="18"/>
  <c r="AJ32" i="18"/>
  <c r="BD52" i="18"/>
  <c r="AT72" i="18"/>
  <c r="AT12" i="18"/>
  <c r="P58" i="1"/>
  <c r="AE58" i="1" s="1"/>
  <c r="AD58" i="1" s="1"/>
  <c r="P12" i="18"/>
  <c r="Q58" i="1"/>
  <c r="AJ12" i="18"/>
  <c r="BD8" i="18"/>
  <c r="AJ48" i="18"/>
  <c r="AT28" i="18"/>
  <c r="BD68" i="18"/>
  <c r="Z48" i="18"/>
  <c r="BD28" i="18"/>
  <c r="AT8" i="18"/>
  <c r="Z88" i="18"/>
  <c r="AT88" i="18"/>
  <c r="AT48" i="18"/>
  <c r="BD88" i="18"/>
  <c r="AJ8" i="18"/>
  <c r="BD48" i="18"/>
  <c r="Z28" i="18"/>
  <c r="P28" i="18"/>
  <c r="AJ88" i="18"/>
  <c r="Z8" i="18"/>
  <c r="AJ68" i="18"/>
  <c r="Z68" i="18"/>
  <c r="P48" i="18"/>
  <c r="P68" i="18"/>
  <c r="P8" i="18"/>
  <c r="AT68" i="18"/>
  <c r="P88" i="18"/>
  <c r="AJ28" i="18"/>
  <c r="P28" i="1"/>
  <c r="AE28" i="1" s="1"/>
  <c r="AD28" i="1" s="1"/>
  <c r="Q28" i="1"/>
  <c r="AZ62" i="18"/>
  <c r="V62" i="18"/>
  <c r="AF102" i="18"/>
  <c r="AP42" i="18"/>
  <c r="V42" i="18"/>
  <c r="L42" i="18"/>
  <c r="AZ102" i="18"/>
  <c r="V22" i="18"/>
  <c r="AZ82" i="18"/>
  <c r="AP82" i="18"/>
  <c r="AF82" i="18"/>
  <c r="L102" i="18"/>
  <c r="AZ42" i="18"/>
  <c r="AF22" i="18"/>
  <c r="AF42" i="18"/>
  <c r="L62" i="18"/>
  <c r="AZ22" i="18"/>
  <c r="L22" i="18"/>
  <c r="L82" i="18"/>
  <c r="V102" i="18"/>
  <c r="V82" i="18"/>
  <c r="AF62" i="18"/>
  <c r="AP22" i="18"/>
  <c r="AP62" i="18"/>
  <c r="P130" i="1"/>
  <c r="AE130" i="1" s="1"/>
  <c r="AD130" i="1" s="1"/>
  <c r="Q130" i="1"/>
  <c r="AP102" i="18"/>
  <c r="AF96" i="18"/>
  <c r="L96" i="18"/>
  <c r="V56" i="18"/>
  <c r="AP96" i="18"/>
  <c r="L56" i="18"/>
  <c r="V36" i="18"/>
  <c r="AF36" i="18"/>
  <c r="AP16" i="18"/>
  <c r="V96" i="18"/>
  <c r="AP56" i="18"/>
  <c r="AF16" i="18"/>
  <c r="AP76" i="18"/>
  <c r="AF76" i="18"/>
  <c r="L36" i="18"/>
  <c r="L76" i="18"/>
  <c r="AZ16" i="18"/>
  <c r="V16" i="18"/>
  <c r="AZ76" i="18"/>
  <c r="AZ56" i="18"/>
  <c r="AZ96" i="18"/>
  <c r="V76" i="18"/>
  <c r="L16" i="18"/>
  <c r="P85" i="1"/>
  <c r="AE85" i="1" s="1"/>
  <c r="AD85" i="1" s="1"/>
  <c r="Q85" i="1"/>
  <c r="AF56" i="18"/>
  <c r="AZ36" i="18"/>
  <c r="AP36" i="18"/>
  <c r="AD100" i="18"/>
  <c r="AD20" i="18"/>
  <c r="T80" i="18"/>
  <c r="AN100" i="18"/>
  <c r="J100" i="18"/>
  <c r="T60" i="18"/>
  <c r="AD40" i="18"/>
  <c r="T100" i="18"/>
  <c r="T40" i="18"/>
  <c r="AN80" i="18"/>
  <c r="J80" i="18"/>
  <c r="J20" i="18"/>
  <c r="T20" i="18"/>
  <c r="J60" i="18"/>
  <c r="AX100" i="18"/>
  <c r="AX20" i="18"/>
  <c r="AX80" i="18"/>
  <c r="AX40" i="18"/>
  <c r="AN20" i="18"/>
  <c r="AX60" i="18"/>
  <c r="AN60" i="18"/>
  <c r="AN40" i="18"/>
  <c r="AD60" i="18"/>
  <c r="AD80" i="18"/>
  <c r="P112" i="1"/>
  <c r="AE112" i="1" s="1"/>
  <c r="AD112" i="1" s="1"/>
  <c r="Q112" i="1"/>
  <c r="J40" i="18"/>
  <c r="AT100" i="18"/>
  <c r="P100" i="18"/>
  <c r="AT40" i="18"/>
  <c r="BD80" i="18"/>
  <c r="Q121" i="1"/>
  <c r="AJ40" i="18"/>
  <c r="AJ100" i="18"/>
  <c r="Z60" i="18"/>
  <c r="AJ80" i="18"/>
  <c r="BD40" i="18"/>
  <c r="BD60" i="18"/>
  <c r="Z40" i="18"/>
  <c r="P60" i="18"/>
  <c r="AT80" i="18"/>
  <c r="P80" i="18"/>
  <c r="Z20" i="18"/>
  <c r="AJ20" i="18"/>
  <c r="P40" i="18"/>
  <c r="AT20" i="18"/>
  <c r="BD20" i="18"/>
  <c r="Z80" i="18"/>
  <c r="Z100" i="18"/>
  <c r="P121" i="1"/>
  <c r="AE121" i="1" s="1"/>
  <c r="AD121" i="1" s="1"/>
  <c r="AJ60" i="18"/>
  <c r="AT60" i="18"/>
  <c r="BD100" i="18"/>
  <c r="P20" i="18"/>
  <c r="AZ28" i="18"/>
  <c r="AP48" i="18"/>
  <c r="AZ48" i="18"/>
  <c r="AF68" i="18"/>
  <c r="V8" i="18"/>
  <c r="AF88" i="18"/>
  <c r="AZ68" i="18"/>
  <c r="AF28" i="18"/>
  <c r="L88" i="18"/>
  <c r="AP8" i="18"/>
  <c r="L68" i="18"/>
  <c r="L48" i="18"/>
  <c r="AZ8" i="18"/>
  <c r="AP28" i="18"/>
  <c r="AF8" i="18"/>
  <c r="AF48" i="18"/>
  <c r="V88" i="18"/>
  <c r="AP88" i="18"/>
  <c r="V28" i="18"/>
  <c r="V48" i="18"/>
  <c r="AP68" i="18"/>
  <c r="AZ88" i="18"/>
  <c r="V68" i="18"/>
  <c r="L28" i="18"/>
  <c r="L8" i="18"/>
  <c r="P22" i="1"/>
  <c r="AE22" i="1" s="1"/>
  <c r="AD22" i="1" s="1"/>
  <c r="Q22" i="1"/>
  <c r="AJ30" i="18"/>
  <c r="P70" i="18"/>
  <c r="P30" i="18"/>
  <c r="BD90" i="18"/>
  <c r="AJ10" i="18"/>
  <c r="AJ70" i="18"/>
  <c r="AT30" i="18"/>
  <c r="Z70" i="18"/>
  <c r="P50" i="18"/>
  <c r="AT70" i="18"/>
  <c r="AJ90" i="18"/>
  <c r="AT50" i="18"/>
  <c r="BD70" i="18"/>
  <c r="AJ50" i="18"/>
  <c r="Z50" i="18"/>
  <c r="AT10" i="18"/>
  <c r="BD50" i="18"/>
  <c r="Z30" i="18"/>
  <c r="AT90" i="18"/>
  <c r="BD10" i="18"/>
  <c r="P90" i="18"/>
  <c r="Q43" i="1"/>
  <c r="Z90" i="18"/>
  <c r="BD30" i="18"/>
  <c r="Z10" i="18"/>
  <c r="P10" i="18"/>
  <c r="P43" i="1"/>
  <c r="AE43" i="1" s="1"/>
  <c r="AD43" i="1" s="1"/>
  <c r="BF100" i="18"/>
  <c r="BF60" i="18"/>
  <c r="AB60" i="18"/>
  <c r="R40" i="18"/>
  <c r="AV40" i="18"/>
  <c r="AV100" i="18"/>
  <c r="AB40" i="18"/>
  <c r="AV80" i="18"/>
  <c r="AB100" i="18"/>
  <c r="AB20" i="18"/>
  <c r="BF80" i="18"/>
  <c r="AB80" i="18"/>
  <c r="R100" i="18"/>
  <c r="AV20" i="18"/>
  <c r="BF40" i="18"/>
  <c r="R60" i="18"/>
  <c r="AV60" i="18"/>
  <c r="BF20" i="18"/>
  <c r="AL60" i="18"/>
  <c r="AL20" i="18"/>
  <c r="R20" i="18"/>
  <c r="AL100" i="18"/>
  <c r="R80" i="18"/>
  <c r="Q124" i="1"/>
  <c r="AL40" i="18"/>
  <c r="AL80" i="18"/>
  <c r="P124" i="1"/>
  <c r="AE124" i="1" s="1"/>
  <c r="AD124" i="1" s="1"/>
  <c r="AB78" i="18"/>
  <c r="R58" i="18"/>
  <c r="AB18" i="18"/>
  <c r="BF78" i="18"/>
  <c r="BF18" i="18"/>
  <c r="AV98" i="18"/>
  <c r="R18" i="18"/>
  <c r="AV18" i="18"/>
  <c r="AL78" i="18"/>
  <c r="R38" i="18"/>
  <c r="AV58" i="18"/>
  <c r="AL58" i="18"/>
  <c r="AV78" i="18"/>
  <c r="BF58" i="18"/>
  <c r="AL38" i="18"/>
  <c r="AV38" i="18"/>
  <c r="AL98" i="18"/>
  <c r="AB58" i="18"/>
  <c r="AB38" i="18"/>
  <c r="AB98" i="18"/>
  <c r="R78" i="18"/>
  <c r="AL18" i="18"/>
  <c r="R98" i="18"/>
  <c r="P109" i="1"/>
  <c r="AE109" i="1" s="1"/>
  <c r="AD109" i="1" s="1"/>
  <c r="Q109" i="1"/>
  <c r="BF38" i="18"/>
  <c r="BF98" i="18"/>
  <c r="P148" i="1"/>
  <c r="AH104" i="18"/>
  <c r="X24" i="18"/>
  <c r="N24" i="18"/>
  <c r="AH84" i="18"/>
  <c r="AH24" i="18"/>
  <c r="N44" i="18"/>
  <c r="BB84" i="18"/>
  <c r="Q148" i="1"/>
  <c r="N84" i="18"/>
  <c r="X44" i="18"/>
  <c r="BB104" i="18"/>
  <c r="AR104" i="18"/>
  <c r="N64" i="18"/>
  <c r="BB24" i="18"/>
  <c r="AR24" i="18"/>
  <c r="BB64" i="18"/>
  <c r="X84" i="18"/>
  <c r="BB44" i="18"/>
  <c r="AR44" i="18"/>
  <c r="AH44" i="18"/>
  <c r="AR64" i="18"/>
  <c r="AH64" i="18"/>
  <c r="X64" i="18"/>
  <c r="AR84" i="18"/>
  <c r="X104" i="18"/>
  <c r="N104" i="18"/>
  <c r="AZ84" i="18"/>
  <c r="AF104" i="18"/>
  <c r="V24" i="18"/>
  <c r="L24" i="18"/>
  <c r="Q145" i="1"/>
  <c r="AP104" i="18"/>
  <c r="AF24" i="18"/>
  <c r="L44" i="18"/>
  <c r="AZ64" i="18"/>
  <c r="AP24" i="18"/>
  <c r="V44" i="18"/>
  <c r="AZ104" i="18"/>
  <c r="AF44" i="18"/>
  <c r="L64" i="18"/>
  <c r="AZ24" i="18"/>
  <c r="AF84" i="18"/>
  <c r="V64" i="18"/>
  <c r="AZ44" i="18"/>
  <c r="AP44" i="18"/>
  <c r="V84" i="18"/>
  <c r="L84" i="18"/>
  <c r="AP64" i="18"/>
  <c r="AF64" i="18"/>
  <c r="P145" i="1"/>
  <c r="AP84" i="18"/>
  <c r="V104" i="18"/>
  <c r="L104" i="18"/>
  <c r="AN16" i="18"/>
  <c r="AN36" i="18"/>
  <c r="AX36" i="18"/>
  <c r="J16" i="18"/>
  <c r="AN56" i="18"/>
  <c r="T56" i="18"/>
  <c r="T36" i="18"/>
  <c r="AD76" i="18"/>
  <c r="AX56" i="18"/>
  <c r="AN76" i="18"/>
  <c r="T16" i="18"/>
  <c r="AD56" i="18"/>
  <c r="AD96" i="18"/>
  <c r="J76" i="18"/>
  <c r="J96" i="18"/>
  <c r="AX16" i="18"/>
  <c r="J56" i="18"/>
  <c r="T96" i="18"/>
  <c r="AN96" i="18"/>
  <c r="T76" i="18"/>
  <c r="AX96" i="18"/>
  <c r="AD36" i="18"/>
  <c r="AX76" i="18"/>
  <c r="AD16" i="18"/>
  <c r="J36" i="18"/>
  <c r="P82" i="1"/>
  <c r="Q82" i="1"/>
  <c r="AH74" i="18"/>
  <c r="N54" i="18"/>
  <c r="X14" i="18"/>
  <c r="BB94" i="18"/>
  <c r="AH54" i="18"/>
  <c r="BB54" i="18"/>
  <c r="AR34" i="18"/>
  <c r="X74" i="18"/>
  <c r="N34" i="18"/>
  <c r="AR74" i="18"/>
  <c r="AR94" i="18"/>
  <c r="BB34" i="18"/>
  <c r="BB74" i="18"/>
  <c r="AH34" i="18"/>
  <c r="X34" i="18"/>
  <c r="AR14" i="18"/>
  <c r="N94" i="18"/>
  <c r="BB14" i="18"/>
  <c r="AH94" i="18"/>
  <c r="AH14" i="18"/>
  <c r="X54" i="18"/>
  <c r="AR54" i="18"/>
  <c r="N74" i="18"/>
  <c r="X94" i="18"/>
  <c r="Q73" i="1"/>
  <c r="P73" i="1"/>
  <c r="AE73" i="1" s="1"/>
  <c r="AD73" i="1" s="1"/>
  <c r="N14" i="18"/>
  <c r="AF90" i="18"/>
  <c r="AF50" i="18"/>
  <c r="AP50" i="18"/>
  <c r="L70" i="18"/>
  <c r="AZ90" i="18"/>
  <c r="AF30" i="18"/>
  <c r="V90" i="18"/>
  <c r="L90" i="18"/>
  <c r="AP30" i="18"/>
  <c r="V30" i="18"/>
  <c r="V70" i="18"/>
  <c r="L10" i="18"/>
  <c r="AZ30" i="18"/>
  <c r="AZ70" i="18"/>
  <c r="L50" i="18"/>
  <c r="V50" i="18"/>
  <c r="AF70" i="18"/>
  <c r="AF10" i="18"/>
  <c r="AP10" i="18"/>
  <c r="AZ10" i="18"/>
  <c r="L30" i="18"/>
  <c r="V10" i="18"/>
  <c r="AZ50" i="18"/>
  <c r="AP90" i="18"/>
  <c r="AP70" i="18"/>
  <c r="P37" i="1"/>
  <c r="AE37" i="1" s="1"/>
  <c r="AD37" i="1" s="1"/>
  <c r="Q37" i="1"/>
  <c r="AL66" i="18"/>
  <c r="BF86" i="18"/>
  <c r="R46" i="18"/>
  <c r="AV86" i="18"/>
  <c r="AL46" i="18"/>
  <c r="AB86" i="18"/>
  <c r="AL26" i="18"/>
  <c r="R86" i="18"/>
  <c r="AB66" i="18"/>
  <c r="BF26" i="18"/>
  <c r="AV6" i="18"/>
  <c r="AB46" i="18"/>
  <c r="AV66" i="18"/>
  <c r="BF66" i="18"/>
  <c r="AB26" i="18"/>
  <c r="AL6" i="18"/>
  <c r="AV46" i="18"/>
  <c r="AB6" i="18"/>
  <c r="AL86" i="18"/>
  <c r="R66" i="18"/>
  <c r="BF6" i="18"/>
  <c r="AV26" i="18"/>
  <c r="P16" i="1"/>
  <c r="AE16" i="1" s="1"/>
  <c r="AD16" i="1" s="1"/>
  <c r="Q16" i="1"/>
  <c r="R26" i="18"/>
  <c r="BF46" i="18"/>
  <c r="R6" i="18"/>
  <c r="AL82" i="18"/>
  <c r="BF82" i="18"/>
  <c r="R62" i="18"/>
  <c r="AB22" i="18"/>
  <c r="AL102" i="18"/>
  <c r="BF22" i="18"/>
  <c r="AV62" i="18"/>
  <c r="R102" i="18"/>
  <c r="R22" i="18"/>
  <c r="AB62" i="18"/>
  <c r="AV102" i="18"/>
  <c r="R82" i="18"/>
  <c r="BF62" i="18"/>
  <c r="BF102" i="18"/>
  <c r="AL62" i="18"/>
  <c r="BF42" i="18"/>
  <c r="AV42" i="18"/>
  <c r="AL22" i="18"/>
  <c r="AL42" i="18"/>
  <c r="AV22" i="18"/>
  <c r="R42" i="18"/>
  <c r="AB42" i="18"/>
  <c r="AV82" i="18"/>
  <c r="AB102" i="18"/>
  <c r="AB82" i="18"/>
  <c r="Q139" i="1"/>
  <c r="P139" i="1"/>
  <c r="AE139" i="1" s="1"/>
  <c r="AD139" i="1" s="1"/>
  <c r="AR86" i="18"/>
  <c r="X86" i="18"/>
  <c r="X46" i="18"/>
  <c r="Q13" i="1"/>
  <c r="BB86" i="18"/>
  <c r="AH66" i="18"/>
  <c r="X26" i="18"/>
  <c r="N6" i="18"/>
  <c r="AR26" i="18"/>
  <c r="AR6" i="18"/>
  <c r="X6" i="18"/>
  <c r="BB46" i="18"/>
  <c r="N26" i="18"/>
  <c r="N86" i="18"/>
  <c r="BB26" i="18"/>
  <c r="BB66" i="18"/>
  <c r="AH6" i="18"/>
  <c r="N46" i="18"/>
  <c r="AH46" i="18"/>
  <c r="N66" i="18"/>
  <c r="BB6" i="18"/>
  <c r="AH26" i="18"/>
  <c r="AR46" i="18"/>
  <c r="AR66" i="18"/>
  <c r="X66" i="18"/>
  <c r="P13" i="1"/>
  <c r="AE13" i="1" s="1"/>
  <c r="AD13" i="1" s="1"/>
  <c r="AH86" i="18"/>
  <c r="BF54" i="18"/>
  <c r="BF94" i="18"/>
  <c r="AB14" i="18"/>
  <c r="AB94" i="18"/>
  <c r="AL74" i="18"/>
  <c r="AV14" i="18"/>
  <c r="R94" i="18"/>
  <c r="R74" i="18"/>
  <c r="AV74" i="18"/>
  <c r="AL54" i="18"/>
  <c r="AL94" i="18"/>
  <c r="AL14" i="18"/>
  <c r="AL34" i="18"/>
  <c r="AB74" i="18"/>
  <c r="P79" i="1"/>
  <c r="AE79" i="1" s="1"/>
  <c r="AD79" i="1" s="1"/>
  <c r="BF14" i="18"/>
  <c r="AV94" i="18"/>
  <c r="AB54" i="18"/>
  <c r="R14" i="18"/>
  <c r="Q79" i="1"/>
  <c r="AV54" i="18"/>
  <c r="AV34" i="18"/>
  <c r="R34" i="18"/>
  <c r="BF74" i="18"/>
  <c r="R54" i="18"/>
  <c r="AB34" i="18"/>
  <c r="BF34" i="18"/>
  <c r="BB68" i="18"/>
  <c r="AH88" i="18"/>
  <c r="N68" i="18"/>
  <c r="AR28" i="18"/>
  <c r="X28" i="18"/>
  <c r="AH28" i="18"/>
  <c r="AR8" i="18"/>
  <c r="X8" i="18"/>
  <c r="AH68" i="18"/>
  <c r="AR68" i="18"/>
  <c r="X88" i="18"/>
  <c r="N88" i="18"/>
  <c r="BB8" i="18"/>
  <c r="X68" i="18"/>
  <c r="N48" i="18"/>
  <c r="AR48" i="18"/>
  <c r="X48" i="18"/>
  <c r="AH48" i="18"/>
  <c r="AH8" i="18"/>
  <c r="BB48" i="18"/>
  <c r="N28" i="18"/>
  <c r="P25" i="1"/>
  <c r="AE25" i="1" s="1"/>
  <c r="AD25" i="1" s="1"/>
  <c r="Q25" i="1"/>
  <c r="BB28" i="18"/>
  <c r="BB88" i="18"/>
  <c r="AR88" i="18"/>
  <c r="N8" i="18"/>
  <c r="BB100" i="18"/>
  <c r="N40" i="18"/>
  <c r="N100" i="18"/>
  <c r="BB60" i="18"/>
  <c r="AR40" i="18"/>
  <c r="BB20" i="18"/>
  <c r="AR20" i="18"/>
  <c r="P118" i="1"/>
  <c r="AE118" i="1" s="1"/>
  <c r="AD118" i="1" s="1"/>
  <c r="BB40" i="18"/>
  <c r="AR100" i="18"/>
  <c r="AH60" i="18"/>
  <c r="Q118" i="1"/>
  <c r="AH80" i="18"/>
  <c r="AH40" i="18"/>
  <c r="AH20" i="18"/>
  <c r="AR60" i="18"/>
  <c r="BB80" i="18"/>
  <c r="AR80" i="18"/>
  <c r="X100" i="18"/>
  <c r="N60" i="18"/>
  <c r="X60" i="18"/>
  <c r="X80" i="18"/>
  <c r="N80" i="18"/>
  <c r="AH100" i="18"/>
  <c r="X40" i="18"/>
  <c r="X20" i="18"/>
  <c r="N20" i="18"/>
  <c r="BF96" i="18"/>
  <c r="AB76" i="18"/>
  <c r="AV56" i="18"/>
  <c r="AV96" i="18"/>
  <c r="AV16" i="18"/>
  <c r="AL96" i="18"/>
  <c r="AL36" i="18"/>
  <c r="AB96" i="18"/>
  <c r="AB56" i="18"/>
  <c r="BF36" i="18"/>
  <c r="R76" i="18"/>
  <c r="AB36" i="18"/>
  <c r="AV76" i="18"/>
  <c r="AV36" i="18"/>
  <c r="AB16" i="18"/>
  <c r="AL16" i="18"/>
  <c r="R36" i="18"/>
  <c r="BF16" i="18"/>
  <c r="R96" i="18"/>
  <c r="AL56" i="18"/>
  <c r="R56" i="18"/>
  <c r="P94" i="1"/>
  <c r="AE94" i="1" s="1"/>
  <c r="AD94" i="1" s="1"/>
  <c r="BF56" i="18"/>
  <c r="R16" i="18"/>
  <c r="Q94" i="1"/>
  <c r="AL76" i="18"/>
  <c r="BF76" i="18"/>
  <c r="BD24" i="18"/>
  <c r="AT24" i="18"/>
  <c r="Z44" i="18"/>
  <c r="P151" i="1"/>
  <c r="P44" i="18"/>
  <c r="BD44" i="18"/>
  <c r="AT44" i="18"/>
  <c r="AJ44" i="18"/>
  <c r="P64" i="18"/>
  <c r="AJ104" i="18"/>
  <c r="AT64" i="18"/>
  <c r="AJ64" i="18"/>
  <c r="Z64" i="18"/>
  <c r="AJ84" i="18"/>
  <c r="Z84" i="18"/>
  <c r="P84" i="18"/>
  <c r="Q151" i="1"/>
  <c r="BD84" i="18"/>
  <c r="Z104" i="18"/>
  <c r="P104" i="18"/>
  <c r="BD64" i="18"/>
  <c r="Z24" i="18"/>
  <c r="P24" i="18"/>
  <c r="AT84" i="18"/>
  <c r="BD104" i="18"/>
  <c r="AT104" i="18"/>
  <c r="AJ24" i="18"/>
  <c r="AN98" i="18"/>
  <c r="T18" i="18"/>
  <c r="AD38" i="18"/>
  <c r="AX38" i="18"/>
  <c r="T98" i="18"/>
  <c r="AN58" i="18"/>
  <c r="T78" i="18"/>
  <c r="J98" i="18"/>
  <c r="J38" i="18"/>
  <c r="AX98" i="18"/>
  <c r="AD58" i="18"/>
  <c r="AX58" i="18"/>
  <c r="AN38" i="18"/>
  <c r="AD98" i="18"/>
  <c r="AX18" i="18"/>
  <c r="AN78" i="18"/>
  <c r="AD18" i="18"/>
  <c r="AD78" i="18"/>
  <c r="AN18" i="18"/>
  <c r="T38" i="18"/>
  <c r="J58" i="18"/>
  <c r="AX78" i="18"/>
  <c r="T58" i="18"/>
  <c r="J78" i="18"/>
  <c r="J18" i="18"/>
  <c r="P97" i="1"/>
  <c r="AE97" i="1" s="1"/>
  <c r="AD97" i="1" s="1"/>
  <c r="Q97" i="1"/>
  <c r="BF92" i="18"/>
  <c r="AB92" i="18"/>
  <c r="AV52" i="18"/>
  <c r="AV32" i="18"/>
  <c r="AB32" i="18"/>
  <c r="AV12" i="18"/>
  <c r="BF32" i="18"/>
  <c r="AB72" i="18"/>
  <c r="R72" i="18"/>
  <c r="AL72" i="18"/>
  <c r="AV92" i="18"/>
  <c r="AL52" i="18"/>
  <c r="AV72" i="18"/>
  <c r="AL32" i="18"/>
  <c r="AL12" i="18"/>
  <c r="AB52" i="18"/>
  <c r="AB12" i="18"/>
  <c r="R52" i="18"/>
  <c r="AL92" i="18"/>
  <c r="BF12" i="18"/>
  <c r="R32" i="18"/>
  <c r="R12" i="18"/>
  <c r="BF52" i="18"/>
  <c r="P61" i="1"/>
  <c r="AE61" i="1" s="1"/>
  <c r="AD61" i="1" s="1"/>
  <c r="BF72" i="18"/>
  <c r="Q61" i="1"/>
  <c r="R92" i="18"/>
  <c r="AP40" i="18"/>
  <c r="AZ60" i="18"/>
  <c r="L20" i="18"/>
  <c r="AP20" i="18"/>
  <c r="AZ40" i="18"/>
  <c r="V20" i="18"/>
  <c r="AZ20" i="18"/>
  <c r="AF80" i="18"/>
  <c r="L100" i="18"/>
  <c r="AF60" i="18"/>
  <c r="L40" i="18"/>
  <c r="L60" i="18"/>
  <c r="P115" i="1"/>
  <c r="AE115" i="1" s="1"/>
  <c r="AD115" i="1" s="1"/>
  <c r="AF100" i="18"/>
  <c r="AF40" i="18"/>
  <c r="AP80" i="18"/>
  <c r="V100" i="18"/>
  <c r="Q115" i="1"/>
  <c r="AP100" i="18"/>
  <c r="AP60" i="18"/>
  <c r="AF20" i="18"/>
  <c r="V80" i="18"/>
  <c r="L80" i="18"/>
  <c r="V60" i="18"/>
  <c r="AZ100" i="18"/>
  <c r="AZ80" i="18"/>
  <c r="V40" i="18"/>
  <c r="AH102" i="18"/>
  <c r="X42" i="18"/>
  <c r="AH22" i="18"/>
  <c r="AR102" i="18"/>
  <c r="X22" i="18"/>
  <c r="N42" i="18"/>
  <c r="X82" i="18"/>
  <c r="N102" i="18"/>
  <c r="AH42" i="18"/>
  <c r="BB102" i="18"/>
  <c r="N62" i="18"/>
  <c r="AH82" i="18"/>
  <c r="BB82" i="18"/>
  <c r="BB42" i="18"/>
  <c r="N82" i="18"/>
  <c r="N22" i="18"/>
  <c r="AR22" i="18"/>
  <c r="X62" i="18"/>
  <c r="AR42" i="18"/>
  <c r="BB62" i="18"/>
  <c r="AR82" i="18"/>
  <c r="X102" i="18"/>
  <c r="AR62" i="18"/>
  <c r="BB22" i="18"/>
  <c r="P133" i="1"/>
  <c r="AE133" i="1" s="1"/>
  <c r="AD133" i="1" s="1"/>
  <c r="AH62" i="18"/>
  <c r="Q133" i="1"/>
  <c r="AJ96" i="18"/>
  <c r="AT56" i="18"/>
  <c r="Z16" i="18"/>
  <c r="BD96" i="18"/>
  <c r="AT16" i="18"/>
  <c r="P96" i="18"/>
  <c r="Z76" i="18"/>
  <c r="AT36" i="18"/>
  <c r="P36" i="18"/>
  <c r="BD16" i="18"/>
  <c r="AT76" i="18"/>
  <c r="BD36" i="18"/>
  <c r="BD76" i="18"/>
  <c r="P76" i="18"/>
  <c r="P91" i="1"/>
  <c r="AE91" i="1" s="1"/>
  <c r="AD91" i="1" s="1"/>
  <c r="AJ76" i="18"/>
  <c r="AJ56" i="18"/>
  <c r="AT96" i="18"/>
  <c r="Q91" i="1"/>
  <c r="Z56" i="18"/>
  <c r="AJ16" i="18"/>
  <c r="AJ36" i="18"/>
  <c r="P56" i="18"/>
  <c r="BD56" i="18"/>
  <c r="Z36" i="18"/>
  <c r="Z96" i="18"/>
  <c r="P16" i="18"/>
  <c r="P154" i="1"/>
  <c r="BF104" i="18"/>
  <c r="AV104" i="18"/>
  <c r="AL24" i="18"/>
  <c r="R44" i="18"/>
  <c r="AB104" i="18"/>
  <c r="BF24" i="18"/>
  <c r="AV24" i="18"/>
  <c r="AB44" i="18"/>
  <c r="Q154" i="1"/>
  <c r="AV44" i="18"/>
  <c r="AL44" i="18"/>
  <c r="R64" i="18"/>
  <c r="R24" i="18"/>
  <c r="AL64" i="18"/>
  <c r="AB64" i="18"/>
  <c r="BF44" i="18"/>
  <c r="AB84" i="18"/>
  <c r="R84" i="18"/>
  <c r="AV64" i="18"/>
  <c r="AV84" i="18"/>
  <c r="R104" i="18"/>
  <c r="BF64" i="18"/>
  <c r="AL84" i="18"/>
  <c r="BF84" i="18"/>
  <c r="AL104" i="18"/>
  <c r="AB24" i="18"/>
  <c r="AX50" i="18"/>
  <c r="AX30" i="18"/>
  <c r="T70" i="18"/>
  <c r="AD90" i="18"/>
  <c r="AD10" i="18"/>
  <c r="T30" i="18"/>
  <c r="AD70" i="18"/>
  <c r="J30" i="18"/>
  <c r="J50" i="18"/>
  <c r="AN50" i="18"/>
  <c r="T90" i="18"/>
  <c r="AX10" i="18"/>
  <c r="AN90" i="18"/>
  <c r="AN10" i="18"/>
  <c r="J70" i="18"/>
  <c r="AX90" i="18"/>
  <c r="T10" i="18"/>
  <c r="AN70" i="18"/>
  <c r="AX70" i="18"/>
  <c r="AD50" i="18"/>
  <c r="T50" i="18"/>
  <c r="J90" i="18"/>
  <c r="AD30" i="18"/>
  <c r="Q34" i="1"/>
  <c r="P34" i="1"/>
  <c r="AE34" i="1" s="1"/>
  <c r="AD34" i="1" s="1"/>
  <c r="AN30" i="18"/>
  <c r="J10" i="18"/>
  <c r="V38" i="18"/>
  <c r="V98" i="18"/>
  <c r="L38" i="18"/>
  <c r="AZ38" i="18"/>
  <c r="AP78" i="18"/>
  <c r="L98" i="18"/>
  <c r="AF78" i="18"/>
  <c r="V18" i="18"/>
  <c r="AZ58" i="18"/>
  <c r="AZ78" i="18"/>
  <c r="AF98" i="18"/>
  <c r="L78" i="18"/>
  <c r="AP18" i="18"/>
  <c r="AF18" i="18"/>
  <c r="L58" i="18"/>
  <c r="AZ18" i="18"/>
  <c r="V78" i="18"/>
  <c r="AF38" i="18"/>
  <c r="AP38" i="18"/>
  <c r="AZ98" i="18"/>
  <c r="AP58" i="18"/>
  <c r="V58" i="18"/>
  <c r="AP98" i="18"/>
  <c r="P100" i="1"/>
  <c r="AE100" i="1" s="1"/>
  <c r="AD100" i="1" s="1"/>
  <c r="Q100" i="1"/>
  <c r="L18" i="18"/>
  <c r="AF58" i="18"/>
  <c r="BF48" i="18"/>
  <c r="AB68" i="18"/>
  <c r="R28" i="18"/>
  <c r="AV88" i="18"/>
  <c r="AB48" i="18"/>
  <c r="AL68" i="18"/>
  <c r="AL28" i="18"/>
  <c r="AB28" i="18"/>
  <c r="R68" i="18"/>
  <c r="AV8" i="18"/>
  <c r="R48" i="18"/>
  <c r="AV68" i="18"/>
  <c r="AB8" i="18"/>
  <c r="AL88" i="18"/>
  <c r="AV28" i="18"/>
  <c r="AV48" i="18"/>
  <c r="BF68" i="18"/>
  <c r="AB88" i="18"/>
  <c r="AL48" i="18"/>
  <c r="BF88" i="18"/>
  <c r="AL8" i="18"/>
  <c r="BF28" i="18"/>
  <c r="R8" i="18"/>
  <c r="BF8" i="18"/>
  <c r="Q31" i="1"/>
  <c r="P31" i="1"/>
  <c r="AE31" i="1" s="1"/>
  <c r="AD31" i="1" s="1"/>
  <c r="R88" i="18"/>
  <c r="BD74" i="18"/>
  <c r="AJ34" i="18"/>
  <c r="BD94" i="18"/>
  <c r="BD34" i="18"/>
  <c r="AT14" i="18"/>
  <c r="AJ14" i="18"/>
  <c r="Z74" i="18"/>
  <c r="BD14" i="18"/>
  <c r="Z14" i="18"/>
  <c r="Z54" i="18"/>
  <c r="P74" i="18"/>
  <c r="AJ54" i="18"/>
  <c r="AT74" i="18"/>
  <c r="P34" i="18"/>
  <c r="Z94" i="18"/>
  <c r="AT54" i="18"/>
  <c r="P94" i="18"/>
  <c r="Z34" i="18"/>
  <c r="AT34" i="18"/>
  <c r="AT94" i="18"/>
  <c r="P14" i="18"/>
  <c r="P76" i="1"/>
  <c r="AE76" i="1" s="1"/>
  <c r="AD76" i="1" s="1"/>
  <c r="AJ74" i="18"/>
  <c r="BD54" i="18"/>
  <c r="P54" i="18"/>
  <c r="AJ94" i="18"/>
  <c r="Q76" i="1"/>
  <c r="V6" i="18"/>
  <c r="L46" i="18"/>
  <c r="V66" i="18"/>
  <c r="AZ86" i="18"/>
  <c r="AP46" i="18"/>
  <c r="V46" i="18"/>
  <c r="AF86" i="18"/>
  <c r="AP26" i="18"/>
  <c r="V26" i="18"/>
  <c r="AZ6" i="18"/>
  <c r="AF66" i="18"/>
  <c r="AP6" i="18"/>
  <c r="AF46" i="18"/>
  <c r="AZ26" i="18"/>
  <c r="L26" i="18"/>
  <c r="AZ46" i="18"/>
  <c r="L86" i="18"/>
  <c r="AZ66" i="18"/>
  <c r="AF26" i="18"/>
  <c r="AF6" i="18"/>
  <c r="L66" i="18"/>
  <c r="Q10" i="1"/>
  <c r="AP86" i="18"/>
  <c r="AP66" i="18"/>
  <c r="L6" i="18"/>
  <c r="V86" i="18"/>
  <c r="P10" i="1"/>
  <c r="AE10" i="1" s="1"/>
  <c r="AD10" i="1" s="1"/>
  <c r="T14" i="18"/>
  <c r="AD34" i="18"/>
  <c r="J54" i="18"/>
  <c r="AD94" i="18"/>
  <c r="T74" i="18"/>
  <c r="AN54" i="18"/>
  <c r="J34" i="18"/>
  <c r="P64" i="1"/>
  <c r="AE64" i="1" s="1"/>
  <c r="AD64" i="1" s="1"/>
  <c r="AD54" i="18"/>
  <c r="AX14" i="18"/>
  <c r="AN34" i="18"/>
  <c r="Q64" i="1"/>
  <c r="AD74" i="18"/>
  <c r="J94" i="18"/>
  <c r="AX54" i="18"/>
  <c r="AN14" i="18"/>
  <c r="AX74" i="18"/>
  <c r="AD14" i="18"/>
  <c r="T54" i="18"/>
  <c r="T34" i="18"/>
  <c r="J74" i="18"/>
  <c r="AX34" i="18"/>
  <c r="AN94" i="18"/>
  <c r="AN74" i="18"/>
  <c r="AX94" i="18"/>
  <c r="J14" i="18"/>
  <c r="T94" i="18"/>
  <c r="BF30" i="18"/>
  <c r="AB30" i="18"/>
  <c r="R50" i="18"/>
  <c r="R90" i="18"/>
  <c r="AL70" i="18"/>
  <c r="AV30" i="18"/>
  <c r="AV50" i="18"/>
  <c r="BF70" i="18"/>
  <c r="AL10" i="18"/>
  <c r="AL30" i="18"/>
  <c r="AV10" i="18"/>
  <c r="BF90" i="18"/>
  <c r="AB90" i="18"/>
  <c r="R10" i="18"/>
  <c r="P46" i="1"/>
  <c r="AE46" i="1" s="1"/>
  <c r="AD46" i="1" s="1"/>
  <c r="AV90" i="18"/>
  <c r="BF10" i="18"/>
  <c r="AB10" i="18"/>
  <c r="AB70" i="18"/>
  <c r="Q46" i="1"/>
  <c r="AL50" i="18"/>
  <c r="R70" i="18"/>
  <c r="AB50" i="18"/>
  <c r="BF50" i="18"/>
  <c r="AL90" i="18"/>
  <c r="AV70" i="18"/>
  <c r="R30" i="18"/>
  <c r="AH56" i="18"/>
  <c r="X56" i="18"/>
  <c r="AH76" i="18"/>
  <c r="AH36" i="18"/>
  <c r="X36" i="18"/>
  <c r="N76" i="18"/>
  <c r="AH16" i="18"/>
  <c r="BB56" i="18"/>
  <c r="N56" i="18"/>
  <c r="AR56" i="18"/>
  <c r="BB36" i="18"/>
  <c r="X96" i="18"/>
  <c r="AR96" i="18"/>
  <c r="AR16" i="18"/>
  <c r="X16" i="18"/>
  <c r="BB96" i="18"/>
  <c r="N36" i="18"/>
  <c r="N96" i="18"/>
  <c r="AH96" i="18"/>
  <c r="X76" i="18"/>
  <c r="AR76" i="18"/>
  <c r="P88" i="1"/>
  <c r="AE88" i="1" s="1"/>
  <c r="AD88" i="1" s="1"/>
  <c r="Q88" i="1"/>
  <c r="N16" i="18"/>
  <c r="BB76" i="18"/>
  <c r="AR36" i="18"/>
  <c r="BB16" i="18"/>
  <c r="AN92" i="18"/>
  <c r="J72" i="18"/>
  <c r="AN12" i="18"/>
  <c r="AD72" i="18"/>
  <c r="J52" i="18"/>
  <c r="J32" i="18"/>
  <c r="AD52" i="18"/>
  <c r="T72" i="18"/>
  <c r="AD92" i="18"/>
  <c r="AD32" i="18"/>
  <c r="T52" i="18"/>
  <c r="AX72" i="18"/>
  <c r="AN72" i="18"/>
  <c r="AX92" i="18"/>
  <c r="T32" i="18"/>
  <c r="AX12" i="18"/>
  <c r="AX32" i="18"/>
  <c r="T12" i="18"/>
  <c r="T92" i="18"/>
  <c r="AD12" i="18"/>
  <c r="AN32" i="18"/>
  <c r="J92" i="18"/>
  <c r="J12" i="18"/>
  <c r="P49" i="1"/>
  <c r="AE49" i="1" s="1"/>
  <c r="AD49" i="1" s="1"/>
  <c r="AN52" i="18"/>
  <c r="Q49" i="1"/>
  <c r="AX52" i="18"/>
  <c r="BD62" i="18"/>
  <c r="AT82" i="18"/>
  <c r="AT22" i="18"/>
  <c r="AJ102" i="18"/>
  <c r="P102" i="18"/>
  <c r="AJ22" i="18"/>
  <c r="AT102" i="18"/>
  <c r="Z82" i="18"/>
  <c r="P42" i="18"/>
  <c r="AJ42" i="18"/>
  <c r="Z62" i="18"/>
  <c r="BD102" i="18"/>
  <c r="AT42" i="18"/>
  <c r="Z42" i="18"/>
  <c r="BD82" i="18"/>
  <c r="Z102" i="18"/>
  <c r="P62" i="18"/>
  <c r="AJ82" i="18"/>
  <c r="AJ62" i="18"/>
  <c r="BD42" i="18"/>
  <c r="AT62" i="18"/>
  <c r="BD22" i="18"/>
  <c r="Z22" i="18"/>
  <c r="P82" i="18"/>
  <c r="P22" i="18"/>
  <c r="P136" i="1"/>
  <c r="AE136" i="1" s="1"/>
  <c r="AD136" i="1" s="1"/>
  <c r="Q136" i="1"/>
  <c r="AP52" i="18"/>
  <c r="V52" i="18"/>
  <c r="V12" i="18"/>
  <c r="AZ52" i="18"/>
  <c r="AZ12" i="18"/>
  <c r="L92" i="18"/>
  <c r="AZ32" i="18"/>
  <c r="AF92" i="18"/>
  <c r="L52" i="18"/>
  <c r="L32" i="18"/>
  <c r="AP32" i="18"/>
  <c r="AP92" i="18"/>
  <c r="AZ92" i="18"/>
  <c r="AF12" i="18"/>
  <c r="AF72" i="18"/>
  <c r="L72" i="18"/>
  <c r="AZ72" i="18"/>
  <c r="L12" i="18"/>
  <c r="Q52" i="1"/>
  <c r="V72" i="18"/>
  <c r="AF32" i="18"/>
  <c r="AF52" i="18"/>
  <c r="P52" i="1"/>
  <c r="AE52" i="1" s="1"/>
  <c r="AD52" i="1" s="1"/>
  <c r="V92" i="18"/>
  <c r="AP12" i="18"/>
  <c r="AP72" i="18"/>
  <c r="V32" i="18"/>
  <c r="AX66" i="18"/>
  <c r="AD66" i="18"/>
  <c r="J46" i="18"/>
  <c r="J6" i="18"/>
  <c r="AD46" i="18"/>
  <c r="P7" i="1"/>
  <c r="AE7" i="1" s="1"/>
  <c r="AD7" i="1" s="1"/>
  <c r="AN86" i="18"/>
  <c r="AN26" i="18"/>
  <c r="AD6" i="18"/>
  <c r="AN6" i="18"/>
  <c r="J26" i="18"/>
  <c r="AX26" i="18"/>
  <c r="AN46" i="18"/>
  <c r="AD26" i="18"/>
  <c r="AD86" i="18"/>
  <c r="AX6" i="18"/>
  <c r="J66" i="18"/>
  <c r="T6" i="18"/>
  <c r="T26" i="18"/>
  <c r="J86" i="18"/>
  <c r="AX46" i="18"/>
  <c r="T46" i="18"/>
  <c r="T86" i="18"/>
  <c r="T66" i="18"/>
  <c r="AN66" i="18"/>
  <c r="AX86" i="18"/>
  <c r="Q7" i="1"/>
  <c r="BD78" i="18"/>
  <c r="BD38" i="18"/>
  <c r="AJ58" i="18"/>
  <c r="AT78" i="18"/>
  <c r="Z38" i="18"/>
  <c r="AJ78" i="18"/>
  <c r="Z58" i="18"/>
  <c r="AJ18" i="18"/>
  <c r="Z18" i="18"/>
  <c r="AJ38" i="18"/>
  <c r="BD18" i="18"/>
  <c r="P98" i="18"/>
  <c r="AT98" i="18"/>
  <c r="Z78" i="18"/>
  <c r="AT58" i="18"/>
  <c r="P18" i="18"/>
  <c r="P38" i="18"/>
  <c r="BD98" i="18"/>
  <c r="Z98" i="18"/>
  <c r="BD58" i="18"/>
  <c r="AJ98" i="18"/>
  <c r="P78" i="18"/>
  <c r="AT18" i="18"/>
  <c r="P58" i="18"/>
  <c r="AT38" i="18"/>
  <c r="P106" i="1"/>
  <c r="AE106" i="1" s="1"/>
  <c r="AD106" i="1" s="1"/>
  <c r="Q106" i="1"/>
  <c r="AP94" i="18"/>
  <c r="AP54" i="18"/>
  <c r="AP34" i="18"/>
  <c r="AF34" i="18"/>
  <c r="L74" i="18"/>
  <c r="AF94" i="18"/>
  <c r="AZ34" i="18"/>
  <c r="AF74" i="18"/>
  <c r="AF54" i="18"/>
  <c r="AP74" i="18"/>
  <c r="V94" i="18"/>
  <c r="AZ94" i="18"/>
  <c r="AF14" i="18"/>
  <c r="V54" i="18"/>
  <c r="AZ74" i="18"/>
  <c r="AP14" i="18"/>
  <c r="V34" i="18"/>
  <c r="L54" i="18"/>
  <c r="AZ14" i="18"/>
  <c r="L34" i="18"/>
  <c r="V74" i="18"/>
  <c r="L94" i="18"/>
  <c r="P67" i="1"/>
  <c r="AE67" i="1" s="1"/>
  <c r="AD67" i="1" s="1"/>
  <c r="Q67" i="1"/>
  <c r="V14" i="18"/>
  <c r="AZ54" i="18"/>
  <c r="L14" i="18"/>
  <c r="AR50" i="18"/>
  <c r="BB70" i="18"/>
  <c r="X30" i="18"/>
  <c r="N90" i="18"/>
  <c r="N30" i="18"/>
  <c r="X10" i="18"/>
  <c r="BB50" i="18"/>
  <c r="BB10" i="18"/>
  <c r="BB90" i="18"/>
  <c r="AR90" i="18"/>
  <c r="AH90" i="18"/>
  <c r="X90" i="18"/>
  <c r="AH30" i="18"/>
  <c r="AH70" i="18"/>
  <c r="X70" i="18"/>
  <c r="BB30" i="18"/>
  <c r="AH50" i="18"/>
  <c r="N50" i="18"/>
  <c r="AH10" i="18"/>
  <c r="N70" i="18"/>
  <c r="X50" i="18"/>
  <c r="AR70" i="18"/>
  <c r="AR30" i="18"/>
  <c r="AR10" i="18"/>
  <c r="N10" i="18"/>
  <c r="P40" i="1"/>
  <c r="AE40" i="1" s="1"/>
  <c r="AD40" i="1" s="1"/>
  <c r="Q40" i="1"/>
  <c r="AN8" i="18"/>
  <c r="T28" i="18"/>
  <c r="AD8" i="18"/>
  <c r="AD28" i="18"/>
  <c r="T8" i="18"/>
  <c r="AN88" i="18"/>
  <c r="T88" i="18"/>
  <c r="AX48" i="18"/>
  <c r="AN48" i="18"/>
  <c r="AX8" i="18"/>
  <c r="AD88" i="18"/>
  <c r="J28" i="18"/>
  <c r="AX88" i="18"/>
  <c r="T68" i="18"/>
  <c r="AD48" i="18"/>
  <c r="AN28" i="18"/>
  <c r="AD68" i="18"/>
  <c r="J88" i="18"/>
  <c r="AX68" i="18"/>
  <c r="T48" i="18"/>
  <c r="AX28" i="18"/>
  <c r="J68" i="18"/>
  <c r="J48" i="18"/>
  <c r="Q19" i="1"/>
  <c r="J8" i="18"/>
  <c r="P19" i="1"/>
  <c r="AE19" i="1" s="1"/>
  <c r="AD19" i="1" s="1"/>
  <c r="AN68" i="18"/>
  <c r="P142" i="1"/>
  <c r="J104" i="18"/>
  <c r="AX64" i="18"/>
  <c r="AD84" i="18"/>
  <c r="T64" i="18"/>
  <c r="J24" i="18"/>
  <c r="AN84" i="18"/>
  <c r="T104" i="18"/>
  <c r="AX44" i="18"/>
  <c r="AX84" i="18"/>
  <c r="AD104" i="18"/>
  <c r="T24" i="18"/>
  <c r="AD64" i="18"/>
  <c r="AX104" i="18"/>
  <c r="AN104" i="18"/>
  <c r="AD24" i="18"/>
  <c r="J44" i="18"/>
  <c r="Q142" i="1"/>
  <c r="AX24" i="18"/>
  <c r="AN24" i="18"/>
  <c r="T44" i="18"/>
  <c r="AN44" i="18"/>
  <c r="AD44" i="18"/>
  <c r="J64" i="18"/>
  <c r="T84" i="18"/>
  <c r="J84" i="18"/>
  <c r="AN64" i="18"/>
  <c r="Q70" i="1"/>
  <c r="P70" i="1"/>
  <c r="AE70" i="1" s="1"/>
  <c r="AD70" i="1" s="1"/>
  <c r="AF70" i="1" s="1"/>
  <c r="S178" i="19" l="1"/>
  <c r="S128" i="19"/>
  <c r="J228" i="19"/>
  <c r="V178" i="19"/>
  <c r="M28" i="19"/>
  <c r="J78" i="19"/>
  <c r="V78" i="19"/>
  <c r="P128" i="19"/>
  <c r="J178" i="19"/>
  <c r="S78" i="19"/>
  <c r="M178" i="19"/>
  <c r="M128" i="19"/>
  <c r="S228" i="19"/>
  <c r="V28" i="19"/>
  <c r="P178" i="19"/>
  <c r="P78" i="19"/>
  <c r="J128" i="19"/>
  <c r="P28" i="19"/>
  <c r="S28" i="19"/>
  <c r="P228" i="19"/>
  <c r="M228" i="19"/>
  <c r="J28" i="19"/>
  <c r="V228" i="19"/>
  <c r="AF73" i="1"/>
  <c r="V128" i="19"/>
  <c r="M78" i="19"/>
  <c r="S83" i="19"/>
  <c r="P83" i="19"/>
  <c r="M133" i="19"/>
  <c r="V183" i="19"/>
  <c r="S233" i="19"/>
  <c r="M183" i="19"/>
  <c r="V233" i="19"/>
  <c r="V133" i="19"/>
  <c r="P133" i="19"/>
  <c r="V33" i="19"/>
  <c r="P233" i="19"/>
  <c r="J133" i="19"/>
  <c r="S33" i="19"/>
  <c r="S133" i="19"/>
  <c r="M83" i="19"/>
  <c r="S183" i="19"/>
  <c r="P33" i="19"/>
  <c r="M233" i="19"/>
  <c r="P183" i="19"/>
  <c r="M33" i="19"/>
  <c r="J83" i="19"/>
  <c r="J33" i="19"/>
  <c r="AF88" i="1"/>
  <c r="J233" i="19"/>
  <c r="V83" i="19"/>
  <c r="J183" i="19"/>
  <c r="S237" i="19"/>
  <c r="S37" i="19"/>
  <c r="P37" i="19"/>
  <c r="P87" i="19"/>
  <c r="S187" i="19"/>
  <c r="J187" i="19"/>
  <c r="V187" i="19"/>
  <c r="M87" i="19"/>
  <c r="M37" i="19"/>
  <c r="V137" i="19"/>
  <c r="P187" i="19"/>
  <c r="M187" i="19"/>
  <c r="P237" i="19"/>
  <c r="M237" i="19"/>
  <c r="J137" i="19"/>
  <c r="S137" i="19"/>
  <c r="J87" i="19"/>
  <c r="J237" i="19"/>
  <c r="S87" i="19"/>
  <c r="P137" i="19"/>
  <c r="M137" i="19"/>
  <c r="V237" i="19"/>
  <c r="V87" i="19"/>
  <c r="V37" i="19"/>
  <c r="J37" i="19"/>
  <c r="AF100" i="1"/>
  <c r="V46" i="19"/>
  <c r="S196" i="19"/>
  <c r="P96" i="19"/>
  <c r="V246" i="19"/>
  <c r="P46" i="19"/>
  <c r="V196" i="19"/>
  <c r="J196" i="19"/>
  <c r="P246" i="19"/>
  <c r="J96" i="19"/>
  <c r="S146" i="19"/>
  <c r="S246" i="19"/>
  <c r="M246" i="19"/>
  <c r="J146" i="19"/>
  <c r="S46" i="19"/>
  <c r="M146" i="19"/>
  <c r="J246" i="19"/>
  <c r="S96" i="19"/>
  <c r="V96" i="19"/>
  <c r="M46" i="19"/>
  <c r="J46" i="19"/>
  <c r="M96" i="19"/>
  <c r="P146" i="19"/>
  <c r="AF127" i="1"/>
  <c r="V146" i="19"/>
  <c r="M196" i="19"/>
  <c r="P196" i="19"/>
  <c r="S70" i="19"/>
  <c r="J120" i="19"/>
  <c r="M120" i="19"/>
  <c r="S220" i="19"/>
  <c r="M70" i="19"/>
  <c r="P120" i="19"/>
  <c r="V120" i="19"/>
  <c r="P170" i="19"/>
  <c r="P20" i="19"/>
  <c r="P220" i="19"/>
  <c r="P70" i="19"/>
  <c r="J170" i="19"/>
  <c r="S120" i="19"/>
  <c r="M220" i="19"/>
  <c r="M20" i="19"/>
  <c r="V20" i="19"/>
  <c r="J220" i="19"/>
  <c r="M170" i="19"/>
  <c r="V70" i="19"/>
  <c r="S20" i="19"/>
  <c r="S170" i="19"/>
  <c r="J20" i="19"/>
  <c r="V220" i="19"/>
  <c r="V170" i="19"/>
  <c r="AF46" i="1"/>
  <c r="J70" i="19"/>
  <c r="P116" i="19"/>
  <c r="S216" i="19"/>
  <c r="P66" i="19"/>
  <c r="V166" i="19"/>
  <c r="V116" i="19"/>
  <c r="M66" i="19"/>
  <c r="S16" i="19"/>
  <c r="M116" i="19"/>
  <c r="M216" i="19"/>
  <c r="V216" i="19"/>
  <c r="P216" i="19"/>
  <c r="J166" i="19"/>
  <c r="S166" i="19"/>
  <c r="P16" i="19"/>
  <c r="J216" i="19"/>
  <c r="V66" i="19"/>
  <c r="M16" i="19"/>
  <c r="J66" i="19"/>
  <c r="V16" i="19"/>
  <c r="S66" i="19"/>
  <c r="J116" i="19"/>
  <c r="S116" i="19"/>
  <c r="P166" i="19"/>
  <c r="J16" i="19"/>
  <c r="M166" i="19"/>
  <c r="AF34" i="1"/>
  <c r="S84" i="19"/>
  <c r="J134" i="19"/>
  <c r="M134" i="19"/>
  <c r="V184" i="19"/>
  <c r="S184" i="19"/>
  <c r="P84" i="19"/>
  <c r="S234" i="19"/>
  <c r="P184" i="19"/>
  <c r="P34" i="19"/>
  <c r="V134" i="19"/>
  <c r="M84" i="19"/>
  <c r="J184" i="19"/>
  <c r="P234" i="19"/>
  <c r="M234" i="19"/>
  <c r="M184" i="19"/>
  <c r="S134" i="19"/>
  <c r="J234" i="19"/>
  <c r="M34" i="19"/>
  <c r="V84" i="19"/>
  <c r="S34" i="19"/>
  <c r="J84" i="19"/>
  <c r="V34" i="19"/>
  <c r="J34" i="19"/>
  <c r="AF91" i="1"/>
  <c r="V234" i="19"/>
  <c r="P134" i="19"/>
  <c r="S192" i="19"/>
  <c r="P242" i="19"/>
  <c r="M242" i="19"/>
  <c r="M42" i="19"/>
  <c r="V92" i="19"/>
  <c r="S142" i="19"/>
  <c r="V242" i="19"/>
  <c r="P192" i="19"/>
  <c r="V42" i="19"/>
  <c r="J92" i="19"/>
  <c r="S92" i="19"/>
  <c r="P142" i="19"/>
  <c r="S42" i="19"/>
  <c r="S242" i="19"/>
  <c r="M192" i="19"/>
  <c r="M142" i="19"/>
  <c r="P92" i="19"/>
  <c r="J142" i="19"/>
  <c r="P42" i="19"/>
  <c r="V142" i="19"/>
  <c r="J242" i="19"/>
  <c r="J42" i="19"/>
  <c r="J192" i="19"/>
  <c r="AF115" i="1"/>
  <c r="V192" i="19"/>
  <c r="M92" i="19"/>
  <c r="S75" i="19"/>
  <c r="M175" i="19"/>
  <c r="M25" i="19"/>
  <c r="S225" i="19"/>
  <c r="M75" i="19"/>
  <c r="P25" i="19"/>
  <c r="V225" i="19"/>
  <c r="M225" i="19"/>
  <c r="J125" i="19"/>
  <c r="V125" i="19"/>
  <c r="J225" i="19"/>
  <c r="J175" i="19"/>
  <c r="V175" i="19"/>
  <c r="P225" i="19"/>
  <c r="P75" i="19"/>
  <c r="S175" i="19"/>
  <c r="S125" i="19"/>
  <c r="J75" i="19"/>
  <c r="P175" i="19"/>
  <c r="P125" i="19"/>
  <c r="M125" i="19"/>
  <c r="V75" i="19"/>
  <c r="AF61" i="1"/>
  <c r="V25" i="19"/>
  <c r="S25" i="19"/>
  <c r="J25" i="19"/>
  <c r="V169" i="19"/>
  <c r="P219" i="19"/>
  <c r="P69" i="19"/>
  <c r="S19" i="19"/>
  <c r="P119" i="19"/>
  <c r="M69" i="19"/>
  <c r="S169" i="19"/>
  <c r="P19" i="19"/>
  <c r="M219" i="19"/>
  <c r="V69" i="19"/>
  <c r="J169" i="19"/>
  <c r="J219" i="19"/>
  <c r="P169" i="19"/>
  <c r="M19" i="19"/>
  <c r="J69" i="19"/>
  <c r="S69" i="19"/>
  <c r="S119" i="19"/>
  <c r="M119" i="19"/>
  <c r="V19" i="19"/>
  <c r="V119" i="19"/>
  <c r="J119" i="19"/>
  <c r="V219" i="19"/>
  <c r="S219" i="19"/>
  <c r="M169" i="19"/>
  <c r="J19" i="19"/>
  <c r="AF43" i="1"/>
  <c r="S232" i="19"/>
  <c r="V82" i="19"/>
  <c r="P82" i="19"/>
  <c r="V132" i="19"/>
  <c r="P182" i="19"/>
  <c r="M32" i="19"/>
  <c r="P232" i="19"/>
  <c r="M232" i="19"/>
  <c r="M182" i="19"/>
  <c r="S132" i="19"/>
  <c r="J232" i="19"/>
  <c r="S82" i="19"/>
  <c r="V32" i="19"/>
  <c r="J82" i="19"/>
  <c r="J132" i="19"/>
  <c r="P132" i="19"/>
  <c r="M132" i="19"/>
  <c r="M82" i="19"/>
  <c r="V182" i="19"/>
  <c r="S182" i="19"/>
  <c r="J182" i="19"/>
  <c r="S32" i="19"/>
  <c r="P32" i="19"/>
  <c r="J32" i="19"/>
  <c r="AF85" i="1"/>
  <c r="V232" i="19"/>
  <c r="P124" i="19"/>
  <c r="V224" i="19"/>
  <c r="P224" i="19"/>
  <c r="S24" i="19"/>
  <c r="V124" i="19"/>
  <c r="M224" i="19"/>
  <c r="V174" i="19"/>
  <c r="M124" i="19"/>
  <c r="J174" i="19"/>
  <c r="S174" i="19"/>
  <c r="P24" i="19"/>
  <c r="J224" i="19"/>
  <c r="V74" i="19"/>
  <c r="M24" i="19"/>
  <c r="P74" i="19"/>
  <c r="P174" i="19"/>
  <c r="M174" i="19"/>
  <c r="J74" i="19"/>
  <c r="V24" i="19"/>
  <c r="S224" i="19"/>
  <c r="M74" i="19"/>
  <c r="J124" i="19"/>
  <c r="J24" i="19"/>
  <c r="AF58" i="1"/>
  <c r="S124" i="19"/>
  <c r="S74" i="19"/>
  <c r="V223" i="19"/>
  <c r="P123" i="19"/>
  <c r="M123" i="19"/>
  <c r="P223" i="19"/>
  <c r="S73" i="19"/>
  <c r="S23" i="19"/>
  <c r="P23" i="19"/>
  <c r="V173" i="19"/>
  <c r="J173" i="19"/>
  <c r="V123" i="19"/>
  <c r="J123" i="19"/>
  <c r="V73" i="19"/>
  <c r="J73" i="19"/>
  <c r="S223" i="19"/>
  <c r="J23" i="19"/>
  <c r="M173" i="19"/>
  <c r="AF55" i="1"/>
  <c r="S123" i="19"/>
  <c r="P73" i="19"/>
  <c r="S173" i="19"/>
  <c r="M23" i="19"/>
  <c r="M73" i="19"/>
  <c r="P173" i="19"/>
  <c r="M223" i="19"/>
  <c r="V23" i="19"/>
  <c r="J223" i="19"/>
  <c r="S21" i="19"/>
  <c r="P121" i="19"/>
  <c r="P221" i="19"/>
  <c r="S171" i="19"/>
  <c r="P21" i="19"/>
  <c r="M221" i="19"/>
  <c r="V71" i="19"/>
  <c r="J171" i="19"/>
  <c r="J221" i="19"/>
  <c r="P171" i="19"/>
  <c r="M21" i="19"/>
  <c r="M71" i="19"/>
  <c r="V171" i="19"/>
  <c r="V221" i="19"/>
  <c r="M171" i="19"/>
  <c r="V121" i="19"/>
  <c r="S71" i="19"/>
  <c r="P71" i="19"/>
  <c r="V21" i="19"/>
  <c r="M121" i="19"/>
  <c r="J121" i="19"/>
  <c r="S121" i="19"/>
  <c r="J71" i="19"/>
  <c r="J21" i="19"/>
  <c r="S221" i="19"/>
  <c r="AF49" i="1"/>
  <c r="S215" i="19"/>
  <c r="V215" i="19"/>
  <c r="P165" i="19"/>
  <c r="J65" i="19"/>
  <c r="V115" i="19"/>
  <c r="S165" i="19"/>
  <c r="P15" i="19"/>
  <c r="J15" i="19"/>
  <c r="P215" i="19"/>
  <c r="V65" i="19"/>
  <c r="J165" i="19"/>
  <c r="AF31" i="1"/>
  <c r="S115" i="19"/>
  <c r="P65" i="19"/>
  <c r="M15" i="19"/>
  <c r="V15" i="19"/>
  <c r="M65" i="19"/>
  <c r="J215" i="19"/>
  <c r="V165" i="19"/>
  <c r="P115" i="19"/>
  <c r="M215" i="19"/>
  <c r="M165" i="19"/>
  <c r="J115" i="19"/>
  <c r="S65" i="19"/>
  <c r="S15" i="19"/>
  <c r="M115" i="19"/>
  <c r="J98" i="19"/>
  <c r="V98" i="19"/>
  <c r="M98" i="19"/>
  <c r="J198" i="19"/>
  <c r="V48" i="19"/>
  <c r="S48" i="19"/>
  <c r="S148" i="19"/>
  <c r="AF133" i="1"/>
  <c r="V248" i="19"/>
  <c r="S198" i="19"/>
  <c r="P48" i="19"/>
  <c r="P198" i="19"/>
  <c r="S98" i="19"/>
  <c r="V148" i="19"/>
  <c r="M198" i="19"/>
  <c r="J248" i="19"/>
  <c r="P148" i="19"/>
  <c r="P248" i="19"/>
  <c r="J48" i="19"/>
  <c r="M148" i="19"/>
  <c r="M48" i="19"/>
  <c r="S248" i="19"/>
  <c r="J148" i="19"/>
  <c r="M248" i="19"/>
  <c r="V198" i="19"/>
  <c r="P98" i="19"/>
  <c r="V236" i="19"/>
  <c r="V136" i="19"/>
  <c r="P186" i="19"/>
  <c r="J186" i="19"/>
  <c r="S36" i="19"/>
  <c r="P236" i="19"/>
  <c r="M236" i="19"/>
  <c r="J36" i="19"/>
  <c r="J136" i="19"/>
  <c r="M86" i="19"/>
  <c r="S186" i="19"/>
  <c r="S136" i="19"/>
  <c r="J236" i="19"/>
  <c r="M186" i="19"/>
  <c r="M136" i="19"/>
  <c r="V86" i="19"/>
  <c r="M36" i="19"/>
  <c r="P136" i="19"/>
  <c r="AF97" i="1"/>
  <c r="S86" i="19"/>
  <c r="J86" i="19"/>
  <c r="S236" i="19"/>
  <c r="P86" i="19"/>
  <c r="V186" i="19"/>
  <c r="V36" i="19"/>
  <c r="P36" i="19"/>
  <c r="S13" i="19"/>
  <c r="P13" i="19"/>
  <c r="P113" i="19"/>
  <c r="S163" i="19"/>
  <c r="J163" i="19"/>
  <c r="M213" i="19"/>
  <c r="V63" i="19"/>
  <c r="M13" i="19"/>
  <c r="J213" i="19"/>
  <c r="V113" i="19"/>
  <c r="P163" i="19"/>
  <c r="M163" i="19"/>
  <c r="S113" i="19"/>
  <c r="S63" i="19"/>
  <c r="P63" i="19"/>
  <c r="V13" i="19"/>
  <c r="P213" i="19"/>
  <c r="J113" i="19"/>
  <c r="V163" i="19"/>
  <c r="M113" i="19"/>
  <c r="M63" i="19"/>
  <c r="J13" i="19"/>
  <c r="AF25" i="1"/>
  <c r="V213" i="19"/>
  <c r="J63" i="19"/>
  <c r="S213" i="19"/>
  <c r="S47" i="19"/>
  <c r="M47" i="19"/>
  <c r="J97" i="19"/>
  <c r="P197" i="19"/>
  <c r="P47" i="19"/>
  <c r="M197" i="19"/>
  <c r="S147" i="19"/>
  <c r="P147" i="19"/>
  <c r="J197" i="19"/>
  <c r="V147" i="19"/>
  <c r="V97" i="19"/>
  <c r="M97" i="19"/>
  <c r="J47" i="19"/>
  <c r="V47" i="19"/>
  <c r="J147" i="19"/>
  <c r="S247" i="19"/>
  <c r="P247" i="19"/>
  <c r="M147" i="19"/>
  <c r="V197" i="19"/>
  <c r="V247" i="19"/>
  <c r="S97" i="19"/>
  <c r="S197" i="19"/>
  <c r="P97" i="19"/>
  <c r="J247" i="19"/>
  <c r="M247" i="19"/>
  <c r="AF130" i="1"/>
  <c r="V206" i="19"/>
  <c r="P206" i="19"/>
  <c r="V6" i="19"/>
  <c r="V156" i="19"/>
  <c r="S106" i="19"/>
  <c r="M56" i="19"/>
  <c r="S6" i="19"/>
  <c r="P106" i="19"/>
  <c r="M206" i="19"/>
  <c r="J6" i="19"/>
  <c r="S156" i="19"/>
  <c r="M6" i="19"/>
  <c r="J206" i="19"/>
  <c r="V56" i="19"/>
  <c r="M156" i="19"/>
  <c r="J56" i="19"/>
  <c r="S56" i="19"/>
  <c r="P56" i="19"/>
  <c r="J156" i="19"/>
  <c r="AF7" i="1"/>
  <c r="S206" i="19"/>
  <c r="J106" i="19"/>
  <c r="P6" i="19"/>
  <c r="V106" i="19"/>
  <c r="P156" i="19"/>
  <c r="M106" i="19"/>
  <c r="S226" i="19"/>
  <c r="J176" i="19"/>
  <c r="M226" i="19"/>
  <c r="P26" i="19"/>
  <c r="S126" i="19"/>
  <c r="M176" i="19"/>
  <c r="S176" i="19"/>
  <c r="M126" i="19"/>
  <c r="S76" i="19"/>
  <c r="S26" i="19"/>
  <c r="V226" i="19"/>
  <c r="M26" i="19"/>
  <c r="J226" i="19"/>
  <c r="M76" i="19"/>
  <c r="V126" i="19"/>
  <c r="P226" i="19"/>
  <c r="J126" i="19"/>
  <c r="P176" i="19"/>
  <c r="V76" i="19"/>
  <c r="J76" i="19"/>
  <c r="V176" i="19"/>
  <c r="AF64" i="1"/>
  <c r="P76" i="19"/>
  <c r="J26" i="19"/>
  <c r="V26" i="19"/>
  <c r="P126" i="19"/>
  <c r="S7" i="19"/>
  <c r="V57" i="19"/>
  <c r="J57" i="19"/>
  <c r="AF10" i="1"/>
  <c r="P157" i="19"/>
  <c r="V157" i="19"/>
  <c r="V207" i="19"/>
  <c r="M207" i="19"/>
  <c r="V7" i="19"/>
  <c r="S157" i="19"/>
  <c r="J157" i="19"/>
  <c r="M157" i="19"/>
  <c r="J107" i="19"/>
  <c r="S57" i="19"/>
  <c r="J7" i="19"/>
  <c r="P7" i="19"/>
  <c r="P57" i="19"/>
  <c r="J207" i="19"/>
  <c r="V107" i="19"/>
  <c r="M7" i="19"/>
  <c r="P207" i="19"/>
  <c r="P107" i="19"/>
  <c r="S207" i="19"/>
  <c r="M107" i="19"/>
  <c r="M57" i="19"/>
  <c r="S107" i="19"/>
  <c r="S79" i="19"/>
  <c r="S29" i="19"/>
  <c r="P179" i="19"/>
  <c r="V79" i="19"/>
  <c r="S229" i="19"/>
  <c r="S179" i="19"/>
  <c r="P29" i="19"/>
  <c r="AF76" i="1"/>
  <c r="P79" i="19"/>
  <c r="M79" i="19"/>
  <c r="J179" i="19"/>
  <c r="V129" i="19"/>
  <c r="V179" i="19"/>
  <c r="M29" i="19"/>
  <c r="J129" i="19"/>
  <c r="P229" i="19"/>
  <c r="M229" i="19"/>
  <c r="M179" i="19"/>
  <c r="V29" i="19"/>
  <c r="S129" i="19"/>
  <c r="J79" i="19"/>
  <c r="J229" i="19"/>
  <c r="V229" i="19"/>
  <c r="P129" i="19"/>
  <c r="M129" i="19"/>
  <c r="J29" i="19"/>
  <c r="AE84" i="1"/>
  <c r="AD84" i="1" s="1"/>
  <c r="AE82" i="1"/>
  <c r="V44" i="19"/>
  <c r="P244" i="19"/>
  <c r="J144" i="19"/>
  <c r="S44" i="19"/>
  <c r="P44" i="19"/>
  <c r="M94" i="19"/>
  <c r="S194" i="19"/>
  <c r="J194" i="19"/>
  <c r="J44" i="19"/>
  <c r="V94" i="19"/>
  <c r="P194" i="19"/>
  <c r="M44" i="19"/>
  <c r="J244" i="19"/>
  <c r="S94" i="19"/>
  <c r="M194" i="19"/>
  <c r="J94" i="19"/>
  <c r="V244" i="19"/>
  <c r="V144" i="19"/>
  <c r="V194" i="19"/>
  <c r="S244" i="19"/>
  <c r="AF121" i="1"/>
  <c r="S144" i="19"/>
  <c r="P94" i="19"/>
  <c r="M244" i="19"/>
  <c r="P144" i="19"/>
  <c r="M144" i="19"/>
  <c r="V89" i="19"/>
  <c r="M39" i="19"/>
  <c r="P139" i="19"/>
  <c r="S89" i="19"/>
  <c r="M189" i="19"/>
  <c r="J89" i="19"/>
  <c r="S239" i="19"/>
  <c r="J139" i="19"/>
  <c r="M139" i="19"/>
  <c r="P89" i="19"/>
  <c r="M89" i="19"/>
  <c r="J189" i="19"/>
  <c r="V189" i="19"/>
  <c r="V39" i="19"/>
  <c r="J39" i="19"/>
  <c r="V239" i="19"/>
  <c r="V139" i="19"/>
  <c r="P189" i="19"/>
  <c r="P39" i="19"/>
  <c r="S189" i="19"/>
  <c r="S139" i="19"/>
  <c r="J239" i="19"/>
  <c r="AF106" i="1"/>
  <c r="S39" i="19"/>
  <c r="P239" i="19"/>
  <c r="M239" i="19"/>
  <c r="V185" i="19"/>
  <c r="S85" i="19"/>
  <c r="V235" i="19"/>
  <c r="V135" i="19"/>
  <c r="P135" i="19"/>
  <c r="P85" i="19"/>
  <c r="S135" i="19"/>
  <c r="J85" i="19"/>
  <c r="M35" i="19"/>
  <c r="V35" i="19"/>
  <c r="P235" i="19"/>
  <c r="M185" i="19"/>
  <c r="S35" i="19"/>
  <c r="M135" i="19"/>
  <c r="J135" i="19"/>
  <c r="S185" i="19"/>
  <c r="S235" i="19"/>
  <c r="J235" i="19"/>
  <c r="P185" i="19"/>
  <c r="J185" i="19"/>
  <c r="M235" i="19"/>
  <c r="V85" i="19"/>
  <c r="P35" i="19"/>
  <c r="M85" i="19"/>
  <c r="AF94" i="1"/>
  <c r="J35" i="19"/>
  <c r="S30" i="19"/>
  <c r="P80" i="19"/>
  <c r="J80" i="19"/>
  <c r="S180" i="19"/>
  <c r="P30" i="19"/>
  <c r="J180" i="19"/>
  <c r="V180" i="19"/>
  <c r="P230" i="19"/>
  <c r="M230" i="19"/>
  <c r="V80" i="19"/>
  <c r="M30" i="19"/>
  <c r="J230" i="19"/>
  <c r="S130" i="19"/>
  <c r="P180" i="19"/>
  <c r="V130" i="19"/>
  <c r="V230" i="19"/>
  <c r="S80" i="19"/>
  <c r="M180" i="19"/>
  <c r="P130" i="19"/>
  <c r="M130" i="19"/>
  <c r="M80" i="19"/>
  <c r="S230" i="19"/>
  <c r="J130" i="19"/>
  <c r="V30" i="19"/>
  <c r="J30" i="19"/>
  <c r="AF79" i="1"/>
  <c r="S108" i="19"/>
  <c r="P108" i="19"/>
  <c r="J158" i="19"/>
  <c r="J8" i="19"/>
  <c r="S58" i="19"/>
  <c r="S208" i="19"/>
  <c r="AF13" i="1"/>
  <c r="P58" i="19"/>
  <c r="M58" i="19"/>
  <c r="S8" i="19"/>
  <c r="V58" i="19"/>
  <c r="M108" i="19"/>
  <c r="S158" i="19"/>
  <c r="J58" i="19"/>
  <c r="P208" i="19"/>
  <c r="M158" i="19"/>
  <c r="V158" i="19"/>
  <c r="V8" i="19"/>
  <c r="V208" i="19"/>
  <c r="P8" i="19"/>
  <c r="J208" i="19"/>
  <c r="P158" i="19"/>
  <c r="V108" i="19"/>
  <c r="M208" i="19"/>
  <c r="M8" i="19"/>
  <c r="J108" i="19"/>
  <c r="S191" i="19"/>
  <c r="M41" i="19"/>
  <c r="J91" i="19"/>
  <c r="V91" i="19"/>
  <c r="M191" i="19"/>
  <c r="J191" i="19"/>
  <c r="P191" i="19"/>
  <c r="P241" i="19"/>
  <c r="J241" i="19"/>
  <c r="S141" i="19"/>
  <c r="S91" i="19"/>
  <c r="J141" i="19"/>
  <c r="M241" i="19"/>
  <c r="V41" i="19"/>
  <c r="S241" i="19"/>
  <c r="P91" i="19"/>
  <c r="P141" i="19"/>
  <c r="M141" i="19"/>
  <c r="M91" i="19"/>
  <c r="S41" i="19"/>
  <c r="P41" i="19"/>
  <c r="J41" i="19"/>
  <c r="V141" i="19"/>
  <c r="V241" i="19"/>
  <c r="V191" i="19"/>
  <c r="AF112" i="1"/>
  <c r="V64" i="19"/>
  <c r="M164" i="19"/>
  <c r="P14" i="19"/>
  <c r="S64" i="19"/>
  <c r="J114" i="19"/>
  <c r="M114" i="19"/>
  <c r="S214" i="19"/>
  <c r="M64" i="19"/>
  <c r="P164" i="19"/>
  <c r="P64" i="19"/>
  <c r="P114" i="19"/>
  <c r="V14" i="19"/>
  <c r="V214" i="19"/>
  <c r="V114" i="19"/>
  <c r="M214" i="19"/>
  <c r="V164" i="19"/>
  <c r="P214" i="19"/>
  <c r="J214" i="19"/>
  <c r="S164" i="19"/>
  <c r="M14" i="19"/>
  <c r="J164" i="19"/>
  <c r="J14" i="19"/>
  <c r="S114" i="19"/>
  <c r="S14" i="19"/>
  <c r="J64" i="19"/>
  <c r="AF28" i="1"/>
  <c r="V77" i="19"/>
  <c r="P27" i="19"/>
  <c r="J227" i="19"/>
  <c r="V177" i="19"/>
  <c r="P177" i="19"/>
  <c r="J177" i="19"/>
  <c r="V227" i="19"/>
  <c r="S77" i="19"/>
  <c r="M27" i="19"/>
  <c r="V127" i="19"/>
  <c r="P77" i="19"/>
  <c r="P127" i="19"/>
  <c r="S127" i="19"/>
  <c r="J77" i="19"/>
  <c r="M177" i="19"/>
  <c r="V27" i="19"/>
  <c r="S227" i="19"/>
  <c r="J127" i="19"/>
  <c r="S177" i="19"/>
  <c r="M127" i="19"/>
  <c r="M227" i="19"/>
  <c r="J27" i="19"/>
  <c r="S27" i="19"/>
  <c r="P227" i="19"/>
  <c r="M77" i="19"/>
  <c r="AF67" i="1"/>
  <c r="S22" i="19"/>
  <c r="V222" i="19"/>
  <c r="P222" i="19"/>
  <c r="J222" i="19"/>
  <c r="J22" i="19"/>
  <c r="V172" i="19"/>
  <c r="S122" i="19"/>
  <c r="V22" i="19"/>
  <c r="S172" i="19"/>
  <c r="M22" i="19"/>
  <c r="J72" i="19"/>
  <c r="P172" i="19"/>
  <c r="V72" i="19"/>
  <c r="M172" i="19"/>
  <c r="M122" i="19"/>
  <c r="AF52" i="1"/>
  <c r="S72" i="19"/>
  <c r="J122" i="19"/>
  <c r="P22" i="19"/>
  <c r="P72" i="19"/>
  <c r="S222" i="19"/>
  <c r="M72" i="19"/>
  <c r="P122" i="19"/>
  <c r="J172" i="19"/>
  <c r="V122" i="19"/>
  <c r="M222" i="19"/>
  <c r="P49" i="19"/>
  <c r="V49" i="19"/>
  <c r="P149" i="19"/>
  <c r="AF136" i="1"/>
  <c r="M199" i="19"/>
  <c r="J49" i="19"/>
  <c r="S199" i="19"/>
  <c r="M149" i="19"/>
  <c r="V249" i="19"/>
  <c r="S99" i="19"/>
  <c r="P249" i="19"/>
  <c r="V99" i="19"/>
  <c r="V149" i="19"/>
  <c r="P99" i="19"/>
  <c r="J249" i="19"/>
  <c r="V199" i="19"/>
  <c r="S249" i="19"/>
  <c r="M249" i="19"/>
  <c r="J199" i="19"/>
  <c r="M99" i="19"/>
  <c r="P199" i="19"/>
  <c r="S49" i="19"/>
  <c r="M49" i="19"/>
  <c r="J149" i="19"/>
  <c r="J99" i="19"/>
  <c r="S149" i="19"/>
  <c r="V43" i="19"/>
  <c r="J93" i="19"/>
  <c r="M93" i="19"/>
  <c r="P143" i="19"/>
  <c r="P93" i="19"/>
  <c r="J143" i="19"/>
  <c r="V243" i="19"/>
  <c r="S43" i="19"/>
  <c r="M143" i="19"/>
  <c r="S93" i="19"/>
  <c r="V193" i="19"/>
  <c r="S193" i="19"/>
  <c r="P43" i="19"/>
  <c r="S243" i="19"/>
  <c r="V93" i="19"/>
  <c r="J193" i="19"/>
  <c r="V143" i="19"/>
  <c r="P193" i="19"/>
  <c r="M43" i="19"/>
  <c r="S143" i="19"/>
  <c r="J243" i="19"/>
  <c r="J43" i="19"/>
  <c r="P243" i="19"/>
  <c r="M243" i="19"/>
  <c r="M193" i="19"/>
  <c r="AF118" i="1"/>
  <c r="P110" i="19"/>
  <c r="J60" i="19"/>
  <c r="J110" i="19"/>
  <c r="V160" i="19"/>
  <c r="S60" i="19"/>
  <c r="P60" i="19"/>
  <c r="S210" i="19"/>
  <c r="S10" i="19"/>
  <c r="M110" i="19"/>
  <c r="V110" i="19"/>
  <c r="S160" i="19"/>
  <c r="P10" i="19"/>
  <c r="P210" i="19"/>
  <c r="V60" i="19"/>
  <c r="J160" i="19"/>
  <c r="V210" i="19"/>
  <c r="P160" i="19"/>
  <c r="M10" i="19"/>
  <c r="V10" i="19"/>
  <c r="J210" i="19"/>
  <c r="M60" i="19"/>
  <c r="S110" i="19"/>
  <c r="M210" i="19"/>
  <c r="J10" i="19"/>
  <c r="M160" i="19"/>
  <c r="AF16" i="1"/>
  <c r="V67" i="19"/>
  <c r="M167" i="19"/>
  <c r="M117" i="19"/>
  <c r="P167" i="19"/>
  <c r="V167" i="19"/>
  <c r="J117" i="19"/>
  <c r="S67" i="19"/>
  <c r="P67" i="19"/>
  <c r="J167" i="19"/>
  <c r="S217" i="19"/>
  <c r="M67" i="19"/>
  <c r="M17" i="19"/>
  <c r="V117" i="19"/>
  <c r="M217" i="19"/>
  <c r="P17" i="19"/>
  <c r="P217" i="19"/>
  <c r="J217" i="19"/>
  <c r="S17" i="19"/>
  <c r="S167" i="19"/>
  <c r="V17" i="19"/>
  <c r="P117" i="19"/>
  <c r="J67" i="19"/>
  <c r="J17" i="19"/>
  <c r="AF37" i="1"/>
  <c r="V217" i="19"/>
  <c r="S117" i="19"/>
  <c r="V212" i="19"/>
  <c r="V162" i="19"/>
  <c r="J62" i="19"/>
  <c r="J12" i="19"/>
  <c r="V62" i="19"/>
  <c r="S12" i="19"/>
  <c r="P162" i="19"/>
  <c r="P12" i="19"/>
  <c r="AF22" i="1"/>
  <c r="M162" i="19"/>
  <c r="S62" i="19"/>
  <c r="P62" i="19"/>
  <c r="M112" i="19"/>
  <c r="J162" i="19"/>
  <c r="V12" i="19"/>
  <c r="S212" i="19"/>
  <c r="J112" i="19"/>
  <c r="S162" i="19"/>
  <c r="V112" i="19"/>
  <c r="M62" i="19"/>
  <c r="P112" i="19"/>
  <c r="M212" i="19"/>
  <c r="M12" i="19"/>
  <c r="P212" i="19"/>
  <c r="J212" i="19"/>
  <c r="S112" i="19"/>
  <c r="V211" i="19"/>
  <c r="S211" i="19"/>
  <c r="P61" i="19"/>
  <c r="V11" i="19"/>
  <c r="V111" i="19"/>
  <c r="J111" i="19"/>
  <c r="V161" i="19"/>
  <c r="P211" i="19"/>
  <c r="M61" i="19"/>
  <c r="S11" i="19"/>
  <c r="P11" i="19"/>
  <c r="P111" i="19"/>
  <c r="S161" i="19"/>
  <c r="J161" i="19"/>
  <c r="M211" i="19"/>
  <c r="V61" i="19"/>
  <c r="M11" i="19"/>
  <c r="J211" i="19"/>
  <c r="S61" i="19"/>
  <c r="S111" i="19"/>
  <c r="M111" i="19"/>
  <c r="P161" i="19"/>
  <c r="M161" i="19"/>
  <c r="J61" i="19"/>
  <c r="AF19" i="1"/>
  <c r="J11" i="19"/>
  <c r="V18" i="19"/>
  <c r="S68" i="19"/>
  <c r="M168" i="19"/>
  <c r="P118" i="19"/>
  <c r="M218" i="19"/>
  <c r="P68" i="19"/>
  <c r="V168" i="19"/>
  <c r="J218" i="19"/>
  <c r="M68" i="19"/>
  <c r="S18" i="19"/>
  <c r="J68" i="19"/>
  <c r="J118" i="19"/>
  <c r="S218" i="19"/>
  <c r="V218" i="19"/>
  <c r="M118" i="19"/>
  <c r="V118" i="19"/>
  <c r="S168" i="19"/>
  <c r="J168" i="19"/>
  <c r="S118" i="19"/>
  <c r="P168" i="19"/>
  <c r="M18" i="19"/>
  <c r="AF40" i="1"/>
  <c r="P218" i="19"/>
  <c r="J18" i="19"/>
  <c r="P18" i="19"/>
  <c r="V68" i="19"/>
  <c r="S200" i="19"/>
  <c r="S250" i="19"/>
  <c r="M100" i="19"/>
  <c r="M250" i="19"/>
  <c r="P250" i="19"/>
  <c r="V200" i="19"/>
  <c r="P200" i="19"/>
  <c r="V150" i="19"/>
  <c r="S150" i="19"/>
  <c r="M200" i="19"/>
  <c r="V50" i="19"/>
  <c r="AF139" i="1"/>
  <c r="P150" i="19"/>
  <c r="S50" i="19"/>
  <c r="P50" i="19"/>
  <c r="M50" i="19"/>
  <c r="J50" i="19"/>
  <c r="P100" i="19"/>
  <c r="S100" i="19"/>
  <c r="J100" i="19"/>
  <c r="J250" i="19"/>
  <c r="V250" i="19"/>
  <c r="J150" i="19"/>
  <c r="V100" i="19"/>
  <c r="M150" i="19"/>
  <c r="J200" i="19"/>
  <c r="S140" i="19"/>
  <c r="M240" i="19"/>
  <c r="J140" i="19"/>
  <c r="V240" i="19"/>
  <c r="V40" i="19"/>
  <c r="J90" i="19"/>
  <c r="J240" i="19"/>
  <c r="S90" i="19"/>
  <c r="P140" i="19"/>
  <c r="M140" i="19"/>
  <c r="S240" i="19"/>
  <c r="S40" i="19"/>
  <c r="V90" i="19"/>
  <c r="P90" i="19"/>
  <c r="S190" i="19"/>
  <c r="P40" i="19"/>
  <c r="V190" i="19"/>
  <c r="M90" i="19"/>
  <c r="J190" i="19"/>
  <c r="P240" i="19"/>
  <c r="P190" i="19"/>
  <c r="M190" i="19"/>
  <c r="J40" i="19"/>
  <c r="M40" i="19"/>
  <c r="AF109" i="1"/>
  <c r="V140" i="19"/>
  <c r="V145" i="19"/>
  <c r="M95" i="19"/>
  <c r="P45" i="19"/>
  <c r="P245" i="19"/>
  <c r="S195" i="19"/>
  <c r="J195" i="19"/>
  <c r="S145" i="19"/>
  <c r="M245" i="19"/>
  <c r="P195" i="19"/>
  <c r="V195" i="19"/>
  <c r="J245" i="19"/>
  <c r="M195" i="19"/>
  <c r="V245" i="19"/>
  <c r="V45" i="19"/>
  <c r="P95" i="19"/>
  <c r="M45" i="19"/>
  <c r="V95" i="19"/>
  <c r="P145" i="19"/>
  <c r="J95" i="19"/>
  <c r="S245" i="19"/>
  <c r="J145" i="19"/>
  <c r="M145" i="19"/>
  <c r="S95" i="19"/>
  <c r="S45" i="19"/>
  <c r="J45" i="19"/>
  <c r="AF124" i="1"/>
  <c r="AD82" i="1" l="1"/>
  <c r="AE83" i="1"/>
  <c r="AD83" i="1" s="1"/>
  <c r="X231" i="19"/>
  <c r="R131" i="19"/>
  <c r="R31" i="19"/>
  <c r="L31" i="19"/>
  <c r="R231" i="19"/>
  <c r="L231" i="19"/>
  <c r="X181" i="19"/>
  <c r="U81" i="19"/>
  <c r="U31" i="19"/>
  <c r="L181" i="19"/>
  <c r="O181" i="19"/>
  <c r="U231" i="19"/>
  <c r="U181" i="19"/>
  <c r="X81" i="19"/>
  <c r="L81" i="19"/>
  <c r="O131" i="19"/>
  <c r="X31" i="19"/>
  <c r="AF84" i="1"/>
  <c r="R81" i="19"/>
  <c r="O81" i="19"/>
  <c r="O31" i="19"/>
  <c r="O231" i="19"/>
  <c r="R181" i="19"/>
  <c r="X131" i="19"/>
  <c r="L131" i="19"/>
  <c r="U131" i="19"/>
  <c r="W81" i="19" l="1"/>
  <c r="K131" i="19"/>
  <c r="Q31" i="19"/>
  <c r="W131" i="19"/>
  <c r="Q181" i="19"/>
  <c r="T81" i="19"/>
  <c r="Q131" i="19"/>
  <c r="K181" i="19"/>
  <c r="AF83" i="1"/>
  <c r="N231" i="19"/>
  <c r="T31" i="19"/>
  <c r="T231" i="19"/>
  <c r="N81" i="19"/>
  <c r="T181" i="19"/>
  <c r="Q231" i="19"/>
  <c r="K231" i="19"/>
  <c r="N31" i="19"/>
  <c r="K81" i="19"/>
  <c r="N131" i="19"/>
  <c r="T131" i="19"/>
  <c r="N181" i="19"/>
  <c r="W31" i="19"/>
  <c r="K31" i="19"/>
  <c r="Q81" i="19"/>
  <c r="W231" i="19"/>
  <c r="W181" i="19"/>
  <c r="V81" i="19"/>
  <c r="V31" i="19"/>
  <c r="J81" i="19"/>
  <c r="S231" i="19"/>
  <c r="P181" i="19"/>
  <c r="M181" i="19"/>
  <c r="P81" i="19"/>
  <c r="J31" i="19"/>
  <c r="M131" i="19"/>
  <c r="J181" i="19"/>
  <c r="J231" i="19"/>
  <c r="S81" i="19"/>
  <c r="J131" i="19"/>
  <c r="S31" i="19"/>
  <c r="V131" i="19"/>
  <c r="P131" i="19"/>
  <c r="P31" i="19"/>
  <c r="AF82" i="1"/>
  <c r="M81" i="19"/>
  <c r="M231" i="19"/>
  <c r="V181" i="19"/>
  <c r="P231" i="19"/>
  <c r="M31" i="19"/>
  <c r="S181" i="19"/>
  <c r="S131" i="19"/>
  <c r="V231" i="19"/>
</calcChain>
</file>

<file path=xl/metadata.xml><?xml version="1.0" encoding="utf-8"?>
<metadata xmlns="http://schemas.openxmlformats.org/spreadsheetml/2006/main" xmlns:xlrd="http://schemas.microsoft.com/office/spreadsheetml/2017/richdata">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xmlns:xda="http://schemas.microsoft.com/office/spreadsheetml/2017/dynamicarray"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<sst xmlns="http://schemas.openxmlformats.org/spreadsheetml/2006/main" count="2371" uniqueCount="883">
  <si>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</si>
  <si>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</si>
  <si>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</si>
  <si>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</si>
  <si>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</si>
  <si>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</si>
  <si>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</si>
  <si>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</si>
  <si>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</si>
  <si>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</si>
  <si>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</si>
  <si>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</si>
  <si>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</si>
  <si>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</si>
  <si>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</si>
  <si>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</si>
  <si>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</si>
  <si>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</si>
  <si>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</si>
  <si>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</si>
  <si>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</si>
  <si>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</si>
  <si>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</si>
  <si>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</si>
  <si>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</si>
  <si>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</si>
  <si>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</si>
  <si>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</si>
  <si>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</si>
  <si>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</si>
  <si>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</si>
  <si>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</si>
  <si>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</si>
  <si>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</si>
  <si>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</si>
  <si>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</si>
  <si>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</si>
  <si>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</si>
  <si>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</si>
  <si>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</si>
  <si>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</si>
  <si>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</si>
  <si>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</si>
  <si>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</si>
  <si>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</si>
  <si>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</si>
  <si>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</si>
  <si>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</si>
  <si>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</si>
  <si>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</si>
  <si>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</si>
  <si>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</si>
  <si>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</si>
  <si>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</si>
  <si>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</si>
  <si>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</si>
  <si>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</si>
  <si>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</si>
  <si>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</si>
  <si>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</si>
  <si>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</si>
  <si>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</si>
  <si>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</si>
  <si>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</si>
  <si>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</si>
  <si>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</si>
  <si>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</si>
  <si>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</si>
  <si>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</si>
  <si>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</si>
  <si>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</si>
  <si>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</si>
  <si>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</si>
  <si>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</si>
  <si>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</si>
  <si>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</si>
  <si>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</si>
  <si>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</si>
  <si>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</si>
  <si>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</si>
  <si>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</si>
  <si>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</si>
  <si>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</si>
  <si>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</si>
  <si>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</si>
  <si>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</si>
  <si>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</si>
  <si>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</si>
  <si>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</si>
  <si>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</si>
  <si>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</si>
  <si>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</si>
  <si>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</si>
  <si>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</si>
  <si>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</si>
  <si>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</si>
  <si>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</si>
  <si>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</si>
  <si>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</si>
  <si>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</si>
  <si>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</si>
  <si>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</si>
  <si>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</si>
  <si>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</si>
  <si>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</si>
  <si>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</si>
  <si>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</si>
  <si>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</si>
  <si>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</si>
  <si>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</si>
  <si>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</si>
  <si>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</si>
  <si>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</si>
  <si>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</si>
  <si>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</si>
  <si>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</si>
  <si>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</si>
  <si>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</si>
  <si>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</si>
  <si>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</si>
  <si>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</si>
  <si>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</si>
  <si>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</si>
  <si>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</si>
  <si>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</si>
  <si>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</si>
  <si>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</si>
  <si>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</si>
  <si>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</si>
  <si>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</si>
  <si>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</si>
  <si>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</si>
  <si>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</si>
  <si>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</si>
  <si>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</si>
  <si>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</si>
  <si>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</si>
  <si>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</si>
  <si>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</si>
  <si>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</si>
  <si>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</si>
  <si>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</si>
  <si>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</si>
  <si>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</si>
  <si>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</si>
  <si>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</si>
  <si>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</si>
  <si>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</si>
  <si>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</si>
  <si>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</si>
  <si>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</si>
  <si>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</si>
  <si>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</si>
  <si>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</si>
  <si>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</si>
  <si>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</si>
  <si>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</si>
  <si>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</si>
  <si>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</si>
  <si>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</si>
  <si>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</si>
  <si>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</si>
  <si>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</si>
  <si>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</si>
  <si>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</si>
  <si>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</si>
  <si>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</si>
  <si>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</si>
  <si>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</si>
  <si>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</si>
  <si>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</si>
  <si>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</si>
  <si>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</si>
  <si>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</si>
  <si>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</si>
  <si>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</si>
  <si>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</si>
  <si>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</si>
  <si>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</si>
  <si>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</si>
  <si>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</si>
  <si>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</si>
  <si>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</si>
  <si>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</si>
  <si>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</si>
  <si>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</si>
  <si>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</si>
  <si>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</si>
  <si>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</si>
  <si>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</si>
  <si>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</si>
  <si>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</si>
  <si>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</si>
  <si>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</si>
  <si>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</si>
  <si>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</si>
  <si>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</si>
  <si>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</si>
  <si>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</si>
  <si>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</si>
  <si>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</si>
  <si>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</si>
  <si>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</si>
  <si>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</si>
  <si>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</si>
  <si>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</si>
  <si>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</si>
  <si>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</si>
  <si>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</si>
  <si>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</si>
  <si>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</si>
  <si>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</si>
  <si>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</si>
  <si>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</si>
  <si>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</si>
  <si>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</si>
  <si>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</si>
  <si>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</si>
  <si>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</si>
  <si>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</si>
  <si>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</si>
  <si>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</si>
  <si>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</si>
  <si>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</si>
  <si>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</si>
  <si>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</si>
  <si>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</si>
  <si>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</si>
  <si>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</si>
  <si>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</si>
  <si>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</si>
  <si>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</si>
  <si>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</si>
  <si>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</si>
  <si>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</si>
  <si>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</si>
  <si>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</si>
  <si>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</si>
  <si>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</si>
  <si>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</si>
  <si>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</si>
  <si>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</si>
  <si>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</si>
  <si>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</si>
  <si>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</si>
  <si>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</si>
  <si>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</si>
  <si>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</si>
  <si>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</si>
  <si>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</si>
  <si>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</si>
  <si>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</si>
  <si>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</si>
  <si>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</si>
  <si>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</si>
  <si>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</si>
  <si>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</si>
  <si>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</si>
  <si>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</si>
  <si>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</si>
  <si>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</si>
  <si>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</si>
  <si>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</si>
  <si>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</si>
  <si>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</si>
  <si>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</si>
  <si>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</si>
  <si>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</si>
  <si>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</si>
  <si>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</si>
  <si>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</si>
  <si>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</si>
  <si>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</si>
  <si>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</si>
  <si>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</si>
  <si>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</si>
  <si>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</si>
  <si>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</si>
  <si>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</si>
  <si>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</si>
  <si>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</si>
  <si>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</si>
  <si>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</si>
  <si>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</si>
  <si>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</si>
  <si>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</si>
  <si>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</si>
  <si>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</si>
  <si>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</si>
  <si>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</si>
  <si>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</si>
  <si>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</si>
  <si>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</si>
  <si>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</si>
  <si>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</si>
  <si>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</si>
  <si>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</si>
  <si>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</si>
  <si>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</si>
  <si>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</si>
  <si>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</si>
  <si>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</si>
  <si>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</si>
  <si>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</si>
  <si>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</si>
  <si>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</si>
  <si>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</si>
  <si>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</si>
  <si>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</si>
  <si>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</si>
  <si>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</si>
  <si>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</si>
  <si>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</si>
  <si>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</si>
  <si>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</si>
  <si>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</si>
  <si>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</si>
  <si>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</si>
  <si>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</si>
  <si>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</si>
  <si>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</si>
  <si>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</si>
  <si>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</si>
  <si>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</si>
  <si>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</si>
  <si>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</si>
  <si>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</si>
  <si>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</si>
  <si>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</si>
  <si>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</si>
  <si>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</si>
  <si>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</si>
  <si>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</si>
  <si>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</si>
  <si>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</si>
  <si>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</si>
  <si>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</si>
  <si>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</si>
  <si>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</si>
  <si>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</si>
  <si>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</si>
  <si>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</si>
  <si>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</si>
  <si>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</si>
  <si>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</si>
  <si>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</si>
  <si>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</si>
  <si>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</si>
  <si>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</si>
  <si>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</si>
  <si>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</si>
  <si>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</si>
  <si>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</si>
  <si>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</si>
  <si>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</si>
  <si>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</si>
  <si>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</si>
  <si>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</si>
  <si>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</si>
  <si>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</si>
  <si>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</si>
  <si>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</si>
  <si>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</si>
  <si>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</si>
  <si>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</si>
  <si>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</si>
  <si>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</si>
  <si>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</si>
  <si>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</si>
  <si>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</si>
  <si>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</si>
  <si>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</si>
  <si>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</si>
  <si>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</si>
  <si>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</si>
  <si>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</si>
  <si>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</si>
  <si>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</si>
  <si>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</si>
  <si>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</si>
  <si>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</si>
  <si>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</si>
  <si>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</si>
  <si>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</si>
  <si>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</si>
  <si>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</si>
  <si>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</si>
  <si>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</si>
  <si>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</si>
  <si>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</si>
  <si>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</si>
  <si>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</si>
  <si>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</si>
  <si>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</si>
  <si>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</si>
  <si>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</si>
  <si>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</si>
  <si>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</si>
  <si>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</si>
  <si>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</si>
  <si>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</si>
  <si>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</si>
  <si>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</si>
  <si>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</si>
  <si>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</si>
  <si>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</si>
  <si>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</si>
  <si>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</si>
  <si>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</si>
  <si>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</si>
  <si>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</si>
  <si>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</si>
  <si>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</si>
  <si>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</si>
  <si>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</si>
  <si>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</si>
  <si>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</si>
  <si>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</si>
  <si>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</si>
  <si>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</si>
  <si>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</si>
  <si>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</si>
  <si>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</si>
  <si>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</si>
  <si>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</si>
  <si>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</si>
  <si>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</si>
  <si>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</si>
  <si>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</si>
  <si>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</si>
  <si>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</si>
  <si>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</si>
  <si>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</si>
  <si>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</si>
  <si>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</si>
  <si>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</si>
  <si>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</si>
  <si>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</si>
  <si>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</si>
  <si>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</si>
  <si>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</si>
  <si>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</si>
  <si>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</si>
  <si>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</si>
  <si>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</si>
  <si>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</si>
  <si>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</si>
  <si>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</si>
  <si>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</si>
  <si>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</si>
  <si>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</si>
  <si>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</si>
  <si>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</si>
  <si>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</si>
  <si>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</si>
  <si>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</si>
  <si>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</si>
  <si>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Generación de alertas inoportunas.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</si>
  <si>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</si>
  <si>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</si>
  <si>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</si>
  <si>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</si>
  <si>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</si>
  <si>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</si>
  <si>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</si>
  <si>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</si>
  <si>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</si>
  <si>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</si>
  <si>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</si>
  <si>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</si>
  <si>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</si>
  <si>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</si>
  <si>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</si>
  <si>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</si>
  <si>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</si>
  <si>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</si>
  <si>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</si>
  <si>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</si>
  <si>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</si>
  <si>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</si>
  <si>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</si>
  <si>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</si>
  <si>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</si>
  <si>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</si>
  <si>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</si>
  <si>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</si>
  <si>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</si>
  <si>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</si>
  <si>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</si>
  <si>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</si>
  <si>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</si>
  <si>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</si>
  <si>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</si>
  <si>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</si>
  <si>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</si>
  <si>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</si>
  <si>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</si>
  <si>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</si>
  <si>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</si>
  <si>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</si>
  <si>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</si>
  <si>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</si>
  <si>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</si>
  <si>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</si>
  <si>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</si>
  <si>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</si>
  <si>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</si>
  <si>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</si>
  <si>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</si>
  <si>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</si>
  <si>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</si>
  <si>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</si>
  <si>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</si>
  <si>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</si>
  <si>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</si>
  <si>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</si>
  <si>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</si>
  <si>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</si>
  <si>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</si>
  <si>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</si>
  <si>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</si>
  <si>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</si>
  <si>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</si>
  <si>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</si>
  <si>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</si>
  <si>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</si>
  <si>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</si>
  <si>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</si>
  <si>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</si>
  <si>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</si>
  <si>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</si>
  <si>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</si>
  <si>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</si>
  <si>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</si>
  <si>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</si>
  <si>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</si>
  <si>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</si>
  <si>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</si>
  <si>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</si>
  <si>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</si>
  <si>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</si>
  <si>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</si>
  <si>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</si>
  <si>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</si>
  <si>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</si>
  <si>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</si>
  <si>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</si>
  <si>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</si>
  <si>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</si>
  <si>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</si>
  <si>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</si>
  <si>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</si>
  <si>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</si>
  <si>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</si>
  <si>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</si>
  <si>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</si>
  <si>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</si>
  <si>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</si>
  <si>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El Gestor Senior 1 de la Oficina e Gestión Social trimestralmente solicita a la Dirección Contractual una base de datos con los contratos celebrados en el periodo en donde se relacionen cuales y cuantos cuentan con la obligación de cumplimiento de la política Distrital de Servicio al Ciudadano y normatividad en materia de atención a Derechos de Petición , de esta manera se asegura que todos los contratos suscritos incluyan esta obligación.</t>
  </si>
  <si>
    <t>Afectación reputacional debido al incumplimiento en la generación de respuestas de PQRS por falta de atención oportuna a las mismas.</t>
  </si>
  <si>
    <t>Reportar la participación de los colaboradores inscritos a los eventos programados.</t>
  </si>
  <si>
    <t>En los términos de Referencia y los contratos de prestación de servicios profesionales se incluyo la obligación del cumplimiento de la política publica de servicio al ciudadano.</t>
  </si>
  <si>
    <t xml:space="preserve">llamado de atención al colaborador, en caso de materializarse el riesgo. </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</si>
  <si>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</si>
  <si>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</si>
  <si>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</si>
  <si>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</si>
  <si>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</si>
  <si>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</si>
  <si>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</si>
  <si>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</si>
  <si>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</si>
  <si>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</si>
  <si>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</si>
  <si>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</si>
  <si>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</si>
  <si>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</si>
  <si>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</si>
  <si>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</si>
  <si>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</si>
  <si>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</si>
  <si>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</si>
  <si>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</si>
  <si>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</si>
  <si>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</si>
  <si>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</si>
  <si>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</si>
  <si>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</si>
  <si>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</si>
  <si>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</si>
  <si>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Uso indebido de información privilegiada para favorecimiento de un interés particular.</t>
  </si>
  <si>
    <r>
      <t xml:space="preserve">Posibilidad de </t>
    </r>
    <r>
      <rPr>
        <sz val="10"/>
        <rFont val="Arial Narrow"/>
        <family val="2"/>
      </rPr>
      <t>uso indebido de información privilegiada para favorecimiento de un interés particular.</t>
    </r>
  </si>
  <si>
    <t>Posibilidad de sustracción, inclusión y/o adulteración de documentos en los expedientes (misionales y de gestión) en beneficio de terceros.</t>
  </si>
  <si>
    <r>
      <t xml:space="preserve">Posibilidad de </t>
    </r>
    <r>
      <rPr>
        <sz val="10"/>
        <rFont val="Arial Narrow"/>
        <family val="2"/>
      </rPr>
      <t>manipulación indebida de procesos judiciales para favorecer un interés particular.</t>
    </r>
  </si>
  <si>
    <t>Informar al jefe inmediato para dar lineamientos.
Garantizar el profesional idóneo para la formulación e implementación del plan de SST.</t>
  </si>
  <si>
    <t>Realizar seguimiento a alertas y avance de los proyectos, en la instancia de seguimiento "Comité de Proyectos".</t>
  </si>
  <si>
    <t>Inadecuado cumplimiento de los lineamientos para el diligenciamiento de la matriz de seguimiento, en su veracidad y oportunidad por parte de los lideres de proyecto que permitan la generación de alertas.</t>
  </si>
  <si>
    <t>Posibilidad de afectación reputacional por la generación de alertas inoportunas debido a un inadecuado cumplimiento de los lineamientos para el diligenciamiento de la matriz de seguimiento, en su veracidad y oportunidad por parte de los lideres de proyecto que permitan la generación de alertas.</t>
  </si>
  <si>
    <t>Los profesionales de la Subgerencia de Planeación y Administración de Proyectos verifican semanalmente la información en la Matriz de Seguimiento, garantizando su veracidad de acuerdo al cronograma Línea Base.
Si hay información pendiente por actualizar, se solicita por correo electrónico al líder del proyecto, realizar el ajuste correspondiente en la Matriz de Seguimiento en el siguiente corte. Dicha información es utilizada para la generación de alertas y reportes que se requieran por parte de los grupos de interés.</t>
  </si>
  <si>
    <t>Conciliar Plan de Contingencia con los miembros del Comité de Proyectos.</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</si>
  <si>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</si>
  <si>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</si>
  <si>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</si>
  <si>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</si>
  <si>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</si>
  <si>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</si>
  <si>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</si>
  <si>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</si>
  <si>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</si>
  <si>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</si>
  <si>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</si>
  <si>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</si>
  <si>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</si>
  <si>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</si>
  <si>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</si>
  <si>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Diligenciar Solo  en caso de materialización del riesgo</t>
  </si>
  <si>
    <t>En mayo la Directora de Gestión Contractual y el Subgerente Jurídico  emitieron concepto sobre la modalidad para la comercialización de los locales La Colmena. El 12 de mayo de 2022, la entidad publicó los términos de referencia definitivos de la Invitación Pública No. ERU-IP-08-2022, con el objeto de vender los 10 locales comerciales del proyecto La Colmenta, el documento se publico con los vistos buenos de la Dirección de Gestión Contractual en SECOP II . Así  mismo se publicó en la página WEB de la Empresa, cumpliendo con la divulgación para dar a conocer a los posibles interesados.
El proceso se declaró desierto el 7 de Junio de 2022 según comunicación publicada en el SECOP II</t>
  </si>
  <si>
    <t xml:space="preserve">El 16 de Junio de 2022 en reunión con el equipo de la Dirección Comercial  se  socializó el procedimiento  Venta de inmuebles (PD- 88) y se presentó el cuadro de chequeo de actividades llevadas a cabo para la venta de los locales, con la verificación su cumplimiento   </t>
  </si>
  <si>
    <t>X</t>
  </si>
  <si>
    <t xml:space="preserve">En el periodo mayo-agosto de 2022 no se designaron predios para comercialización, por lo cual  no se ejecutaron controles para este riesgo.
</t>
  </si>
  <si>
    <t>N/A</t>
  </si>
  <si>
    <t xml:space="preserve">En el periodo mayo-agosto de 2022 no se designaron predios para comercialización, por lo cual no se ejecutaron acciones de tratamiento  para este riesgo.
</t>
  </si>
  <si>
    <t xml:space="preserve">Las actas del equipo de defensa judicial que tienen el carácter de reserva </t>
  </si>
  <si>
    <t xml:space="preserve">actas del comité que tienen reserva </t>
  </si>
  <si>
    <t xml:space="preserve">las fichas de cargan el Siproj WEB , pueden ser consultadas por los usuarios permitidos </t>
  </si>
  <si>
    <t xml:space="preserve">En el periodo de mayo agosto llegaron7  procesos nuevos y se realizó en ese cuatrimestre el seguimiento a las actuaciones judiciales realizadas en el periodo </t>
  </si>
  <si>
    <t xml:space="preserve">SIPROJ WEB </t>
  </si>
  <si>
    <t xml:space="preserve">Matriz de seguimiento de procesos judiciales </t>
  </si>
  <si>
    <t xml:space="preserve">Matriz de seguimiento de los procesos judiciales </t>
  </si>
  <si>
    <t>\\192.168.10.203\ogs\0 OFICINA DE GESTION SOCIAL 2022\ATENCION AL CIUDADANO\INDUCCION-CAPACITACIÓN</t>
  </si>
  <si>
    <t>\\192.168.10.203\ogs\0 OFICINA DE GESTION SOCIAL 2022\ATENCION AL CIUDADANO\SOPORTES CUALIFICACIÓN</t>
  </si>
  <si>
    <t>\\192.168.10.203\ogs\0 OFICINA DE GESTION SOCIAL 2022\ATENCION AL CIUDADANO\CAPACITACIONES FUNCIONALES</t>
  </si>
  <si>
    <t>Para el seguimiento del segundo trimestre del 2022, la Subgerencia de Planeación y Administración de Proyectos emitió los lineamientos respectivos,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en sesión del 15 de julio de 2022 y como resultado se generó la versión 3, la cual está publicada junto con el seguimiento correspondiente en la página web de la Empresa y en la eruNET. 
Por lo anterior, se puede concluir que ha sido efectivo el control, pues una vez aplicado, no se ha materializado el riesgo.</t>
  </si>
  <si>
    <t>- Correo solicitando seguimiento II-2022.
- Presentación utilizada en la sesión del Comité.
- Acta 16 del Comité Institucional de Gestión y Desempeño.
- Correos solicitando ajustes.
- Plan de Acción Institucional 2022 publicado en la sección en la sección Transparencia &gt;&gt; Planeación, presupuesto e informes &gt;&gt; Plan de acción institucional de la página web y en la sección "Planeación Institucional" de la eruNET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</si>
  <si>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Los resultados del seguimiento del segundo trimestre del año 2022 están publicados en la sección en la página web de la Empresa y en la eruNET.</t>
  </si>
  <si>
    <t>- Seguimiento al Plan de Acción Institucional 2022 publicado en la sección en la sección Transparencia &gt;&gt; Planeación, presupuesto e informes &gt;&gt; Metas, objetivos e indicadores de la página web y en la sección "MIPG - Dimensión Evaluación de resultados" de la eruNET</t>
  </si>
  <si>
    <t>Para el seguimiento del segundo trimestre del 2022, la Subgerencia de Planeación y Administración de Proyectos validó la información reportada por los diferentes procesos,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para seguimiento de la alta dirección en sesión del 15 de julio de 2022, el cual está publicado en la página web de la Empresa y en la eruNET. 
Por lo anterior, se puede concluir que ha sido efectivo el control, pues una vez aplicado, no se ha materializado el riesgo.</t>
  </si>
  <si>
    <t>- Presentación utilizada en la sesión del Comité.
- Acta 16 del Comité Institucional de Gestión y Desempeño.
- Correos solicitando ajustes.
- Seguimiento al Plan de Acción Institucional 2022 publicado en la sección en la sección Transparencia &gt;&gt; Planeación, presupuesto e informes &gt;&gt; Metas, objetivos e indicadores de la página web y en la sección "MIPG - Dimensión Evaluación de resultados" de la eruNET</t>
  </si>
  <si>
    <t xml:space="preserve">Cuando hubo lugar a ello, se solicitaron los ajustes correspondientes a los responsables, y una vez ajustada la información, se presentó ante el Comité Institucional de Gestión y Desempeño para seguimiento de la alta dirección en sesión del 15 de julio de 2022, el cual está publicado en la página web de la Empresa y en la eruNET. </t>
  </si>
  <si>
    <t>Se identificó que los proyectos urbanos cuentan con una cantidad considerable de información en cada una de sus fases y etapas la cual debe ser procesada, estandarizada para poder ser visualizada en la herramienta definida y generar con mayor exactitud los reportes de cada proyecto permitiendo la eficiencia en la información cuando sea requerida.
Durante los meses de mayo, junio, julio, agosto se realizaron seguimientos semanales a los proyectos mediante el drive diseñado para este fin, así como la revisión de la información aportada por las áreas, retroalimentación y observaciones. Cuando hubo lugar a ello, se solicitó por correo electrónico al líder del proyecto, realizar el ajuste correspondiente en la Matriz de Seguimiento en el siguiente corte. Dicha información fue utilizada para la generación de alertas y reportes, lo cual se puede visualizar mediante el Tablero de Proyectos en la herramienta PowerBi, la cual se puede consultar en la ERUNet.
Por lo anterior, se puede concluir que ha sido efectivo el control, pues una vez aplicado, no se ha materializado el riesgo.</t>
  </si>
  <si>
    <t xml:space="preserve">- Matrices de seguimiento semanal
- Matriz de observaciones semanal 
- Correos soporte de envío
- Link de consulta de información seguimiento a proyectos: http://186.154.195.124/tablero-de-proyectos </t>
  </si>
  <si>
    <t>Con corte a 30 de agosto se realizaron 7 Comités de Proyectos, así: No.8: 11.05.22, No. 9: 25.05.22, No.10: 08.06.22, No.11: 22.06.22, No.12: 06.07.22, No.13: 21.07.22, No.14: 17.08.22, No. 15: 31.08.22. En los Comités de Proyectos desarrollados se busca el fortalecimiento de esta instancia para realizar la administración, análisis estratégico, seguimiento y control de proyectos urbanos durante el proceso de maduración, liderado por diferentes Subgerencias, de forma tal que se avance de manera eficiente en la gestión y metas del proyecto, realizando las recomendaciones y retroalimentación necesaria que permita optimizar su desarrollo y/o la toma de decisiones de manera oportuna, las cuales quedaron consignadas en las actas.</t>
  </si>
  <si>
    <t>Carpetas de los Comités de Proyectos realizados durante los meses de mayo, junio, julio y agosto, que contienen las actas de cada comité, y las presentaciones y documentos anexos a cada uno de estos espacios así:
No.8: 11.05.22, No. 9: 25.05.22, No.10: 08.06.22, No.11: 22.06.22, No.12: 06.07.22, No.13: 21.07.22, No.14: 17.08.22, No. 15: 31.08.22.</t>
  </si>
  <si>
    <t xml:space="preserve">- Certificado de cumplimiento de actividades (JSP7)
-Acta de comité de autoevaluación </t>
  </si>
  <si>
    <t>- Cronogramas actualizados de los proyectos</t>
  </si>
  <si>
    <t>´- Procedimiento de prefactibilidad de proyectos actualizado
- Socialización del procedimiento</t>
  </si>
  <si>
    <t>Como parte de la trazabilidad de los proyectos se mantiene la evidencia de los seguimientos y decisiones con las diferentes entidades que participan en la formulación de proyectos mediante actas de reuniones en las carpetas de cada proyecto.</t>
  </si>
  <si>
    <t>- Actas de reunión con entidades</t>
  </si>
  <si>
    <t>Mediante el FUSS (formato único de seguimiento sectorial), ciclo de estructuración de proyectos plan de acción  e indicadores de gestión se realiza seguimiento al cumplimiento de las actividades de la formulación de proyectos. (Se adjunta seguimiento de indicadores de gestión, plan de acción  y seguimiento Fuss).</t>
  </si>
  <si>
    <t>- Seguimiento FUSS
- Seguimiento indicadores de gestión 
- Plan de acción</t>
  </si>
  <si>
    <t xml:space="preserve">Durante el segundo trimestre se actualizó la base de datos de consultores con alto grado de experticia para la elaboración de estudios técnicos. </t>
  </si>
  <si>
    <t>´- Bases de datos de experticia de consultores</t>
  </si>
  <si>
    <t>40%</t>
  </si>
  <si>
    <t xml:space="preserve"> A la fecha se han adelantado 32 comités de contratación a lo largo del año sus correspondientes actas  se encuentran en la carpeta compartida de la Dirección de Gestión Contractual:
\\192.168.10.36\gcontractual\COMITE DE CONTRATACION 2022</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</si>
  <si>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</si>
  <si>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</si>
  <si>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En el presente periodo se han actualizado los formatos relacionados a continuación, los cuales se han socializado con la Empresa a través de correo electrónico para aclarar dudas al respecto de su uso.
FT-23 Lista de chequeo requisitos básicos de contratación V7
FT-194 Estudios Previos Contrato de Prestación de Servicios Persona Natural o Jurídica V3
FT-209 Certificación de idoneidad y experiencia V1
FT-210 Estudios previos contratación directa V1</t>
  </si>
  <si>
    <t>Socialización de los formatos actualizados en la presente vigencia a través de correo electrónico.</t>
  </si>
  <si>
    <t>\\192.168.10.203\ogs\0 OFICINA DE GESTION SOCIAL 2022\MAPA DE RIESGO OGS\MAYO</t>
  </si>
  <si>
    <t>El 16 de mayo  de 2022, en reunión de coordinación No.8 de la Subgerencia de Desarrollo de Proyectos, se realizó la Socialización de la Política Operativa Integridad Conflicto de Intereses y Gestión Antisoborno y valores.</t>
  </si>
  <si>
    <t>2022 05 16_Acta No.8
2022 05 16_ Asistencia Acta No.8</t>
  </si>
  <si>
    <t>Se realizó seguimiento a las actividades de la interventoría.
Se revisaron los informes de interventoría</t>
  </si>
  <si>
    <t>Se realizó visita de seguimiento a Arquimodels el día 26 de mayo de 2022. Visita final</t>
  </si>
  <si>
    <t>Visita de seguimiento  maqueta 26mayo22</t>
  </si>
  <si>
    <t>Se realizó el diligenciando de cuatro (4) formatos FT-193 Requisitos mínimos para entrega de obra, estableciendo el estado actual de los requisitos exigidos por las Entidades competentes, se revisaron  las acciones a seguir para el cumplimiento del requisito.</t>
  </si>
  <si>
    <t>Se diligenciaron los siguientes formatos:
FT-193 Req min entrega obra V1_0 - COLMENA
FT-193 Req min entrega obra V1_0 - USME 1
FT-193 Req min entrega obra V1_0 - USME 3
FT-193 Req min entrega obra V1_0 Reporte mayo - agosto 2022 Porvenir Etapa 7C.
Soporte de entrega: 2022-05-04 Acta entrega y recibo final EAAB</t>
  </si>
  <si>
    <t>El 3 de junio de 2022, en reunión de coordinación de la Subgerencia de Desarrollo de Proyectos, se realizó la socialización del  Procedimiento PD-90 Recibo y entrega de obras y áreas de cesiones públicas.</t>
  </si>
  <si>
    <t>2022 06 03_Acta No.10
2022 06 03_ Asistencia Acta No.10</t>
  </si>
  <si>
    <t>Correos electrónicos. Reuniones en calendario</t>
  </si>
  <si>
    <t>Correos electrónicos</t>
  </si>
  <si>
    <t>Nuevo proceso de instrucciones con Scotiabank Colpatria</t>
  </si>
  <si>
    <t>Presentación realizada a la Gerencia ERU</t>
  </si>
  <si>
    <t>Se realiza 1 atención virtual solicitada por la sociedad URBANSA S.A. para obtener información acerca del trámite  "Cumplimiento de la obligación VIS-VIP a través de compensación económica",  se informa que  no tiene ningún costo y se deja registro en G-Meet.</t>
  </si>
  <si>
    <t>Se reportó de manera mensual la información a actualizar del trámite "Cumplimiento de la obligación VIS-VIP a través de compensación económica" en la Guía de Trámites y Servicios y en el Sistema Único de Información y Trámites - SUIT.</t>
  </si>
  <si>
    <t>Tablero de control Proyectos</t>
  </si>
  <si>
    <t>Borrador actualización procedimiento "Modelaciones Financieras de los Proyectos"</t>
  </si>
  <si>
    <t>Se reporta semanalmente a la Gerencia de Planeación y Seguimiento de Proyectos - Subgerencia de Planeación y Administración de Proyectos,  la información del estado de cumplimiento de los cronogramas de las actividades proyectadas para cada proyecto</t>
  </si>
  <si>
    <t>Actas de reunión con los Fideicomitentes Desarrolladores y Constructores.</t>
  </si>
  <si>
    <t>Para el cuatrimestre, se realizaron las siguientes validaciones:
En el componente audiovisual se produjeron 7  videos externos que se han compartido y han requerido verificación por las diferentes áreas que son generadoras de la información.
• 1/06/2022 Graficación videos Feria inmobiliaria : LA ESTACIÓN
• 1/06/2022 Graficación videos Feria inmobiliaria :EL PULPO
• 2/06/2022 Graficación videos Feria inmobiliaria :STA CECILIA
• 6/06/2022 Graficación videos Feria inmobiliaria : VILLA JAVIER
• 07/07/2022 Primera cápsula Plan parcial Usme Tres quebradas ¿Qué es un plan parcial?
• 10/07/2022 Primera cápsula Plan parcial Usme Tres quebradas ¿Por qué modificar un Plan Parcial?
• 15/07/2022 Tercera cápsula Plan parcial Usme Tres quebradas Ruta de construcción con la comunidad</t>
  </si>
  <si>
    <t xml:space="preserve">Como parte del control que se realiza en el manejo del inventario se realizaron las actualizaciones según los cambios reportados, por   ingreso o salida de colaboradores reportados por jefes e interventores de contratos o los reportados por el Proceso de Gestión de TIC, así como bienes adquiridos en el marco de los contratos que se realicen con este fin.
</t>
  </si>
  <si>
    <t xml:space="preserve">Ya que la acción de tratamiento fue actualizada durante el periodo de medición de este informe, a la fecha no se ha generado la comunicación institucional para enviar por correo. El profesional responsable del inventario esta programando reunión con el área de comunicaciones para realizar la pieza comunicativa e iniciar el envió en el tercer cuatrimestre.
</t>
  </si>
  <si>
    <t>Para el presente periodo no se cuenta con evidencias.,</t>
  </si>
  <si>
    <t xml:space="preserve">En cumplimiento de los roles de supervisión para los contratos de servicios administrativos suscritos, en el periodo de medición de este informe se realizo mensualmente  el seguimiento administrativo, técnico y financiero a cada uno, frente a las obligaciones contractuales, verificando el cumplimiento y en este mismo sentido el recibo a satisfacción de los servicios prestados, además de cumplir con la ejecución financiera.
</t>
  </si>
  <si>
    <t xml:space="preserve"> Los contratos suscritos en el proceso de servicios administrativos son recurrentes, es decir, los servicios se prestan diariamente, las actividades y servicios se verifican mensualmente, teniendo como insumo las facturas e informes los procedimientos establecidos para realizar el trámite de pago, cuya evidencia se encuentra la traza en el Sistema de Radiación Tampus y a través del correo institucional, minimizando los riesgos en lo relacionado con los pagos oportunos para que no haya afectación en la prestación de los servicios recurrentes, como servicios públicos, aseo y cafetería, arrendamiento sede, suministros de útiles y elementos de oficina, entre otros, los cuales se relacionan a continuación:
Informe Apoyo de Ejecución Cto. 170-2022 Arrendamiento Sede
Informe Apoyo de Ejecución Cto.135-2022 Servicio Aseo y Cafería
Informe Apoyo de Ejecución Cto. 375-2021 mantenimiento preventivo y Correctivo de vehículos 
Informe Apoyo de Ejecución Cto. 279-2020 Aseguradora Solidaria.
Informe Apoyo de Ejecución Cto. 166-2022 Distribuidores de Servicios Industriales S.A.S.
Informe Apoyo de Ejecución Cto. 129-2022 , 139-2022, 141-2022. Panamericana Librería &amp; Papelería.
Informe Apoyo de Ejecución Cto. 130-2022 ,  Proveer Institucional S.A.S.
Informe Apoyo de Ejecución Cto. 140-2022 ,  Colsubsidio</t>
  </si>
  <si>
    <t xml:space="preserve">Mensualmente se actualiza la matriz  financiera de Seguimiento a cada uno de los contratos, como soporte para la elaboración de los informes de apoyo  a la supervisión, los cuales pueden ser consultados en los expedientes contractuales. </t>
  </si>
  <si>
    <t>Como evidencia se cuenta con  los correos de seguimiento realizado con los contratistas de los servicios recurrentes: 
-Cto 135-2022; Solicitud de insumos, rotación mensual de personal
-  Cto 375-2021  BYD: Autorización de mantenimientos  Vehículos
- Cto. 166-2022 Prohygiene: Autorización y seguimiento mensual instalación de insumos en las baterías sanitarias.
- Cto 170-2022 Famoc Depanel: Arrendamiento Sede- mantenimiento sede, solicitudes mantenimiento y actas de entrega de servicios.</t>
  </si>
  <si>
    <t>Al  inicio a la vigencia se programaron los bienes y servicios de conformidad con el Plan Anual de Adquisiciones- PAA, sin embargo,  algunas dependencias han requerido servicios no programados inicialmente, por lo que se han realizado modificaciones al Plan de Egresos y PAA, los cuales son validados por el Comité de Contratación. Así las cosas,
a Subgerencia de Gestión Corporativa en cabeza del área de servicios logísticos ha  enviado a comunicaciones las áreas correspondientes requiriendo información sobre el bien o servicio a adquirir.</t>
  </si>
  <si>
    <t xml:space="preserve">Como evidencia se tienen las presentaciones realizadas para el comité de contratación y plan de egresos y correos enviados solicitando especificaciones de bienes o servicios adquirir fuera de lo programado.
</t>
  </si>
  <si>
    <t>Para el presente periodo no se tiene evidencia</t>
  </si>
  <si>
    <t xml:space="preserve">Durante este cuatrimestre se programó y realizó la capacitación dirigida a lo colaboradores del proceso de Gestión Documental, con respecto al cumplimiento del procedimiento de préstamo y consulta documental, respuestas digitalizadas a los requerimientos de consulta y préstamo de información utilizando la herramienta tecnológica del SGDEA, socialización dirigida al grupo de Gestión Documental.  
</t>
  </si>
  <si>
    <t xml:space="preserve"> Listado de asistencia capacitación realizada el  15-06-2022</t>
  </si>
  <si>
    <t xml:space="preserve">Durante este cuatrimestre se programó y realizó la capacitación dirigida a los colaboradores del proceso de Gestión Documental, con respecto al cumplimiento del procedimiento de préstamo y consulta documental.  </t>
  </si>
  <si>
    <t xml:space="preserve">Durante el  periodo de medición de este informe, el proceso de Gestión Documental realizó el control y seguimiento de los prestamos y consultas documentales de acuerdo con lo establecido en el PD-44, previa solicitud de las dependencias, generando como control el diligenciamiento del formato FT - 111 Registro Préstamo de Documentos.
 </t>
  </si>
  <si>
    <t>Registro Préstamo de Documentos Mayo-Agosto</t>
  </si>
  <si>
    <t xml:space="preserve">El proceso realiza control  y seguimiento de los tiempos de devolución establecidos mediante el diligenciamiento del formato FT-11 el cual permite identificar la fecha de devolución desde el momento del préstamo y cuenta con la firma del colaborador que tiene prestamos a su nombre. Adicionalmente, se envía correo electrónico informando que el préstamo esta vencido.
</t>
  </si>
  <si>
    <t>Registro Préstamo de Documentos
Solicitud devolución expediente</t>
  </si>
  <si>
    <t xml:space="preserve">Durante el perdido de medición de este informe el   técnico del Centro Administrativo Documental  actualizo el Formato único de Inventario documental, tanto para el Centro de Administración Documental CAD, como para el Archivo Central. 
</t>
  </si>
  <si>
    <t>Inventarios documentales actualizados , FT-33 Formato Único de Inventario Documental.</t>
  </si>
  <si>
    <t xml:space="preserve">Durante el  cuatrimestre el proceso de Gestión Documental  verifico la actualización del inventario documental mediante el adecuado diligenciamiento del Formato único de Inventario, el cual permite un adecuado control y descripción de los  expedientes documentales .
</t>
  </si>
  <si>
    <t xml:space="preserve">Durante el periodo de medición de este informe se  realizaron las siguientes actividades  establecidas en el Programa de Monitoreo y control de condiciones ambientales:
*Medición, seguimiento y registro de las condiciones ambientales de los espacios utilizados para el almacenamiento de documentación.
* Rutinas diarias de aseo y desinfección a puestos de trabajo y espacios utilizados para almacenamiento de documentación
</t>
  </si>
  <si>
    <t>El proceso  cuenta con las siguientes evidencias de la implementación del Plan de Conservación Documental:
*Planillas de medición seguimiento y registro de las condiciones ambientales. (may-agos)
*Planillas registro rutinas de aseo, desinfección (may-agos)
*Informes brigadas de aseo (jun-agos)</t>
  </si>
  <si>
    <t>Se realizaron jornadas de capacitación , dirigidas a los colaboradores del proceso de Gestión Documental, quienes son los responsables aplicar los procesos archivísticos a los expedientes físicos de la Empresa</t>
  </si>
  <si>
    <t xml:space="preserve">Planilla de asistencia y evaluación de capacitación del  tratamiento de Biodeterioro. </t>
  </si>
  <si>
    <t xml:space="preserve">Durante el perdió de medición des este informe, se  realizaron las siguientes actividades  establecidas en el Proyecto de actualización, implementación, seguimiento y monitoreo de los instrumentos archivísticos de la Empresa:
* Seguimiento del PINAR 
* Seguimiento del PGD 
* Se culmino el proceso inicial de actualización de las TRD de la Empresa, cuya información fue aprobada en Acta No. 6 del Comité Institucional de Gestión y Desempeño con fecha  del 15/07/2022 y enviadas  a convalidación por parte del Archivo de Bogotá mediante Radicado S2022003488 y enviadas por correo electrónico certificado a la ventanilla única de la Secretaría General de la Alcaldía Mayor de Bogotá D.C., mediante Radicado E83697189-S de 29/08/2022 con Addendum de acceso a contenido de 29/08/2022.
* Modelo de Requisitos para la Gestión de Documentos Electrónicos de Archivo MOREQ en un 90% de avance </t>
  </si>
  <si>
    <r>
      <t xml:space="preserve">* Herramienta de seguimiento PINAR 
*  Herramienta de seguimiento ´PGD 2021-2025
* Carpeta TRD 2022
* </t>
    </r>
    <r>
      <rPr>
        <b/>
        <sz val="11"/>
        <color theme="1"/>
        <rFont val="Arial Narrow"/>
        <family val="2"/>
      </rPr>
      <t>Nota:</t>
    </r>
    <r>
      <rPr>
        <sz val="11"/>
        <color theme="1"/>
        <rFont val="Arial Narrow"/>
        <family val="2"/>
      </rPr>
      <t xml:space="preserve"> El Banco Terminológico se encuentra en la Carpeta Anexo 4 de las Carpeta TRD 2022
* Modelo de Requisitos para la Gestión de Documentos Electrónicos de Archivo</t>
    </r>
  </si>
  <si>
    <t xml:space="preserve">Correo Electrónico de Socialización. </t>
  </si>
  <si>
    <t>El técnico líder asignado al CAD del proceso de gestión documental realizó  control al inventario documental mediante el diligenciamiento del Formato único de inventario documental FT-33, este formato queda debidamente  firmado por la dependencia productora y el líder técnico del CAD. Adicionalmente  realiza revisión validando el correcto diligenciamiento, con el objetivo de identificar errores y de esta forma solicitar ajustes. Hasta la fecha  no se han evidenciado errores en el diligenciamiento.</t>
  </si>
  <si>
    <t xml:space="preserve">Durante el cuatrimestre el Centro Administrativo Documental, realizó la recepción y verificación de la documentación entregada por las dependencias de la Empresa.  </t>
  </si>
  <si>
    <t xml:space="preserve">Los colaboradores del Centro de Administración Documental  de l proceso,  validan  las solicitudes de creación de expedientes con el fin de que dichas solicitudes cumplan con lo establecido en las tablas de retención documental para continuar con el tramite de creación.
</t>
  </si>
  <si>
    <t>Correos Electrónicos  de solicitudes de creaciones expedientes electrónicos, así como, correos de información de la creación del expediente.</t>
  </si>
  <si>
    <t xml:space="preserve">Dando cumplimiento a lo establecido en el PD-25, se recibieron y atendieron mediante correo electrónico las solicitudes de creación de expedientes electrónicos en el SGDEA-TAMPUS.
</t>
  </si>
  <si>
    <t>Se realizo  seguimiento mensual a la ejecución del PIGA en el marco del Comité de Autoevaluación y de los informes de verificación, seguimiento Plan de Acción - PIGA 2022 e Institucional  de la Secretaría de Ambiente, donde se reportó  avance de las actividades del plan de acción, hasta la fecha no se han generado acciones de mejoras.</t>
  </si>
  <si>
    <t xml:space="preserve">Presentación avances Comité
Certificados STORM de cargue de informes SDA
</t>
  </si>
  <si>
    <t>Se cuenta con las siguientes evidencias delas actividades realizadas:
 1. Registro fotográfico
2. Ver Indicadores del proceso
3. Correo electrónico
4. Listado de asistencia
5. Pieza programación
6.Piezas campaña</t>
  </si>
  <si>
    <t xml:space="preserve">Durante el periodo de medición de este informe se realizaron las siguientes actividades  acciones ambientales priorizadas en el PACA :
-Reporte de seguimiento de ejecución del PACA del primer semestre de la vigencia 2022. 
-Se atendió visita administrativa de la Contraloría de Bogotá para revisar reporte de la vigencia 2021
_Se realizo el correspondiente el diligenciamiento de l formatos 32 para validar la información dispuesta y así proceder a realizar el reporte en la herramienta Storm.  </t>
  </si>
  <si>
    <t>Correo de seguimiento y reporte del primer semestre de la vigencia 2022 del PACA
Correo de visita administrativa de la Contraloría y acta de visita
Formatos 31 y 32 debidamente diligenciados, cargue a la herramienta storm</t>
  </si>
  <si>
    <t>Se realizo una mesa de trabajo con las subgerencias corporativa y urbana, para ajustar y organizar formatos  Word y Excel (32), así proceder a realizar reporte a la herramienta Storm</t>
  </si>
  <si>
    <t>Correo de seguimiento de los ajustes realizados a los formatos
Registro de las reuniones realizadas con las subgerencias corporativa y urbana</t>
  </si>
  <si>
    <t xml:space="preserve">El proceso realizo control del respaldo de la información mediante la implementación del protocolo de seguridad SSL en la página Web Institucional, en equipo con Webmaster. Adicionalmente  se actualizo las carpetas de Owncloud en la NAS acorde a lo registrado en el formato de acceso lógico de los nuevos colaboradores de la empresa (Copia de respaldo JSP7,  GLPI )
</t>
  </si>
  <si>
    <t>Se realiza acompañamiento en la adquisición de licenciamiento power Bi a la Subgerencia de Planeación. Oficina de Comunicaciones en las licencias Adobe Cretive cloud. Se implemento Canal exclusivo de internet WiFi para Gerencia General.</t>
  </si>
  <si>
    <t>Estudios previos, estudio de mercado y entrega del canal WiFi.</t>
  </si>
  <si>
    <t>Informes Monitoreo</t>
  </si>
  <si>
    <t>Se construyo el plan de adquisiciones de la entidad, en lo referente a TI.</t>
  </si>
  <si>
    <t xml:space="preserve">
Documento: mantenimiento preventivo segundo semestre.
Plan de adquisiciones Empresa (SECOP)</t>
  </si>
  <si>
    <t>Correo Acceso Lógico nuevos usuarios</t>
  </si>
  <si>
    <t>Una vez el supervisor del contrato realiza el diligenciamiento del formato de acceso lógico en el sistema JSP7, se activa el envió automático de correo electrónico al grupo de TIC. Así las cosas el procesos hace seguimiento a las solicitudes revisando el correo automático que se genera.</t>
  </si>
  <si>
    <t>Reporte generado en el sistema JSP7</t>
  </si>
  <si>
    <t>Esta tarea se programa para el mes de septiembre</t>
  </si>
  <si>
    <t>NA</t>
  </si>
  <si>
    <t>Plan de adquisiciones Empresa (SECOP)</t>
  </si>
  <si>
    <t>La evidencia será archivada  una vez el mantenimiento finalice, se tiene previsto el cierre del mantenimiento en el mes de septiembre.</t>
  </si>
  <si>
    <t>El aplicativo esta disponible 24x7x365, y en el presente cuatrimestre no se presentaron alarmas en los equipos supervisados</t>
  </si>
  <si>
    <t>Programación de la reunión en el calendario</t>
  </si>
  <si>
    <t>Se realizó el seguimiento mensual de los reportes a entes internos y externos a través de la medición de los indicadores de gestión financiera, donde esta establecido el reporte la periodicidad y la fecha límite de reporte Vs. la fecha del reporte enviado.</t>
  </si>
  <si>
    <t>Entrega oportuna de informes y reportes a entes de control interno y externo, como evidencia del seguimiento esta la medición de los indicadores de gestión del proceso: 
Oportunidad en la entrega de informes del proceso a entidades administrativas de control  y Oportunidad en la presentación y pago de las Obligaciones Tributarias</t>
  </si>
  <si>
    <t>Se realizó el seguimiento mensual de los reportes a entes internos y externos a través de la medición de los indicadores de gestión financiera, donde esta establecido el reporte la periodicidad y la fecha límite de reporte Vs. La fecha del reporte enviado.</t>
  </si>
  <si>
    <t>Hoja de vida indicador: Oportunidad en la entrega de informes del proceso a entidades administrativas de control
Hoja de vida indicador: Oportunidad en la presentación y pago de las Obligaciones Tributarias</t>
  </si>
  <si>
    <t>Se realizó la revisión y verificación de la información tributaria por parte de la Revisoría Fiscal y Asesores Tributarios, con el fin de asegurar la integridad y calidad de la información a remitir a las diferentes entidades del orden nacional y distrital.</t>
  </si>
  <si>
    <t>Como evidencia del control  se cuenta con el formato de hoja de ruta certificaciones e impuestos realizadas durante el cuatrimestre.</t>
  </si>
  <si>
    <t>Durante el periodo de seguimiento del presente informe se realizo seguimiento de la revisión y verificación de la información tributaria por parte de la revisoría fiscal y asesor tributario.</t>
  </si>
  <si>
    <t>En mayo y agosto de 2022 se llevó acabo el Comité financiero, con el fin de presentar a los miembros del comité, el seguimiento a la gestión financiera y el Plan Financiero Plurianual 2023-2032, para su recomendación y validación para la presentación y aprobación a la Junta Directiva de la Empresa.</t>
  </si>
  <si>
    <t>Como evidencia se cuenta con acta proyectada y presentación de la sesión de mayo y  la sesión virtual del Comité financiero del 23 de agosto de 2022 y la presentación realizada.</t>
  </si>
  <si>
    <t>La Empresa realizó la planeación financiera a través del plan Financiero Plurianual 2023-2032, la cual fue aprobada por la Junta Directiva el 24 de agosto de 2022</t>
  </si>
  <si>
    <t>Se adjunta la certificación de la revisión de Junta Directiva del Plan Financiero Plurianual 2023-2032</t>
  </si>
  <si>
    <t>Se realizó la conciliación de información confrontando  la información registrada frente a la ejecutada de los recursos financieros de la Empresa, con el propósito de asegurar el seguimiento a los recursos financieros.</t>
  </si>
  <si>
    <t>Como evidencia se cuenta con  los formatos de conciliación de información financiera ejecutados.</t>
  </si>
  <si>
    <t>Se realizó la revisión del procedimiento de  Conciliación de Información (PD-87)y se remitió para la revisión de la SGC.</t>
  </si>
  <si>
    <t>Correo enviado el 01 de agosto de 2022</t>
  </si>
  <si>
    <t xml:space="preserve">Durante el periodo de edición de este informe se realizo la doble verificación de los procesos de pago, por parte de la Tesorería, profesional de la SGC y asesor de la SGC </t>
  </si>
  <si>
    <t>Cadenas de correos de aprobación de procesos de pagos.</t>
  </si>
  <si>
    <t>Tesorería remitió el proyecto de protocolo de seguridad de tesorería el 05 de mayo de 2022, pendiente socialización a la SGC para revisión y aprobación</t>
  </si>
  <si>
    <t>Correo electrónico del 05 de mayo de 2022</t>
  </si>
  <si>
    <t xml:space="preserve">Se realiza la doble verificación de los procesos de pago, por parte de la tesorería, profesional de la SGC y asesor de la SGC </t>
  </si>
  <si>
    <t>Cadenas de correos de aprobación de procesos de pagos</t>
  </si>
  <si>
    <t xml:space="preserve">Al inicio de la vigencia se hizo la encuesta de necesidades y expectativas de SST, análisis de matriz de riesgos, protocolo de bioseguridad y con base en esta información se levantaron las necesidades del PETH y el plan de trabajo de seguridad y salud en el trabajo 2022.
Este plan fue presentado por el Comité Institucional de Gestión y Desempeño para su aprobación .
</t>
  </si>
  <si>
    <t xml:space="preserve">Como evidencia de  cuenta con :
Encuesta de necesidades y expectativas 
PETH 2022 
Plan de trabajo 2022 SST </t>
  </si>
  <si>
    <t xml:space="preserve">Se realizó seguimiento trimestral al cumplimiento de las actividades establecidas en el Plan Estratégico del Talento Humano del Plan en el componente de seguridad y salud en el trabajo mediante la medición del indicador:
 ¨Cumplimiento de las actividades programadas en el Sistema de Gestión de Salud y Seguridad en el trabajo. programadas  en el Plan Estratégico de Talento Humano - PETH¨ cuyos resultados permiten  identificar que se ha cumplido satisfactoriamente con la programación descrita en el PETH. 
</t>
  </si>
  <si>
    <t>Batería de indicadores del proceso.</t>
  </si>
  <si>
    <t xml:space="preserve">Se realizó evaluación del cumplimiento de los estándares mínimos y la resolución 312 de 2019,   al finalizar vigencia 2021, dentro del marco de  la rendición de cuentas que se presenta todos los años al COPASST  y  reporte que se debe entregar al servicio civil al comienzo de cada vigencia .
 Como resultado de esta evaluación se identifico que se esta dando cumplimiento a los requisitos de la implementación de SSST.
</t>
  </si>
  <si>
    <t xml:space="preserve">Matriz legal de salud y seguridad en el trabajo. </t>
  </si>
  <si>
    <t xml:space="preserve">Se realizo actualización de la matriz legal de salud y seguridad en el trabajo  al finalizar la  vigencia según n el cumplimiento de los estándares mínimos y la resolución 312 de 2019.
</t>
  </si>
  <si>
    <t>Archivo Word con pantallazos de reuniones de seguimiento al cronograma PETH realizadas</t>
  </si>
  <si>
    <t xml:space="preserve">Se realizó seguimiento trimestral al cumplimiento de las actividades establecidas en el Plan Estratégico del Talento Humano  y del Plan de bienestar y capacitación mediante la medición del indicador ¨Cumplimiento de las actividades  de bienestar y capacitación programadas  en el Plan Estratégico de Talento Humano - PETH¨ cuyos resultados permiten  identificar que se ha cumplido satisfactoriamente con la programación descrita en el PETH. 
</t>
  </si>
  <si>
    <t xml:space="preserve">Batería de indicadores del proceso.
Cronograma seguimiento Capacitación y Bienestar </t>
  </si>
  <si>
    <t xml:space="preserve">Con el objetivo de  reforzar los conocimientos para el seguimiento semestral de los acuerdos de gestión, en el mes de junio se divulgó la  capacitación organizada por el DASCD, dirigida a  los Gerentes Públicos a los que les aplica Acuerdos de Gestión.
Adicionalmente en el mes de agosto se envía correo a Líder de Talento Humano con  texto propuesto de correo a enviar a los Gerentes  recordando el envío de los seguimientos semestrales de los Acuerdos de Gestión suscritos para 2022  para su correspondiente aprobación.
</t>
  </si>
  <si>
    <t>Archivo Word con pantallazos de divulgación de capacitación y correo a enviar a Gerentes</t>
  </si>
  <si>
    <t>Se realizó archivo en Excel con el seguimiento del envío de los seguimientos semestrales de los Acuerdos de Gestión
Archivo Excel Seguimiento AG 2022</t>
  </si>
  <si>
    <t>Archivo Excel Seguimiento AG 2022</t>
  </si>
  <si>
    <t xml:space="preserve">Resolución 54 de 2018, la cual se encuentra en proceso de actualización </t>
  </si>
  <si>
    <t>% de Cumplimiento</t>
  </si>
  <si>
    <t>Total Porcentual Controles</t>
  </si>
  <si>
    <t>Total Porcentual Acciones de Tratamiento</t>
  </si>
  <si>
    <t>El formato para suscribir la declaración de impedimentos y conflictos de interés de los auditores se encuentra en construcción.</t>
  </si>
  <si>
    <t>1. RAD I2022001660 INFORME INTEGRAL DESEMPEÑO DE AUDITORES – CICLO AUDITORÍAS INTERNAS DE CALIDAD - 2022.</t>
  </si>
  <si>
    <t>Se estableció el ranking de auditores con los equipos auditores que participaron en la implementación del Ciclo de Auditorías Internas de Calidad 2022.</t>
  </si>
  <si>
    <t>1. Establecer el ranking de auditores para valorar el desempeño del auditor.
2. Realizar el análisis semestral del estado de adopción y efectividad de las recomendaciones surtidas en los informes legales, de seguimiento o de auditoria.</t>
  </si>
  <si>
    <t>1. RAD I2022001660 INFORME INTEGRAL DESEMPEÑO DE AUDITORES – CICLO AUDITORÍAS INTERNAS DE CALIDAD - 2022.
2. http://186.154.195.124/mipg-sig?title=&amp;field_proceso_target_id=160
Indicadores Evaluación y Seguimiento 2022 Agosto 2022</t>
  </si>
  <si>
    <t xml:space="preserve">Durante el  segundo cuatrimestre se realizó un comité de autoevaluación.
Se diligenciaron los formatos de   seguimiento para la ejecución del plan de gestión de los proyectos San Bernardo tercer Milenio, y Proscenio, los cuales se encuentran ubicados en las carpetas de los respectivos proyectos
</t>
  </si>
  <si>
    <t>Durante el  segundo cuatrimestre se mantuvieron las clausulas  para las adiciones de los contratos de tiene la oficina de Gestión Social en la presente vigencia se encuentra contemplada la obligación: "Guardar estricta reserva sobre toda la información y documentos que tenga acceso"; se ponen como muestra los siguiente contratos:239-2021, 163-2021, 252-2021, 145-2021, 138-2021.</t>
  </si>
  <si>
    <t>\\192.168.10.203\ogs\0 OFICINA DE GESTION SOCIAL 2021\INFORMES CONTRATISTAS</t>
  </si>
  <si>
    <t xml:space="preserve">Se realizó convocatoria para inducción  a los servidores que ingresaron el primer semestre de 2022, la cual se efectuó el 12 de julio de 22. </t>
  </si>
  <si>
    <t xml:space="preserve">\\192.168.10.203\ogs\0 OFICINA DE GESTION SOCIAL 2022\ATENCION AL CIUDADANO                  </t>
  </si>
  <si>
    <t>http://186.154.195.124/mipg-sig?field_proceso_target_id=187</t>
  </si>
  <si>
    <t xml:space="preserve">Se anexan los listados de asistencia de las personas que participaron en las cualificaciones. </t>
  </si>
  <si>
    <t>http://10.115.245.74/mipg-sig?field_proceso_target_id=153</t>
  </si>
  <si>
    <t>\\192.168.10.203\ogs\0 OFICINA DE GESTION SOCIAL 2022\ATENCION AL CIUDADANO\TALLERES\tallere</t>
  </si>
  <si>
    <t>Se anexa base de datos de contratos de prestación de servicios suscritos a partir del 24 de mayo hasta el 31 de agosto de 2022.</t>
  </si>
  <si>
    <t>Se socializa y realiza seguimiento a la herramienta de seguimiento y control</t>
  </si>
  <si>
    <t xml:space="preserve">Acta No. 1 Comité CICCI
http://www.eru.gov.co/es/transparencia/planeacion-presupuesto-e-informes/plan-de-accion?title=auditoria&amp;field_subcategoria_planeacion_value=All </t>
  </si>
  <si>
    <r>
      <rPr>
        <b/>
        <sz val="11"/>
        <color theme="1"/>
        <rFont val="Arial Narrow"/>
        <family val="2"/>
      </rPr>
      <t>1. Se estableció el ranking de auditores con los equipos auditores que participaron en la implementación del Ciclo de Auditorías Internas de Calidad 2022.</t>
    </r>
    <r>
      <rPr>
        <sz val="11"/>
        <color theme="1"/>
        <rFont val="Arial Narrow"/>
        <family val="2"/>
      </rPr>
      <t xml:space="preserve">
2. Seguimiento semestral Indicador denominado "Efectividad de las Acciones Formuladas en los Planes de Mejoramiento por Procesos."</t>
    </r>
  </si>
  <si>
    <t>No se evidencia el seguimiento a las alertas que se han generado a la fecha tanto en los instrumentos como en las reuniones de seguimiento. De acuerdo a lo establecido en el control</t>
  </si>
  <si>
    <t>En cumplimiento a lo establecido en los controles, el equipo de estudios previos de la SGDP, desarrollo las siguientes actividades:
*Se estructuraron 12 procesos de selección
*Se realizaron 7 Comités de Contratación
*Se realizaron 7 Comités Fiduciarios
*Se revisaron y radicaron 12 solicitudes de procesos de selección y contratación.</t>
  </si>
  <si>
    <t>Recepción de correos. Evaluación de la información. Envío a fiduciarias con observaciones. Reunión para aclarar observaciones.</t>
  </si>
  <si>
    <t>No se evidencian soportes de los controles de las Reuniones cuando se presentan casos especiales</t>
  </si>
  <si>
    <t>Revisión instrucciones tampus. 
Reuniones para revisar casos especiales.</t>
  </si>
  <si>
    <t>Tampus. 
Correo electrónico.</t>
  </si>
  <si>
    <t>Calendario G-Meet - Información sobre la atención virtual realizada.</t>
  </si>
  <si>
    <t>1. No se evidencian los Informes trimestrales presentados de acuerdo a lo establecido en los controles
2. No se evidencian los reportes semanales a la Gerencia General sobre el seguimiento a las actividades de ejecución de los proyectos de vivienda supervisados por la Gerencia de Vivienda, de acuerdo a lo establecido en la Acción de tratamiento</t>
  </si>
  <si>
    <t>1. No hay evidencia de la reuniones bimensuales  de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
2. No se evidencian los reportes semanales a la Gerencia General sobre el seguimiento a las actividades de ejecución de los proyectos de vivienda supervisados por la Gerencia de Vivienda, de acuerdo a lo establecido en la Acción de tratamiento</t>
  </si>
  <si>
    <t>1. Plan Anual de Auditoria Vigencia 2022 V1, V2 y V3
2. Plan de Trabajo Auditoria Contratación transversal
3. Plan de Trabajo Ciclo Auditorias Internas de Calidad 2022 
4. Plan de Trabajo Auditoria Proceso Terceros Concurrentes
5. Plan de Trabajo Costeo de los proyectos y rentabilidad de la Empresa</t>
  </si>
  <si>
    <t>1. http://www.eru.gov.co/es/transparencia/planeacion-presupuesto-e-informes/plan-de-accion?title=auditoria&amp;field_subcategoria_planeacion_value=All 
2. Plan de Trabajo Auditoria Contratación transversal
3. Plan de Trabajo Ciclo Auditorias Internas de Calidad 2022 
4. Plan de Trabajo Auditoria Proceso Terceros Concurrentes
5. Plan de Trabajo Costeo de los proyectos y rentabilidad de la Empresa</t>
  </si>
  <si>
    <t>Borrador del formato de declaración de impedimentos y conflictos de interés de los auditores.</t>
  </si>
  <si>
    <t>1. Reunión de Apertura Auditoria Contratación transversal
Plan de Trabajo Auditoria Contratación transversal
2. Reunión de Apertura  Ciclo Auditorias Internas de Calidad 2022 
 Plan de Trabajo Ciclo Auditorias Internas de Calidad 2022 
3. Reunión de Apertura  Auditoria Proceso Terceros Concurrentes
Plan de Trabajo Auditoria Proceso Terceros Concurrentes
4. Reunión de Apertura  Costeo de los proyectos y rentabilidad de la Empresa
5. Plan de Trabajo Costeo de los proyectos y rentabilidad de la Empresa</t>
  </si>
  <si>
    <t>1. Lista de Asistencia Reunión de Apertura Auditoria Contratación transversal
Plan de Trabajo Auditoria Contratación transversal
2. Lista de Asistencia Reunión de Apertura  Ciclo Auditorias Internas de Calidad 2022 
 Plan de Trabajo Ciclo Auditorias Internas de Calidad 2022 
3. Lista de Asistencia Reunión de Apertura  Auditoria Proceso Terceros Concurrentes
Plan de Trabajo Auditoria Proceso Terceros Concurrentes
4. Lista de Asistencia Reunión de Apertura  Costeo de los proyectos y rentabilidad de la Empresa
Plan de Trabajo Costeo de los proyectos y rentabilidad de la Empresa</t>
  </si>
  <si>
    <t>Acta de Comité CICCI  No.2</t>
  </si>
  <si>
    <t>Informe Final Ciclo Auditorias Internas de Calidad 2022 
Informe Final Auditoria Contratación transversal -   (Plan de Trabajo - listado de Asistencia)</t>
  </si>
  <si>
    <t>Informe Final Ciclo Auditorias Internas de Calidad 2022 
Informe Final Auditoria Contratación transversa</t>
  </si>
  <si>
    <t>1. Plan Anual de Auditoria Vigencia 2022 V1, V2 y V3
2. Plan de Trabajo Auditoria Contratación transversal
3. Plan de Trabajo Ciclo Auditorias Internas de Calidad 2022 
4. Plan de Trabajo Auditoria Proceso Terceros Concurrentes
5. Plan de Trabajo Auditoria Costeo de los proyectos y rentabilidad de la Empresa</t>
  </si>
  <si>
    <t>1. Reunión de Apertura Auditoria Contratación transversal  (Informe Final - listado de Asistencia)
2.Reunión de Apertura Plan de Trabajo Ciclo Auditorias Internas de Calidad 2022  (Informe Final - listado de Asistencia)
3. Reunión de Apertura Auditoria Proceso Terceros Concurrentes
4.  Reunión de Apertura Auditoria Costeo de los proyectos y rentabilidad de la Empresa</t>
  </si>
  <si>
    <t>Producto de esta auditoria y de la auditoria de precertificación el proceso cuenta con 22 Acciones de mejora en Plan de Mejoramiento por procesos y a la fecha del seguimiento ha finalizado 11 acciones.</t>
  </si>
  <si>
    <t>http://www.eru.gov.co/index.php/es/node/2756</t>
  </si>
  <si>
    <t>Se realizan periódicamente reuniones de seguimiento y control al proceso de pago predio por predio que den cuenta del avance de la adquisición predial.</t>
  </si>
  <si>
    <t>No se evidencia reporte ni soportes de los controles: 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No se evidencia que la Subgerencia de Gestión Corporativa realice reuniones con los contratistas de servicios logísticos por lo menos una vez al mes para hacer seguimiento y control a las obligaciones y servicios contratados.</t>
  </si>
  <si>
    <t>Revisar la pertinencia de la acción de tratamiento planteada y evaluar si la ejecución de la misma si contribuye a la mitigación del riesgo.</t>
  </si>
  <si>
    <t>Revisar la pertinencia de la acción de tratamiento planteada y evaluar si la ejecución de la misma si contribuye a la mitigación del riesgo ya que esta es parte del control.</t>
  </si>
  <si>
    <t>Se documento el procedimiento PD-29. PQRS en agosto de 2022</t>
  </si>
  <si>
    <t xml:space="preserve">Informe de satisfacción trimestral con los porcentajes de satisfacción de Abril - Junio 2022
Se realizaron cuatro capacitaciones funcionales  </t>
  </si>
  <si>
    <t>En reunión de 9 de agosto de 2022 se socializa al equipo de TI, el nuevo contrato de ETB y los servicios contratados.</t>
  </si>
  <si>
    <t>Correos electrónicos de aprobación, el proceso cuenta con los soportes esta actividad</t>
  </si>
  <si>
    <t>Durante el período se estructuró la campaña de comunicación interna, a través de la cual se divulgará el procedimiento para las solicitudes de comunicaciones, esta campaña se socializará en el último cuatrimestre del año.</t>
  </si>
  <si>
    <t>El proceso cuenta con el diseño de campaña en próximo cuatrimestre</t>
  </si>
  <si>
    <r>
      <t xml:space="preserve">1. Publicación en SECOP II Términos de Referencia definitivos y toda la documentación del proceso en el link  :   </t>
    </r>
    <r>
      <rPr>
        <b/>
        <sz val="11"/>
        <color theme="1"/>
        <rFont val="Arial Narrow"/>
        <family val="2"/>
      </rPr>
      <t>https://community.secop.gov.co/Public/Tendering/OpportunityDetail/Index?noticeUID=CO1.NTC.2881746&amp;isFromPublicArea=True&amp;isModal=False</t>
    </r>
    <r>
      <rPr>
        <sz val="11"/>
        <color theme="1"/>
        <rFont val="Arial Narrow"/>
        <family val="2"/>
      </rPr>
      <t xml:space="preserve">
2. Publicación en la página WEB de la Empresa : </t>
    </r>
    <r>
      <rPr>
        <b/>
        <sz val="11"/>
        <color theme="1"/>
        <rFont val="Arial Narrow"/>
        <family val="2"/>
      </rPr>
      <t>http://www.eru.gov.co/es/noticias/locales-lacolmena</t>
    </r>
    <r>
      <rPr>
        <sz val="11"/>
        <color theme="1"/>
        <rFont val="Arial Narrow"/>
        <family val="2"/>
      </rPr>
      <t xml:space="preserve">
 3. Cuadro con lista de Chequeo de las Actividades del Procedimiento  Venta de Inmuebles (PD-88)
4 Concepto sobre comercialización emitido por la directora de Gestión contractual  y el Subgerente Jurídico.</t>
    </r>
  </si>
  <si>
    <t>1. Agenda del 16 de Junio de 2022 (impresa)  que se encuentra en el calendario Google de la Empresa
2. Archivo impreso con respuestas a la lista de asistencia del 16 de junio  formulario Google "Socialización PD-88 Venta de Inmuebles, Indicadores y Mapa de Riesgos"</t>
  </si>
  <si>
    <t xml:space="preserve">
El Supervisor del contrato en la revisión de informes de actividades mensuales, verificó el cumplimiento de las cláusulas del contrato sin embargo no encontró inconsistencias por lo tanto no se reportaron alertas.
Durante el segundo trimestre los líderes SIG y el Jefe del Área se reunieron para realizar el Comité de Autoevaluación, en el cual se revisó temas de manejo adecuado de la información sin embargo no encontró inconsistencias por lo tanto no se reportaron alertas.</t>
  </si>
  <si>
    <t>La SGU ha establecido  una acción de tratamiento que fue programada en el mes de agosto para ser ejecutada mientras se terminada de adelantar la contratación de todo el equipo de la SGU, el día 11 de octubre de 2022, por lo tanto no tenemos evidencia de su ejecución hasta tanto se desarrolle la actividad.</t>
  </si>
  <si>
    <t>- Programación de reunión por Google calendar</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</si>
  <si>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cronogramas de actividades e hitos para la formulación, radicación y adopción de los planes parciales, sobre los cuales se realiza seguimiento al cumplimiento de actividades.</t>
  </si>
  <si>
    <t>La SGU actualizó la documentación del proceso durante la vigencia del primer semestre de 2022 y se socializó el 25 de mayo con el equipo de la SGU.</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</si>
  <si>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2022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cronogramas de actividades e hitos para la formulación, radicación y adopción de los planes parciales, sobre los cuales se realiza seguimiento al cumplimiento de actividades.</t>
  </si>
  <si>
    <t>- Actas de reunión de gestión interinstitucional</t>
  </si>
  <si>
    <t>Se adelantaron los siguientes procesos selección y contratación (se adjuntan radicados):
*Proceso del plan director eléctrico y su interventoría
*Proceso de obra de infraestructura víal y espacio público integrador voto nacional y su interventoría,
*Proceso de Señalización Ciudadela el Porvenir y su interventoría.
*Proceso de obra Bronx Distrito Creativo y su interventoría
*Proceso obra edificio siberia, proyectos CHSJD y su interventoría
*Proceso obras del edificio mantenimiento proyecto CHSJD y su interventoría.
Comités de Contratación:
Comité de Contratación No. 23 de fecha 24 de mayo de 2022
Comité de Contratación No. 24 de fecha 31 de mayo de 2022
Comité de Contratación No. 25 de fecha 7 de junio de 2022
Comité de Contratación No. 28 de fecha 12 de julio de 2022
Comité de Contratación No. 29 de fecha 27 de julio de 2022
Comité de Contratación No. 30 de fecha 9 de agosto de 2022
Comité de Contratación No. 31 de fecha 23 de agosto de 2022</t>
  </si>
  <si>
    <t>Es importante revisar la acción de tratamiento establecida ya que esta no mitiga posibilidad de la materialización del Riesgo establecido</t>
  </si>
  <si>
    <t>Se realizaron los siguientes recibos por parte de la Interventoría:
*Proyecto Centro de Talento Creativo: acta de recibo y aprobación de los productos con los que se finaliza la etapa de diseños, como son productos de la consultoría no aplican visitas.
FT-49-acta de aprobación de ETAPA 1 DEF.
*Elaboración de una (1) maqueta para mostrar una réplica a escala 1:100 del proyecto Bronx Distrito Creativo junto con las Áreas de Manejo Diferenciado 2 y 3 del Plan Parcial V otro Nacional – La Estanzuela adoptado mediante Decreto Distrital No 201 de 2019 y su correspondiente entorno inmediato.
210531-SEGUIMIENTO MAQUETA (ENTREGA)</t>
  </si>
  <si>
    <t>Los acuerdos de niveles de servicios se encuentran incluidos en la actualización de los Manuales Operativos y Manual de Contratación que se encuentra en revisión y aprobación por parte la Dirección de Gestión Contractual</t>
  </si>
  <si>
    <t>Borrador del los manuales operativos de Alianza y Colpatria</t>
  </si>
  <si>
    <t>Revisión y diligenciamiento de información en carpeta en drive de la Empresa. Envío al coordinador de fiducias para posterior envío, aprobación y remisión por parte del Subgerente de Gestión Inmobiliaria</t>
  </si>
  <si>
    <t>Se aportan correos electrónicos a través de los cuales se solicita e informa sobre la actualización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</si>
  <si>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</si>
  <si>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Desde la Gerencia de Estructuración de proyectos, con el apoyo de los profesionales de calidad de la Subgerencia de Gestión Inmobiliaria, se esta trabajando en la actualización del procedimiento de modelaciones financieras.</t>
  </si>
  <si>
    <t xml:space="preserve">Se presta acompañamiento a los Fideicomitentes Desarrolladores y Constructores en los trámites que llevan antes entidades de la cadena de proyectos para agilizar las aprobaciones y entregas. </t>
  </si>
  <si>
    <t>Correos dirigidos a Gerencia de Seguimiento de Proyectos</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</si>
  <si>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</si>
  <si>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Herramienta de seguimiento - Archivo Excel</t>
  </si>
  <si>
    <t>Diligenciamiento en Excel de la herramienta</t>
  </si>
  <si>
    <t xml:space="preserve">Es importante que el proceso revise la pertinencia de los controles y acción de tratamiento ya que son las mismas y estas deben ser diferentes ya que los controles son para gestionar los riesgos de acuerdo a los parámetros de la empresa y las leyes del país, el cual debe ser llevado a cabo por todo el personal. y las  acciones de tratamiento son para mitigar la materialización del riesgo después de los controles. </t>
  </si>
  <si>
    <t>Revisar la acción de tratamiento ya que la parte inicial de la misma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son controles del proceso. Por otra parte no se evidencian actividades referentes a jornadas de capacitación del código de integridad, con el equipo de trabajo.</t>
  </si>
  <si>
    <r>
      <t xml:space="preserve">Correo del procedimiento de TIC solicitando la actualización de los inventarios.
</t>
    </r>
    <r>
      <rPr>
        <sz val="11"/>
        <rFont val="Arial Narrow"/>
        <family val="2"/>
      </rPr>
      <t>Entradas de Almacén</t>
    </r>
    <r>
      <rPr>
        <sz val="11"/>
        <color rgb="FFFF0000"/>
        <rFont val="Arial Narrow"/>
        <family val="2"/>
      </rPr>
      <t xml:space="preserve">
</t>
    </r>
  </si>
  <si>
    <t>Ya que este riesgo fue incorporado  en el período de medición de este informe a la fecha esta programando reunión con el  proceso de Gestión del  Talento Humano, solicitando la socialización de los principios éticos de la Empresa.</t>
  </si>
  <si>
    <t>Es importante que el proceso revise la pertinencia de los controles y acción de tratamiento ya que son las mismas y estas deben ser diferentes ya que los controles son para gestionar los riesgos de acuerdo a los parámetros de la empresa y las leyes del país, el cual debe ser llevado a cabo por todo el personal. y las  acciones de tratamiento son para mitigar la materialización del riesgo después de los controles. 
Revisar los puntos de control del procedimiento</t>
  </si>
  <si>
    <t>Es importante que el soporte de los controles y las acciones de tratamiento no sean las mismas o se complemente la evidencia de cumplimiento de la acción de tratamiento</t>
  </si>
  <si>
    <t>En el mes de agosto, se socializó el Plan Institucional de Archivos por el correo institucional y el banner de la Intranet de la Empresa.</t>
  </si>
  <si>
    <t xml:space="preserve">En el periodo comprendido entre mayo y agosto de 2022, se instauro un  1 tribunal de arbitramentos, demandas en los meses de  mayo 1, julio 1 y agosto 1, penales 1 y procesos administrativos 2. </t>
  </si>
  <si>
    <t>Revisión de las actuaciones de los apoderados a  través de las actas de seguimiento</t>
  </si>
  <si>
    <t xml:space="preserve">En el período comprendido entre mayo y agosto se realizaron 9 comités </t>
  </si>
  <si>
    <t>Siproj WEB Actualizado</t>
  </si>
  <si>
    <t xml:space="preserve">La dependiente judicial y la líder enlace del SIPROJ revisan que las actuaciones estén cargadas en el SIPROJ </t>
  </si>
  <si>
    <t xml:space="preserve">En la matriz de seguimiento la dependiente judicial incorpora los estados que salgan dentro de los procesos judiciales </t>
  </si>
  <si>
    <t xml:space="preserve">La dependiente judicial revisó en este cuatrimestre los procesos judiciales e incorporo en la base de datos la información de las actuaciones nuevas </t>
  </si>
  <si>
    <t>Todos las solicitudes radicadas en la DGC se tramitan a través de la plataforma transaccional SECOP II y se constata su recomendación previa de trámite, a través de las actas de las respectivas sesiones del comité de contratación.</t>
  </si>
  <si>
    <t xml:space="preserve">Se realizan siguiente mensual al Plan Anual de Adquisidores y Plan de Inversión, cundo se detectan retrasos en su ejecución se envía a las diferentes dependencias comunicaciones internas con el fin de evidenciar el avance en los procesos de contratación programados </t>
  </si>
  <si>
    <t>En este periodo se han adelantado 6 comunicaciones internas a las diferentes áreas a las cuales se les ha detectado un retraso con el fin de generar alerta al respecto, a continuación se relacionan los números de radicados: 
I2022001734
I2022001735
I2022001736
I2022001737
I2022001738
I2022001739</t>
  </si>
  <si>
    <t>Durante el perdido de medición de este informe se realizaron las siguientes actividades relacionadas con divulgación, capacitación del PIGA:
1. Campaña "Pequeñas acciones grandes cambios" - señalización agua, energía y consumo papel
2. Seguimiento energía, residuos y consumo papel: ver Indicadores del Proceso 
3. Seguimiento diario movilidad
4. Charla: Energías renovables
5. Semana Ambiental
6. Campaña Plásticos de un solo uso - Correo</t>
  </si>
  <si>
    <t xml:space="preserve">Se realizó reinducción  la SGU 25 de agosto de 2020 y se solicito mediante comunicado interno incluir este tema en la inducción general de la Empresa que realiza la Subgerencia de Gestión Corporativa. </t>
  </si>
  <si>
    <t xml:space="preserve">Durante el período se realizaron tres cualificaciones: Introducción al servicio a la ciudadanía en el Distrito el 3 de mayo de 2022, Introducción a las políticas públicas el 8 de junio  2022 y Gestión de Peticiones Ciudadanas el 6 de julio de 2022 . </t>
  </si>
  <si>
    <t xml:space="preserve">Se realizó el seguimiento a quejas y reclamos y   no se requirió su presentación ante el comité de gestión y Desempeño. </t>
  </si>
  <si>
    <t xml:space="preserve">Se realizó  una reinducción a usuarios a Usuarios del Sistema Bogotá Te Escucha. </t>
  </si>
  <si>
    <t xml:space="preserve">Como resultado de la solicitud a la Dirección contractual se incorporo a las obligaciones generales de los contratistas el cumplimiento de la Política de Atención al ciudadano a partir del  24 de mayo en el proceso de gestión contractual: FT-194 Estudios previos Contrato de Prestación de Servicios Persona Natural o Jurídica en versión 3.
En relación con la obligación general #14 </t>
  </si>
  <si>
    <t>Se solicitó la Dirección contractual la información a partir del 25 de mayo de los contratos que  incluyen en sus  obligaciones contractuales generales  el cumplimiento de las políticas de Atención al ciudadano. Junio 13, Julio  66, Agosto 53= Total 132</t>
  </si>
  <si>
    <t>Servidor NAS principal (indicador OwnCloud)
E:\Institucional\SGC\ProcesoTIC\Intranet</t>
  </si>
  <si>
    <t xml:space="preserve">El proceso genera mensualmente  informes sobre el monitoreo de TICs través de una herramienta de monitoreo que hace parte del contrato 189-2021 y se guarda en el expediente,  con el fin de identificar envió de alertas sobre el fallos en el sistema. a través de una herramienta 
</t>
  </si>
  <si>
    <t xml:space="preserve">Durante el período de medición del presente informe, el proceso ha generado  los accesos lógicos  pertinentes a los usuarios, según requerimiento del supervisor o  jefe inmediato.
</t>
  </si>
  <si>
    <t xml:space="preserve">
El proveedor de mantenimiento  realiza una entrega de la ficha correspondiente al mantenimiento el profesional del proceso realiza monitoreo en línea  de matriz Google con toda la información de equipos y su correspondiente mantenimiento.</t>
  </si>
  <si>
    <t>Se realiza seguimiento permanente al cronograma del PETH por parte de las profesionales de Talento Humano y se realiza reunión mensual con la Líder del proceso en la cual se presentan los avances en el mismo, las matrices de asistencia, en los procesos que apliquen, los resultados de encuestas de satisfacción de los programas realizados y se presentan las propuestas y cotizaciones de los siguientes programas a realizar. Adicionalmente, mensualmente se generan los indicadores establecidos para los procesos de Capacitación, Bienestar y SST en cuanto a porcentajes de avance y número de actividades del PETH ejecutadas.</t>
  </si>
  <si>
    <t>Esta acción fue incorporada al riesgo en el cuatrimestre de medición de este informe y el procedimiento  GI-35 fue actualizado y divulgado lo anterior con el fin de iniciar su implementación desde el tercer cuatrimestre de la vigencia .</t>
  </si>
  <si>
    <t>No se cuenta con evidencias para el perdió de medición de este informe.</t>
  </si>
  <si>
    <t>El Estatuto y Código de Ética se encuentra en proceso de actualización, una vez se actualice se procederá a su socialización a los Auditores de la OCI y al grupo de Auditores de Calidad.  Sin embargo se realzo socialización del Estatuto y Código de Ética vigentes el 29 de abril de 2022</t>
  </si>
  <si>
    <t>Plan Anual de Auditorias aprobado en el 27 de Enero de 2022 Acta No. 1 Comité CICCI, Este plan cuenta con todas las hojas donde se realizo el análisis y se determino el universo de auditorias para la Empresa.</t>
  </si>
  <si>
    <t>1. Lista de asistencia Reunión de Apertura Auditoria Contratación transversal  (Informe Final - listado de Asistencia)
2. Lista de asistencia Reunión de Apertura Plan de Trabajo Ciclo Auditorias Internas de Calidad 2022  (Informe Final - listado de Asistencia)
3.  Lista de asistencia Reunión de Apertura Auditoria Proceso Terceros Concurrentes
4.   Lista de asistencia Reunión de Apertura Auditoria Costeo de los proyectos y rentabilidad de la Empresa</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</si>
  <si>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</si>
  <si>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Drive Auditorias Auditoria Contratación transversal
Drive Ciclo Auditorias Internas de Calidad 2022</t>
  </si>
  <si>
    <t>A la fecha no se ha realizado capacitaciones</t>
  </si>
  <si>
    <t>Seguimiento Segundo Cuatrimestre 2022</t>
  </si>
  <si>
    <t>Describa las actividades desarrolladas para dar cumplimiento a las acciones de tratamiento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</si>
</sst>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
      <sz val="11"/>
      <color rgb="FFFF0000"/>
      <name val="Arial Narrow"/>
      <family val="2"/>
    </font>
    <font>
      <u/>
      <sz val="11"/>
      <color theme="10"/>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6">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3" fillId="0" borderId="0" applyNumberFormat="0" applyFill="0" applyBorder="0" applyAlignment="0" applyProtection="0"/>
  </cellStyleXfs>
  <cellXfs count="58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83"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0" fontId="6" fillId="3" borderId="0" xfId="0" applyFont="1" applyFill="1" applyAlignment="1">
      <alignment vertical="center"/>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48" fillId="0" borderId="2" xfId="0" applyFont="1" applyBorder="1" applyAlignment="1" applyProtection="1">
      <alignment horizontal="center" vertical="center" wrapText="1"/>
      <protection locked="0"/>
    </xf>
    <xf numFmtId="164" fontId="6" fillId="0" borderId="2" xfId="1" applyNumberFormat="1" applyFont="1" applyFill="1" applyBorder="1" applyAlignment="1">
      <alignment horizontal="center" vertical="center"/>
    </xf>
    <xf numFmtId="0" fontId="6" fillId="0" borderId="83" xfId="0" applyFont="1" applyBorder="1" applyAlignment="1">
      <alignment horizontal="center" vertical="center"/>
    </xf>
    <xf numFmtId="164" fontId="6" fillId="3" borderId="2" xfId="1" applyNumberFormat="1" applyFont="1" applyFill="1" applyBorder="1" applyAlignment="1">
      <alignment horizontal="center" vertical="center"/>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4"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48" fillId="3"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protection locked="0"/>
    </xf>
    <xf numFmtId="14" fontId="6" fillId="3" borderId="0" xfId="0" applyNumberFormat="1"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3"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4" fillId="2"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6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13" borderId="2" xfId="0" applyFont="1" applyFill="1" applyBorder="1" applyAlignment="1" applyProtection="1">
      <alignment horizontal="left" vertical="center" wrapText="1"/>
      <protection locked="0"/>
    </xf>
    <xf numFmtId="0" fontId="2" fillId="0" borderId="2" xfId="0" quotePrefix="1" applyFont="1" applyBorder="1" applyAlignment="1" applyProtection="1">
      <alignment horizontal="left" vertical="center" wrapText="1"/>
      <protection locked="0"/>
    </xf>
    <xf numFmtId="0" fontId="1" fillId="0" borderId="2" xfId="0" quotePrefix="1" applyFont="1" applyBorder="1" applyAlignment="1" applyProtection="1">
      <alignment horizontal="left" vertical="center" wrapText="1"/>
      <protection locked="0"/>
    </xf>
    <xf numFmtId="0" fontId="48" fillId="0" borderId="2" xfId="0" applyFont="1" applyBorder="1" applyAlignment="1">
      <alignment vertical="center" wrapText="1"/>
    </xf>
    <xf numFmtId="0" fontId="48" fillId="0" borderId="2" xfId="0" quotePrefix="1" applyFont="1" applyBorder="1" applyAlignment="1">
      <alignment vertical="center" wrapText="1"/>
    </xf>
    <xf numFmtId="0" fontId="48" fillId="0" borderId="2" xfId="0" applyFont="1" applyBorder="1" applyAlignment="1">
      <alignment vertical="center"/>
    </xf>
    <xf numFmtId="0" fontId="1" fillId="0" borderId="83" xfId="0" applyFont="1" applyBorder="1" applyAlignment="1">
      <alignment horizontal="justify" vertical="center" wrapText="1"/>
    </xf>
    <xf numFmtId="0" fontId="1" fillId="3" borderId="83" xfId="0" applyFont="1" applyFill="1" applyBorder="1" applyAlignment="1">
      <alignment horizontal="justify" vertical="center" wrapText="1"/>
    </xf>
    <xf numFmtId="0" fontId="1" fillId="0" borderId="83" xfId="0" applyFont="1" applyBorder="1" applyAlignment="1">
      <alignment horizontal="center" vertical="center"/>
    </xf>
    <xf numFmtId="0" fontId="6" fillId="0" borderId="2" xfId="0"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0" fontId="6" fillId="3" borderId="5" xfId="0" applyFont="1" applyFill="1" applyBorder="1" applyAlignment="1">
      <alignment horizontal="center" vertical="center"/>
    </xf>
    <xf numFmtId="0" fontId="2" fillId="0" borderId="2" xfId="0" applyFont="1" applyBorder="1" applyAlignment="1" applyProtection="1">
      <alignment horizontal="left" vertical="center" wrapText="1"/>
      <protection locked="0"/>
    </xf>
    <xf numFmtId="0" fontId="6" fillId="0" borderId="0" xfId="0" applyFont="1" applyAlignment="1">
      <alignment vertical="center" wrapText="1"/>
    </xf>
    <xf numFmtId="0" fontId="2" fillId="0" borderId="2" xfId="0" applyFont="1" applyBorder="1" applyAlignment="1" applyProtection="1">
      <alignment horizontal="justify" vertical="center" wrapText="1"/>
      <protection locked="0"/>
    </xf>
    <xf numFmtId="0" fontId="1" fillId="3" borderId="2" xfId="0" applyFont="1" applyFill="1" applyBorder="1" applyAlignment="1" applyProtection="1">
      <alignment horizontal="left" vertical="center" wrapText="1"/>
      <protection locked="0"/>
    </xf>
    <xf numFmtId="0" fontId="1" fillId="0" borderId="2" xfId="0" applyFont="1" applyBorder="1" applyAlignment="1" applyProtection="1">
      <alignment vertical="center" wrapText="1"/>
      <protection locked="0"/>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48" fillId="3" borderId="31"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protection locked="0"/>
    </xf>
    <xf numFmtId="0" fontId="57" fillId="3" borderId="31" xfId="0" applyFont="1" applyFill="1" applyBorder="1" applyAlignment="1" applyProtection="1">
      <alignment horizontal="center" vertical="center" wrapText="1"/>
      <protection hidden="1"/>
    </xf>
    <xf numFmtId="9" fontId="6" fillId="3" borderId="31" xfId="0" applyNumberFormat="1" applyFont="1" applyFill="1" applyBorder="1" applyAlignment="1" applyProtection="1">
      <alignment horizontal="center" vertical="center" wrapText="1"/>
      <protection hidden="1"/>
    </xf>
    <xf numFmtId="9" fontId="6" fillId="3" borderId="31" xfId="0" applyNumberFormat="1" applyFont="1" applyFill="1" applyBorder="1" applyAlignment="1" applyProtection="1">
      <alignment horizontal="center" vertical="center" wrapText="1"/>
      <protection locked="0"/>
    </xf>
    <xf numFmtId="9" fontId="6" fillId="3" borderId="0" xfId="0" applyNumberFormat="1" applyFont="1" applyFill="1" applyAlignment="1" applyProtection="1">
      <alignment horizontal="center" vertical="center" wrapText="1"/>
      <protection hidden="1"/>
    </xf>
    <xf numFmtId="0" fontId="57" fillId="3" borderId="31" xfId="0" applyFont="1" applyFill="1" applyBorder="1" applyAlignment="1" applyProtection="1">
      <alignment horizontal="center" vertical="center"/>
      <protection hidden="1"/>
    </xf>
    <xf numFmtId="0" fontId="6" fillId="3" borderId="10" xfId="0" applyFont="1" applyFill="1" applyBorder="1" applyAlignment="1">
      <alignment horizontal="center" vertical="center"/>
    </xf>
    <xf numFmtId="0" fontId="6" fillId="3" borderId="10" xfId="0" applyFont="1" applyFill="1" applyBorder="1" applyAlignment="1" applyProtection="1">
      <alignment horizontal="justify" vertical="center" wrapText="1"/>
      <protection locked="0"/>
    </xf>
    <xf numFmtId="0" fontId="6" fillId="3" borderId="10"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textRotation="90"/>
      <protection locked="0"/>
    </xf>
    <xf numFmtId="9" fontId="6" fillId="3" borderId="10" xfId="0" applyNumberFormat="1" applyFont="1" applyFill="1" applyBorder="1" applyAlignment="1" applyProtection="1">
      <alignment horizontal="center" vertical="center"/>
      <protection hidden="1"/>
    </xf>
    <xf numFmtId="164" fontId="6" fillId="3" borderId="10" xfId="1" applyNumberFormat="1" applyFont="1" applyFill="1" applyBorder="1" applyAlignment="1">
      <alignment horizontal="center" vertical="center"/>
    </xf>
    <xf numFmtId="0" fontId="57" fillId="3" borderId="10" xfId="0" applyFont="1" applyFill="1" applyBorder="1" applyAlignment="1" applyProtection="1">
      <alignment horizontal="center" vertical="center" textRotation="90" wrapText="1"/>
      <protection hidden="1"/>
    </xf>
    <xf numFmtId="9" fontId="6" fillId="3" borderId="29" xfId="0" applyNumberFormat="1" applyFont="1" applyFill="1" applyBorder="1" applyAlignment="1" applyProtection="1">
      <alignment horizontal="center" vertical="center"/>
      <protection hidden="1"/>
    </xf>
    <xf numFmtId="0" fontId="57" fillId="3" borderId="10" xfId="0" applyFont="1" applyFill="1" applyBorder="1" applyAlignment="1" applyProtection="1">
      <alignment horizontal="center" vertical="center" textRotation="90"/>
      <protection hidden="1"/>
    </xf>
    <xf numFmtId="0" fontId="6" fillId="3" borderId="29" xfId="0" applyFont="1" applyFill="1" applyBorder="1" applyAlignment="1" applyProtection="1">
      <alignment horizontal="center" vertical="center" textRotation="90"/>
      <protection locked="0"/>
    </xf>
    <xf numFmtId="0" fontId="6" fillId="3" borderId="10"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protection locked="0"/>
    </xf>
    <xf numFmtId="0" fontId="25" fillId="15" borderId="2" xfId="0" applyFont="1" applyFill="1" applyBorder="1" applyAlignment="1" applyProtection="1">
      <alignment horizontal="right" vertical="center" wrapText="1"/>
      <protection locked="0"/>
    </xf>
    <xf numFmtId="0" fontId="63" fillId="0" borderId="2" xfId="5" applyBorder="1" applyAlignment="1" applyProtection="1">
      <alignment horizontal="left" vertical="center" wrapText="1"/>
      <protection locked="0"/>
    </xf>
    <xf numFmtId="0" fontId="63" fillId="0" borderId="2" xfId="5" applyFill="1" applyBorder="1" applyAlignment="1" applyProtection="1">
      <alignment horizontal="left" vertical="center" wrapText="1"/>
      <protection locked="0"/>
    </xf>
    <xf numFmtId="9" fontId="1" fillId="0" borderId="2" xfId="1" applyFont="1" applyBorder="1" applyAlignment="1" applyProtection="1">
      <alignment horizontal="center" vertical="center" wrapText="1"/>
      <protection locked="0"/>
    </xf>
    <xf numFmtId="9" fontId="2" fillId="0" borderId="2" xfId="1" quotePrefix="1" applyFont="1" applyBorder="1" applyAlignment="1" applyProtection="1">
      <alignment horizontal="center" vertical="center" wrapText="1"/>
      <protection locked="0"/>
    </xf>
    <xf numFmtId="9" fontId="48" fillId="0" borderId="2" xfId="1" quotePrefix="1" applyFont="1" applyBorder="1" applyAlignment="1">
      <alignment horizontal="center" vertical="center" wrapText="1"/>
    </xf>
    <xf numFmtId="9" fontId="1" fillId="0" borderId="2" xfId="1" quotePrefix="1" applyFont="1" applyBorder="1" applyAlignment="1" applyProtection="1">
      <alignment horizontal="center" vertical="center" wrapText="1"/>
      <protection locked="0"/>
    </xf>
    <xf numFmtId="9" fontId="1" fillId="0" borderId="0" xfId="1" quotePrefix="1" applyFont="1" applyBorder="1" applyAlignment="1" applyProtection="1">
      <alignment horizontal="center" vertical="center" wrapText="1"/>
      <protection locked="0"/>
    </xf>
    <xf numFmtId="9" fontId="6" fillId="0" borderId="0" xfId="1" applyFont="1" applyAlignment="1">
      <alignment horizontal="center" vertical="center"/>
    </xf>
    <xf numFmtId="9" fontId="2" fillId="0" borderId="2" xfId="1" applyFont="1" applyBorder="1" applyAlignment="1" applyProtection="1">
      <alignment horizontal="center" vertical="center" wrapText="1"/>
      <protection locked="0"/>
    </xf>
    <xf numFmtId="9" fontId="1" fillId="0" borderId="2" xfId="1" applyFont="1" applyFill="1" applyBorder="1" applyAlignment="1" applyProtection="1">
      <alignment horizontal="center" vertical="center" wrapText="1"/>
      <protection locked="0"/>
    </xf>
    <xf numFmtId="9" fontId="1" fillId="13" borderId="2" xfId="1" applyFont="1" applyFill="1" applyBorder="1" applyAlignment="1" applyProtection="1">
      <alignment horizontal="center" vertical="center" wrapText="1"/>
      <protection locked="0"/>
    </xf>
    <xf numFmtId="9" fontId="48" fillId="0" borderId="2" xfId="1" applyFont="1" applyBorder="1" applyAlignment="1">
      <alignment horizontal="center" vertical="center" wrapText="1"/>
    </xf>
    <xf numFmtId="9" fontId="6" fillId="0" borderId="0" xfId="1" applyFont="1" applyAlignment="1">
      <alignment horizontal="center" vertical="center" wrapText="1"/>
    </xf>
    <xf numFmtId="9" fontId="25" fillId="15" borderId="2" xfId="1" applyFont="1" applyFill="1" applyBorder="1" applyAlignment="1" applyProtection="1">
      <alignment horizontal="center" vertical="center" wrapText="1"/>
      <protection locked="0"/>
    </xf>
    <xf numFmtId="0" fontId="1" fillId="0" borderId="33" xfId="0" applyFont="1" applyBorder="1" applyAlignment="1">
      <alignment vertical="center" wrapText="1"/>
    </xf>
    <xf numFmtId="0" fontId="2" fillId="0" borderId="33" xfId="0" applyFont="1" applyBorder="1" applyAlignment="1">
      <alignment vertical="center" wrapText="1"/>
    </xf>
    <xf numFmtId="0" fontId="4" fillId="0" borderId="2" xfId="0" applyFont="1" applyBorder="1" applyAlignment="1" applyProtection="1">
      <alignment horizontal="left" vertical="center" wrapText="1"/>
      <protection locked="0"/>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7" xfId="0" applyFont="1" applyBorder="1" applyAlignment="1">
      <alignment horizontal="center" vertical="center" wrapText="1"/>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4" fillId="2" borderId="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52" fillId="3" borderId="4" xfId="0" applyFont="1" applyFill="1" applyBorder="1" applyAlignment="1" applyProtection="1">
      <alignment horizontal="center" vertical="center" wrapText="1"/>
      <protection hidden="1"/>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48" fillId="3" borderId="4"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6" fillId="3" borderId="8" xfId="0" quotePrefix="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9" fontId="6" fillId="0" borderId="5" xfId="0" applyNumberFormat="1" applyFont="1" applyBorder="1" applyAlignment="1" applyProtection="1">
      <alignment horizontal="center" vertical="center" wrapText="1"/>
      <protection locked="0"/>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quotePrefix="1"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76"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0" fillId="11" borderId="77"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20" fillId="11" borderId="75"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17" fontId="1" fillId="0" borderId="0" xfId="0" applyNumberFormat="1" applyFont="1" applyAlignment="1">
      <alignment vertical="center"/>
    </xf>
  </cellXfs>
  <cellStyles count="6">
    <cellStyle name="Hipervínculo" xfId="5" builtinId="8"/>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64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user-PC/Downloads/Seguimiento%20Mapa_riesgos_ERU_2022_V4%20-%20Mayo%20-%20agosto%20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file:///\\192.168.10.203\ogs\0%20OFICINA%20DE%20GESTION%20SOCIAL%202022\ATENCION%20AL%20CIUDADANO\INDUCCION-CAPACITACI&#211;N" TargetMode="External"/><Relationship Id="rId3" Type="http://schemas.openxmlformats.org/officeDocument/2006/relationships/hyperlink" Target="file:///\\192.168.10.203\ogs\0%20OFICINA%20DE%20GESTION%20SOCIAL%202022\ATENCION%20AL%20CIUDADANO%20%20%20%20%20%20%20%20%20%20%20%20%20%20%20%20%20%20" TargetMode="External"/><Relationship Id="rId7" Type="http://schemas.openxmlformats.org/officeDocument/2006/relationships/hyperlink" Target="http://186.154.195.124/mipg-sig?field_proceso_target_id=187" TargetMode="External"/><Relationship Id="rId2" Type="http://schemas.openxmlformats.org/officeDocument/2006/relationships/hyperlink" Target="file:///\\192.168.10.203\ogs\0%20OFICINA%20DE%20GESTION%20SOCIAL%202021\INFORMES%20CONTRATISTAS" TargetMode="External"/><Relationship Id="rId1" Type="http://schemas.openxmlformats.org/officeDocument/2006/relationships/hyperlink" Target="file:///\\192.168.10.203\ogs\0%20OFICINA%20DE%20GESTION%20SOCIAL%202022\MAPA%20DE%20RIESGO%20OGS\MAYO" TargetMode="External"/><Relationship Id="rId6" Type="http://schemas.openxmlformats.org/officeDocument/2006/relationships/hyperlink" Target="file:///\\192.168.10.203\ogs\0%20OFICINA%20DE%20GESTION%20SOCIAL%202022\ATENCION%20AL%20CIUDADANO\INDUCCION-CAPACITACI&#211;N" TargetMode="External"/><Relationship Id="rId11" Type="http://schemas.openxmlformats.org/officeDocument/2006/relationships/printerSettings" Target="../printerSettings/printerSettings3.bin"/><Relationship Id="rId5" Type="http://schemas.openxmlformats.org/officeDocument/2006/relationships/hyperlink" Target="file:///\\192.168.10.203\ogs\0%20OFICINA%20DE%20GESTION%20SOCIAL%202022\ATENCION%20AL%20CIUDADANO\CAPACITACIONES%20FUNCIONALES" TargetMode="External"/><Relationship Id="rId10" Type="http://schemas.openxmlformats.org/officeDocument/2006/relationships/hyperlink" Target="http://10.115.245.74/mipg-sig?field_proceso_target_id=153" TargetMode="External"/><Relationship Id="rId4" Type="http://schemas.openxmlformats.org/officeDocument/2006/relationships/hyperlink" Target="file:///\\192.168.10.203\ogs\0%20OFICINA%20DE%20GESTION%20SOCIAL%202022\ATENCION%20AL%20CIUDADANO\SOPORTES%20CUALIFICACI&#211;N" TargetMode="External"/><Relationship Id="rId9" Type="http://schemas.openxmlformats.org/officeDocument/2006/relationships/hyperlink" Target="file:///\\192.168.10.203\ogs\0%20OFICINA%20DE%20GESTION%20SOCIAL%202022\ATENCION%20AL%20CIUDADANO\SOPORTES%20CUALIFICACI&#211;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55" customWidth="1"/>
    <col min="2" max="3" width="24.7109375" style="55" customWidth="1"/>
    <col min="4" max="4" width="16" style="55" customWidth="1"/>
    <col min="5" max="5" width="24.7109375" style="55" customWidth="1"/>
    <col min="6" max="6" width="27.7109375" style="55" customWidth="1"/>
    <col min="7" max="8" width="24.7109375" style="55" customWidth="1"/>
    <col min="9" max="16384" width="11.42578125" style="55"/>
  </cols>
  <sheetData>
    <row r="1" spans="2:8" ht="15.75" thickBot="1" x14ac:dyDescent="0.3"/>
    <row r="2" spans="2:8" ht="18" x14ac:dyDescent="0.25">
      <c r="B2" s="296" t="s">
        <v>140</v>
      </c>
      <c r="C2" s="297"/>
      <c r="D2" s="297"/>
      <c r="E2" s="297"/>
      <c r="F2" s="297"/>
      <c r="G2" s="297"/>
      <c r="H2" s="298"/>
    </row>
    <row r="3" spans="2:8" x14ac:dyDescent="0.25">
      <c r="B3" s="56"/>
      <c r="C3" s="57"/>
      <c r="D3" s="57"/>
      <c r="E3" s="57"/>
      <c r="F3" s="57"/>
      <c r="G3" s="57"/>
      <c r="H3" s="58"/>
    </row>
    <row r="4" spans="2:8" ht="63" customHeight="1" x14ac:dyDescent="0.25">
      <c r="B4" s="299" t="s">
        <v>183</v>
      </c>
      <c r="C4" s="300"/>
      <c r="D4" s="300"/>
      <c r="E4" s="300"/>
      <c r="F4" s="300"/>
      <c r="G4" s="300"/>
      <c r="H4" s="301"/>
    </row>
    <row r="5" spans="2:8" ht="63" customHeight="1" x14ac:dyDescent="0.25">
      <c r="B5" s="302"/>
      <c r="C5" s="303"/>
      <c r="D5" s="303"/>
      <c r="E5" s="303"/>
      <c r="F5" s="303"/>
      <c r="G5" s="303"/>
      <c r="H5" s="304"/>
    </row>
    <row r="6" spans="2:8" ht="16.5" x14ac:dyDescent="0.25">
      <c r="B6" s="305" t="s">
        <v>138</v>
      </c>
      <c r="C6" s="306"/>
      <c r="D6" s="306"/>
      <c r="E6" s="306"/>
      <c r="F6" s="306"/>
      <c r="G6" s="306"/>
      <c r="H6" s="307"/>
    </row>
    <row r="7" spans="2:8" ht="95.25" customHeight="1" x14ac:dyDescent="0.25">
      <c r="B7" s="315" t="s">
        <v>143</v>
      </c>
      <c r="C7" s="316"/>
      <c r="D7" s="316"/>
      <c r="E7" s="316"/>
      <c r="F7" s="316"/>
      <c r="G7" s="316"/>
      <c r="H7" s="317"/>
    </row>
    <row r="8" spans="2:8" ht="16.5" x14ac:dyDescent="0.25">
      <c r="B8" s="92"/>
      <c r="C8" s="93"/>
      <c r="D8" s="93"/>
      <c r="E8" s="93"/>
      <c r="F8" s="93"/>
      <c r="G8" s="93"/>
      <c r="H8" s="94"/>
    </row>
    <row r="9" spans="2:8" ht="16.5" customHeight="1" x14ac:dyDescent="0.25">
      <c r="B9" s="308" t="s">
        <v>176</v>
      </c>
      <c r="C9" s="309"/>
      <c r="D9" s="309"/>
      <c r="E9" s="309"/>
      <c r="F9" s="309"/>
      <c r="G9" s="309"/>
      <c r="H9" s="310"/>
    </row>
    <row r="10" spans="2:8" ht="44.25" customHeight="1" x14ac:dyDescent="0.25">
      <c r="B10" s="308"/>
      <c r="C10" s="309"/>
      <c r="D10" s="309"/>
      <c r="E10" s="309"/>
      <c r="F10" s="309"/>
      <c r="G10" s="309"/>
      <c r="H10" s="310"/>
    </row>
    <row r="11" spans="2:8" ht="15.75" thickBot="1" x14ac:dyDescent="0.3">
      <c r="B11" s="81"/>
      <c r="C11" s="84"/>
      <c r="D11" s="89"/>
      <c r="E11" s="90"/>
      <c r="F11" s="90"/>
      <c r="G11" s="91"/>
      <c r="H11" s="85"/>
    </row>
    <row r="12" spans="2:8" ht="15.75" thickTop="1" x14ac:dyDescent="0.25">
      <c r="B12" s="81"/>
      <c r="C12" s="311" t="s">
        <v>139</v>
      </c>
      <c r="D12" s="312"/>
      <c r="E12" s="313" t="s">
        <v>177</v>
      </c>
      <c r="F12" s="314"/>
      <c r="G12" s="84"/>
      <c r="H12" s="85"/>
    </row>
    <row r="13" spans="2:8" ht="35.25" customHeight="1" x14ac:dyDescent="0.25">
      <c r="B13" s="81"/>
      <c r="C13" s="283" t="s">
        <v>170</v>
      </c>
      <c r="D13" s="284"/>
      <c r="E13" s="285" t="s">
        <v>175</v>
      </c>
      <c r="F13" s="286"/>
      <c r="G13" s="84"/>
      <c r="H13" s="85"/>
    </row>
    <row r="14" spans="2:8" ht="17.25" customHeight="1" x14ac:dyDescent="0.25">
      <c r="B14" s="81"/>
      <c r="C14" s="283" t="s">
        <v>171</v>
      </c>
      <c r="D14" s="284"/>
      <c r="E14" s="285" t="s">
        <v>173</v>
      </c>
      <c r="F14" s="286"/>
      <c r="G14" s="84"/>
      <c r="H14" s="85"/>
    </row>
    <row r="15" spans="2:8" ht="19.5" customHeight="1" x14ac:dyDescent="0.25">
      <c r="B15" s="81"/>
      <c r="C15" s="283" t="s">
        <v>172</v>
      </c>
      <c r="D15" s="284"/>
      <c r="E15" s="285" t="s">
        <v>174</v>
      </c>
      <c r="F15" s="286"/>
      <c r="G15" s="84"/>
      <c r="H15" s="85"/>
    </row>
    <row r="16" spans="2:8" ht="69.75" customHeight="1" x14ac:dyDescent="0.25">
      <c r="B16" s="81"/>
      <c r="C16" s="283" t="s">
        <v>141</v>
      </c>
      <c r="D16" s="284"/>
      <c r="E16" s="285" t="s">
        <v>142</v>
      </c>
      <c r="F16" s="286"/>
      <c r="G16" s="84"/>
      <c r="H16" s="85"/>
    </row>
    <row r="17" spans="2:8" ht="34.5" customHeight="1" x14ac:dyDescent="0.25">
      <c r="B17" s="81"/>
      <c r="C17" s="287" t="s">
        <v>2</v>
      </c>
      <c r="D17" s="288"/>
      <c r="E17" s="279" t="s">
        <v>184</v>
      </c>
      <c r="F17" s="280"/>
      <c r="G17" s="84"/>
      <c r="H17" s="85"/>
    </row>
    <row r="18" spans="2:8" ht="27.75" customHeight="1" x14ac:dyDescent="0.25">
      <c r="B18" s="81"/>
      <c r="C18" s="287" t="s">
        <v>3</v>
      </c>
      <c r="D18" s="288"/>
      <c r="E18" s="279" t="s">
        <v>185</v>
      </c>
      <c r="F18" s="280"/>
      <c r="G18" s="84"/>
      <c r="H18" s="85"/>
    </row>
    <row r="19" spans="2:8" ht="28.5" customHeight="1" x14ac:dyDescent="0.25">
      <c r="B19" s="81"/>
      <c r="C19" s="287" t="s">
        <v>38</v>
      </c>
      <c r="D19" s="288"/>
      <c r="E19" s="279" t="s">
        <v>186</v>
      </c>
      <c r="F19" s="280"/>
      <c r="G19" s="84"/>
      <c r="H19" s="85"/>
    </row>
    <row r="20" spans="2:8" ht="72.75" customHeight="1" x14ac:dyDescent="0.25">
      <c r="B20" s="81"/>
      <c r="C20" s="287" t="s">
        <v>1</v>
      </c>
      <c r="D20" s="288"/>
      <c r="E20" s="279" t="s">
        <v>187</v>
      </c>
      <c r="F20" s="280"/>
      <c r="G20" s="84"/>
      <c r="H20" s="85"/>
    </row>
    <row r="21" spans="2:8" ht="64.5" customHeight="1" x14ac:dyDescent="0.25">
      <c r="B21" s="81"/>
      <c r="C21" s="287" t="s">
        <v>44</v>
      </c>
      <c r="D21" s="288"/>
      <c r="E21" s="279" t="s">
        <v>145</v>
      </c>
      <c r="F21" s="280"/>
      <c r="G21" s="84"/>
      <c r="H21" s="85"/>
    </row>
    <row r="22" spans="2:8" ht="71.25" customHeight="1" x14ac:dyDescent="0.25">
      <c r="B22" s="81"/>
      <c r="C22" s="287" t="s">
        <v>144</v>
      </c>
      <c r="D22" s="288"/>
      <c r="E22" s="279" t="s">
        <v>146</v>
      </c>
      <c r="F22" s="280"/>
      <c r="G22" s="84"/>
      <c r="H22" s="85"/>
    </row>
    <row r="23" spans="2:8" ht="55.5" customHeight="1" x14ac:dyDescent="0.25">
      <c r="B23" s="81"/>
      <c r="C23" s="281" t="s">
        <v>147</v>
      </c>
      <c r="D23" s="282"/>
      <c r="E23" s="279" t="s">
        <v>148</v>
      </c>
      <c r="F23" s="280"/>
      <c r="G23" s="84"/>
      <c r="H23" s="85"/>
    </row>
    <row r="24" spans="2:8" ht="42" customHeight="1" x14ac:dyDescent="0.25">
      <c r="B24" s="81"/>
      <c r="C24" s="281" t="s">
        <v>42</v>
      </c>
      <c r="D24" s="282"/>
      <c r="E24" s="279" t="s">
        <v>149</v>
      </c>
      <c r="F24" s="280"/>
      <c r="G24" s="84"/>
      <c r="H24" s="85"/>
    </row>
    <row r="25" spans="2:8" ht="59.25" customHeight="1" x14ac:dyDescent="0.25">
      <c r="B25" s="81"/>
      <c r="C25" s="281" t="s">
        <v>137</v>
      </c>
      <c r="D25" s="282"/>
      <c r="E25" s="279" t="s">
        <v>150</v>
      </c>
      <c r="F25" s="280"/>
      <c r="G25" s="84"/>
      <c r="H25" s="85"/>
    </row>
    <row r="26" spans="2:8" ht="23.25" customHeight="1" x14ac:dyDescent="0.25">
      <c r="B26" s="81"/>
      <c r="C26" s="281" t="s">
        <v>12</v>
      </c>
      <c r="D26" s="282"/>
      <c r="E26" s="279" t="s">
        <v>151</v>
      </c>
      <c r="F26" s="280"/>
      <c r="G26" s="84"/>
      <c r="H26" s="85"/>
    </row>
    <row r="27" spans="2:8" ht="30.75" customHeight="1" x14ac:dyDescent="0.25">
      <c r="B27" s="81"/>
      <c r="C27" s="281" t="s">
        <v>155</v>
      </c>
      <c r="D27" s="282"/>
      <c r="E27" s="279" t="s">
        <v>152</v>
      </c>
      <c r="F27" s="280"/>
      <c r="G27" s="84"/>
      <c r="H27" s="85"/>
    </row>
    <row r="28" spans="2:8" ht="35.25" customHeight="1" x14ac:dyDescent="0.25">
      <c r="B28" s="81"/>
      <c r="C28" s="281" t="s">
        <v>156</v>
      </c>
      <c r="D28" s="282"/>
      <c r="E28" s="279" t="s">
        <v>153</v>
      </c>
      <c r="F28" s="280"/>
      <c r="G28" s="84"/>
      <c r="H28" s="85"/>
    </row>
    <row r="29" spans="2:8" ht="33" customHeight="1" x14ac:dyDescent="0.25">
      <c r="B29" s="81"/>
      <c r="C29" s="281" t="s">
        <v>156</v>
      </c>
      <c r="D29" s="282"/>
      <c r="E29" s="279" t="s">
        <v>153</v>
      </c>
      <c r="F29" s="280"/>
      <c r="G29" s="84"/>
      <c r="H29" s="85"/>
    </row>
    <row r="30" spans="2:8" ht="30" customHeight="1" x14ac:dyDescent="0.25">
      <c r="B30" s="81"/>
      <c r="C30" s="281" t="s">
        <v>157</v>
      </c>
      <c r="D30" s="282"/>
      <c r="E30" s="279" t="s">
        <v>154</v>
      </c>
      <c r="F30" s="280"/>
      <c r="G30" s="84"/>
      <c r="H30" s="85"/>
    </row>
    <row r="31" spans="2:8" ht="35.25" customHeight="1" x14ac:dyDescent="0.25">
      <c r="B31" s="81"/>
      <c r="C31" s="281" t="s">
        <v>158</v>
      </c>
      <c r="D31" s="282"/>
      <c r="E31" s="279" t="s">
        <v>159</v>
      </c>
      <c r="F31" s="280"/>
      <c r="G31" s="84"/>
      <c r="H31" s="85"/>
    </row>
    <row r="32" spans="2:8" ht="31.5" customHeight="1" x14ac:dyDescent="0.25">
      <c r="B32" s="81"/>
      <c r="C32" s="281" t="s">
        <v>160</v>
      </c>
      <c r="D32" s="282"/>
      <c r="E32" s="279" t="s">
        <v>161</v>
      </c>
      <c r="F32" s="280"/>
      <c r="G32" s="84"/>
      <c r="H32" s="85"/>
    </row>
    <row r="33" spans="2:8" ht="35.25" customHeight="1" x14ac:dyDescent="0.25">
      <c r="B33" s="81"/>
      <c r="C33" s="281" t="s">
        <v>162</v>
      </c>
      <c r="D33" s="282"/>
      <c r="E33" s="279" t="s">
        <v>163</v>
      </c>
      <c r="F33" s="280"/>
      <c r="G33" s="84"/>
      <c r="H33" s="85"/>
    </row>
    <row r="34" spans="2:8" ht="59.25" customHeight="1" x14ac:dyDescent="0.25">
      <c r="B34" s="81"/>
      <c r="C34" s="281" t="s">
        <v>164</v>
      </c>
      <c r="D34" s="282"/>
      <c r="E34" s="279" t="s">
        <v>165</v>
      </c>
      <c r="F34" s="280"/>
      <c r="G34" s="84"/>
      <c r="H34" s="85"/>
    </row>
    <row r="35" spans="2:8" ht="29.25" customHeight="1" x14ac:dyDescent="0.25">
      <c r="B35" s="81"/>
      <c r="C35" s="281" t="s">
        <v>29</v>
      </c>
      <c r="D35" s="282"/>
      <c r="E35" s="279" t="s">
        <v>166</v>
      </c>
      <c r="F35" s="280"/>
      <c r="G35" s="84"/>
      <c r="H35" s="85"/>
    </row>
    <row r="36" spans="2:8" ht="82.5" customHeight="1" x14ac:dyDescent="0.25">
      <c r="B36" s="81"/>
      <c r="C36" s="281" t="s">
        <v>168</v>
      </c>
      <c r="D36" s="282"/>
      <c r="E36" s="279" t="s">
        <v>167</v>
      </c>
      <c r="F36" s="280"/>
      <c r="G36" s="84"/>
      <c r="H36" s="85"/>
    </row>
    <row r="37" spans="2:8" ht="46.5" customHeight="1" x14ac:dyDescent="0.25">
      <c r="B37" s="81"/>
      <c r="C37" s="281" t="s">
        <v>35</v>
      </c>
      <c r="D37" s="282"/>
      <c r="E37" s="279" t="s">
        <v>169</v>
      </c>
      <c r="F37" s="280"/>
      <c r="G37" s="84"/>
      <c r="H37" s="85"/>
    </row>
    <row r="38" spans="2:8" ht="6.75" customHeight="1" thickBot="1" x14ac:dyDescent="0.3">
      <c r="B38" s="81"/>
      <c r="C38" s="292"/>
      <c r="D38" s="293"/>
      <c r="E38" s="294"/>
      <c r="F38" s="295"/>
      <c r="G38" s="84"/>
      <c r="H38" s="85"/>
    </row>
    <row r="39" spans="2:8" ht="15.75" thickTop="1" x14ac:dyDescent="0.25">
      <c r="B39" s="81"/>
      <c r="C39" s="82"/>
      <c r="D39" s="82"/>
      <c r="E39" s="83"/>
      <c r="F39" s="83"/>
      <c r="G39" s="84"/>
      <c r="H39" s="85"/>
    </row>
    <row r="40" spans="2:8" ht="21" customHeight="1" x14ac:dyDescent="0.25">
      <c r="B40" s="289" t="s">
        <v>178</v>
      </c>
      <c r="C40" s="290"/>
      <c r="D40" s="290"/>
      <c r="E40" s="290"/>
      <c r="F40" s="290"/>
      <c r="G40" s="290"/>
      <c r="H40" s="291"/>
    </row>
    <row r="41" spans="2:8" ht="20.25" customHeight="1" x14ac:dyDescent="0.25">
      <c r="B41" s="289" t="s">
        <v>179</v>
      </c>
      <c r="C41" s="290"/>
      <c r="D41" s="290"/>
      <c r="E41" s="290"/>
      <c r="F41" s="290"/>
      <c r="G41" s="290"/>
      <c r="H41" s="291"/>
    </row>
    <row r="42" spans="2:8" ht="20.25" customHeight="1" x14ac:dyDescent="0.25">
      <c r="B42" s="289" t="s">
        <v>180</v>
      </c>
      <c r="C42" s="290"/>
      <c r="D42" s="290"/>
      <c r="E42" s="290"/>
      <c r="F42" s="290"/>
      <c r="G42" s="290"/>
      <c r="H42" s="291"/>
    </row>
    <row r="43" spans="2:8" ht="20.25" customHeight="1" x14ac:dyDescent="0.25">
      <c r="B43" s="289" t="s">
        <v>181</v>
      </c>
      <c r="C43" s="290"/>
      <c r="D43" s="290"/>
      <c r="E43" s="290"/>
      <c r="F43" s="290"/>
      <c r="G43" s="290"/>
      <c r="H43" s="291"/>
    </row>
    <row r="44" spans="2:8" x14ac:dyDescent="0.25">
      <c r="B44" s="289" t="s">
        <v>182</v>
      </c>
      <c r="C44" s="290"/>
      <c r="D44" s="290"/>
      <c r="E44" s="290"/>
      <c r="F44" s="290"/>
      <c r="G44" s="290"/>
      <c r="H44" s="291"/>
    </row>
    <row r="45" spans="2:8" ht="15.75" thickBot="1" x14ac:dyDescent="0.3">
      <c r="B45" s="86"/>
      <c r="C45" s="87"/>
      <c r="D45" s="87"/>
      <c r="E45" s="87"/>
      <c r="F45" s="87"/>
      <c r="G45" s="87"/>
      <c r="H45" s="88"/>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22" zoomScale="60" zoomScaleNormal="60" workbookViewId="0">
      <selection activeCell="O273" sqref="O273"/>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row>
    <row r="2" spans="1:76" ht="18" customHeight="1" x14ac:dyDescent="0.25">
      <c r="A2" s="55"/>
      <c r="B2" s="335" t="s">
        <v>134</v>
      </c>
      <c r="C2" s="336"/>
      <c r="D2" s="336"/>
      <c r="E2" s="336"/>
      <c r="F2" s="336"/>
      <c r="G2" s="336"/>
      <c r="H2" s="336"/>
      <c r="I2" s="336"/>
      <c r="J2" s="337" t="s">
        <v>2</v>
      </c>
      <c r="K2" s="337"/>
      <c r="L2" s="337"/>
      <c r="M2" s="337"/>
      <c r="N2" s="337"/>
      <c r="O2" s="337"/>
      <c r="P2" s="337"/>
      <c r="Q2" s="337"/>
      <c r="R2" s="337"/>
      <c r="S2" s="337"/>
      <c r="T2" s="337"/>
      <c r="U2" s="337"/>
      <c r="V2" s="337"/>
      <c r="W2" s="337"/>
      <c r="X2" s="337"/>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row>
    <row r="3" spans="1:76" ht="18.75" customHeight="1" x14ac:dyDescent="0.25">
      <c r="A3" s="55"/>
      <c r="B3" s="336"/>
      <c r="C3" s="336"/>
      <c r="D3" s="336"/>
      <c r="E3" s="336"/>
      <c r="F3" s="336"/>
      <c r="G3" s="336"/>
      <c r="H3" s="336"/>
      <c r="I3" s="336"/>
      <c r="J3" s="337"/>
      <c r="K3" s="337"/>
      <c r="L3" s="337"/>
      <c r="M3" s="337"/>
      <c r="N3" s="337"/>
      <c r="O3" s="337"/>
      <c r="P3" s="337"/>
      <c r="Q3" s="337"/>
      <c r="R3" s="337"/>
      <c r="S3" s="337"/>
      <c r="T3" s="337"/>
      <c r="U3" s="337"/>
      <c r="V3" s="337"/>
      <c r="W3" s="337"/>
      <c r="X3" s="337"/>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row>
    <row r="4" spans="1:76" ht="15" customHeight="1" x14ac:dyDescent="0.25">
      <c r="A4" s="55"/>
      <c r="B4" s="336"/>
      <c r="C4" s="336"/>
      <c r="D4" s="336"/>
      <c r="E4" s="336"/>
      <c r="F4" s="336"/>
      <c r="G4" s="336"/>
      <c r="H4" s="336"/>
      <c r="I4" s="336"/>
      <c r="J4" s="337"/>
      <c r="K4" s="337"/>
      <c r="L4" s="337"/>
      <c r="M4" s="337"/>
      <c r="N4" s="337"/>
      <c r="O4" s="337"/>
      <c r="P4" s="337"/>
      <c r="Q4" s="337"/>
      <c r="R4" s="337"/>
      <c r="S4" s="337"/>
      <c r="T4" s="337"/>
      <c r="U4" s="337"/>
      <c r="V4" s="337"/>
      <c r="W4" s="337"/>
      <c r="X4" s="337"/>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row>
    <row r="5" spans="1:76"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row>
    <row r="6" spans="1:76" ht="15" customHeight="1" x14ac:dyDescent="0.25">
      <c r="A6" s="55"/>
      <c r="B6" s="338" t="s">
        <v>4</v>
      </c>
      <c r="C6" s="338"/>
      <c r="D6" s="339"/>
      <c r="E6" s="324" t="s">
        <v>107</v>
      </c>
      <c r="F6" s="325"/>
      <c r="G6" s="325"/>
      <c r="H6" s="325"/>
      <c r="I6" s="325"/>
      <c r="J6" s="99" t="str">
        <f ca="1">IF(AND('Mapa final'!$AB$7="Muy Alta",'Mapa final'!$AD$7="Leve"),CONCATENATE("R1C",'Mapa final'!$R$7),"")</f>
        <v/>
      </c>
      <c r="K6" s="100" t="str">
        <f>IF(AND('Mapa final'!$AB$8="Muy Alta",'Mapa final'!$AD$8="Leve"),CONCATENATE("R1C",'Mapa final'!$R$8),"")</f>
        <v/>
      </c>
      <c r="L6" s="101" t="str">
        <f>IF(AND('Mapa final'!$AB$9="Muy Alta",'Mapa final'!$AD$9="Leve"),CONCATENATE("R1C",'Mapa final'!$R$9),"")</f>
        <v/>
      </c>
      <c r="M6" s="99" t="str">
        <f ca="1">IF(AND('Mapa final'!$AB$7="Muy Alta",'Mapa final'!$AD$7="Menor"),CONCATENATE("R1C",'Mapa final'!$R$7),"")</f>
        <v/>
      </c>
      <c r="N6" s="100" t="str">
        <f>IF(AND('Mapa final'!$AB$8="Muy Alta",'Mapa final'!$AD$8="Menor"),CONCATENATE("R1C",'Mapa final'!$R$8),"")</f>
        <v/>
      </c>
      <c r="O6" s="101" t="str">
        <f>IF(AND('Mapa final'!$AB$9="Muy Alta",'Mapa final'!$AD$9="Menor"),CONCATENATE("R1C",'Mapa final'!$R$9),"")</f>
        <v/>
      </c>
      <c r="P6" s="99" t="str">
        <f ca="1">IF(AND('Mapa final'!$AB$7="Muy Alta",'Mapa final'!$AD$7="Moderado"),CONCATENATE("R1C",'Mapa final'!$R$7),"")</f>
        <v/>
      </c>
      <c r="Q6" s="100" t="str">
        <f>IF(AND('Mapa final'!$AB$8="Muy Alta",'Mapa final'!$AD$8="Moderado"),CONCATENATE("R1C",'Mapa final'!$R$8),"")</f>
        <v/>
      </c>
      <c r="R6" s="101" t="str">
        <f>IF(AND('Mapa final'!$AB$9="Muy Alta",'Mapa final'!$AD$9="Moderado"),CONCATENATE("R1C",'Mapa final'!$R$9),"")</f>
        <v/>
      </c>
      <c r="S6" s="99" t="str">
        <f ca="1">IF(AND('Mapa final'!$AB$7="Muy Alta",'Mapa final'!$AD$7="Mayor"),CONCATENATE("R1C",'Mapa final'!$R$7),"")</f>
        <v/>
      </c>
      <c r="T6" s="100" t="str">
        <f>IF(AND('Mapa final'!$AB$8="Muy Alta",'Mapa final'!$AD$8="Mayor"),CONCATENATE("R1C",'Mapa final'!$R$8),"")</f>
        <v/>
      </c>
      <c r="U6" s="101" t="str">
        <f>IF(AND('Mapa final'!$AB$9="Muy Alta",'Mapa final'!$AD$9="Mayor"),CONCATENATE("R1C",'Mapa final'!$R$9),"")</f>
        <v/>
      </c>
      <c r="V6" s="39" t="str">
        <f ca="1">IF(AND('Mapa final'!$AB$7="Muy Alta",'Mapa final'!$AD$7="Catastrófico"),CONCATENATE("R1C",'Mapa final'!$R$7),"")</f>
        <v/>
      </c>
      <c r="W6" s="40" t="str">
        <f>IF(AND('Mapa final'!$AB$8="Muy Alta",'Mapa final'!$AD$8="Catastrófico"),CONCATENATE("R1C",'Mapa final'!$R$8),"")</f>
        <v/>
      </c>
      <c r="X6" s="96" t="str">
        <f>IF(AND('Mapa final'!$AB$9="Muy Alta",'Mapa final'!$AD$9="Catastrófico"),CONCATENATE("R1C",'Mapa final'!$R$9),"")</f>
        <v/>
      </c>
      <c r="Y6" s="55"/>
      <c r="Z6" s="329" t="s">
        <v>73</v>
      </c>
      <c r="AA6" s="330"/>
      <c r="AB6" s="330"/>
      <c r="AC6" s="330"/>
      <c r="AD6" s="330"/>
      <c r="AE6" s="331"/>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row>
    <row r="7" spans="1:76" ht="15" customHeight="1" x14ac:dyDescent="0.25">
      <c r="A7" s="55"/>
      <c r="B7" s="338"/>
      <c r="C7" s="338"/>
      <c r="D7" s="339"/>
      <c r="E7" s="328"/>
      <c r="F7" s="327"/>
      <c r="G7" s="327"/>
      <c r="H7" s="327"/>
      <c r="I7" s="327"/>
      <c r="J7" s="102" t="str">
        <f ca="1">IF(AND('Mapa final'!$AB$10="Muy Alta",'Mapa final'!$AD$10="Leve"),CONCATENATE("R2C",'Mapa final'!$R$10),"")</f>
        <v/>
      </c>
      <c r="K7" s="41" t="str">
        <f>IF(AND('Mapa final'!$AB$11="Muy Alta",'Mapa final'!$AD$11="Leve"),CONCATENATE("R2C",'Mapa final'!$R$11),"")</f>
        <v/>
      </c>
      <c r="L7" s="103" t="str">
        <f>IF(AND('Mapa final'!$AB$12="Muy Alta",'Mapa final'!$AD$12="Leve"),CONCATENATE("R2C",'Mapa final'!$R$12),"")</f>
        <v/>
      </c>
      <c r="M7" s="102" t="str">
        <f ca="1">IF(AND('Mapa final'!$AB$10="Muy Alta",'Mapa final'!$AD$10="Menor"),CONCATENATE("R2C",'Mapa final'!$R$10),"")</f>
        <v/>
      </c>
      <c r="N7" s="41" t="str">
        <f>IF(AND('Mapa final'!$AB$11="Muy Alta",'Mapa final'!$AD$11="Menor"),CONCATENATE("R2C",'Mapa final'!$R$11),"")</f>
        <v/>
      </c>
      <c r="O7" s="103" t="str">
        <f>IF(AND('Mapa final'!$AB$12="Muy Alta",'Mapa final'!$AD$12="Menor"),CONCATENATE("R2C",'Mapa final'!$R$12),"")</f>
        <v/>
      </c>
      <c r="P7" s="102" t="str">
        <f ca="1">IF(AND('Mapa final'!$AB$10="Muy Alta",'Mapa final'!$AD$10="Moderado"),CONCATENATE("R2C",'Mapa final'!$R$10),"")</f>
        <v/>
      </c>
      <c r="Q7" s="41" t="str">
        <f>IF(AND('Mapa final'!$AB$11="Muy Alta",'Mapa final'!$AD$11="Moderado"),CONCATENATE("R2C",'Mapa final'!$R$11),"")</f>
        <v/>
      </c>
      <c r="R7" s="103" t="str">
        <f>IF(AND('Mapa final'!$AB$12="Muy Alta",'Mapa final'!$AD$12="Moderado"),CONCATENATE("R2C",'Mapa final'!$R$12),"")</f>
        <v/>
      </c>
      <c r="S7" s="102" t="str">
        <f ca="1">IF(AND('Mapa final'!$AB$10="Muy Alta",'Mapa final'!$AD$10="Mayor"),CONCATENATE("R2C",'Mapa final'!$R$10),"")</f>
        <v/>
      </c>
      <c r="T7" s="41" t="str">
        <f>IF(AND('Mapa final'!$AB$11="Muy Alta",'Mapa final'!$AD$11="Mayor"),CONCATENATE("R2C",'Mapa final'!$R$11),"")</f>
        <v/>
      </c>
      <c r="U7" s="103" t="str">
        <f>IF(AND('Mapa final'!$AB$12="Muy Alta",'Mapa final'!$AD$12="Mayor"),CONCATENATE("R2C",'Mapa final'!$R$12),"")</f>
        <v/>
      </c>
      <c r="V7" s="42" t="str">
        <f ca="1">IF(AND('Mapa final'!$AB$10="Muy Alta",'Mapa final'!$AD$10="Catastrófico"),CONCATENATE("R2C",'Mapa final'!$R$10),"")</f>
        <v/>
      </c>
      <c r="W7" s="43" t="str">
        <f>IF(AND('Mapa final'!$AB$11="Muy Alta",'Mapa final'!$AD$11="Catastrófico"),CONCATENATE("R2C",'Mapa final'!$R$11),"")</f>
        <v/>
      </c>
      <c r="X7" s="97" t="str">
        <f>IF(AND('Mapa final'!$AB$12="Muy Alta",'Mapa final'!$AD$12="Catastrófico"),CONCATENATE("R2C",'Mapa final'!$R$12),"")</f>
        <v/>
      </c>
      <c r="Y7" s="55"/>
      <c r="Z7" s="332"/>
      <c r="AA7" s="333"/>
      <c r="AB7" s="333"/>
      <c r="AC7" s="333"/>
      <c r="AD7" s="333"/>
      <c r="AE7" s="334"/>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row>
    <row r="8" spans="1:76" ht="15" customHeight="1" x14ac:dyDescent="0.25">
      <c r="A8" s="55"/>
      <c r="B8" s="338"/>
      <c r="C8" s="338"/>
      <c r="D8" s="339"/>
      <c r="E8" s="328"/>
      <c r="F8" s="327"/>
      <c r="G8" s="327"/>
      <c r="H8" s="327"/>
      <c r="I8" s="327"/>
      <c r="J8" s="102" t="str">
        <f ca="1">IF(AND('Mapa final'!$AB$13="Muy Alta",'Mapa final'!$AD$13="Leve"),CONCATENATE("R3C",'Mapa final'!$R$13),"")</f>
        <v/>
      </c>
      <c r="K8" s="41" t="str">
        <f>IF(AND('Mapa final'!$AB$14="Muy Alta",'Mapa final'!$AD$14="Leve"),CONCATENATE("R3C",'Mapa final'!$R$14),"")</f>
        <v/>
      </c>
      <c r="L8" s="103" t="str">
        <f>IF(AND('Mapa final'!$AB$15="Muy Alta",'Mapa final'!$AD$15="Leve"),CONCATENATE("R3C",'Mapa final'!$R$15),"")</f>
        <v/>
      </c>
      <c r="M8" s="102" t="str">
        <f ca="1">IF(AND('Mapa final'!$AB$13="Muy Alta",'Mapa final'!$AD$13="Menor"),CONCATENATE("R3C",'Mapa final'!$R$13),"")</f>
        <v/>
      </c>
      <c r="N8" s="41" t="str">
        <f>IF(AND('Mapa final'!$AB$14="Muy Alta",'Mapa final'!$AD$14="Menor"),CONCATENATE("R3C",'Mapa final'!$R$14),"")</f>
        <v/>
      </c>
      <c r="O8" s="103" t="str">
        <f>IF(AND('Mapa final'!$AB$15="Muy Alta",'Mapa final'!$AD$15="Menor"),CONCATENATE("R3C",'Mapa final'!$R$15),"")</f>
        <v/>
      </c>
      <c r="P8" s="102" t="str">
        <f ca="1">IF(AND('Mapa final'!$AB$13="Muy Alta",'Mapa final'!$AD$13="Moderado"),CONCATENATE("R3C",'Mapa final'!$R$13),"")</f>
        <v/>
      </c>
      <c r="Q8" s="41" t="str">
        <f>IF(AND('Mapa final'!$AB$14="Muy Alta",'Mapa final'!$AD$14="Moderado"),CONCATENATE("R3C",'Mapa final'!$R$14),"")</f>
        <v/>
      </c>
      <c r="R8" s="103" t="str">
        <f>IF(AND('Mapa final'!$AB$15="Muy Alta",'Mapa final'!$AD$15="Moderado"),CONCATENATE("R3C",'Mapa final'!$R$15),"")</f>
        <v/>
      </c>
      <c r="S8" s="102" t="str">
        <f ca="1">IF(AND('Mapa final'!$AB$13="Muy Alta",'Mapa final'!$AD$13="Mayor"),CONCATENATE("R3C",'Mapa final'!$R$13),"")</f>
        <v/>
      </c>
      <c r="T8" s="41" t="str">
        <f>IF(AND('Mapa final'!$AB$14="Muy Alta",'Mapa final'!$AD$14="Mayor"),CONCATENATE("R3C",'Mapa final'!$R$14),"")</f>
        <v/>
      </c>
      <c r="U8" s="103" t="str">
        <f>IF(AND('Mapa final'!$AB$15="Muy Alta",'Mapa final'!$AD$15="Mayor"),CONCATENATE("R3C",'Mapa final'!$R$15),"")</f>
        <v/>
      </c>
      <c r="V8" s="42" t="str">
        <f ca="1">IF(AND('Mapa final'!$AB$13="Muy Alta",'Mapa final'!$AD$13="Catastrófico"),CONCATENATE("R3C",'Mapa final'!$R$13),"")</f>
        <v/>
      </c>
      <c r="W8" s="43" t="str">
        <f>IF(AND('Mapa final'!$AB$14="Muy Alta",'Mapa final'!$AD$14="Catastrófico"),CONCATENATE("R3C",'Mapa final'!$R$14),"")</f>
        <v/>
      </c>
      <c r="X8" s="97" t="str">
        <f>IF(AND('Mapa final'!$AB$15="Muy Alta",'Mapa final'!$AD$15="Catastrófico"),CONCATENATE("R3C",'Mapa final'!$R$15),"")</f>
        <v/>
      </c>
      <c r="Y8" s="55"/>
      <c r="Z8" s="332"/>
      <c r="AA8" s="333"/>
      <c r="AB8" s="333"/>
      <c r="AC8" s="333"/>
      <c r="AD8" s="333"/>
      <c r="AE8" s="334"/>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row>
    <row r="9" spans="1:76" ht="15" customHeight="1" x14ac:dyDescent="0.25">
      <c r="A9" s="55"/>
      <c r="B9" s="338"/>
      <c r="C9" s="338"/>
      <c r="D9" s="339"/>
      <c r="E9" s="328"/>
      <c r="F9" s="327"/>
      <c r="G9" s="327"/>
      <c r="H9" s="327"/>
      <c r="I9" s="327"/>
      <c r="J9" s="102" t="e">
        <f>IF(AND('Mapa final'!#REF!="Muy Alta",'Mapa final'!#REF!="Leve"),CONCATENATE("R4C",'Mapa final'!#REF!),"")</f>
        <v>#REF!</v>
      </c>
      <c r="K9" s="41" t="e">
        <f>IF(AND('Mapa final'!#REF!="Muy Alta",'Mapa final'!#REF!="Leve"),CONCATENATE("R4C",'Mapa final'!#REF!),"")</f>
        <v>#REF!</v>
      </c>
      <c r="L9" s="103" t="e">
        <f>IF(AND('Mapa final'!#REF!="Muy Alta",'Mapa final'!#REF!="Leve"),CONCATENATE("R4C",'Mapa final'!#REF!),"")</f>
        <v>#REF!</v>
      </c>
      <c r="M9" s="102" t="e">
        <f>IF(AND('Mapa final'!#REF!="Muy Alta",'Mapa final'!#REF!="Menor"),CONCATENATE("R4C",'Mapa final'!#REF!),"")</f>
        <v>#REF!</v>
      </c>
      <c r="N9" s="41" t="e">
        <f>IF(AND('Mapa final'!#REF!="Muy Alta",'Mapa final'!#REF!="Menor"),CONCATENATE("R4C",'Mapa final'!#REF!),"")</f>
        <v>#REF!</v>
      </c>
      <c r="O9" s="103" t="e">
        <f>IF(AND('Mapa final'!#REF!="Muy Alta",'Mapa final'!#REF!="Menor"),CONCATENATE("R4C",'Mapa final'!#REF!),"")</f>
        <v>#REF!</v>
      </c>
      <c r="P9" s="102" t="e">
        <f>IF(AND('Mapa final'!#REF!="Muy Alta",'Mapa final'!#REF!="Moderado"),CONCATENATE("R4C",'Mapa final'!#REF!),"")</f>
        <v>#REF!</v>
      </c>
      <c r="Q9" s="41" t="e">
        <f>IF(AND('Mapa final'!#REF!="Muy Alta",'Mapa final'!#REF!="Moderado"),CONCATENATE("R4C",'Mapa final'!#REF!),"")</f>
        <v>#REF!</v>
      </c>
      <c r="R9" s="103" t="e">
        <f>IF(AND('Mapa final'!#REF!="Muy Alta",'Mapa final'!#REF!="Moderado"),CONCATENATE("R4C",'Mapa final'!#REF!),"")</f>
        <v>#REF!</v>
      </c>
      <c r="S9" s="102" t="e">
        <f>IF(AND('Mapa final'!#REF!="Muy Alta",'Mapa final'!#REF!="Mayor"),CONCATENATE("R4C",'Mapa final'!#REF!),"")</f>
        <v>#REF!</v>
      </c>
      <c r="T9" s="41" t="e">
        <f>IF(AND('Mapa final'!#REF!="Muy Alta",'Mapa final'!#REF!="Mayor"),CONCATENATE("R4C",'Mapa final'!#REF!),"")</f>
        <v>#REF!</v>
      </c>
      <c r="U9" s="103" t="e">
        <f>IF(AND('Mapa final'!#REF!="Muy Alta",'Mapa final'!#REF!="Mayor"),CONCATENATE("R4C",'Mapa final'!#REF!),"")</f>
        <v>#REF!</v>
      </c>
      <c r="V9" s="42" t="e">
        <f>IF(AND('Mapa final'!#REF!="Muy Alta",'Mapa final'!#REF!="Catastrófico"),CONCATENATE("R4C",'Mapa final'!#REF!),"")</f>
        <v>#REF!</v>
      </c>
      <c r="W9" s="43" t="e">
        <f>IF(AND('Mapa final'!#REF!="Muy Alta",'Mapa final'!#REF!="Catastrófico"),CONCATENATE("R4C",'Mapa final'!#REF!),"")</f>
        <v>#REF!</v>
      </c>
      <c r="X9" s="97" t="e">
        <f>IF(AND('Mapa final'!#REF!="Muy Alta",'Mapa final'!#REF!="Catastrófico"),CONCATENATE("R4C",'Mapa final'!#REF!),"")</f>
        <v>#REF!</v>
      </c>
      <c r="Y9" s="55"/>
      <c r="Z9" s="332"/>
      <c r="AA9" s="333"/>
      <c r="AB9" s="333"/>
      <c r="AC9" s="333"/>
      <c r="AD9" s="333"/>
      <c r="AE9" s="334"/>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row>
    <row r="10" spans="1:76" ht="15" customHeight="1" x14ac:dyDescent="0.25">
      <c r="A10" s="55"/>
      <c r="B10" s="338"/>
      <c r="C10" s="338"/>
      <c r="D10" s="339"/>
      <c r="E10" s="328"/>
      <c r="F10" s="327"/>
      <c r="G10" s="327"/>
      <c r="H10" s="327"/>
      <c r="I10" s="327"/>
      <c r="J10" s="102" t="str">
        <f ca="1">IF(AND('Mapa final'!$AB$16="Muy Alta",'Mapa final'!$AD$16="Leve"),CONCATENATE("R5C",'Mapa final'!$R$16),"")</f>
        <v/>
      </c>
      <c r="K10" s="41" t="str">
        <f>IF(AND('Mapa final'!$AB$17="Muy Alta",'Mapa final'!$AD$17="Leve"),CONCATENATE("R5C",'Mapa final'!$R$17),"")</f>
        <v/>
      </c>
      <c r="L10" s="103" t="str">
        <f>IF(AND('Mapa final'!$AB$18="Muy Alta",'Mapa final'!$AD$18="Leve"),CONCATENATE("R5C",'Mapa final'!$R$18),"")</f>
        <v/>
      </c>
      <c r="M10" s="102" t="str">
        <f ca="1">IF(AND('Mapa final'!$AB$16="Muy Alta",'Mapa final'!$AD$16="Menor"),CONCATENATE("R5C",'Mapa final'!$R$16),"")</f>
        <v/>
      </c>
      <c r="N10" s="41" t="str">
        <f>IF(AND('Mapa final'!$AB$17="Muy Alta",'Mapa final'!$AD$17="Menor"),CONCATENATE("R5C",'Mapa final'!$R$17),"")</f>
        <v/>
      </c>
      <c r="O10" s="103" t="str">
        <f>IF(AND('Mapa final'!$AB$18="Muy Alta",'Mapa final'!$AD$18="Menor"),CONCATENATE("R5C",'Mapa final'!$R$18),"")</f>
        <v/>
      </c>
      <c r="P10" s="102" t="str">
        <f ca="1">IF(AND('Mapa final'!$AB$16="Muy Alta",'Mapa final'!$AD$16="Moderado"),CONCATENATE("R5C",'Mapa final'!$R$16),"")</f>
        <v/>
      </c>
      <c r="Q10" s="41" t="str">
        <f>IF(AND('Mapa final'!$AB$17="Muy Alta",'Mapa final'!$AD$17="Moderado"),CONCATENATE("R5C",'Mapa final'!$R$17),"")</f>
        <v/>
      </c>
      <c r="R10" s="103" t="str">
        <f>IF(AND('Mapa final'!$AB$18="Muy Alta",'Mapa final'!$AD$18="Moderado"),CONCATENATE("R5C",'Mapa final'!$R$18),"")</f>
        <v/>
      </c>
      <c r="S10" s="102" t="str">
        <f ca="1">IF(AND('Mapa final'!$AB$16="Muy Alta",'Mapa final'!$AD$16="Mayor"),CONCATENATE("R5C",'Mapa final'!$R$16),"")</f>
        <v/>
      </c>
      <c r="T10" s="41" t="str">
        <f>IF(AND('Mapa final'!$AB$17="Muy Alta",'Mapa final'!$AD$17="Mayor"),CONCATENATE("R5C",'Mapa final'!$R$17),"")</f>
        <v/>
      </c>
      <c r="U10" s="103" t="str">
        <f>IF(AND('Mapa final'!$AB$18="Muy Alta",'Mapa final'!$AD$18="Mayor"),CONCATENATE("R5C",'Mapa final'!$R$18),"")</f>
        <v/>
      </c>
      <c r="V10" s="42" t="str">
        <f ca="1">IF(AND('Mapa final'!$AB$16="Muy Alta",'Mapa final'!$AD$16="Catastrófico"),CONCATENATE("R5C",'Mapa final'!$R$16),"")</f>
        <v/>
      </c>
      <c r="W10" s="43" t="str">
        <f>IF(AND('Mapa final'!$AB$17="Muy Alta",'Mapa final'!$AD$17="Catastrófico"),CONCATENATE("R5C",'Mapa final'!$R$17),"")</f>
        <v/>
      </c>
      <c r="X10" s="97" t="str">
        <f>IF(AND('Mapa final'!$AB$18="Muy Alta",'Mapa final'!$AD$18="Catastrófico"),CONCATENATE("R5C",'Mapa final'!$R$18),"")</f>
        <v/>
      </c>
      <c r="Y10" s="55"/>
      <c r="Z10" s="332"/>
      <c r="AA10" s="333"/>
      <c r="AB10" s="333"/>
      <c r="AC10" s="333"/>
      <c r="AD10" s="333"/>
      <c r="AE10" s="334"/>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row>
    <row r="11" spans="1:76" ht="15" customHeight="1" x14ac:dyDescent="0.25">
      <c r="A11" s="55"/>
      <c r="B11" s="338"/>
      <c r="C11" s="338"/>
      <c r="D11" s="339"/>
      <c r="E11" s="328"/>
      <c r="F11" s="327"/>
      <c r="G11" s="327"/>
      <c r="H11" s="327"/>
      <c r="I11" s="327"/>
      <c r="J11" s="102" t="str">
        <f ca="1">IF(AND('Mapa final'!$AB$19="Muy Alta",'Mapa final'!$AD$19="Leve"),CONCATENATE("R6C",'Mapa final'!$R$19),"")</f>
        <v/>
      </c>
      <c r="K11" s="41" t="str">
        <f>IF(AND('Mapa final'!$AB$20="Muy Alta",'Mapa final'!$AD$20="Leve"),CONCATENATE("R6C",'Mapa final'!$R$20),"")</f>
        <v/>
      </c>
      <c r="L11" s="103" t="str">
        <f>IF(AND('Mapa final'!$AB$21="Muy Alta",'Mapa final'!$AD$21="Leve"),CONCATENATE("R6C",'Mapa final'!$R$21),"")</f>
        <v/>
      </c>
      <c r="M11" s="102" t="str">
        <f ca="1">IF(AND('Mapa final'!$AB$19="Muy Alta",'Mapa final'!$AD$19="Menor"),CONCATENATE("R6C",'Mapa final'!$R$19),"")</f>
        <v/>
      </c>
      <c r="N11" s="41" t="str">
        <f>IF(AND('Mapa final'!$AB$20="Muy Alta",'Mapa final'!$AD$20="Menor"),CONCATENATE("R6C",'Mapa final'!$R$20),"")</f>
        <v/>
      </c>
      <c r="O11" s="103" t="str">
        <f>IF(AND('Mapa final'!$AB$21="Muy Alta",'Mapa final'!$AD$21="Menor"),CONCATENATE("R6C",'Mapa final'!$R$21),"")</f>
        <v/>
      </c>
      <c r="P11" s="102" t="str">
        <f ca="1">IF(AND('Mapa final'!$AB$19="Muy Alta",'Mapa final'!$AD$19="Moderado"),CONCATENATE("R6C",'Mapa final'!$R$19),"")</f>
        <v/>
      </c>
      <c r="Q11" s="41" t="str">
        <f>IF(AND('Mapa final'!$AB$20="Muy Alta",'Mapa final'!$AD$20="Moderado"),CONCATENATE("R6C",'Mapa final'!$R$20),"")</f>
        <v/>
      </c>
      <c r="R11" s="103" t="str">
        <f>IF(AND('Mapa final'!$AB$21="Muy Alta",'Mapa final'!$AD$21="Moderado"),CONCATENATE("R6C",'Mapa final'!$R$21),"")</f>
        <v/>
      </c>
      <c r="S11" s="102" t="str">
        <f ca="1">IF(AND('Mapa final'!$AB$19="Muy Alta",'Mapa final'!$AD$19="Mayor"),CONCATENATE("R6C",'Mapa final'!$R$19),"")</f>
        <v/>
      </c>
      <c r="T11" s="41" t="str">
        <f>IF(AND('Mapa final'!$AB$20="Muy Alta",'Mapa final'!$AD$20="Mayor"),CONCATENATE("R6C",'Mapa final'!$R$20),"")</f>
        <v/>
      </c>
      <c r="U11" s="103" t="str">
        <f>IF(AND('Mapa final'!$AB$21="Muy Alta",'Mapa final'!$AD$21="Mayor"),CONCATENATE("R6C",'Mapa final'!$R$21),"")</f>
        <v/>
      </c>
      <c r="V11" s="42" t="str">
        <f ca="1">IF(AND('Mapa final'!$AB$19="Muy Alta",'Mapa final'!$AD$19="Catastrófico"),CONCATENATE("R6C",'Mapa final'!$R$19),"")</f>
        <v/>
      </c>
      <c r="W11" s="43" t="str">
        <f>IF(AND('Mapa final'!$AB$20="Muy Alta",'Mapa final'!$AD$20="Catastrófico"),CONCATENATE("R6C",'Mapa final'!$R$20),"")</f>
        <v/>
      </c>
      <c r="X11" s="97" t="str">
        <f>IF(AND('Mapa final'!$AB$21="Muy Alta",'Mapa final'!$AD$21="Catastrófico"),CONCATENATE("R6C",'Mapa final'!$R$21),"")</f>
        <v/>
      </c>
      <c r="Y11" s="55"/>
      <c r="Z11" s="332"/>
      <c r="AA11" s="333"/>
      <c r="AB11" s="333"/>
      <c r="AC11" s="333"/>
      <c r="AD11" s="333"/>
      <c r="AE11" s="334"/>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row>
    <row r="12" spans="1:76" ht="15" customHeight="1" x14ac:dyDescent="0.25">
      <c r="A12" s="55"/>
      <c r="B12" s="338"/>
      <c r="C12" s="338"/>
      <c r="D12" s="339"/>
      <c r="E12" s="328"/>
      <c r="F12" s="327"/>
      <c r="G12" s="327"/>
      <c r="H12" s="327"/>
      <c r="I12" s="327"/>
      <c r="J12" s="102" t="str">
        <f ca="1">IF(AND('Mapa final'!$AB$22="Muy Alta",'Mapa final'!$AD$22="Leve"),CONCATENATE("R7C",'Mapa final'!$R$22),"")</f>
        <v/>
      </c>
      <c r="K12" s="41" t="str">
        <f>IF(AND('Mapa final'!$AB$23="Muy Alta",'Mapa final'!$AD$23="Leve"),CONCATENATE("R7C",'Mapa final'!$R$23),"")</f>
        <v/>
      </c>
      <c r="L12" s="103" t="str">
        <f>IF(AND('Mapa final'!$AB$24="Muy Alta",'Mapa final'!$AD$24="Leve"),CONCATENATE("R7C",'Mapa final'!$R$24),"")</f>
        <v/>
      </c>
      <c r="M12" s="102" t="str">
        <f ca="1">IF(AND('Mapa final'!$AB$22="Muy Alta",'Mapa final'!$AD$22="Menor"),CONCATENATE("R7C",'Mapa final'!$R$22),"")</f>
        <v/>
      </c>
      <c r="N12" s="41" t="str">
        <f>IF(AND('Mapa final'!$AB$23="Muy Alta",'Mapa final'!$AD$23="Menor"),CONCATENATE("R7C",'Mapa final'!$R$23),"")</f>
        <v/>
      </c>
      <c r="O12" s="103" t="str">
        <f>IF(AND('Mapa final'!$AB$24="Muy Alta",'Mapa final'!$AD$24="Menor"),CONCATENATE("R7C",'Mapa final'!$R$24),"")</f>
        <v/>
      </c>
      <c r="P12" s="102" t="str">
        <f ca="1">IF(AND('Mapa final'!$AB$22="Muy Alta",'Mapa final'!$AD$22="Moderado"),CONCATENATE("R7C",'Mapa final'!$R$22),"")</f>
        <v/>
      </c>
      <c r="Q12" s="41" t="str">
        <f>IF(AND('Mapa final'!$AB$23="Muy Alta",'Mapa final'!$AD$23="Moderado"),CONCATENATE("R7C",'Mapa final'!$R$23),"")</f>
        <v/>
      </c>
      <c r="R12" s="103" t="str">
        <f>IF(AND('Mapa final'!$AB$24="Muy Alta",'Mapa final'!$AD$24="Moderado"),CONCATENATE("R7C",'Mapa final'!$R$24),"")</f>
        <v/>
      </c>
      <c r="S12" s="102" t="str">
        <f ca="1">IF(AND('Mapa final'!$AB$22="Muy Alta",'Mapa final'!$AD$22="Mayor"),CONCATENATE("R7C",'Mapa final'!$R$22),"")</f>
        <v/>
      </c>
      <c r="T12" s="41" t="str">
        <f>IF(AND('Mapa final'!$AB$23="Muy Alta",'Mapa final'!$AD$23="Mayor"),CONCATENATE("R7C",'Mapa final'!$R$23),"")</f>
        <v/>
      </c>
      <c r="U12" s="103" t="str">
        <f>IF(AND('Mapa final'!$AB$24="Muy Alta",'Mapa final'!$AD$24="Mayor"),CONCATENATE("R7C",'Mapa final'!$R$24),"")</f>
        <v/>
      </c>
      <c r="V12" s="42" t="str">
        <f ca="1">IF(AND('Mapa final'!$AB$22="Muy Alta",'Mapa final'!$AD$22="Catastrófico"),CONCATENATE("R7C",'Mapa final'!$R$22),"")</f>
        <v/>
      </c>
      <c r="W12" s="43" t="str">
        <f>IF(AND('Mapa final'!$AB$23="Muy Alta",'Mapa final'!$AD$23="Catastrófico"),CONCATENATE("R7C",'Mapa final'!$R$23),"")</f>
        <v/>
      </c>
      <c r="X12" s="97" t="str">
        <f>IF(AND('Mapa final'!$AB$24="Muy Alta",'Mapa final'!$AD$24="Catastrófico"),CONCATENATE("R7C",'Mapa final'!$R$24),"")</f>
        <v/>
      </c>
      <c r="Y12" s="55"/>
      <c r="Z12" s="332"/>
      <c r="AA12" s="333"/>
      <c r="AB12" s="333"/>
      <c r="AC12" s="333"/>
      <c r="AD12" s="333"/>
      <c r="AE12" s="334"/>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row>
    <row r="13" spans="1:76" ht="15" customHeight="1" x14ac:dyDescent="0.25">
      <c r="A13" s="55"/>
      <c r="B13" s="338"/>
      <c r="C13" s="338"/>
      <c r="D13" s="339"/>
      <c r="E13" s="328"/>
      <c r="F13" s="327"/>
      <c r="G13" s="327"/>
      <c r="H13" s="327"/>
      <c r="I13" s="327"/>
      <c r="J13" s="102" t="str">
        <f ca="1">IF(AND('Mapa final'!$AB$25="Muy Alta",'Mapa final'!$AD$25="Leve"),CONCATENATE("R8C",'Mapa final'!$R$25),"")</f>
        <v/>
      </c>
      <c r="K13" s="41" t="str">
        <f>IF(AND('Mapa final'!$AB$26="Muy Alta",'Mapa final'!$AD$26="Leve"),CONCATENATE("R8C",'Mapa final'!$R$26),"")</f>
        <v/>
      </c>
      <c r="L13" s="103" t="str">
        <f>IF(AND('Mapa final'!$AB$27="Muy Alta",'Mapa final'!$AD$27="Leve"),CONCATENATE("R8C",'Mapa final'!$R$27),"")</f>
        <v/>
      </c>
      <c r="M13" s="102" t="str">
        <f ca="1">IF(AND('Mapa final'!$AB$25="Muy Alta",'Mapa final'!$AD$25="Menor"),CONCATENATE("R8C",'Mapa final'!$R$25),"")</f>
        <v/>
      </c>
      <c r="N13" s="41" t="str">
        <f>IF(AND('Mapa final'!$AB$26="Muy Alta",'Mapa final'!$AD$26="Menor"),CONCATENATE("R8C",'Mapa final'!$R$26),"")</f>
        <v/>
      </c>
      <c r="O13" s="103" t="str">
        <f>IF(AND('Mapa final'!$AB$27="Muy Alta",'Mapa final'!$AD$27="Menor"),CONCATENATE("R8C",'Mapa final'!$R$27),"")</f>
        <v/>
      </c>
      <c r="P13" s="102" t="str">
        <f ca="1">IF(AND('Mapa final'!$AB$25="Muy Alta",'Mapa final'!$AD$25="Moderado"),CONCATENATE("R8C",'Mapa final'!$R$25),"")</f>
        <v/>
      </c>
      <c r="Q13" s="41" t="str">
        <f>IF(AND('Mapa final'!$AB$26="Muy Alta",'Mapa final'!$AD$26="Moderado"),CONCATENATE("R8C",'Mapa final'!$R$26),"")</f>
        <v/>
      </c>
      <c r="R13" s="103" t="str">
        <f>IF(AND('Mapa final'!$AB$27="Muy Alta",'Mapa final'!$AD$27="Moderado"),CONCATENATE("R8C",'Mapa final'!$R$27),"")</f>
        <v/>
      </c>
      <c r="S13" s="102" t="str">
        <f ca="1">IF(AND('Mapa final'!$AB$25="Muy Alta",'Mapa final'!$AD$25="Mayor"),CONCATENATE("R8C",'Mapa final'!$R$25),"")</f>
        <v/>
      </c>
      <c r="T13" s="41" t="str">
        <f>IF(AND('Mapa final'!$AB$26="Muy Alta",'Mapa final'!$AD$26="Mayor"),CONCATENATE("R8C",'Mapa final'!$R$26),"")</f>
        <v/>
      </c>
      <c r="U13" s="103" t="str">
        <f>IF(AND('Mapa final'!$AB$27="Muy Alta",'Mapa final'!$AD$27="Mayor"),CONCATENATE("R8C",'Mapa final'!$R$27),"")</f>
        <v/>
      </c>
      <c r="V13" s="42" t="str">
        <f ca="1">IF(AND('Mapa final'!$AB$25="Muy Alta",'Mapa final'!$AD$25="Catastrófico"),CONCATENATE("R8C",'Mapa final'!$R$25),"")</f>
        <v/>
      </c>
      <c r="W13" s="43" t="str">
        <f>IF(AND('Mapa final'!$AB$26="Muy Alta",'Mapa final'!$AD$26="Catastrófico"),CONCATENATE("R8C",'Mapa final'!$R$26),"")</f>
        <v/>
      </c>
      <c r="X13" s="97" t="str">
        <f>IF(AND('Mapa final'!$AB$27="Muy Alta",'Mapa final'!$AD$27="Catastrófico"),CONCATENATE("R8C",'Mapa final'!$R$27),"")</f>
        <v/>
      </c>
      <c r="Y13" s="55"/>
      <c r="Z13" s="332"/>
      <c r="AA13" s="333"/>
      <c r="AB13" s="333"/>
      <c r="AC13" s="333"/>
      <c r="AD13" s="333"/>
      <c r="AE13" s="334"/>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row>
    <row r="14" spans="1:76" ht="15" customHeight="1" x14ac:dyDescent="0.25">
      <c r="A14" s="55"/>
      <c r="B14" s="338"/>
      <c r="C14" s="338"/>
      <c r="D14" s="339"/>
      <c r="E14" s="328"/>
      <c r="F14" s="327"/>
      <c r="G14" s="327"/>
      <c r="H14" s="327"/>
      <c r="I14" s="327"/>
      <c r="J14" s="102" t="str">
        <f>IF(AND('Mapa final'!$AB$28="Muy Alta",'Mapa final'!$AD$28="Leve"),CONCATENATE("R9C",'Mapa final'!$R$28),"")</f>
        <v/>
      </c>
      <c r="K14" s="41" t="str">
        <f>IF(AND('Mapa final'!$AB$29="Muy Alta",'Mapa final'!$AD$29="Leve"),CONCATENATE("R9C",'Mapa final'!$R$29),"")</f>
        <v/>
      </c>
      <c r="L14" s="103" t="str">
        <f>IF(AND('Mapa final'!$AB$30="Muy Alta",'Mapa final'!$AD$30="Leve"),CONCATENATE("R9C",'Mapa final'!$R$30),"")</f>
        <v/>
      </c>
      <c r="M14" s="102" t="str">
        <f>IF(AND('Mapa final'!$AB$28="Muy Alta",'Mapa final'!$AD$28="Menor"),CONCATENATE("R9C",'Mapa final'!$R$28),"")</f>
        <v/>
      </c>
      <c r="N14" s="41" t="str">
        <f>IF(AND('Mapa final'!$AB$29="Muy Alta",'Mapa final'!$AD$29="Menor"),CONCATENATE("R9C",'Mapa final'!$R$29),"")</f>
        <v/>
      </c>
      <c r="O14" s="103" t="str">
        <f>IF(AND('Mapa final'!$AB$30="Muy Alta",'Mapa final'!$AD$30="Menor"),CONCATENATE("R9C",'Mapa final'!$R$30),"")</f>
        <v/>
      </c>
      <c r="P14" s="102" t="str">
        <f>IF(AND('Mapa final'!$AB$28="Muy Alta",'Mapa final'!$AD$28="Moderado"),CONCATENATE("R9C",'Mapa final'!$R$28),"")</f>
        <v/>
      </c>
      <c r="Q14" s="41" t="str">
        <f>IF(AND('Mapa final'!$AB$29="Muy Alta",'Mapa final'!$AD$29="Moderado"),CONCATENATE("R9C",'Mapa final'!$R$29),"")</f>
        <v/>
      </c>
      <c r="R14" s="103" t="str">
        <f>IF(AND('Mapa final'!$AB$30="Muy Alta",'Mapa final'!$AD$30="Moderado"),CONCATENATE("R9C",'Mapa final'!$R$30),"")</f>
        <v/>
      </c>
      <c r="S14" s="102" t="str">
        <f>IF(AND('Mapa final'!$AB$28="Muy Alta",'Mapa final'!$AD$28="Mayor"),CONCATENATE("R9C",'Mapa final'!$R$28),"")</f>
        <v/>
      </c>
      <c r="T14" s="41" t="str">
        <f>IF(AND('Mapa final'!$AB$29="Muy Alta",'Mapa final'!$AD$29="Mayor"),CONCATENATE("R9C",'Mapa final'!$R$29),"")</f>
        <v/>
      </c>
      <c r="U14" s="103" t="str">
        <f>IF(AND('Mapa final'!$AB$30="Muy Alta",'Mapa final'!$AD$30="Mayor"),CONCATENATE("R9C",'Mapa final'!$R$30),"")</f>
        <v/>
      </c>
      <c r="V14" s="42" t="str">
        <f>IF(AND('Mapa final'!$AB$28="Muy Alta",'Mapa final'!$AD$28="Catastrófico"),CONCATENATE("R9C",'Mapa final'!$R$28),"")</f>
        <v/>
      </c>
      <c r="W14" s="43" t="str">
        <f>IF(AND('Mapa final'!$AB$29="Muy Alta",'Mapa final'!$AD$29="Catastrófico"),CONCATENATE("R9C",'Mapa final'!$R$29),"")</f>
        <v/>
      </c>
      <c r="X14" s="97" t="str">
        <f>IF(AND('Mapa final'!$AB$30="Muy Alta",'Mapa final'!$AD$30="Catastrófico"),CONCATENATE("R9C",'Mapa final'!$R$30),"")</f>
        <v/>
      </c>
      <c r="Y14" s="55"/>
      <c r="Z14" s="332"/>
      <c r="AA14" s="333"/>
      <c r="AB14" s="333"/>
      <c r="AC14" s="333"/>
      <c r="AD14" s="333"/>
      <c r="AE14" s="334"/>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row>
    <row r="15" spans="1:76" ht="15" customHeight="1" x14ac:dyDescent="0.25">
      <c r="A15" s="55"/>
      <c r="B15" s="338"/>
      <c r="C15" s="338"/>
      <c r="D15" s="339"/>
      <c r="E15" s="328"/>
      <c r="F15" s="327"/>
      <c r="G15" s="327"/>
      <c r="H15" s="327"/>
      <c r="I15" s="327"/>
      <c r="J15" s="102" t="str">
        <f ca="1">IF(AND('Mapa final'!$AB$31="Muy Alta",'Mapa final'!$AD$31="Leve"),CONCATENATE("R10C",'Mapa final'!$R$31),"")</f>
        <v/>
      </c>
      <c r="K15" s="41" t="str">
        <f>IF(AND('Mapa final'!$AB$32="Muy Alta",'Mapa final'!$AD$32="Leve"),CONCATENATE("R10C",'Mapa final'!$R$32),"")</f>
        <v/>
      </c>
      <c r="L15" s="103" t="str">
        <f>IF(AND('Mapa final'!$AB$33="Muy Alta",'Mapa final'!$AD$33="Leve"),CONCATENATE("R10C",'Mapa final'!$R$33),"")</f>
        <v/>
      </c>
      <c r="M15" s="102" t="str">
        <f ca="1">IF(AND('Mapa final'!$AB$31="Muy Alta",'Mapa final'!$AD$31="Menor"),CONCATENATE("R10C",'Mapa final'!$R$31),"")</f>
        <v/>
      </c>
      <c r="N15" s="41" t="str">
        <f>IF(AND('Mapa final'!$AB$32="Muy Alta",'Mapa final'!$AD$32="Menor"),CONCATENATE("R10C",'Mapa final'!$R$32),"")</f>
        <v/>
      </c>
      <c r="O15" s="103" t="str">
        <f>IF(AND('Mapa final'!$AB$33="Muy Alta",'Mapa final'!$AD$33="Menor"),CONCATENATE("R10C",'Mapa final'!$R$33),"")</f>
        <v/>
      </c>
      <c r="P15" s="102" t="str">
        <f ca="1">IF(AND('Mapa final'!$AB$31="Muy Alta",'Mapa final'!$AD$31="Moderado"),CONCATENATE("R10C",'Mapa final'!$R$31),"")</f>
        <v/>
      </c>
      <c r="Q15" s="41" t="str">
        <f>IF(AND('Mapa final'!$AB$32="Muy Alta",'Mapa final'!$AD$32="Moderado"),CONCATENATE("R10C",'Mapa final'!$R$32),"")</f>
        <v/>
      </c>
      <c r="R15" s="103" t="str">
        <f>IF(AND('Mapa final'!$AB$33="Muy Alta",'Mapa final'!$AD$33="Moderado"),CONCATENATE("R10C",'Mapa final'!$R$33),"")</f>
        <v/>
      </c>
      <c r="S15" s="102" t="str">
        <f ca="1">IF(AND('Mapa final'!$AB$31="Muy Alta",'Mapa final'!$AD$31="Mayor"),CONCATENATE("R10C",'Mapa final'!$R$31),"")</f>
        <v/>
      </c>
      <c r="T15" s="41" t="str">
        <f>IF(AND('Mapa final'!$AB$32="Muy Alta",'Mapa final'!$AD$32="Mayor"),CONCATENATE("R10C",'Mapa final'!$R$32),"")</f>
        <v/>
      </c>
      <c r="U15" s="103" t="str">
        <f>IF(AND('Mapa final'!$AB$33="Muy Alta",'Mapa final'!$AD$33="Mayor"),CONCATENATE("R10C",'Mapa final'!$R$33),"")</f>
        <v/>
      </c>
      <c r="V15" s="42" t="str">
        <f ca="1">IF(AND('Mapa final'!$AB$31="Muy Alta",'Mapa final'!$AD$31="Catastrófico"),CONCATENATE("R10C",'Mapa final'!$R$31),"")</f>
        <v/>
      </c>
      <c r="W15" s="43" t="str">
        <f>IF(AND('Mapa final'!$AB$32="Muy Alta",'Mapa final'!$AD$32="Catastrófico"),CONCATENATE("R10C",'Mapa final'!$R$32),"")</f>
        <v/>
      </c>
      <c r="X15" s="97" t="str">
        <f>IF(AND('Mapa final'!$AB$33="Muy Alta",'Mapa final'!$AD$33="Catastrófico"),CONCATENATE("R10C",'Mapa final'!$R$33),"")</f>
        <v/>
      </c>
      <c r="Y15" s="55"/>
      <c r="Z15" s="332"/>
      <c r="AA15" s="333"/>
      <c r="AB15" s="333"/>
      <c r="AC15" s="333"/>
      <c r="AD15" s="333"/>
      <c r="AE15" s="334"/>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row>
    <row r="16" spans="1:76" ht="15" customHeight="1" x14ac:dyDescent="0.25">
      <c r="A16" s="55"/>
      <c r="B16" s="338"/>
      <c r="C16" s="338"/>
      <c r="D16" s="339"/>
      <c r="E16" s="328"/>
      <c r="F16" s="327"/>
      <c r="G16" s="327"/>
      <c r="H16" s="327"/>
      <c r="I16" s="327"/>
      <c r="J16" s="102" t="str">
        <f ca="1">IF(AND('Mapa final'!$AB$34="Muy Alta",'Mapa final'!$AD$34="Leve"),CONCATENATE("R11C",'Mapa final'!$R$34),"")</f>
        <v/>
      </c>
      <c r="K16" s="41" t="str">
        <f>IF(AND('Mapa final'!$AB$35="Muy Alta",'Mapa final'!$AD$35="Leve"),CONCATENATE("R11C",'Mapa final'!$R$35),"")</f>
        <v/>
      </c>
      <c r="L16" s="103" t="str">
        <f>IF(AND('Mapa final'!$AB$36="Muy Alta",'Mapa final'!$AD$36="Leve"),CONCATENATE("R11C",'Mapa final'!$R$36),"")</f>
        <v/>
      </c>
      <c r="M16" s="102" t="str">
        <f ca="1">IF(AND('Mapa final'!$AB$34="Muy Alta",'Mapa final'!$AD$34="Menor"),CONCATENATE("R11C",'Mapa final'!$R$34),"")</f>
        <v/>
      </c>
      <c r="N16" s="41" t="str">
        <f>IF(AND('Mapa final'!$AB$35="Muy Alta",'Mapa final'!$AD$35="Menor"),CONCATENATE("R11C",'Mapa final'!$R$35),"")</f>
        <v/>
      </c>
      <c r="O16" s="103" t="str">
        <f>IF(AND('Mapa final'!$AB$36="Muy Alta",'Mapa final'!$AD$36="Menor"),CONCATENATE("R11C",'Mapa final'!$R$36),"")</f>
        <v/>
      </c>
      <c r="P16" s="102" t="str">
        <f ca="1">IF(AND('Mapa final'!$AB$34="Muy Alta",'Mapa final'!$AD$34="Moderado"),CONCATENATE("R11C",'Mapa final'!$R$34),"")</f>
        <v/>
      </c>
      <c r="Q16" s="41" t="str">
        <f>IF(AND('Mapa final'!$AB$35="Muy Alta",'Mapa final'!$AD$35="Moderado"),CONCATENATE("R11C",'Mapa final'!$R$35),"")</f>
        <v/>
      </c>
      <c r="R16" s="103" t="str">
        <f>IF(AND('Mapa final'!$AB$36="Muy Alta",'Mapa final'!$AD$36="Moderado"),CONCATENATE("R11C",'Mapa final'!$R$36),"")</f>
        <v/>
      </c>
      <c r="S16" s="102" t="str">
        <f ca="1">IF(AND('Mapa final'!$AB$34="Muy Alta",'Mapa final'!$AD$34="Mayor"),CONCATENATE("R11C",'Mapa final'!$R$34),"")</f>
        <v/>
      </c>
      <c r="T16" s="41" t="str">
        <f>IF(AND('Mapa final'!$AB$35="Muy Alta",'Mapa final'!$AD$35="Mayor"),CONCATENATE("R11C",'Mapa final'!$R$35),"")</f>
        <v/>
      </c>
      <c r="U16" s="103" t="str">
        <f>IF(AND('Mapa final'!$AB$36="Muy Alta",'Mapa final'!$AD$36="Mayor"),CONCATENATE("R11C",'Mapa final'!$R$36),"")</f>
        <v/>
      </c>
      <c r="V16" s="42" t="str">
        <f ca="1">IF(AND('Mapa final'!$AB$34="Muy Alta",'Mapa final'!$AD$34="Catastrófico"),CONCATENATE("R11C",'Mapa final'!$R$34),"")</f>
        <v/>
      </c>
      <c r="W16" s="43" t="str">
        <f>IF(AND('Mapa final'!$AB$35="Muy Alta",'Mapa final'!$AD$35="Catastrófico"),CONCATENATE("R11C",'Mapa final'!$R$35),"")</f>
        <v/>
      </c>
      <c r="X16" s="97" t="str">
        <f>IF(AND('Mapa final'!$AB$36="Muy Alta",'Mapa final'!$AD$36="Catastrófico"),CONCATENATE("R11C",'Mapa final'!$R$36),"")</f>
        <v/>
      </c>
      <c r="Y16" s="55"/>
      <c r="Z16" s="332"/>
      <c r="AA16" s="333"/>
      <c r="AB16" s="333"/>
      <c r="AC16" s="333"/>
      <c r="AD16" s="333"/>
      <c r="AE16" s="334"/>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row>
    <row r="17" spans="1:61" ht="15" customHeight="1" x14ac:dyDescent="0.25">
      <c r="A17" s="55"/>
      <c r="B17" s="338"/>
      <c r="C17" s="338"/>
      <c r="D17" s="339"/>
      <c r="E17" s="328"/>
      <c r="F17" s="327"/>
      <c r="G17" s="327"/>
      <c r="H17" s="327"/>
      <c r="I17" s="327"/>
      <c r="J17" s="102" t="str">
        <f ca="1">IF(AND('Mapa final'!$AB$37="Muy Alta",'Mapa final'!$AD$37="Leve"),CONCATENATE("R12C",'Mapa final'!$R$37),"")</f>
        <v/>
      </c>
      <c r="K17" s="41" t="str">
        <f>IF(AND('Mapa final'!$AB$38="Muy Alta",'Mapa final'!$AD$38="Leve"),CONCATENATE("R12C",'Mapa final'!$R$38),"")</f>
        <v/>
      </c>
      <c r="L17" s="103" t="str">
        <f>IF(AND('Mapa final'!$AB$39="Muy Alta",'Mapa final'!$AD$39="Leve"),CONCATENATE("R12C",'Mapa final'!$R$39),"")</f>
        <v/>
      </c>
      <c r="M17" s="102" t="str">
        <f ca="1">IF(AND('Mapa final'!$AB$37="Muy Alta",'Mapa final'!$AD$37="Menor"),CONCATENATE("R12C",'Mapa final'!$R$37),"")</f>
        <v/>
      </c>
      <c r="N17" s="41" t="str">
        <f>IF(AND('Mapa final'!$AB$38="Muy Alta",'Mapa final'!$AD$38="Menor"),CONCATENATE("R12C",'Mapa final'!$R$38),"")</f>
        <v/>
      </c>
      <c r="O17" s="103" t="str">
        <f>IF(AND('Mapa final'!$AB$39="Muy Alta",'Mapa final'!$AD$39="Menor"),CONCATENATE("R12C",'Mapa final'!$R$39),"")</f>
        <v/>
      </c>
      <c r="P17" s="102" t="str">
        <f ca="1">IF(AND('Mapa final'!$AB$37="Muy Alta",'Mapa final'!$AD$37="Moderado"),CONCATENATE("R12C",'Mapa final'!$R$37),"")</f>
        <v/>
      </c>
      <c r="Q17" s="41" t="str">
        <f>IF(AND('Mapa final'!$AB$38="Muy Alta",'Mapa final'!$AD$38="Moderado"),CONCATENATE("R12C",'Mapa final'!$R$38),"")</f>
        <v/>
      </c>
      <c r="R17" s="103" t="str">
        <f>IF(AND('Mapa final'!$AB$39="Muy Alta",'Mapa final'!$AD$39="Moderado"),CONCATENATE("R12C",'Mapa final'!$R$39),"")</f>
        <v/>
      </c>
      <c r="S17" s="102" t="str">
        <f ca="1">IF(AND('Mapa final'!$AB$37="Muy Alta",'Mapa final'!$AD$37="Mayor"),CONCATENATE("R12C",'Mapa final'!$R$37),"")</f>
        <v/>
      </c>
      <c r="T17" s="41" t="str">
        <f>IF(AND('Mapa final'!$AB$38="Muy Alta",'Mapa final'!$AD$38="Mayor"),CONCATENATE("R12C",'Mapa final'!$R$38),"")</f>
        <v/>
      </c>
      <c r="U17" s="103" t="str">
        <f>IF(AND('Mapa final'!$AB$39="Muy Alta",'Mapa final'!$AD$39="Mayor"),CONCATENATE("R12C",'Mapa final'!$R$39),"")</f>
        <v/>
      </c>
      <c r="V17" s="42" t="str">
        <f ca="1">IF(AND('Mapa final'!$AB$37="Muy Alta",'Mapa final'!$AD$37="Catastrófico"),CONCATENATE("R12C",'Mapa final'!$R$37),"")</f>
        <v/>
      </c>
      <c r="W17" s="43" t="str">
        <f>IF(AND('Mapa final'!$AB$38="Muy Alta",'Mapa final'!$AD$38="Catastrófico"),CONCATENATE("R12C",'Mapa final'!$R$38),"")</f>
        <v/>
      </c>
      <c r="X17" s="97" t="str">
        <f>IF(AND('Mapa final'!$AB$39="Muy Alta",'Mapa final'!$AD$39="Catastrófico"),CONCATENATE("R12C",'Mapa final'!$R$39),"")</f>
        <v/>
      </c>
      <c r="Y17" s="55"/>
      <c r="Z17" s="332"/>
      <c r="AA17" s="333"/>
      <c r="AB17" s="333"/>
      <c r="AC17" s="333"/>
      <c r="AD17" s="333"/>
      <c r="AE17" s="334"/>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61" ht="15" customHeight="1" x14ac:dyDescent="0.25">
      <c r="A18" s="55"/>
      <c r="B18" s="338"/>
      <c r="C18" s="338"/>
      <c r="D18" s="339"/>
      <c r="E18" s="328"/>
      <c r="F18" s="327"/>
      <c r="G18" s="327"/>
      <c r="H18" s="327"/>
      <c r="I18" s="327"/>
      <c r="J18" s="102" t="str">
        <f ca="1">IF(AND('Mapa final'!$AB$40="Muy Alta",'Mapa final'!$AD$40="Leve"),CONCATENATE("R13C",'Mapa final'!$R$40),"")</f>
        <v/>
      </c>
      <c r="K18" s="41" t="str">
        <f>IF(AND('Mapa final'!$AB$41="Muy Alta",'Mapa final'!$AD$41="Leve"),CONCATENATE("R13C",'Mapa final'!$R$41),"")</f>
        <v/>
      </c>
      <c r="L18" s="103" t="str">
        <f>IF(AND('Mapa final'!$AB$42="Muy Alta",'Mapa final'!$AD$42="Leve"),CONCATENATE("R13C",'Mapa final'!$R$42),"")</f>
        <v/>
      </c>
      <c r="M18" s="102" t="str">
        <f ca="1">IF(AND('Mapa final'!$AB$40="Muy Alta",'Mapa final'!$AD$40="Menor"),CONCATENATE("R13C",'Mapa final'!$R$40),"")</f>
        <v/>
      </c>
      <c r="N18" s="41" t="str">
        <f>IF(AND('Mapa final'!$AB$41="Muy Alta",'Mapa final'!$AD$41="Menor"),CONCATENATE("R13C",'Mapa final'!$R$41),"")</f>
        <v/>
      </c>
      <c r="O18" s="103" t="str">
        <f>IF(AND('Mapa final'!$AB$42="Muy Alta",'Mapa final'!$AD$42="Menor"),CONCATENATE("R13C",'Mapa final'!$R$42),"")</f>
        <v/>
      </c>
      <c r="P18" s="102" t="str">
        <f ca="1">IF(AND('Mapa final'!$AB$40="Muy Alta",'Mapa final'!$AD$40="Moderado"),CONCATENATE("R13C",'Mapa final'!$R$40),"")</f>
        <v/>
      </c>
      <c r="Q18" s="41" t="str">
        <f>IF(AND('Mapa final'!$AB$41="Muy Alta",'Mapa final'!$AD$41="Moderado"),CONCATENATE("R13C",'Mapa final'!$R$41),"")</f>
        <v/>
      </c>
      <c r="R18" s="103" t="str">
        <f>IF(AND('Mapa final'!$AB$42="Muy Alta",'Mapa final'!$AD$42="Moderado"),CONCATENATE("R13C",'Mapa final'!$R$42),"")</f>
        <v/>
      </c>
      <c r="S18" s="102" t="str">
        <f ca="1">IF(AND('Mapa final'!$AB$40="Muy Alta",'Mapa final'!$AD$40="Mayor"),CONCATENATE("R13C",'Mapa final'!$R$40),"")</f>
        <v/>
      </c>
      <c r="T18" s="41" t="str">
        <f>IF(AND('Mapa final'!$AB$41="Muy Alta",'Mapa final'!$AD$41="Mayor"),CONCATENATE("R13C",'Mapa final'!$R$41),"")</f>
        <v/>
      </c>
      <c r="U18" s="103" t="str">
        <f>IF(AND('Mapa final'!$AB$42="Muy Alta",'Mapa final'!$AD$42="Mayor"),CONCATENATE("R13C",'Mapa final'!$R$42),"")</f>
        <v/>
      </c>
      <c r="V18" s="42" t="str">
        <f ca="1">IF(AND('Mapa final'!$AB$40="Muy Alta",'Mapa final'!$AD$40="Catastrófico"),CONCATENATE("R13C",'Mapa final'!$R$40),"")</f>
        <v/>
      </c>
      <c r="W18" s="43" t="str">
        <f>IF(AND('Mapa final'!$AB$41="Muy Alta",'Mapa final'!$AD$41="Catastrófico"),CONCATENATE("R13C",'Mapa final'!$R$41),"")</f>
        <v/>
      </c>
      <c r="X18" s="97" t="str">
        <f>IF(AND('Mapa final'!$AB$42="Muy Alta",'Mapa final'!$AD$42="Catastrófico"),CONCATENATE("R13C",'Mapa final'!$R$42),"")</f>
        <v/>
      </c>
      <c r="Y18" s="55"/>
      <c r="Z18" s="332"/>
      <c r="AA18" s="333"/>
      <c r="AB18" s="333"/>
      <c r="AC18" s="333"/>
      <c r="AD18" s="333"/>
      <c r="AE18" s="334"/>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row>
    <row r="19" spans="1:61" ht="15" customHeight="1" x14ac:dyDescent="0.25">
      <c r="A19" s="55"/>
      <c r="B19" s="338"/>
      <c r="C19" s="338"/>
      <c r="D19" s="339"/>
      <c r="E19" s="328"/>
      <c r="F19" s="327"/>
      <c r="G19" s="327"/>
      <c r="H19" s="327"/>
      <c r="I19" s="327"/>
      <c r="J19" s="102" t="str">
        <f ca="1">IF(AND('Mapa final'!$AB$43="Muy Alta",'Mapa final'!$AD$43="Leve"),CONCATENATE("R14C",'Mapa final'!$R$43),"")</f>
        <v/>
      </c>
      <c r="K19" s="41" t="str">
        <f>IF(AND('Mapa final'!$AB$44="Muy Alta",'Mapa final'!$AD$44="Leve"),CONCATENATE("R14C",'Mapa final'!$R$44),"")</f>
        <v/>
      </c>
      <c r="L19" s="103" t="str">
        <f>IF(AND('Mapa final'!$AB$45="Muy Alta",'Mapa final'!$AD$45="Leve"),CONCATENATE("R14C",'Mapa final'!$R$45),"")</f>
        <v/>
      </c>
      <c r="M19" s="102" t="str">
        <f ca="1">IF(AND('Mapa final'!$AB$43="Muy Alta",'Mapa final'!$AD$43="Menor"),CONCATENATE("R14C",'Mapa final'!$R$43),"")</f>
        <v/>
      </c>
      <c r="N19" s="41" t="str">
        <f>IF(AND('Mapa final'!$AB$44="Muy Alta",'Mapa final'!$AD$44="Menor"),CONCATENATE("R14C",'Mapa final'!$R$44),"")</f>
        <v/>
      </c>
      <c r="O19" s="103" t="str">
        <f>IF(AND('Mapa final'!$AB$45="Muy Alta",'Mapa final'!$AD$45="Menor"),CONCATENATE("R14C",'Mapa final'!$R$45),"")</f>
        <v/>
      </c>
      <c r="P19" s="102" t="str">
        <f ca="1">IF(AND('Mapa final'!$AB$43="Muy Alta",'Mapa final'!$AD$43="Moderado"),CONCATENATE("R14C",'Mapa final'!$R$43),"")</f>
        <v/>
      </c>
      <c r="Q19" s="41" t="str">
        <f>IF(AND('Mapa final'!$AB$44="Muy Alta",'Mapa final'!$AD$44="Moderado"),CONCATENATE("R14C",'Mapa final'!$R$44),"")</f>
        <v/>
      </c>
      <c r="R19" s="103" t="str">
        <f>IF(AND('Mapa final'!$AB$45="Muy Alta",'Mapa final'!$AD$45="Moderado"),CONCATENATE("R14C",'Mapa final'!$R$45),"")</f>
        <v/>
      </c>
      <c r="S19" s="102" t="str">
        <f ca="1">IF(AND('Mapa final'!$AB$43="Muy Alta",'Mapa final'!$AD$43="Mayor"),CONCATENATE("R14C",'Mapa final'!$R$43),"")</f>
        <v/>
      </c>
      <c r="T19" s="41" t="str">
        <f>IF(AND('Mapa final'!$AB$44="Muy Alta",'Mapa final'!$AD$44="Mayor"),CONCATENATE("R14C",'Mapa final'!$R$44),"")</f>
        <v/>
      </c>
      <c r="U19" s="103" t="str">
        <f>IF(AND('Mapa final'!$AB$45="Muy Alta",'Mapa final'!$AD$45="Mayor"),CONCATENATE("R14C",'Mapa final'!$R$45),"")</f>
        <v/>
      </c>
      <c r="V19" s="42" t="str">
        <f ca="1">IF(AND('Mapa final'!$AB$43="Muy Alta",'Mapa final'!$AD$43="Catastrófico"),CONCATENATE("R14C",'Mapa final'!$R$43),"")</f>
        <v/>
      </c>
      <c r="W19" s="43" t="str">
        <f>IF(AND('Mapa final'!$AB$44="Muy Alta",'Mapa final'!$AD$44="Catastrófico"),CONCATENATE("R14C",'Mapa final'!$R$44),"")</f>
        <v/>
      </c>
      <c r="X19" s="97" t="str">
        <f>IF(AND('Mapa final'!$AB$45="Muy Alta",'Mapa final'!$AD$45="Catastrófico"),CONCATENATE("R14C",'Mapa final'!$R$45),"")</f>
        <v/>
      </c>
      <c r="Y19" s="55"/>
      <c r="Z19" s="332"/>
      <c r="AA19" s="333"/>
      <c r="AB19" s="333"/>
      <c r="AC19" s="333"/>
      <c r="AD19" s="333"/>
      <c r="AE19" s="334"/>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row>
    <row r="20" spans="1:61" ht="15" customHeight="1" x14ac:dyDescent="0.25">
      <c r="A20" s="55"/>
      <c r="B20" s="338"/>
      <c r="C20" s="338"/>
      <c r="D20" s="339"/>
      <c r="E20" s="328"/>
      <c r="F20" s="327"/>
      <c r="G20" s="327"/>
      <c r="H20" s="327"/>
      <c r="I20" s="327"/>
      <c r="J20" s="102" t="str">
        <f ca="1">IF(AND('Mapa final'!$AB$46="Muy Alta",'Mapa final'!$AD$46="Leve"),CONCATENATE("R15C",'Mapa final'!$R$46),"")</f>
        <v/>
      </c>
      <c r="K20" s="41" t="str">
        <f>IF(AND('Mapa final'!$AB$47="Muy Alta",'Mapa final'!$AD$47="Leve"),CONCATENATE("R15C",'Mapa final'!$R$47),"")</f>
        <v/>
      </c>
      <c r="L20" s="103" t="str">
        <f>IF(AND('Mapa final'!$AB$48="Muy Alta",'Mapa final'!$AD$48="Leve"),CONCATENATE("R15C",'Mapa final'!$R$48),"")</f>
        <v/>
      </c>
      <c r="M20" s="102" t="str">
        <f ca="1">IF(AND('Mapa final'!$AB$46="Muy Alta",'Mapa final'!$AD$46="Menor"),CONCATENATE("R15C",'Mapa final'!$R$46),"")</f>
        <v/>
      </c>
      <c r="N20" s="41" t="str">
        <f>IF(AND('Mapa final'!$AB$47="Muy Alta",'Mapa final'!$AD$47="Menor"),CONCATENATE("R15C",'Mapa final'!$R$47),"")</f>
        <v/>
      </c>
      <c r="O20" s="103" t="str">
        <f>IF(AND('Mapa final'!$AB$48="Muy Alta",'Mapa final'!$AD$48="Menor"),CONCATENATE("R15C",'Mapa final'!$R$48),"")</f>
        <v/>
      </c>
      <c r="P20" s="102" t="str">
        <f ca="1">IF(AND('Mapa final'!$AB$46="Muy Alta",'Mapa final'!$AD$46="Moderado"),CONCATENATE("R15C",'Mapa final'!$R$46),"")</f>
        <v/>
      </c>
      <c r="Q20" s="41" t="str">
        <f>IF(AND('Mapa final'!$AB$47="Muy Alta",'Mapa final'!$AD$47="Moderado"),CONCATENATE("R15C",'Mapa final'!$R$47),"")</f>
        <v/>
      </c>
      <c r="R20" s="103" t="str">
        <f>IF(AND('Mapa final'!$AB$48="Muy Alta",'Mapa final'!$AD$48="Moderado"),CONCATENATE("R15C",'Mapa final'!$R$48),"")</f>
        <v/>
      </c>
      <c r="S20" s="102" t="str">
        <f ca="1">IF(AND('Mapa final'!$AB$46="Muy Alta",'Mapa final'!$AD$46="Mayor"),CONCATENATE("R15C",'Mapa final'!$R$46),"")</f>
        <v/>
      </c>
      <c r="T20" s="41" t="str">
        <f>IF(AND('Mapa final'!$AB$47="Muy Alta",'Mapa final'!$AD$47="Mayor"),CONCATENATE("R15C",'Mapa final'!$R$47),"")</f>
        <v/>
      </c>
      <c r="U20" s="103" t="str">
        <f>IF(AND('Mapa final'!$AB$48="Muy Alta",'Mapa final'!$AD$48="Mayor"),CONCATENATE("R15C",'Mapa final'!$R$48),"")</f>
        <v/>
      </c>
      <c r="V20" s="42" t="str">
        <f ca="1">IF(AND('Mapa final'!$AB$46="Muy Alta",'Mapa final'!$AD$46="Catastrófico"),CONCATENATE("R15C",'Mapa final'!$R$46),"")</f>
        <v/>
      </c>
      <c r="W20" s="43" t="str">
        <f>IF(AND('Mapa final'!$AB$47="Muy Alta",'Mapa final'!$AD$47="Catastrófico"),CONCATENATE("R15C",'Mapa final'!$R$47),"")</f>
        <v/>
      </c>
      <c r="X20" s="97" t="str">
        <f>IF(AND('Mapa final'!$AB$48="Muy Alta",'Mapa final'!$AD$48="Catastrófico"),CONCATENATE("R15C",'Mapa final'!$R$48),"")</f>
        <v/>
      </c>
      <c r="Y20" s="55"/>
      <c r="Z20" s="332"/>
      <c r="AA20" s="333"/>
      <c r="AB20" s="333"/>
      <c r="AC20" s="333"/>
      <c r="AD20" s="333"/>
      <c r="AE20" s="334"/>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row>
    <row r="21" spans="1:61" ht="15" customHeight="1" x14ac:dyDescent="0.25">
      <c r="A21" s="55"/>
      <c r="B21" s="338"/>
      <c r="C21" s="338"/>
      <c r="D21" s="339"/>
      <c r="E21" s="328"/>
      <c r="F21" s="327"/>
      <c r="G21" s="327"/>
      <c r="H21" s="327"/>
      <c r="I21" s="327"/>
      <c r="J21" s="102" t="str">
        <f ca="1">IF(AND('Mapa final'!$AB$49="Muy Alta",'Mapa final'!$AD$49="Leve"),CONCATENATE("R16C",'Mapa final'!$R$49),"")</f>
        <v/>
      </c>
      <c r="K21" s="41" t="str">
        <f>IF(AND('Mapa final'!$AB$50="Muy Alta",'Mapa final'!$AD$50="Leve"),CONCATENATE("R16C",'Mapa final'!$R$50),"")</f>
        <v/>
      </c>
      <c r="L21" s="103" t="str">
        <f>IF(AND('Mapa final'!$AB$51="Muy Alta",'Mapa final'!$AD$51="Leve"),CONCATENATE("R16C",'Mapa final'!$R$51),"")</f>
        <v/>
      </c>
      <c r="M21" s="102" t="str">
        <f ca="1">IF(AND('Mapa final'!$AB$49="Muy Alta",'Mapa final'!$AD$49="Menor"),CONCATENATE("R16C",'Mapa final'!$R$49),"")</f>
        <v/>
      </c>
      <c r="N21" s="41" t="str">
        <f>IF(AND('Mapa final'!$AB$50="Muy Alta",'Mapa final'!$AD$50="Menor"),CONCATENATE("R16C",'Mapa final'!$R$50),"")</f>
        <v/>
      </c>
      <c r="O21" s="103" t="str">
        <f>IF(AND('Mapa final'!$AB$51="Muy Alta",'Mapa final'!$AD$51="Menor"),CONCATENATE("R16C",'Mapa final'!$R$51),"")</f>
        <v/>
      </c>
      <c r="P21" s="102" t="str">
        <f ca="1">IF(AND('Mapa final'!$AB$49="Muy Alta",'Mapa final'!$AD$49="Moderado"),CONCATENATE("R16C",'Mapa final'!$R$49),"")</f>
        <v/>
      </c>
      <c r="Q21" s="41" t="str">
        <f>IF(AND('Mapa final'!$AB$50="Muy Alta",'Mapa final'!$AD$50="Moderado"),CONCATENATE("R16C",'Mapa final'!$R$50),"")</f>
        <v/>
      </c>
      <c r="R21" s="103" t="str">
        <f>IF(AND('Mapa final'!$AB$51="Muy Alta",'Mapa final'!$AD$51="Moderado"),CONCATENATE("R16C",'Mapa final'!$R$51),"")</f>
        <v/>
      </c>
      <c r="S21" s="102" t="str">
        <f ca="1">IF(AND('Mapa final'!$AB$49="Muy Alta",'Mapa final'!$AD$49="Mayor"),CONCATENATE("R16C",'Mapa final'!$R$49),"")</f>
        <v/>
      </c>
      <c r="T21" s="41" t="str">
        <f>IF(AND('Mapa final'!$AB$50="Muy Alta",'Mapa final'!$AD$50="Mayor"),CONCATENATE("R16C",'Mapa final'!$R$50),"")</f>
        <v/>
      </c>
      <c r="U21" s="103" t="str">
        <f>IF(AND('Mapa final'!$AB$51="Muy Alta",'Mapa final'!$AD$51="Mayor"),CONCATENATE("R16C",'Mapa final'!$R$51),"")</f>
        <v/>
      </c>
      <c r="V21" s="42" t="str">
        <f ca="1">IF(AND('Mapa final'!$AB$49="Muy Alta",'Mapa final'!$AD$49="Catastrófico"),CONCATENATE("R16C",'Mapa final'!$R$49),"")</f>
        <v/>
      </c>
      <c r="W21" s="43" t="str">
        <f>IF(AND('Mapa final'!$AB$50="Muy Alta",'Mapa final'!$AD$50="Catastrófico"),CONCATENATE("R16C",'Mapa final'!$R$50),"")</f>
        <v/>
      </c>
      <c r="X21" s="97" t="str">
        <f>IF(AND('Mapa final'!$AB$51="Muy Alta",'Mapa final'!$AD$51="Catastrófico"),CONCATENATE("R16C",'Mapa final'!$R$51),"")</f>
        <v/>
      </c>
      <c r="Y21" s="55"/>
      <c r="Z21" s="332"/>
      <c r="AA21" s="333"/>
      <c r="AB21" s="333"/>
      <c r="AC21" s="333"/>
      <c r="AD21" s="333"/>
      <c r="AE21" s="334"/>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row>
    <row r="22" spans="1:61" ht="15" customHeight="1" x14ac:dyDescent="0.25">
      <c r="A22" s="55"/>
      <c r="B22" s="338"/>
      <c r="C22" s="338"/>
      <c r="D22" s="339"/>
      <c r="E22" s="328"/>
      <c r="F22" s="327"/>
      <c r="G22" s="327"/>
      <c r="H22" s="327"/>
      <c r="I22" s="327"/>
      <c r="J22" s="102" t="str">
        <f ca="1">IF(AND('Mapa final'!$AB$52="Muy Alta",'Mapa final'!$AD$52="Leve"),CONCATENATE("R17C",'Mapa final'!$R$52),"")</f>
        <v/>
      </c>
      <c r="K22" s="41" t="str">
        <f>IF(AND('Mapa final'!$AB$53="Muy Alta",'Mapa final'!$AD$53="Leve"),CONCATENATE("R17C",'Mapa final'!$R$53),"")</f>
        <v/>
      </c>
      <c r="L22" s="103" t="str">
        <f>IF(AND('Mapa final'!$AB$54="Muy Alta",'Mapa final'!$AD$54="Leve"),CONCATENATE("R17C",'Mapa final'!$R$54),"")</f>
        <v/>
      </c>
      <c r="M22" s="102" t="str">
        <f ca="1">IF(AND('Mapa final'!$AB$52="Muy Alta",'Mapa final'!$AD$52="Menor"),CONCATENATE("R17C",'Mapa final'!$R$52),"")</f>
        <v/>
      </c>
      <c r="N22" s="41" t="str">
        <f>IF(AND('Mapa final'!$AB$53="Muy Alta",'Mapa final'!$AD$53="Menor"),CONCATENATE("R17C",'Mapa final'!$R$53),"")</f>
        <v/>
      </c>
      <c r="O22" s="103" t="str">
        <f>IF(AND('Mapa final'!$AB$54="Muy Alta",'Mapa final'!$AD$54="Menor"),CONCATENATE("R17C",'Mapa final'!$R$54),"")</f>
        <v/>
      </c>
      <c r="P22" s="102" t="str">
        <f ca="1">IF(AND('Mapa final'!$AB$52="Muy Alta",'Mapa final'!$AD$52="Moderado"),CONCATENATE("R17C",'Mapa final'!$R$52),"")</f>
        <v/>
      </c>
      <c r="Q22" s="41" t="str">
        <f>IF(AND('Mapa final'!$AB$53="Muy Alta",'Mapa final'!$AD$53="Moderado"),CONCATENATE("R17C",'Mapa final'!$R$53),"")</f>
        <v/>
      </c>
      <c r="R22" s="103" t="str">
        <f>IF(AND('Mapa final'!$AB$54="Muy Alta",'Mapa final'!$AD$54="Moderado"),CONCATENATE("R17C",'Mapa final'!$R$54),"")</f>
        <v/>
      </c>
      <c r="S22" s="102" t="str">
        <f ca="1">IF(AND('Mapa final'!$AB$52="Muy Alta",'Mapa final'!$AD$52="Mayor"),CONCATENATE("R17C",'Mapa final'!$R$52),"")</f>
        <v/>
      </c>
      <c r="T22" s="41" t="str">
        <f>IF(AND('Mapa final'!$AB$53="Muy Alta",'Mapa final'!$AD$53="Mayor"),CONCATENATE("R17C",'Mapa final'!$R$53),"")</f>
        <v/>
      </c>
      <c r="U22" s="103" t="str">
        <f>IF(AND('Mapa final'!$AB$54="Muy Alta",'Mapa final'!$AD$54="Mayor"),CONCATENATE("R17C",'Mapa final'!$R$54),"")</f>
        <v/>
      </c>
      <c r="V22" s="42" t="str">
        <f ca="1">IF(AND('Mapa final'!$AB$52="Muy Alta",'Mapa final'!$AD$52="Catastrófico"),CONCATENATE("R17C",'Mapa final'!$R$52),"")</f>
        <v/>
      </c>
      <c r="W22" s="43" t="str">
        <f>IF(AND('Mapa final'!$AB$53="Muy Alta",'Mapa final'!$AD$53="Catastrófico"),CONCATENATE("R17C",'Mapa final'!$R$53),"")</f>
        <v/>
      </c>
      <c r="X22" s="97" t="str">
        <f>IF(AND('Mapa final'!$AB$54="Muy Alta",'Mapa final'!$AD$54="Catastrófico"),CONCATENATE("R17C",'Mapa final'!$R$54),"")</f>
        <v/>
      </c>
      <c r="Y22" s="55"/>
      <c r="Z22" s="332"/>
      <c r="AA22" s="333"/>
      <c r="AB22" s="333"/>
      <c r="AC22" s="333"/>
      <c r="AD22" s="333"/>
      <c r="AE22" s="334"/>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row>
    <row r="23" spans="1:61" ht="15" customHeight="1" x14ac:dyDescent="0.25">
      <c r="A23" s="55"/>
      <c r="B23" s="338"/>
      <c r="C23" s="338"/>
      <c r="D23" s="339"/>
      <c r="E23" s="328"/>
      <c r="F23" s="327"/>
      <c r="G23" s="327"/>
      <c r="H23" s="327"/>
      <c r="I23" s="327"/>
      <c r="J23" s="102" t="str">
        <f ca="1">IF(AND('Mapa final'!$AB$55="Muy Alta",'Mapa final'!$AD$55="Leve"),CONCATENATE("R18C",'Mapa final'!$R$55),"")</f>
        <v/>
      </c>
      <c r="K23" s="41" t="str">
        <f>IF(AND('Mapa final'!$AB$56="Muy Alta",'Mapa final'!$AD$56="Leve"),CONCATENATE("R18C",'Mapa final'!$R$56),"")</f>
        <v/>
      </c>
      <c r="L23" s="103" t="str">
        <f>IF(AND('Mapa final'!$AB$57="Muy Alta",'Mapa final'!$AD$57="Leve"),CONCATENATE("R18C",'Mapa final'!$R$57),"")</f>
        <v/>
      </c>
      <c r="M23" s="102" t="str">
        <f ca="1">IF(AND('Mapa final'!$AB$55="Muy Alta",'Mapa final'!$AD$55="Menor"),CONCATENATE("R18C",'Mapa final'!$R$55),"")</f>
        <v/>
      </c>
      <c r="N23" s="41" t="str">
        <f>IF(AND('Mapa final'!$AB$56="Muy Alta",'Mapa final'!$AD$56="Menor"),CONCATENATE("R18C",'Mapa final'!$R$56),"")</f>
        <v/>
      </c>
      <c r="O23" s="103" t="str">
        <f>IF(AND('Mapa final'!$AB$57="Muy Alta",'Mapa final'!$AD$57="Menor"),CONCATENATE("R18C",'Mapa final'!$R$57),"")</f>
        <v/>
      </c>
      <c r="P23" s="102" t="str">
        <f ca="1">IF(AND('Mapa final'!$AB$55="Muy Alta",'Mapa final'!$AD$55="Moderado"),CONCATENATE("R18C",'Mapa final'!$R$55),"")</f>
        <v/>
      </c>
      <c r="Q23" s="41" t="str">
        <f>IF(AND('Mapa final'!$AB$56="Muy Alta",'Mapa final'!$AD$56="Moderado"),CONCATENATE("R18C",'Mapa final'!$R$56),"")</f>
        <v/>
      </c>
      <c r="R23" s="103" t="str">
        <f>IF(AND('Mapa final'!$AB$57="Muy Alta",'Mapa final'!$AD$57="Moderado"),CONCATENATE("R18C",'Mapa final'!$R$57),"")</f>
        <v/>
      </c>
      <c r="S23" s="102" t="str">
        <f ca="1">IF(AND('Mapa final'!$AB$55="Muy Alta",'Mapa final'!$AD$55="Mayor"),CONCATENATE("R18C",'Mapa final'!$R$55),"")</f>
        <v/>
      </c>
      <c r="T23" s="41" t="str">
        <f>IF(AND('Mapa final'!$AB$56="Muy Alta",'Mapa final'!$AD$56="Mayor"),CONCATENATE("R18C",'Mapa final'!$R$56),"")</f>
        <v/>
      </c>
      <c r="U23" s="103" t="str">
        <f>IF(AND('Mapa final'!$AB$57="Muy Alta",'Mapa final'!$AD$57="Mayor"),CONCATENATE("R18C",'Mapa final'!$R$57),"")</f>
        <v/>
      </c>
      <c r="V23" s="42" t="str">
        <f ca="1">IF(AND('Mapa final'!$AB$55="Muy Alta",'Mapa final'!$AD$55="Catastrófico"),CONCATENATE("R18C",'Mapa final'!$R$55),"")</f>
        <v/>
      </c>
      <c r="W23" s="43" t="str">
        <f>IF(AND('Mapa final'!$AB$56="Muy Alta",'Mapa final'!$AD$56="Catastrófico"),CONCATENATE("R18C",'Mapa final'!$R$56),"")</f>
        <v/>
      </c>
      <c r="X23" s="97" t="str">
        <f>IF(AND('Mapa final'!$AB$57="Muy Alta",'Mapa final'!$AD$57="Catastrófico"),CONCATENATE("R18C",'Mapa final'!$R$57),"")</f>
        <v/>
      </c>
      <c r="Y23" s="55"/>
      <c r="Z23" s="332"/>
      <c r="AA23" s="333"/>
      <c r="AB23" s="333"/>
      <c r="AC23" s="333"/>
      <c r="AD23" s="333"/>
      <c r="AE23" s="334"/>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row>
    <row r="24" spans="1:61" ht="15" customHeight="1" x14ac:dyDescent="0.25">
      <c r="A24" s="55"/>
      <c r="B24" s="338"/>
      <c r="C24" s="338"/>
      <c r="D24" s="339"/>
      <c r="E24" s="328"/>
      <c r="F24" s="327"/>
      <c r="G24" s="327"/>
      <c r="H24" s="327"/>
      <c r="I24" s="327"/>
      <c r="J24" s="102" t="str">
        <f ca="1">IF(AND('Mapa final'!$AB$58="Muy Alta",'Mapa final'!$AD$58="Leve"),CONCATENATE("R19C",'Mapa final'!$R$58),"")</f>
        <v/>
      </c>
      <c r="K24" s="41" t="str">
        <f>IF(AND('Mapa final'!$AB$59="Muy Alta",'Mapa final'!$AD$59="Leve"),CONCATENATE("R19C",'Mapa final'!$R$59),"")</f>
        <v/>
      </c>
      <c r="L24" s="103" t="str">
        <f>IF(AND('Mapa final'!$AB$60="Muy Alta",'Mapa final'!$AD$60="Leve"),CONCATENATE("R19C",'Mapa final'!$R$60),"")</f>
        <v/>
      </c>
      <c r="M24" s="102" t="str">
        <f ca="1">IF(AND('Mapa final'!$AB$58="Muy Alta",'Mapa final'!$AD$58="Menor"),CONCATENATE("R19C",'Mapa final'!$R$58),"")</f>
        <v/>
      </c>
      <c r="N24" s="41" t="str">
        <f>IF(AND('Mapa final'!$AB$59="Muy Alta",'Mapa final'!$AD$59="Menor"),CONCATENATE("R19C",'Mapa final'!$R$59),"")</f>
        <v/>
      </c>
      <c r="O24" s="103" t="str">
        <f>IF(AND('Mapa final'!$AB$60="Muy Alta",'Mapa final'!$AD$60="Menor"),CONCATENATE("R19C",'Mapa final'!$R$60),"")</f>
        <v/>
      </c>
      <c r="P24" s="102" t="str">
        <f ca="1">IF(AND('Mapa final'!$AB$58="Muy Alta",'Mapa final'!$AD$58="Moderado"),CONCATENATE("R19C",'Mapa final'!$R$58),"")</f>
        <v/>
      </c>
      <c r="Q24" s="41" t="str">
        <f>IF(AND('Mapa final'!$AB$59="Muy Alta",'Mapa final'!$AD$59="Moderado"),CONCATENATE("R19C",'Mapa final'!$R$59),"")</f>
        <v/>
      </c>
      <c r="R24" s="103" t="str">
        <f>IF(AND('Mapa final'!$AB$60="Muy Alta",'Mapa final'!$AD$60="Moderado"),CONCATENATE("R19C",'Mapa final'!$R$60),"")</f>
        <v/>
      </c>
      <c r="S24" s="102" t="str">
        <f ca="1">IF(AND('Mapa final'!$AB$58="Muy Alta",'Mapa final'!$AD$58="Mayor"),CONCATENATE("R19C",'Mapa final'!$R$58),"")</f>
        <v/>
      </c>
      <c r="T24" s="41" t="str">
        <f>IF(AND('Mapa final'!$AB$59="Muy Alta",'Mapa final'!$AD$59="Mayor"),CONCATENATE("R19C",'Mapa final'!$R$59),"")</f>
        <v/>
      </c>
      <c r="U24" s="103" t="str">
        <f>IF(AND('Mapa final'!$AB$60="Muy Alta",'Mapa final'!$AD$60="Mayor"),CONCATENATE("R19C",'Mapa final'!$R$60),"")</f>
        <v/>
      </c>
      <c r="V24" s="42" t="str">
        <f ca="1">IF(AND('Mapa final'!$AB$58="Muy Alta",'Mapa final'!$AD$58="Catastrófico"),CONCATENATE("R19C",'Mapa final'!$R$58),"")</f>
        <v/>
      </c>
      <c r="W24" s="43" t="str">
        <f>IF(AND('Mapa final'!$AB$59="Muy Alta",'Mapa final'!$AD$59="Catastrófico"),CONCATENATE("R19C",'Mapa final'!$R$59),"")</f>
        <v/>
      </c>
      <c r="X24" s="97" t="str">
        <f>IF(AND('Mapa final'!$AB$60="Muy Alta",'Mapa final'!$AD$60="Catastrófico"),CONCATENATE("R19C",'Mapa final'!$R$60),"")</f>
        <v/>
      </c>
      <c r="Y24" s="55"/>
      <c r="Z24" s="332"/>
      <c r="AA24" s="333"/>
      <c r="AB24" s="333"/>
      <c r="AC24" s="333"/>
      <c r="AD24" s="333"/>
      <c r="AE24" s="334"/>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row>
    <row r="25" spans="1:61" ht="15" customHeight="1" x14ac:dyDescent="0.25">
      <c r="A25" s="55"/>
      <c r="B25" s="338"/>
      <c r="C25" s="338"/>
      <c r="D25" s="339"/>
      <c r="E25" s="328"/>
      <c r="F25" s="327"/>
      <c r="G25" s="327"/>
      <c r="H25" s="327"/>
      <c r="I25" s="327"/>
      <c r="J25" s="102" t="str">
        <f ca="1">IF(AND('Mapa final'!$AB$61="Muy Alta",'Mapa final'!$AD$61="Leve"),CONCATENATE("R20C",'Mapa final'!$R$61),"")</f>
        <v/>
      </c>
      <c r="K25" s="41" t="str">
        <f>IF(AND('Mapa final'!$AB$62="Muy Alta",'Mapa final'!$AD$62="Leve"),CONCATENATE("R20C",'Mapa final'!$R$62),"")</f>
        <v/>
      </c>
      <c r="L25" s="103" t="str">
        <f>IF(AND('Mapa final'!$AB$63="Muy Alta",'Mapa final'!$AD$63="Leve"),CONCATENATE("R20C",'Mapa final'!$R$63),"")</f>
        <v/>
      </c>
      <c r="M25" s="102" t="str">
        <f ca="1">IF(AND('Mapa final'!$AB$61="Muy Alta",'Mapa final'!$AD$61="Menor"),CONCATENATE("R20C",'Mapa final'!$R$61),"")</f>
        <v/>
      </c>
      <c r="N25" s="41" t="str">
        <f>IF(AND('Mapa final'!$AB$62="Muy Alta",'Mapa final'!$AD$62="Menor"),CONCATENATE("R20C",'Mapa final'!$R$62),"")</f>
        <v/>
      </c>
      <c r="O25" s="103" t="str">
        <f>IF(AND('Mapa final'!$AB$63="Muy Alta",'Mapa final'!$AD$63="Menor"),CONCATENATE("R20C",'Mapa final'!$R$63),"")</f>
        <v/>
      </c>
      <c r="P25" s="102" t="str">
        <f ca="1">IF(AND('Mapa final'!$AB$61="Muy Alta",'Mapa final'!$AD$61="Moderado"),CONCATENATE("R20C",'Mapa final'!$R$61),"")</f>
        <v/>
      </c>
      <c r="Q25" s="41" t="str">
        <f>IF(AND('Mapa final'!$AB$62="Muy Alta",'Mapa final'!$AD$62="Moderado"),CONCATENATE("R20C",'Mapa final'!$R$62),"")</f>
        <v/>
      </c>
      <c r="R25" s="103" t="str">
        <f>IF(AND('Mapa final'!$AB$63="Muy Alta",'Mapa final'!$AD$63="Moderado"),CONCATENATE("R20C",'Mapa final'!$R$63),"")</f>
        <v/>
      </c>
      <c r="S25" s="102" t="str">
        <f ca="1">IF(AND('Mapa final'!$AB$61="Muy Alta",'Mapa final'!$AD$61="Mayor"),CONCATENATE("R20C",'Mapa final'!$R$61),"")</f>
        <v/>
      </c>
      <c r="T25" s="41" t="str">
        <f>IF(AND('Mapa final'!$AB$62="Muy Alta",'Mapa final'!$AD$62="Mayor"),CONCATENATE("R20C",'Mapa final'!$R$62),"")</f>
        <v/>
      </c>
      <c r="U25" s="103" t="str">
        <f>IF(AND('Mapa final'!$AB$63="Muy Alta",'Mapa final'!$AD$63="Mayor"),CONCATENATE("R20C",'Mapa final'!$R$63),"")</f>
        <v/>
      </c>
      <c r="V25" s="42" t="str">
        <f ca="1">IF(AND('Mapa final'!$AB$61="Muy Alta",'Mapa final'!$AD$61="Catastrófico"),CONCATENATE("R20C",'Mapa final'!$R$61),"")</f>
        <v/>
      </c>
      <c r="W25" s="43" t="str">
        <f>IF(AND('Mapa final'!$AB$62="Muy Alta",'Mapa final'!$AD$62="Catastrófico"),CONCATENATE("R20C",'Mapa final'!$R$62),"")</f>
        <v/>
      </c>
      <c r="X25" s="97" t="str">
        <f>IF(AND('Mapa final'!$AB$63="Muy Alta",'Mapa final'!$AD$63="Catastrófico"),CONCATENATE("R20C",'Mapa final'!$R$63),"")</f>
        <v/>
      </c>
      <c r="Y25" s="55"/>
      <c r="Z25" s="332"/>
      <c r="AA25" s="333"/>
      <c r="AB25" s="333"/>
      <c r="AC25" s="333"/>
      <c r="AD25" s="333"/>
      <c r="AE25" s="334"/>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row>
    <row r="26" spans="1:61" ht="15" customHeight="1" x14ac:dyDescent="0.25">
      <c r="A26" s="55"/>
      <c r="B26" s="338"/>
      <c r="C26" s="338"/>
      <c r="D26" s="339"/>
      <c r="E26" s="328"/>
      <c r="F26" s="327"/>
      <c r="G26" s="327"/>
      <c r="H26" s="327"/>
      <c r="I26" s="327"/>
      <c r="J26" s="102" t="str">
        <f ca="1">IF(AND('Mapa final'!$AB$64="Muy Alta",'Mapa final'!$AD$64="Leve"),CONCATENATE("R21C",'Mapa final'!$R$64),"")</f>
        <v/>
      </c>
      <c r="K26" s="41" t="str">
        <f>IF(AND('Mapa final'!$AB$65="Muy Alta",'Mapa final'!$AD$65="Leve"),CONCATENATE("R21C",'Mapa final'!$R$65),"")</f>
        <v/>
      </c>
      <c r="L26" s="103" t="str">
        <f>IF(AND('Mapa final'!$AB$66="Muy Alta",'Mapa final'!$AD$66="Leve"),CONCATENATE("R21C",'Mapa final'!$R$66),"")</f>
        <v/>
      </c>
      <c r="M26" s="102" t="str">
        <f ca="1">IF(AND('Mapa final'!$AB$64="Muy Alta",'Mapa final'!$AD$64="Menor"),CONCATENATE("R21C",'Mapa final'!$R$64),"")</f>
        <v/>
      </c>
      <c r="N26" s="41" t="str">
        <f>IF(AND('Mapa final'!$AB$65="Muy Alta",'Mapa final'!$AD$65="Menor"),CONCATENATE("R21C",'Mapa final'!$R$65),"")</f>
        <v/>
      </c>
      <c r="O26" s="103" t="str">
        <f>IF(AND('Mapa final'!$AB$66="Muy Alta",'Mapa final'!$AD$66="Menor"),CONCATENATE("R21C",'Mapa final'!$R$66),"")</f>
        <v/>
      </c>
      <c r="P26" s="102" t="str">
        <f ca="1">IF(AND('Mapa final'!$AB$64="Muy Alta",'Mapa final'!$AD$64="Moderado"),CONCATENATE("R21C",'Mapa final'!$R$64),"")</f>
        <v/>
      </c>
      <c r="Q26" s="41" t="str">
        <f>IF(AND('Mapa final'!$AB$65="Muy Alta",'Mapa final'!$AD$65="Moderado"),CONCATENATE("R21C",'Mapa final'!$R$65),"")</f>
        <v/>
      </c>
      <c r="R26" s="103" t="str">
        <f>IF(AND('Mapa final'!$AB$66="Muy Alta",'Mapa final'!$AD$66="Moderado"),CONCATENATE("R21C",'Mapa final'!$R$66),"")</f>
        <v/>
      </c>
      <c r="S26" s="102" t="str">
        <f ca="1">IF(AND('Mapa final'!$AB$64="Muy Alta",'Mapa final'!$AD$64="Mayor"),CONCATENATE("R21C",'Mapa final'!$R$64),"")</f>
        <v/>
      </c>
      <c r="T26" s="41" t="str">
        <f>IF(AND('Mapa final'!$AB$65="Muy Alta",'Mapa final'!$AD$65="Mayor"),CONCATENATE("R21C",'Mapa final'!$R$65),"")</f>
        <v/>
      </c>
      <c r="U26" s="103" t="str">
        <f>IF(AND('Mapa final'!$AB$66="Muy Alta",'Mapa final'!$AD$66="Mayor"),CONCATENATE("R21C",'Mapa final'!$R$66),"")</f>
        <v/>
      </c>
      <c r="V26" s="42" t="str">
        <f ca="1">IF(AND('Mapa final'!$AB$64="Muy Alta",'Mapa final'!$AD$64="Catastrófico"),CONCATENATE("R21C",'Mapa final'!$R$64),"")</f>
        <v/>
      </c>
      <c r="W26" s="43" t="str">
        <f>IF(AND('Mapa final'!$AB$65="Muy Alta",'Mapa final'!$AD$65="Catastrófico"),CONCATENATE("R21C",'Mapa final'!$R$65),"")</f>
        <v/>
      </c>
      <c r="X26" s="97" t="str">
        <f>IF(AND('Mapa final'!$AB$66="Muy Alta",'Mapa final'!$AD$66="Catastrófico"),CONCATENATE("R21C",'Mapa final'!$R$66),"")</f>
        <v/>
      </c>
      <c r="Y26" s="55"/>
      <c r="Z26" s="332"/>
      <c r="AA26" s="333"/>
      <c r="AB26" s="333"/>
      <c r="AC26" s="333"/>
      <c r="AD26" s="333"/>
      <c r="AE26" s="334"/>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row>
    <row r="27" spans="1:61" ht="15" customHeight="1" x14ac:dyDescent="0.25">
      <c r="A27" s="55"/>
      <c r="B27" s="338"/>
      <c r="C27" s="338"/>
      <c r="D27" s="339"/>
      <c r="E27" s="328"/>
      <c r="F27" s="327"/>
      <c r="G27" s="327"/>
      <c r="H27" s="327"/>
      <c r="I27" s="327"/>
      <c r="J27" s="102" t="str">
        <f ca="1">IF(AND('Mapa final'!$AB$67="Muy Alta",'Mapa final'!$AD$67="Leve"),CONCATENATE("R22C",'Mapa final'!$R$67),"")</f>
        <v/>
      </c>
      <c r="K27" s="41" t="str">
        <f>IF(AND('Mapa final'!$AB$68="Muy Alta",'Mapa final'!$AD$68="Leve"),CONCATENATE("R22C",'Mapa final'!$R$68),"")</f>
        <v/>
      </c>
      <c r="L27" s="103" t="str">
        <f>IF(AND('Mapa final'!$AB$69="Muy Alta",'Mapa final'!$AD$69="Leve"),CONCATENATE("R22C",'Mapa final'!$R$69),"")</f>
        <v/>
      </c>
      <c r="M27" s="102" t="str">
        <f ca="1">IF(AND('Mapa final'!$AB$67="Muy Alta",'Mapa final'!$AD$67="Menor"),CONCATENATE("R22C",'Mapa final'!$R$67),"")</f>
        <v/>
      </c>
      <c r="N27" s="41" t="str">
        <f>IF(AND('Mapa final'!$AB$68="Muy Alta",'Mapa final'!$AD$68="Menor"),CONCATENATE("R22C",'Mapa final'!$R$68),"")</f>
        <v/>
      </c>
      <c r="O27" s="103" t="str">
        <f>IF(AND('Mapa final'!$AB$69="Muy Alta",'Mapa final'!$AD$69="Menor"),CONCATENATE("R22C",'Mapa final'!$R$69),"")</f>
        <v/>
      </c>
      <c r="P27" s="102" t="str">
        <f ca="1">IF(AND('Mapa final'!$AB$67="Muy Alta",'Mapa final'!$AD$67="Moderado"),CONCATENATE("R22C",'Mapa final'!$R$67),"")</f>
        <v/>
      </c>
      <c r="Q27" s="41" t="str">
        <f>IF(AND('Mapa final'!$AB$68="Muy Alta",'Mapa final'!$AD$68="Moderado"),CONCATENATE("R22C",'Mapa final'!$R$68),"")</f>
        <v/>
      </c>
      <c r="R27" s="103" t="str">
        <f>IF(AND('Mapa final'!$AB$69="Muy Alta",'Mapa final'!$AD$69="Moderado"),CONCATENATE("R22C",'Mapa final'!$R$69),"")</f>
        <v/>
      </c>
      <c r="S27" s="102" t="str">
        <f ca="1">IF(AND('Mapa final'!$AB$67="Muy Alta",'Mapa final'!$AD$67="Mayor"),CONCATENATE("R22C",'Mapa final'!$R$67),"")</f>
        <v/>
      </c>
      <c r="T27" s="41" t="str">
        <f>IF(AND('Mapa final'!$AB$68="Muy Alta",'Mapa final'!$AD$68="Mayor"),CONCATENATE("R22C",'Mapa final'!$R$68),"")</f>
        <v/>
      </c>
      <c r="U27" s="103" t="str">
        <f>IF(AND('Mapa final'!$AB$69="Muy Alta",'Mapa final'!$AD$69="Mayor"),CONCATENATE("R22C",'Mapa final'!$R$69),"")</f>
        <v/>
      </c>
      <c r="V27" s="42" t="str">
        <f ca="1">IF(AND('Mapa final'!$AB$67="Muy Alta",'Mapa final'!$AD$67="Catastrófico"),CONCATENATE("R22C",'Mapa final'!$R$67),"")</f>
        <v/>
      </c>
      <c r="W27" s="43" t="str">
        <f>IF(AND('Mapa final'!$AB$68="Muy Alta",'Mapa final'!$AD$68="Catastrófico"),CONCATENATE("R22C",'Mapa final'!$R$68),"")</f>
        <v/>
      </c>
      <c r="X27" s="97" t="str">
        <f>IF(AND('Mapa final'!$AB$69="Muy Alta",'Mapa final'!$AD$69="Catastrófico"),CONCATENATE("R22C",'Mapa final'!$R$69),"")</f>
        <v/>
      </c>
      <c r="Y27" s="55"/>
      <c r="Z27" s="332"/>
      <c r="AA27" s="333"/>
      <c r="AB27" s="333"/>
      <c r="AC27" s="333"/>
      <c r="AD27" s="333"/>
      <c r="AE27" s="334"/>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row>
    <row r="28" spans="1:61" ht="15" customHeight="1" x14ac:dyDescent="0.25">
      <c r="A28" s="55"/>
      <c r="B28" s="338"/>
      <c r="C28" s="338"/>
      <c r="D28" s="339"/>
      <c r="E28" s="328"/>
      <c r="F28" s="327"/>
      <c r="G28" s="327"/>
      <c r="H28" s="327"/>
      <c r="I28" s="327"/>
      <c r="J28" s="102" t="str">
        <f ca="1">IF(AND('Mapa final'!$AB$73="Muy Alta",'Mapa final'!$AD$73="Leve"),CONCATENATE("R23C",'Mapa final'!$R$73),"")</f>
        <v/>
      </c>
      <c r="K28" s="41" t="str">
        <f>IF(AND('Mapa final'!$AB$74="Muy Alta",'Mapa final'!$AD$74="Leve"),CONCATENATE("R23C",'Mapa final'!$R$74),"")</f>
        <v/>
      </c>
      <c r="L28" s="103" t="str">
        <f>IF(AND('Mapa final'!$AB$75="Muy Alta",'Mapa final'!$AD$75="Leve"),CONCATENATE("R23C",'Mapa final'!$R$75),"")</f>
        <v/>
      </c>
      <c r="M28" s="102" t="str">
        <f ca="1">IF(AND('Mapa final'!$AB$73="Muy Alta",'Mapa final'!$AD$73="Menor"),CONCATENATE("R23C",'Mapa final'!$R$73),"")</f>
        <v/>
      </c>
      <c r="N28" s="41" t="str">
        <f>IF(AND('Mapa final'!$AB$74="Muy Alta",'Mapa final'!$AD$74="Menor"),CONCATENATE("R23C",'Mapa final'!$R$74),"")</f>
        <v/>
      </c>
      <c r="O28" s="103" t="str">
        <f>IF(AND('Mapa final'!$AB$75="Muy Alta",'Mapa final'!$AD$75="Menor"),CONCATENATE("R23C",'Mapa final'!$R$75),"")</f>
        <v/>
      </c>
      <c r="P28" s="102" t="str">
        <f ca="1">IF(AND('Mapa final'!$AB$73="Muy Alta",'Mapa final'!$AD$73="Moderado"),CONCATENATE("R23C",'Mapa final'!$R$73),"")</f>
        <v/>
      </c>
      <c r="Q28" s="41" t="str">
        <f>IF(AND('Mapa final'!$AB$74="Muy Alta",'Mapa final'!$AD$74="Moderado"),CONCATENATE("R23C",'Mapa final'!$R$74),"")</f>
        <v/>
      </c>
      <c r="R28" s="103" t="str">
        <f>IF(AND('Mapa final'!$AB$75="Muy Alta",'Mapa final'!$AD$75="Moderado"),CONCATENATE("R23C",'Mapa final'!$R$75),"")</f>
        <v/>
      </c>
      <c r="S28" s="102" t="str">
        <f ca="1">IF(AND('Mapa final'!$AB$73="Muy Alta",'Mapa final'!$AD$73="Mayor"),CONCATENATE("R23C",'Mapa final'!$R$73),"")</f>
        <v/>
      </c>
      <c r="T28" s="41" t="str">
        <f>IF(AND('Mapa final'!$AB$74="Muy Alta",'Mapa final'!$AD$74="Mayor"),CONCATENATE("R23C",'Mapa final'!$R$74),"")</f>
        <v/>
      </c>
      <c r="U28" s="103" t="str">
        <f>IF(AND('Mapa final'!$AB$75="Muy Alta",'Mapa final'!$AD$75="Mayor"),CONCATENATE("R23C",'Mapa final'!$R$75),"")</f>
        <v/>
      </c>
      <c r="V28" s="42" t="str">
        <f ca="1">IF(AND('Mapa final'!$AB$73="Muy Alta",'Mapa final'!$AD$73="Catastrófico"),CONCATENATE("R23C",'Mapa final'!$R$73),"")</f>
        <v/>
      </c>
      <c r="W28" s="43" t="str">
        <f>IF(AND('Mapa final'!$AB$74="Muy Alta",'Mapa final'!$AD$74="Catastrófico"),CONCATENATE("R23C",'Mapa final'!$R$74),"")</f>
        <v/>
      </c>
      <c r="X28" s="97" t="str">
        <f>IF(AND('Mapa final'!$AB$75="Muy Alta",'Mapa final'!$AD$75="Catastrófico"),CONCATENATE("R23C",'Mapa final'!$R$75),"")</f>
        <v/>
      </c>
      <c r="Y28" s="55"/>
      <c r="Z28" s="332"/>
      <c r="AA28" s="333"/>
      <c r="AB28" s="333"/>
      <c r="AC28" s="333"/>
      <c r="AD28" s="333"/>
      <c r="AE28" s="334"/>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row>
    <row r="29" spans="1:61" ht="15" customHeight="1" x14ac:dyDescent="0.25">
      <c r="A29" s="55"/>
      <c r="B29" s="338"/>
      <c r="C29" s="338"/>
      <c r="D29" s="339"/>
      <c r="E29" s="328"/>
      <c r="F29" s="327"/>
      <c r="G29" s="327"/>
      <c r="H29" s="327"/>
      <c r="I29" s="327"/>
      <c r="J29" s="102" t="str">
        <f ca="1">IF(AND('Mapa final'!$AB$76="Muy Alta",'Mapa final'!$AD$76="Leve"),CONCATENATE("R24C",'Mapa final'!$R$76),"")</f>
        <v/>
      </c>
      <c r="K29" s="41" t="str">
        <f>IF(AND('Mapa final'!$AB$77="Muy Alta",'Mapa final'!$AD$77="Leve"),CONCATENATE("R24C",'Mapa final'!$R$77),"")</f>
        <v/>
      </c>
      <c r="L29" s="103" t="str">
        <f>IF(AND('Mapa final'!$AB$78="Muy Alta",'Mapa final'!$AD$78="Leve"),CONCATENATE("R24C",'Mapa final'!$R$78),"")</f>
        <v/>
      </c>
      <c r="M29" s="102" t="str">
        <f ca="1">IF(AND('Mapa final'!$AB$76="Muy Alta",'Mapa final'!$AD$76="Menor"),CONCATENATE("R24C",'Mapa final'!$R$76),"")</f>
        <v/>
      </c>
      <c r="N29" s="41" t="str">
        <f>IF(AND('Mapa final'!$AB$77="Muy Alta",'Mapa final'!$AD$77="Menor"),CONCATENATE("R24C",'Mapa final'!$R$77),"")</f>
        <v/>
      </c>
      <c r="O29" s="103" t="str">
        <f>IF(AND('Mapa final'!$AB$78="Muy Alta",'Mapa final'!$AD$78="Menor"),CONCATENATE("R24C",'Mapa final'!$R$78),"")</f>
        <v/>
      </c>
      <c r="P29" s="102" t="str">
        <f ca="1">IF(AND('Mapa final'!$AB$76="Muy Alta",'Mapa final'!$AD$76="Moderado"),CONCATENATE("R24C",'Mapa final'!$R$76),"")</f>
        <v/>
      </c>
      <c r="Q29" s="41" t="str">
        <f>IF(AND('Mapa final'!$AB$77="Muy Alta",'Mapa final'!$AD$77="Moderado"),CONCATENATE("R24C",'Mapa final'!$R$77),"")</f>
        <v/>
      </c>
      <c r="R29" s="103" t="str">
        <f>IF(AND('Mapa final'!$AB$78="Muy Alta",'Mapa final'!$AD$78="Moderado"),CONCATENATE("R24C",'Mapa final'!$R$78),"")</f>
        <v/>
      </c>
      <c r="S29" s="102" t="str">
        <f ca="1">IF(AND('Mapa final'!$AB$76="Muy Alta",'Mapa final'!$AD$76="Mayor"),CONCATENATE("R24C",'Mapa final'!$R$76),"")</f>
        <v/>
      </c>
      <c r="T29" s="41" t="str">
        <f>IF(AND('Mapa final'!$AB$77="Muy Alta",'Mapa final'!$AD$77="Mayor"),CONCATENATE("R24C",'Mapa final'!$R$77),"")</f>
        <v/>
      </c>
      <c r="U29" s="103" t="str">
        <f>IF(AND('Mapa final'!$AB$78="Muy Alta",'Mapa final'!$AD$78="Mayor"),CONCATENATE("R24C",'Mapa final'!$R$78),"")</f>
        <v/>
      </c>
      <c r="V29" s="42" t="str">
        <f ca="1">IF(AND('Mapa final'!$AB$76="Muy Alta",'Mapa final'!$AD$76="Catastrófico"),CONCATENATE("R24C",'Mapa final'!$R$76),"")</f>
        <v/>
      </c>
      <c r="W29" s="43" t="str">
        <f>IF(AND('Mapa final'!$AB$77="Muy Alta",'Mapa final'!$AD$77="Catastrófico"),CONCATENATE("R24C",'Mapa final'!$R$77),"")</f>
        <v/>
      </c>
      <c r="X29" s="97" t="str">
        <f>IF(AND('Mapa final'!$AB$78="Muy Alta",'Mapa final'!$AD$78="Catastrófico"),CONCATENATE("R24C",'Mapa final'!$R$78),"")</f>
        <v/>
      </c>
      <c r="Y29" s="55"/>
      <c r="Z29" s="332"/>
      <c r="AA29" s="333"/>
      <c r="AB29" s="333"/>
      <c r="AC29" s="333"/>
      <c r="AD29" s="333"/>
      <c r="AE29" s="334"/>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row>
    <row r="30" spans="1:61" ht="15" customHeight="1" x14ac:dyDescent="0.25">
      <c r="A30" s="55"/>
      <c r="B30" s="338"/>
      <c r="C30" s="338"/>
      <c r="D30" s="339"/>
      <c r="E30" s="328"/>
      <c r="F30" s="327"/>
      <c r="G30" s="327"/>
      <c r="H30" s="327"/>
      <c r="I30" s="327"/>
      <c r="J30" s="102" t="str">
        <f ca="1">IF(AND('Mapa final'!$AB$79="Muy Alta",'Mapa final'!$AD$79="Leve"),CONCATENATE("R25C",'Mapa final'!$R$79),"")</f>
        <v/>
      </c>
      <c r="K30" s="41" t="str">
        <f>IF(AND('Mapa final'!$AB$80="Muy Alta",'Mapa final'!$AD$80="Leve"),CONCATENATE("R25C",'Mapa final'!$R$80),"")</f>
        <v/>
      </c>
      <c r="L30" s="103" t="str">
        <f>IF(AND('Mapa final'!$AB$81="Muy Alta",'Mapa final'!$AD$81="Leve"),CONCATENATE("R25C",'Mapa final'!$R$81),"")</f>
        <v/>
      </c>
      <c r="M30" s="102" t="str">
        <f ca="1">IF(AND('Mapa final'!$AB$79="Muy Alta",'Mapa final'!$AD$79="Menor"),CONCATENATE("R25C",'Mapa final'!$R$79),"")</f>
        <v/>
      </c>
      <c r="N30" s="41" t="str">
        <f>IF(AND('Mapa final'!$AB$80="Muy Alta",'Mapa final'!$AD$80="Menor"),CONCATENATE("R25C",'Mapa final'!$R$80),"")</f>
        <v/>
      </c>
      <c r="O30" s="103" t="str">
        <f>IF(AND('Mapa final'!$AB$81="Muy Alta",'Mapa final'!$AD$81="Menor"),CONCATENATE("R25C",'Mapa final'!$R$81),"")</f>
        <v/>
      </c>
      <c r="P30" s="102" t="str">
        <f ca="1">IF(AND('Mapa final'!$AB$79="Muy Alta",'Mapa final'!$AD$79="Moderado"),CONCATENATE("R25C",'Mapa final'!$R$79),"")</f>
        <v/>
      </c>
      <c r="Q30" s="41" t="str">
        <f>IF(AND('Mapa final'!$AB$80="Muy Alta",'Mapa final'!$AD$80="Moderado"),CONCATENATE("R25C",'Mapa final'!$R$80),"")</f>
        <v/>
      </c>
      <c r="R30" s="103" t="str">
        <f>IF(AND('Mapa final'!$AB$81="Muy Alta",'Mapa final'!$AD$81="Moderado"),CONCATENATE("R25C",'Mapa final'!$R$81),"")</f>
        <v/>
      </c>
      <c r="S30" s="102" t="str">
        <f ca="1">IF(AND('Mapa final'!$AB$79="Muy Alta",'Mapa final'!$AD$79="Mayor"),CONCATENATE("R25C",'Mapa final'!$R$79),"")</f>
        <v/>
      </c>
      <c r="T30" s="41" t="str">
        <f>IF(AND('Mapa final'!$AB$80="Muy Alta",'Mapa final'!$AD$80="Mayor"),CONCATENATE("R25C",'Mapa final'!$R$80),"")</f>
        <v/>
      </c>
      <c r="U30" s="103" t="str">
        <f>IF(AND('Mapa final'!$AB$81="Muy Alta",'Mapa final'!$AD$81="Mayor"),CONCATENATE("R25C",'Mapa final'!$R$81),"")</f>
        <v/>
      </c>
      <c r="V30" s="42" t="str">
        <f ca="1">IF(AND('Mapa final'!$AB$79="Muy Alta",'Mapa final'!$AD$79="Catastrófico"),CONCATENATE("R25C",'Mapa final'!$R$79),"")</f>
        <v/>
      </c>
      <c r="W30" s="43" t="str">
        <f>IF(AND('Mapa final'!$AB$80="Muy Alta",'Mapa final'!$AD$80="Catastrófico"),CONCATENATE("R25C",'Mapa final'!$R$80),"")</f>
        <v/>
      </c>
      <c r="X30" s="97" t="str">
        <f>IF(AND('Mapa final'!$AB$81="Muy Alta",'Mapa final'!$AD$81="Catastrófico"),CONCATENATE("R25C",'Mapa final'!$R$81),"")</f>
        <v/>
      </c>
      <c r="Y30" s="55"/>
      <c r="Z30" s="332"/>
      <c r="AA30" s="333"/>
      <c r="AB30" s="333"/>
      <c r="AC30" s="333"/>
      <c r="AD30" s="333"/>
      <c r="AE30" s="334"/>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row>
    <row r="31" spans="1:61" ht="15" customHeight="1" x14ac:dyDescent="0.25">
      <c r="A31" s="55"/>
      <c r="B31" s="338"/>
      <c r="C31" s="338"/>
      <c r="D31" s="339"/>
      <c r="E31" s="328"/>
      <c r="F31" s="327"/>
      <c r="G31" s="327"/>
      <c r="H31" s="327"/>
      <c r="I31" s="327"/>
      <c r="J31" s="102" t="str">
        <f ca="1">IF(AND('Mapa final'!$AB$82="Muy Alta",'Mapa final'!$AD$82="Leve"),CONCATENATE("R26C",'Mapa final'!$R$82),"")</f>
        <v/>
      </c>
      <c r="K31" s="41" t="str">
        <f ca="1">IF(AND('Mapa final'!$AB$83="Muy Alta",'Mapa final'!$AD$83="Leve"),CONCATENATE("R26C",'Mapa final'!$R$83),"")</f>
        <v/>
      </c>
      <c r="L31" s="103" t="str">
        <f ca="1">IF(AND('Mapa final'!$AB$84="Muy Alta",'Mapa final'!$AD$84="Leve"),CONCATENATE("R26C",'Mapa final'!$R$84),"")</f>
        <v/>
      </c>
      <c r="M31" s="102" t="str">
        <f ca="1">IF(AND('Mapa final'!$AB$82="Muy Alta",'Mapa final'!$AD$82="Menor"),CONCATENATE("R26C",'Mapa final'!$R$82),"")</f>
        <v/>
      </c>
      <c r="N31" s="41" t="str">
        <f ca="1">IF(AND('Mapa final'!$AB$83="Muy Alta",'Mapa final'!$AD$83="Menor"),CONCATENATE("R26C",'Mapa final'!$R$83),"")</f>
        <v/>
      </c>
      <c r="O31" s="103" t="str">
        <f ca="1">IF(AND('Mapa final'!$AB$84="Muy Alta",'Mapa final'!$AD$84="Menor"),CONCATENATE("R26C",'Mapa final'!$R$84),"")</f>
        <v/>
      </c>
      <c r="P31" s="102" t="str">
        <f ca="1">IF(AND('Mapa final'!$AB$82="Muy Alta",'Mapa final'!$AD$82="Moderado"),CONCATENATE("R26C",'Mapa final'!$R$82),"")</f>
        <v/>
      </c>
      <c r="Q31" s="41" t="str">
        <f ca="1">IF(AND('Mapa final'!$AB$83="Muy Alta",'Mapa final'!$AD$83="Moderado"),CONCATENATE("R26C",'Mapa final'!$R$83),"")</f>
        <v/>
      </c>
      <c r="R31" s="103" t="str">
        <f ca="1">IF(AND('Mapa final'!$AB$84="Muy Alta",'Mapa final'!$AD$84="Moderado"),CONCATENATE("R26C",'Mapa final'!$R$84),"")</f>
        <v/>
      </c>
      <c r="S31" s="102" t="str">
        <f ca="1">IF(AND('Mapa final'!$AB$82="Muy Alta",'Mapa final'!$AD$82="Mayor"),CONCATENATE("R26C",'Mapa final'!$R$82),"")</f>
        <v/>
      </c>
      <c r="T31" s="41" t="str">
        <f ca="1">IF(AND('Mapa final'!$AB$83="Muy Alta",'Mapa final'!$AD$83="Mayor"),CONCATENATE("R26C",'Mapa final'!$R$83),"")</f>
        <v/>
      </c>
      <c r="U31" s="103" t="str">
        <f ca="1">IF(AND('Mapa final'!$AB$84="Muy Alta",'Mapa final'!$AD$84="Mayor"),CONCATENATE("R26C",'Mapa final'!$R$84),"")</f>
        <v/>
      </c>
      <c r="V31" s="42" t="str">
        <f ca="1">IF(AND('Mapa final'!$AB$82="Muy Alta",'Mapa final'!$AD$82="Catastrófico"),CONCATENATE("R26C",'Mapa final'!$R$82),"")</f>
        <v/>
      </c>
      <c r="W31" s="43" t="str">
        <f ca="1">IF(AND('Mapa final'!$AB$83="Muy Alta",'Mapa final'!$AD$83="Catastrófico"),CONCATENATE("R26C",'Mapa final'!$R$83),"")</f>
        <v/>
      </c>
      <c r="X31" s="97" t="str">
        <f ca="1">IF(AND('Mapa final'!$AB$84="Muy Alta",'Mapa final'!$AD$84="Catastrófico"),CONCATENATE("R26C",'Mapa final'!$R$84),"")</f>
        <v/>
      </c>
      <c r="Y31" s="55"/>
      <c r="Z31" s="332"/>
      <c r="AA31" s="333"/>
      <c r="AB31" s="333"/>
      <c r="AC31" s="333"/>
      <c r="AD31" s="333"/>
      <c r="AE31" s="334"/>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row>
    <row r="32" spans="1:61" ht="15" customHeight="1" x14ac:dyDescent="0.25">
      <c r="A32" s="55"/>
      <c r="B32" s="338"/>
      <c r="C32" s="338"/>
      <c r="D32" s="339"/>
      <c r="E32" s="328"/>
      <c r="F32" s="327"/>
      <c r="G32" s="327"/>
      <c r="H32" s="327"/>
      <c r="I32" s="327"/>
      <c r="J32" s="102" t="str">
        <f ca="1">IF(AND('Mapa final'!$AB$85="Muy Alta",'Mapa final'!$AD$85="Leve"),CONCATENATE("R27C",'Mapa final'!$R$85),"")</f>
        <v/>
      </c>
      <c r="K32" s="41" t="str">
        <f>IF(AND('Mapa final'!$AB$86="Muy Alta",'Mapa final'!$AD$86="Leve"),CONCATENATE("R27C",'Mapa final'!$R$86),"")</f>
        <v/>
      </c>
      <c r="L32" s="103" t="str">
        <f>IF(AND('Mapa final'!$AB$87="Muy Alta",'Mapa final'!$AD$87="Leve"),CONCATENATE("R27C",'Mapa final'!$R$87),"")</f>
        <v/>
      </c>
      <c r="M32" s="102" t="str">
        <f ca="1">IF(AND('Mapa final'!$AB$85="Muy Alta",'Mapa final'!$AD$85="Menor"),CONCATENATE("R27C",'Mapa final'!$R$85),"")</f>
        <v/>
      </c>
      <c r="N32" s="41" t="str">
        <f>IF(AND('Mapa final'!$AB$86="Muy Alta",'Mapa final'!$AD$86="Menor"),CONCATENATE("R27C",'Mapa final'!$R$86),"")</f>
        <v/>
      </c>
      <c r="O32" s="103" t="str">
        <f>IF(AND('Mapa final'!$AB$87="Muy Alta",'Mapa final'!$AD$87="Menor"),CONCATENATE("R27C",'Mapa final'!$R$87),"")</f>
        <v/>
      </c>
      <c r="P32" s="102" t="str">
        <f ca="1">IF(AND('Mapa final'!$AB$85="Muy Alta",'Mapa final'!$AD$85="Moderado"),CONCATENATE("R27C",'Mapa final'!$R$85),"")</f>
        <v/>
      </c>
      <c r="Q32" s="41" t="str">
        <f>IF(AND('Mapa final'!$AB$86="Muy Alta",'Mapa final'!$AD$86="Moderado"),CONCATENATE("R27C",'Mapa final'!$R$86),"")</f>
        <v/>
      </c>
      <c r="R32" s="103" t="str">
        <f>IF(AND('Mapa final'!$AB$87="Muy Alta",'Mapa final'!$AD$87="Moderado"),CONCATENATE("R27C",'Mapa final'!$R$87),"")</f>
        <v/>
      </c>
      <c r="S32" s="102" t="str">
        <f ca="1">IF(AND('Mapa final'!$AB$85="Muy Alta",'Mapa final'!$AD$85="Mayor"),CONCATENATE("R27C",'Mapa final'!$R$85),"")</f>
        <v/>
      </c>
      <c r="T32" s="41" t="str">
        <f>IF(AND('Mapa final'!$AB$86="Muy Alta",'Mapa final'!$AD$86="Mayor"),CONCATENATE("R27C",'Mapa final'!$R$86),"")</f>
        <v/>
      </c>
      <c r="U32" s="103" t="str">
        <f>IF(AND('Mapa final'!$AB$87="Muy Alta",'Mapa final'!$AD$87="Mayor"),CONCATENATE("R27C",'Mapa final'!$R$87),"")</f>
        <v/>
      </c>
      <c r="V32" s="42" t="str">
        <f ca="1">IF(AND('Mapa final'!$AB$85="Muy Alta",'Mapa final'!$AD$85="Catastrófico"),CONCATENATE("R27C",'Mapa final'!$R$85),"")</f>
        <v/>
      </c>
      <c r="W32" s="43" t="str">
        <f>IF(AND('Mapa final'!$AB$86="Muy Alta",'Mapa final'!$AD$86="Catastrófico"),CONCATENATE("R27C",'Mapa final'!$R$86),"")</f>
        <v/>
      </c>
      <c r="X32" s="97" t="str">
        <f>IF(AND('Mapa final'!$AB$87="Muy Alta",'Mapa final'!$AD$87="Catastrófico"),CONCATENATE("R27C",'Mapa final'!$R$87),"")</f>
        <v/>
      </c>
      <c r="Y32" s="55"/>
      <c r="Z32" s="332"/>
      <c r="AA32" s="333"/>
      <c r="AB32" s="333"/>
      <c r="AC32" s="333"/>
      <c r="AD32" s="333"/>
      <c r="AE32" s="334"/>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row>
    <row r="33" spans="1:61" ht="15" customHeight="1" x14ac:dyDescent="0.25">
      <c r="A33" s="55"/>
      <c r="B33" s="338"/>
      <c r="C33" s="338"/>
      <c r="D33" s="339"/>
      <c r="E33" s="328"/>
      <c r="F33" s="327"/>
      <c r="G33" s="327"/>
      <c r="H33" s="327"/>
      <c r="I33" s="327"/>
      <c r="J33" s="102" t="str">
        <f ca="1">IF(AND('Mapa final'!$AB$88="Muy Alta",'Mapa final'!$AD$88="Leve"),CONCATENATE("R28C",'Mapa final'!$R$88),"")</f>
        <v/>
      </c>
      <c r="K33" s="41" t="str">
        <f>IF(AND('Mapa final'!$AB$89="Muy Alta",'Mapa final'!$AD$89="Leve"),CONCATENATE("R28C",'Mapa final'!$R$89),"")</f>
        <v/>
      </c>
      <c r="L33" s="103" t="str">
        <f>IF(AND('Mapa final'!$AB$90="Muy Alta",'Mapa final'!$AD$90="Leve"),CONCATENATE("R28C",'Mapa final'!$R$90),"")</f>
        <v/>
      </c>
      <c r="M33" s="102" t="str">
        <f ca="1">IF(AND('Mapa final'!$AB$88="Muy Alta",'Mapa final'!$AD$88="Menor"),CONCATENATE("R28C",'Mapa final'!$R$88),"")</f>
        <v/>
      </c>
      <c r="N33" s="41" t="str">
        <f>IF(AND('Mapa final'!$AB$89="Muy Alta",'Mapa final'!$AD$89="Menor"),CONCATENATE("R28C",'Mapa final'!$R$89),"")</f>
        <v/>
      </c>
      <c r="O33" s="103" t="str">
        <f>IF(AND('Mapa final'!$AB$90="Muy Alta",'Mapa final'!$AD$90="Menor"),CONCATENATE("R28C",'Mapa final'!$R$90),"")</f>
        <v/>
      </c>
      <c r="P33" s="102" t="str">
        <f ca="1">IF(AND('Mapa final'!$AB$88="Muy Alta",'Mapa final'!$AD$88="Moderado"),CONCATENATE("R28C",'Mapa final'!$R$88),"")</f>
        <v/>
      </c>
      <c r="Q33" s="41" t="str">
        <f>IF(AND('Mapa final'!$AB$89="Muy Alta",'Mapa final'!$AD$89="Moderado"),CONCATENATE("R28C",'Mapa final'!$R$89),"")</f>
        <v/>
      </c>
      <c r="R33" s="103" t="str">
        <f>IF(AND('Mapa final'!$AB$90="Muy Alta",'Mapa final'!$AD$90="Moderado"),CONCATENATE("R28C",'Mapa final'!$R$90),"")</f>
        <v/>
      </c>
      <c r="S33" s="102" t="str">
        <f ca="1">IF(AND('Mapa final'!$AB$88="Muy Alta",'Mapa final'!$AD$88="Mayor"),CONCATENATE("R28C",'Mapa final'!$R$88),"")</f>
        <v/>
      </c>
      <c r="T33" s="41" t="str">
        <f>IF(AND('Mapa final'!$AB$89="Muy Alta",'Mapa final'!$AD$89="Mayor"),CONCATENATE("R28C",'Mapa final'!$R$89),"")</f>
        <v/>
      </c>
      <c r="U33" s="103" t="str">
        <f>IF(AND('Mapa final'!$AB$90="Muy Alta",'Mapa final'!$AD$90="Mayor"),CONCATENATE("R28C",'Mapa final'!$R$90),"")</f>
        <v/>
      </c>
      <c r="V33" s="42" t="str">
        <f ca="1">IF(AND('Mapa final'!$AB$88="Muy Alta",'Mapa final'!$AD$88="Catastrófico"),CONCATENATE("R28C",'Mapa final'!$R$88),"")</f>
        <v/>
      </c>
      <c r="W33" s="43" t="str">
        <f>IF(AND('Mapa final'!$AB$89="Muy Alta",'Mapa final'!$AD$89="Catastrófico"),CONCATENATE("R28C",'Mapa final'!$R$89),"")</f>
        <v/>
      </c>
      <c r="X33" s="97" t="str">
        <f>IF(AND('Mapa final'!$AB$90="Muy Alta",'Mapa final'!$AD$90="Catastrófico"),CONCATENATE("R28C",'Mapa final'!$R$90),"")</f>
        <v/>
      </c>
      <c r="Y33" s="55"/>
      <c r="Z33" s="332"/>
      <c r="AA33" s="333"/>
      <c r="AB33" s="333"/>
      <c r="AC33" s="333"/>
      <c r="AD33" s="333"/>
      <c r="AE33" s="334"/>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row>
    <row r="34" spans="1:61" ht="15" customHeight="1" x14ac:dyDescent="0.25">
      <c r="A34" s="55"/>
      <c r="B34" s="338"/>
      <c r="C34" s="338"/>
      <c r="D34" s="339"/>
      <c r="E34" s="328"/>
      <c r="F34" s="327"/>
      <c r="G34" s="327"/>
      <c r="H34" s="327"/>
      <c r="I34" s="327"/>
      <c r="J34" s="102" t="str">
        <f ca="1">IF(AND('Mapa final'!$AB$91="Muy Alta",'Mapa final'!$AD$91="Leve"),CONCATENATE("R29C",'Mapa final'!$R$91),"")</f>
        <v/>
      </c>
      <c r="K34" s="41" t="str">
        <f>IF(AND('Mapa final'!$AB$92="Muy Alta",'Mapa final'!$AD$92="Leve"),CONCATENATE("R29C",'Mapa final'!$R$92),"")</f>
        <v/>
      </c>
      <c r="L34" s="103" t="str">
        <f>IF(AND('Mapa final'!$AB$93="Muy Alta",'Mapa final'!$AD$93="Leve"),CONCATENATE("R29C",'Mapa final'!$R$93),"")</f>
        <v/>
      </c>
      <c r="M34" s="102" t="str">
        <f ca="1">IF(AND('Mapa final'!$AB$91="Muy Alta",'Mapa final'!$AD$91="Menor"),CONCATENATE("R29C",'Mapa final'!$R$91),"")</f>
        <v/>
      </c>
      <c r="N34" s="41" t="str">
        <f>IF(AND('Mapa final'!$AB$92="Muy Alta",'Mapa final'!$AD$92="Menor"),CONCATENATE("R29C",'Mapa final'!$R$92),"")</f>
        <v/>
      </c>
      <c r="O34" s="103" t="str">
        <f>IF(AND('Mapa final'!$AB$93="Muy Alta",'Mapa final'!$AD$93="Menor"),CONCATENATE("R29C",'Mapa final'!$R$93),"")</f>
        <v/>
      </c>
      <c r="P34" s="102" t="str">
        <f ca="1">IF(AND('Mapa final'!$AB$91="Muy Alta",'Mapa final'!$AD$91="Moderado"),CONCATENATE("R29C",'Mapa final'!$R$91),"")</f>
        <v/>
      </c>
      <c r="Q34" s="41" t="str">
        <f>IF(AND('Mapa final'!$AB$92="Muy Alta",'Mapa final'!$AD$92="Moderado"),CONCATENATE("R29C",'Mapa final'!$R$92),"")</f>
        <v/>
      </c>
      <c r="R34" s="103" t="str">
        <f>IF(AND('Mapa final'!$AB$93="Muy Alta",'Mapa final'!$AD$93="Moderado"),CONCATENATE("R29C",'Mapa final'!$R$93),"")</f>
        <v/>
      </c>
      <c r="S34" s="102" t="str">
        <f ca="1">IF(AND('Mapa final'!$AB$91="Muy Alta",'Mapa final'!$AD$91="Mayor"),CONCATENATE("R29C",'Mapa final'!$R$91),"")</f>
        <v/>
      </c>
      <c r="T34" s="41" t="str">
        <f>IF(AND('Mapa final'!$AB$92="Muy Alta",'Mapa final'!$AD$92="Mayor"),CONCATENATE("R29C",'Mapa final'!$R$92),"")</f>
        <v/>
      </c>
      <c r="U34" s="103" t="str">
        <f>IF(AND('Mapa final'!$AB$93="Muy Alta",'Mapa final'!$AD$93="Mayor"),CONCATENATE("R29C",'Mapa final'!$R$93),"")</f>
        <v/>
      </c>
      <c r="V34" s="42" t="str">
        <f ca="1">IF(AND('Mapa final'!$AB$91="Muy Alta",'Mapa final'!$AD$91="Catastrófico"),CONCATENATE("R29C",'Mapa final'!$R$91),"")</f>
        <v/>
      </c>
      <c r="W34" s="43" t="str">
        <f>IF(AND('Mapa final'!$AB$92="Muy Alta",'Mapa final'!$AD$92="Catastrófico"),CONCATENATE("R29C",'Mapa final'!$R$92),"")</f>
        <v/>
      </c>
      <c r="X34" s="97" t="str">
        <f>IF(AND('Mapa final'!$AB$93="Muy Alta",'Mapa final'!$AD$93="Catastrófico"),CONCATENATE("R29C",'Mapa final'!$R$93),"")</f>
        <v/>
      </c>
      <c r="Y34" s="55"/>
      <c r="Z34" s="332"/>
      <c r="AA34" s="333"/>
      <c r="AB34" s="333"/>
      <c r="AC34" s="333"/>
      <c r="AD34" s="333"/>
      <c r="AE34" s="334"/>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row>
    <row r="35" spans="1:61" ht="15" customHeight="1" x14ac:dyDescent="0.25">
      <c r="A35" s="55"/>
      <c r="B35" s="338"/>
      <c r="C35" s="338"/>
      <c r="D35" s="339"/>
      <c r="E35" s="328"/>
      <c r="F35" s="327"/>
      <c r="G35" s="327"/>
      <c r="H35" s="327"/>
      <c r="I35" s="327"/>
      <c r="J35" s="102" t="str">
        <f ca="1">IF(AND('Mapa final'!$AB$94="Muy Alta",'Mapa final'!$AD$94="Leve"),CONCATENATE("R30C",'Mapa final'!$R$94),"")</f>
        <v/>
      </c>
      <c r="K35" s="41" t="str">
        <f>IF(AND('Mapa final'!$AB$95="Muy Alta",'Mapa final'!$AD$95="Leve"),CONCATENATE("R30C",'Mapa final'!$R$95),"")</f>
        <v/>
      </c>
      <c r="L35" s="103" t="str">
        <f>IF(AND('Mapa final'!$AB$96="Muy Alta",'Mapa final'!$AD$96="Leve"),CONCATENATE("R30C",'Mapa final'!$R$96),"")</f>
        <v/>
      </c>
      <c r="M35" s="102" t="str">
        <f ca="1">IF(AND('Mapa final'!$AB$94="Muy Alta",'Mapa final'!$AD$94="Menor"),CONCATENATE("R30C",'Mapa final'!$R$94),"")</f>
        <v/>
      </c>
      <c r="N35" s="41" t="str">
        <f>IF(AND('Mapa final'!$AB$95="Muy Alta",'Mapa final'!$AD$95="Menor"),CONCATENATE("R30C",'Mapa final'!$R$95),"")</f>
        <v/>
      </c>
      <c r="O35" s="103" t="str">
        <f>IF(AND('Mapa final'!$AB$96="Muy Alta",'Mapa final'!$AD$96="Menor"),CONCATENATE("R30C",'Mapa final'!$R$96),"")</f>
        <v/>
      </c>
      <c r="P35" s="102" t="str">
        <f ca="1">IF(AND('Mapa final'!$AB$94="Muy Alta",'Mapa final'!$AD$94="Moderado"),CONCATENATE("R30C",'Mapa final'!$R$94),"")</f>
        <v/>
      </c>
      <c r="Q35" s="41" t="str">
        <f>IF(AND('Mapa final'!$AB$95="Muy Alta",'Mapa final'!$AD$95="Moderado"),CONCATENATE("R30C",'Mapa final'!$R$95),"")</f>
        <v/>
      </c>
      <c r="R35" s="103" t="str">
        <f>IF(AND('Mapa final'!$AB$96="Muy Alta",'Mapa final'!$AD$96="Moderado"),CONCATENATE("R30C",'Mapa final'!$R$96),"")</f>
        <v/>
      </c>
      <c r="S35" s="102" t="str">
        <f ca="1">IF(AND('Mapa final'!$AB$94="Muy Alta",'Mapa final'!$AD$94="Mayor"),CONCATENATE("R30C",'Mapa final'!$R$94),"")</f>
        <v/>
      </c>
      <c r="T35" s="41" t="str">
        <f>IF(AND('Mapa final'!$AB$95="Muy Alta",'Mapa final'!$AD$95="Mayor"),CONCATENATE("R30C",'Mapa final'!$R$95),"")</f>
        <v/>
      </c>
      <c r="U35" s="103" t="str">
        <f>IF(AND('Mapa final'!$AB$96="Muy Alta",'Mapa final'!$AD$96="Mayor"),CONCATENATE("R30C",'Mapa final'!$R$96),"")</f>
        <v/>
      </c>
      <c r="V35" s="42" t="str">
        <f ca="1">IF(AND('Mapa final'!$AB$94="Muy Alta",'Mapa final'!$AD$94="Catastrófico"),CONCATENATE("R30C",'Mapa final'!$R$94),"")</f>
        <v/>
      </c>
      <c r="W35" s="43" t="str">
        <f>IF(AND('Mapa final'!$AB$95="Muy Alta",'Mapa final'!$AD$95="Catastrófico"),CONCATENATE("R30C",'Mapa final'!$R$95),"")</f>
        <v/>
      </c>
      <c r="X35" s="97" t="str">
        <f>IF(AND('Mapa final'!$AB$96="Muy Alta",'Mapa final'!$AD$96="Catastrófico"),CONCATENATE("R30C",'Mapa final'!$R$96),"")</f>
        <v/>
      </c>
      <c r="Y35" s="55"/>
      <c r="Z35" s="332"/>
      <c r="AA35" s="333"/>
      <c r="AB35" s="333"/>
      <c r="AC35" s="333"/>
      <c r="AD35" s="333"/>
      <c r="AE35" s="334"/>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row>
    <row r="36" spans="1:61" ht="15" customHeight="1" x14ac:dyDescent="0.25">
      <c r="A36" s="55"/>
      <c r="B36" s="338"/>
      <c r="C36" s="338"/>
      <c r="D36" s="339"/>
      <c r="E36" s="328"/>
      <c r="F36" s="327"/>
      <c r="G36" s="327"/>
      <c r="H36" s="327"/>
      <c r="I36" s="327"/>
      <c r="J36" s="102" t="str">
        <f ca="1">IF(AND('Mapa final'!$AB$97="Muy Alta",'Mapa final'!$AD$97="Leve"),CONCATENATE("R31C",'Mapa final'!$R$97),"")</f>
        <v/>
      </c>
      <c r="K36" s="41" t="str">
        <f>IF(AND('Mapa final'!$AB$98="Muy Alta",'Mapa final'!$AD$98="Leve"),CONCATENATE("R31C",'Mapa final'!$R$98),"")</f>
        <v/>
      </c>
      <c r="L36" s="103" t="str">
        <f>IF(AND('Mapa final'!$AB$99="Muy Alta",'Mapa final'!$AD$99="Leve"),CONCATENATE("R31C",'Mapa final'!$R$99),"")</f>
        <v/>
      </c>
      <c r="M36" s="102" t="str">
        <f ca="1">IF(AND('Mapa final'!$AB$97="Muy Alta",'Mapa final'!$AD$97="Menor"),CONCATENATE("R31C",'Mapa final'!$R$97),"")</f>
        <v/>
      </c>
      <c r="N36" s="41" t="str">
        <f>IF(AND('Mapa final'!$AB$98="Muy Alta",'Mapa final'!$AD$98="Menor"),CONCATENATE("R31C",'Mapa final'!$R$98),"")</f>
        <v/>
      </c>
      <c r="O36" s="103" t="str">
        <f>IF(AND('Mapa final'!$AB$99="Muy Alta",'Mapa final'!$AD$99="Menor"),CONCATENATE("R31C",'Mapa final'!$R$99),"")</f>
        <v/>
      </c>
      <c r="P36" s="102" t="str">
        <f ca="1">IF(AND('Mapa final'!$AB$97="Muy Alta",'Mapa final'!$AD$97="Moderado"),CONCATENATE("R31C",'Mapa final'!$R$97),"")</f>
        <v/>
      </c>
      <c r="Q36" s="41" t="str">
        <f>IF(AND('Mapa final'!$AB$98="Muy Alta",'Mapa final'!$AD$98="Moderado"),CONCATENATE("R31C",'Mapa final'!$R$98),"")</f>
        <v/>
      </c>
      <c r="R36" s="103" t="str">
        <f>IF(AND('Mapa final'!$AB$99="Muy Alta",'Mapa final'!$AD$99="Moderado"),CONCATENATE("R31C",'Mapa final'!$R$99),"")</f>
        <v/>
      </c>
      <c r="S36" s="102" t="str">
        <f ca="1">IF(AND('Mapa final'!$AB$97="Muy Alta",'Mapa final'!$AD$97="Mayor"),CONCATENATE("R31C",'Mapa final'!$R$97),"")</f>
        <v/>
      </c>
      <c r="T36" s="41" t="str">
        <f>IF(AND('Mapa final'!$AB$98="Muy Alta",'Mapa final'!$AD$98="Mayor"),CONCATENATE("R31C",'Mapa final'!$R$98),"")</f>
        <v/>
      </c>
      <c r="U36" s="103" t="str">
        <f>IF(AND('Mapa final'!$AB$99="Muy Alta",'Mapa final'!$AD$99="Mayor"),CONCATENATE("R31C",'Mapa final'!$R$99),"")</f>
        <v/>
      </c>
      <c r="V36" s="42" t="str">
        <f ca="1">IF(AND('Mapa final'!$AB$97="Muy Alta",'Mapa final'!$AD$97="Catastrófico"),CONCATENATE("R31C",'Mapa final'!$R$97),"")</f>
        <v/>
      </c>
      <c r="W36" s="43" t="str">
        <f>IF(AND('Mapa final'!$AB$98="Muy Alta",'Mapa final'!$AD$98="Catastrófico"),CONCATENATE("R31C",'Mapa final'!$R$98),"")</f>
        <v/>
      </c>
      <c r="X36" s="97" t="str">
        <f>IF(AND('Mapa final'!$AB$99="Muy Alta",'Mapa final'!$AD$99="Catastrófico"),CONCATENATE("R31C",'Mapa final'!$R$99),"")</f>
        <v/>
      </c>
      <c r="Y36" s="55"/>
      <c r="Z36" s="332"/>
      <c r="AA36" s="333"/>
      <c r="AB36" s="333"/>
      <c r="AC36" s="333"/>
      <c r="AD36" s="333"/>
      <c r="AE36" s="334"/>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row>
    <row r="37" spans="1:61" ht="15" customHeight="1" x14ac:dyDescent="0.25">
      <c r="A37" s="55"/>
      <c r="B37" s="338"/>
      <c r="C37" s="338"/>
      <c r="D37" s="339"/>
      <c r="E37" s="328"/>
      <c r="F37" s="327"/>
      <c r="G37" s="327"/>
      <c r="H37" s="327"/>
      <c r="I37" s="327"/>
      <c r="J37" s="102" t="str">
        <f ca="1">IF(AND('Mapa final'!$AB$100="Muy Alta",'Mapa final'!$AD$100="Leve"),CONCATENATE("R32C",'Mapa final'!$R$100),"")</f>
        <v/>
      </c>
      <c r="K37" s="41" t="str">
        <f>IF(AND('Mapa final'!$AB$101="Muy Alta",'Mapa final'!$AD$101="Leve"),CONCATENATE("R32C",'Mapa final'!$R$101),"")</f>
        <v/>
      </c>
      <c r="L37" s="41" t="str">
        <f>IF(AND('Mapa final'!$AB$102="Muy Alta",'Mapa final'!$AD$102="Leve"),CONCATENATE("R32C",'Mapa final'!$R$102),"")</f>
        <v/>
      </c>
      <c r="M37" s="102" t="str">
        <f ca="1">IF(AND('Mapa final'!$AB$100="Muy Alta",'Mapa final'!$AD$100="Menor"),CONCATENATE("R32C",'Mapa final'!$R$100),"")</f>
        <v/>
      </c>
      <c r="N37" s="41" t="str">
        <f>IF(AND('Mapa final'!$AB$101="Muy Alta",'Mapa final'!$AD$101="Menor"),CONCATENATE("R32C",'Mapa final'!$R$101),"")</f>
        <v/>
      </c>
      <c r="O37" s="41" t="str">
        <f>IF(AND('Mapa final'!$AB$102="Muy Alta",'Mapa final'!$AD$102="Menor"),CONCATENATE("R32C",'Mapa final'!$R$102),"")</f>
        <v/>
      </c>
      <c r="P37" s="102" t="str">
        <f ca="1">IF(AND('Mapa final'!$AB$100="Muy Alta",'Mapa final'!$AD$100="Moderado"),CONCATENATE("R32C",'Mapa final'!$R$100),"")</f>
        <v/>
      </c>
      <c r="Q37" s="41" t="str">
        <f>IF(AND('Mapa final'!$AB$101="Muy Alta",'Mapa final'!$AD$101="Moderado"),CONCATENATE("R32C",'Mapa final'!$R$101),"")</f>
        <v/>
      </c>
      <c r="R37" s="41" t="str">
        <f>IF(AND('Mapa final'!$AB$102="Muy Alta",'Mapa final'!$AD$102="Moderado"),CONCATENATE("R32C",'Mapa final'!$R$102),"")</f>
        <v/>
      </c>
      <c r="S37" s="102" t="str">
        <f ca="1">IF(AND('Mapa final'!$AB$100="Muy Alta",'Mapa final'!$AD$100="Mayor"),CONCATENATE("R32C",'Mapa final'!$R$100),"")</f>
        <v/>
      </c>
      <c r="T37" s="41" t="str">
        <f>IF(AND('Mapa final'!$AB$101="Muy Alta",'Mapa final'!$AD$101="Mayor"),CONCATENATE("R32C",'Mapa final'!$R$101),"")</f>
        <v/>
      </c>
      <c r="U37" s="103" t="str">
        <f>IF(AND('Mapa final'!$AB$102="Muy Alta",'Mapa final'!$AD$102="Mayor"),CONCATENATE("R32C",'Mapa final'!$R$102),"")</f>
        <v/>
      </c>
      <c r="V37" s="42" t="str">
        <f ca="1">IF(AND('Mapa final'!$AB$100="Muy Alta",'Mapa final'!$AD$100="Catastrófico"),CONCATENATE("R32C",'Mapa final'!$R$100),"")</f>
        <v/>
      </c>
      <c r="W37" s="43" t="str">
        <f>IF(AND('Mapa final'!$AB$101="Muy Alta",'Mapa final'!$AD$101="Catastrófico"),CONCATENATE("R32C",'Mapa final'!$R$101),"")</f>
        <v/>
      </c>
      <c r="X37" s="97" t="str">
        <f>IF(AND('Mapa final'!$AB$102="Muy Alta",'Mapa final'!$AD$102="Catastrófico"),CONCATENATE("R32C",'Mapa final'!$R$102),"")</f>
        <v/>
      </c>
      <c r="Y37" s="55"/>
      <c r="Z37" s="332"/>
      <c r="AA37" s="333"/>
      <c r="AB37" s="333"/>
      <c r="AC37" s="333"/>
      <c r="AD37" s="333"/>
      <c r="AE37" s="334"/>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row>
    <row r="38" spans="1:61" ht="15" customHeight="1" x14ac:dyDescent="0.25">
      <c r="A38" s="55"/>
      <c r="B38" s="338"/>
      <c r="C38" s="338"/>
      <c r="D38" s="339"/>
      <c r="E38" s="328"/>
      <c r="F38" s="327"/>
      <c r="G38" s="327"/>
      <c r="H38" s="327"/>
      <c r="I38" s="327"/>
      <c r="J38" s="102" t="str">
        <f>IF(AND('Mapa final'!$AB$103="Muy Alta",'Mapa final'!$AD$103="Leve"),CONCATENATE("R33C",'Mapa final'!$R$103),"")</f>
        <v/>
      </c>
      <c r="K38" s="41" t="str">
        <f>IF(AND('Mapa final'!$AB$104="Muy Alta",'Mapa final'!$AD$104="Leve"),CONCATENATE("R33C",'Mapa final'!$R$104),"")</f>
        <v/>
      </c>
      <c r="L38" s="41" t="str">
        <f>IF(AND('Mapa final'!$AB$105="Muy Alta",'Mapa final'!$AD$105="Leve"),CONCATENATE("R33C",'Mapa final'!$R$105),"")</f>
        <v/>
      </c>
      <c r="M38" s="102" t="str">
        <f>IF(AND('Mapa final'!$AB$103="Muy Alta",'Mapa final'!$AD$103="Menor"),CONCATENATE("R33C",'Mapa final'!$R$103),"")</f>
        <v/>
      </c>
      <c r="N38" s="41" t="str">
        <f>IF(AND('Mapa final'!$AB$104="Muy Alta",'Mapa final'!$AD$104="Menor"),CONCATENATE("R33C",'Mapa final'!$R$104),"")</f>
        <v/>
      </c>
      <c r="O38" s="41" t="str">
        <f>IF(AND('Mapa final'!$AB$105="Muy Alta",'Mapa final'!$AD$105="Menor"),CONCATENATE("R33C",'Mapa final'!$R$105),"")</f>
        <v/>
      </c>
      <c r="P38" s="102" t="str">
        <f>IF(AND('Mapa final'!$AB$103="Muy Alta",'Mapa final'!$AD$103="Moderado"),CONCATENATE("R33C",'Mapa final'!$R$103),"")</f>
        <v/>
      </c>
      <c r="Q38" s="41" t="str">
        <f>IF(AND('Mapa final'!$AB$104="Muy Alta",'Mapa final'!$AD$104="Moderado"),CONCATENATE("R33C",'Mapa final'!$R$104),"")</f>
        <v/>
      </c>
      <c r="R38" s="41" t="str">
        <f>IF(AND('Mapa final'!$AB$105="Muy Alta",'Mapa final'!$AD$105="Moderado"),CONCATENATE("R33C",'Mapa final'!$R$105),"")</f>
        <v/>
      </c>
      <c r="S38" s="102" t="str">
        <f>IF(AND('Mapa final'!$AB$103="Muy Alta",'Mapa final'!$AD$103="Mayor"),CONCATENATE("R33C",'Mapa final'!$R$103),"")</f>
        <v/>
      </c>
      <c r="T38" s="41" t="str">
        <f>IF(AND('Mapa final'!$AB$104="Muy Alta",'Mapa final'!$AD$104="Mayor"),CONCATENATE("R33C",'Mapa final'!$R$104),"")</f>
        <v/>
      </c>
      <c r="U38" s="103" t="str">
        <f>IF(AND('Mapa final'!$AB$105="Muy Alta",'Mapa final'!$AD$105="Mayor"),CONCATENATE("R33C",'Mapa final'!$R$105),"")</f>
        <v/>
      </c>
      <c r="V38" s="42" t="str">
        <f>IF(AND('Mapa final'!$AB$103="Muy Alta",'Mapa final'!$AD$103="Catastrófico"),CONCATENATE("R33C",'Mapa final'!$R$103),"")</f>
        <v/>
      </c>
      <c r="W38" s="43" t="str">
        <f>IF(AND('Mapa final'!$AB$104="Muy Alta",'Mapa final'!$AD$104="Catastrófico"),CONCATENATE("R33C",'Mapa final'!$R$104),"")</f>
        <v/>
      </c>
      <c r="X38" s="97" t="str">
        <f>IF(AND('Mapa final'!$AB$105="Muy Alta",'Mapa final'!$AD$105="Catastrófico"),CONCATENATE("R33C",'Mapa final'!$R$105),"")</f>
        <v/>
      </c>
      <c r="Y38" s="55"/>
      <c r="Z38" s="332"/>
      <c r="AA38" s="333"/>
      <c r="AB38" s="333"/>
      <c r="AC38" s="333"/>
      <c r="AD38" s="333"/>
      <c r="AE38" s="334"/>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row>
    <row r="39" spans="1:61" ht="15" customHeight="1" x14ac:dyDescent="0.25">
      <c r="A39" s="55"/>
      <c r="B39" s="338"/>
      <c r="C39" s="338"/>
      <c r="D39" s="339"/>
      <c r="E39" s="328"/>
      <c r="F39" s="327"/>
      <c r="G39" s="327"/>
      <c r="H39" s="327"/>
      <c r="I39" s="327"/>
      <c r="J39" s="102" t="str">
        <f ca="1">IF(AND('Mapa final'!$AB$106="Muy Alta",'Mapa final'!$AD$106="Leve"),CONCATENATE("R34C",'Mapa final'!$R$106),"")</f>
        <v/>
      </c>
      <c r="K39" s="41" t="str">
        <f>IF(AND('Mapa final'!$AB$107="Muy Alta",'Mapa final'!$AD$107="Leve"),CONCATENATE("R34C",'Mapa final'!$R$107),"")</f>
        <v/>
      </c>
      <c r="L39" s="103" t="str">
        <f>IF(AND('Mapa final'!$AB$108="Muy Alta",'Mapa final'!$AD$108="Leve"),CONCATENATE("R34C",'Mapa final'!$R$108),"")</f>
        <v/>
      </c>
      <c r="M39" s="102" t="str">
        <f ca="1">IF(AND('Mapa final'!$AB$106="Muy Alta",'Mapa final'!$AD$106="Menor"),CONCATENATE("R34C",'Mapa final'!$R$106),"")</f>
        <v/>
      </c>
      <c r="N39" s="41" t="str">
        <f>IF(AND('Mapa final'!$AB$107="Muy Alta",'Mapa final'!$AD$107="Menor"),CONCATENATE("R34C",'Mapa final'!$R$107),"")</f>
        <v/>
      </c>
      <c r="O39" s="103" t="str">
        <f>IF(AND('Mapa final'!$AB$108="Muy Alta",'Mapa final'!$AD$108="Menor"),CONCATENATE("R34C",'Mapa final'!$R$108),"")</f>
        <v/>
      </c>
      <c r="P39" s="102" t="str">
        <f ca="1">IF(AND('Mapa final'!$AB$106="Muy Alta",'Mapa final'!$AD$106="Moderado"),CONCATENATE("R34C",'Mapa final'!$R$106),"")</f>
        <v/>
      </c>
      <c r="Q39" s="41" t="str">
        <f>IF(AND('Mapa final'!$AB$107="Muy Alta",'Mapa final'!$AD$107="Moderado"),CONCATENATE("R34C",'Mapa final'!$R$107),"")</f>
        <v/>
      </c>
      <c r="R39" s="103" t="str">
        <f>IF(AND('Mapa final'!$AB$108="Muy Alta",'Mapa final'!$AD$108="Moderado"),CONCATENATE("R34C",'Mapa final'!$R$108),"")</f>
        <v/>
      </c>
      <c r="S39" s="102" t="str">
        <f ca="1">IF(AND('Mapa final'!$AB$106="Muy Alta",'Mapa final'!$AD$106="Mayor"),CONCATENATE("R34C",'Mapa final'!$R$106),"")</f>
        <v/>
      </c>
      <c r="T39" s="41" t="str">
        <f>IF(AND('Mapa final'!$AB$107="Muy Alta",'Mapa final'!$AD$107="Mayor"),CONCATENATE("R34C",'Mapa final'!$R$107),"")</f>
        <v/>
      </c>
      <c r="U39" s="103" t="str">
        <f>IF(AND('Mapa final'!$AB$108="Muy Alta",'Mapa final'!$AD$108="Mayor"),CONCATENATE("R34C",'Mapa final'!$R$108),"")</f>
        <v/>
      </c>
      <c r="V39" s="42" t="str">
        <f ca="1">IF(AND('Mapa final'!$AB$106="Muy Alta",'Mapa final'!$AD$106="Catastrófico"),CONCATENATE("R34C",'Mapa final'!$R$106),"")</f>
        <v/>
      </c>
      <c r="W39" s="43" t="str">
        <f>IF(AND('Mapa final'!$AB$107="Muy Alta",'Mapa final'!$AD$107="Catastrófico"),CONCATENATE("R34C",'Mapa final'!$R$107),"")</f>
        <v/>
      </c>
      <c r="X39" s="97" t="str">
        <f>IF(AND('Mapa final'!$AB$108="Muy Alta",'Mapa final'!$AD$108="Catastrófico"),CONCATENATE("R34C",'Mapa final'!$R$108),"")</f>
        <v/>
      </c>
      <c r="Y39" s="55"/>
      <c r="Z39" s="332"/>
      <c r="AA39" s="333"/>
      <c r="AB39" s="333"/>
      <c r="AC39" s="333"/>
      <c r="AD39" s="333"/>
      <c r="AE39" s="334"/>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row>
    <row r="40" spans="1:61" ht="15" customHeight="1" x14ac:dyDescent="0.25">
      <c r="A40" s="55"/>
      <c r="B40" s="338"/>
      <c r="C40" s="338"/>
      <c r="D40" s="339"/>
      <c r="E40" s="328"/>
      <c r="F40" s="327"/>
      <c r="G40" s="327"/>
      <c r="H40" s="327"/>
      <c r="I40" s="327"/>
      <c r="J40" s="102" t="str">
        <f ca="1">IF(AND('Mapa final'!$AB$109="Muy Alta",'Mapa final'!$AD$109="Leve"),CONCATENATE("R35C",'Mapa final'!$R$109),"")</f>
        <v/>
      </c>
      <c r="K40" s="41" t="str">
        <f>IF(AND('Mapa final'!$AB$110="Muy Alta",'Mapa final'!$AD$110="Leve"),CONCATENATE("R35C",'Mapa final'!$R$110),"")</f>
        <v/>
      </c>
      <c r="L40" s="103" t="str">
        <f>IF(AND('Mapa final'!$AB$111="Muy Alta",'Mapa final'!$AD$111="Leve"),CONCATENATE("R35C",'Mapa final'!$R$111),"")</f>
        <v/>
      </c>
      <c r="M40" s="102" t="str">
        <f ca="1">IF(AND('Mapa final'!$AB$109="Muy Alta",'Mapa final'!$AD$109="Menor"),CONCATENATE("R35C",'Mapa final'!$R$109),"")</f>
        <v/>
      </c>
      <c r="N40" s="41" t="str">
        <f>IF(AND('Mapa final'!$AB$110="Muy Alta",'Mapa final'!$AD$110="Menor"),CONCATENATE("R35C",'Mapa final'!$R$110),"")</f>
        <v/>
      </c>
      <c r="O40" s="103" t="str">
        <f>IF(AND('Mapa final'!$AB$111="Muy Alta",'Mapa final'!$AD$111="Menor"),CONCATENATE("R35C",'Mapa final'!$R$111),"")</f>
        <v/>
      </c>
      <c r="P40" s="102" t="str">
        <f ca="1">IF(AND('Mapa final'!$AB$109="Muy Alta",'Mapa final'!$AD$109="Moderado"),CONCATENATE("R35C",'Mapa final'!$R$109),"")</f>
        <v/>
      </c>
      <c r="Q40" s="41" t="str">
        <f>IF(AND('Mapa final'!$AB$110="Muy Alta",'Mapa final'!$AD$110="Moderado"),CONCATENATE("R35C",'Mapa final'!$R$110),"")</f>
        <v/>
      </c>
      <c r="R40" s="103" t="str">
        <f>IF(AND('Mapa final'!$AB$111="Muy Alta",'Mapa final'!$AD$111="Moderado"),CONCATENATE("R35C",'Mapa final'!$R$111),"")</f>
        <v/>
      </c>
      <c r="S40" s="102" t="str">
        <f ca="1">IF(AND('Mapa final'!$AB$109="Muy Alta",'Mapa final'!$AD$109="Mayor"),CONCATENATE("R35C",'Mapa final'!$R$109),"")</f>
        <v/>
      </c>
      <c r="T40" s="41" t="str">
        <f>IF(AND('Mapa final'!$AB$110="Muy Alta",'Mapa final'!$AD$110="Mayor"),CONCATENATE("R35C",'Mapa final'!$R$110),"")</f>
        <v/>
      </c>
      <c r="U40" s="103" t="str">
        <f>IF(AND('Mapa final'!$AB$111="Muy Alta",'Mapa final'!$AD$111="Mayor"),CONCATENATE("R35C",'Mapa final'!$R$111),"")</f>
        <v/>
      </c>
      <c r="V40" s="42" t="str">
        <f ca="1">IF(AND('Mapa final'!$AB$109="Muy Alta",'Mapa final'!$AD$109="Catastrófico"),CONCATENATE("R35C",'Mapa final'!$R$109),"")</f>
        <v/>
      </c>
      <c r="W40" s="43" t="str">
        <f>IF(AND('Mapa final'!$AB$110="Muy Alta",'Mapa final'!$AD$110="Catastrófico"),CONCATENATE("R35C",'Mapa final'!$R$110),"")</f>
        <v/>
      </c>
      <c r="X40" s="97" t="str">
        <f>IF(AND('Mapa final'!$AB$111="Muy Alta",'Mapa final'!$AD$111="Catastrófico"),CONCATENATE("R35C",'Mapa final'!$R$111),"")</f>
        <v/>
      </c>
      <c r="Y40" s="55"/>
      <c r="Z40" s="332"/>
      <c r="AA40" s="333"/>
      <c r="AB40" s="333"/>
      <c r="AC40" s="333"/>
      <c r="AD40" s="333"/>
      <c r="AE40" s="334"/>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row>
    <row r="41" spans="1:61" ht="15" customHeight="1" x14ac:dyDescent="0.25">
      <c r="A41" s="55"/>
      <c r="B41" s="338"/>
      <c r="C41" s="338"/>
      <c r="D41" s="339"/>
      <c r="E41" s="328"/>
      <c r="F41" s="327"/>
      <c r="G41" s="327"/>
      <c r="H41" s="327"/>
      <c r="I41" s="327"/>
      <c r="J41" s="102" t="str">
        <f ca="1">IF(AND('Mapa final'!$AB$112="Muy Alta",'Mapa final'!$AD$112="Leve"),CONCATENATE("R36C",'Mapa final'!$R$112),"")</f>
        <v/>
      </c>
      <c r="K41" s="41" t="str">
        <f>IF(AND('Mapa final'!$AB$113="Muy Alta",'Mapa final'!$AD$113="Leve"),CONCATENATE("R36C",'Mapa final'!$R$113),"")</f>
        <v/>
      </c>
      <c r="L41" s="103" t="str">
        <f>IF(AND('Mapa final'!$AB$114="Muy Alta",'Mapa final'!$AD$114="Leve"),CONCATENATE("R36C",'Mapa final'!$R$114),"")</f>
        <v/>
      </c>
      <c r="M41" s="102" t="str">
        <f ca="1">IF(AND('Mapa final'!$AB$112="Muy Alta",'Mapa final'!$AD$112="Menor"),CONCATENATE("R36C",'Mapa final'!$R$112),"")</f>
        <v/>
      </c>
      <c r="N41" s="41" t="str">
        <f>IF(AND('Mapa final'!$AB$113="Muy Alta",'Mapa final'!$AD$113="Menor"),CONCATENATE("R36C",'Mapa final'!$R$113),"")</f>
        <v/>
      </c>
      <c r="O41" s="103" t="str">
        <f>IF(AND('Mapa final'!$AB$114="Muy Alta",'Mapa final'!$AD$114="Menor"),CONCATENATE("R36C",'Mapa final'!$R$114),"")</f>
        <v/>
      </c>
      <c r="P41" s="102" t="str">
        <f ca="1">IF(AND('Mapa final'!$AB$112="Muy Alta",'Mapa final'!$AD$112="Moderado"),CONCATENATE("R36C",'Mapa final'!$R$112),"")</f>
        <v/>
      </c>
      <c r="Q41" s="41" t="str">
        <f>IF(AND('Mapa final'!$AB$113="Muy Alta",'Mapa final'!$AD$113="Moderado"),CONCATENATE("R36C",'Mapa final'!$R$113),"")</f>
        <v/>
      </c>
      <c r="R41" s="103" t="str">
        <f>IF(AND('Mapa final'!$AB$114="Muy Alta",'Mapa final'!$AD$114="Moderado"),CONCATENATE("R36C",'Mapa final'!$R$114),"")</f>
        <v/>
      </c>
      <c r="S41" s="102" t="str">
        <f ca="1">IF(AND('Mapa final'!$AB$112="Muy Alta",'Mapa final'!$AD$112="Mayor"),CONCATENATE("R36C",'Mapa final'!$R$112),"")</f>
        <v/>
      </c>
      <c r="T41" s="41" t="str">
        <f>IF(AND('Mapa final'!$AB$113="Muy Alta",'Mapa final'!$AD$113="Mayor"),CONCATENATE("R36C",'Mapa final'!$R$113),"")</f>
        <v/>
      </c>
      <c r="U41" s="103" t="str">
        <f>IF(AND('Mapa final'!$AB$114="Muy Alta",'Mapa final'!$AD$114="Mayor"),CONCATENATE("R36C",'Mapa final'!$R$114),"")</f>
        <v/>
      </c>
      <c r="V41" s="42" t="str">
        <f ca="1">IF(AND('Mapa final'!$AB$112="Muy Alta",'Mapa final'!$AD$112="Catastrófico"),CONCATENATE("R36C",'Mapa final'!$R$112),"")</f>
        <v/>
      </c>
      <c r="W41" s="43" t="str">
        <f>IF(AND('Mapa final'!$AB$113="Muy Alta",'Mapa final'!$AD$113="Catastrófico"),CONCATENATE("R36C",'Mapa final'!$R$113),"")</f>
        <v/>
      </c>
      <c r="X41" s="97" t="str">
        <f>IF(AND('Mapa final'!$AB$114="Muy Alta",'Mapa final'!$AD$114="Catastrófico"),CONCATENATE("R36C",'Mapa final'!$R$114),"")</f>
        <v/>
      </c>
      <c r="Y41" s="55"/>
      <c r="Z41" s="332"/>
      <c r="AA41" s="333"/>
      <c r="AB41" s="333"/>
      <c r="AC41" s="333"/>
      <c r="AD41" s="333"/>
      <c r="AE41" s="334"/>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row>
    <row r="42" spans="1:61" ht="15" customHeight="1" x14ac:dyDescent="0.25">
      <c r="A42" s="55"/>
      <c r="B42" s="338"/>
      <c r="C42" s="338"/>
      <c r="D42" s="339"/>
      <c r="E42" s="328"/>
      <c r="F42" s="327"/>
      <c r="G42" s="327"/>
      <c r="H42" s="327"/>
      <c r="I42" s="327"/>
      <c r="J42" s="102" t="str">
        <f ca="1">IF(AND('Mapa final'!$AB$115="Muy Alta",'Mapa final'!$AD$115="Leve"),CONCATENATE("R37C",'Mapa final'!$R$115),"")</f>
        <v/>
      </c>
      <c r="K42" s="41" t="str">
        <f>IF(AND('Mapa final'!$AB$116="Muy Alta",'Mapa final'!$AD$116="Leve"),CONCATENATE("R37C",'Mapa final'!$R$116),"")</f>
        <v/>
      </c>
      <c r="L42" s="103" t="str">
        <f>IF(AND('Mapa final'!$AB$117="Muy Alta",'Mapa final'!$AD$117="Leve"),CONCATENATE("R37C",'Mapa final'!$R$117),"")</f>
        <v/>
      </c>
      <c r="M42" s="102" t="str">
        <f ca="1">IF(AND('Mapa final'!$AB$115="Muy Alta",'Mapa final'!$AD$115="Menor"),CONCATENATE("R37C",'Mapa final'!$R$115),"")</f>
        <v/>
      </c>
      <c r="N42" s="41" t="str">
        <f>IF(AND('Mapa final'!$AB$116="Muy Alta",'Mapa final'!$AD$116="Menor"),CONCATENATE("R37C",'Mapa final'!$R$116),"")</f>
        <v/>
      </c>
      <c r="O42" s="103" t="str">
        <f>IF(AND('Mapa final'!$AB$117="Muy Alta",'Mapa final'!$AD$117="Menor"),CONCATENATE("R37C",'Mapa final'!$R$117),"")</f>
        <v/>
      </c>
      <c r="P42" s="102" t="str">
        <f ca="1">IF(AND('Mapa final'!$AB$115="Muy Alta",'Mapa final'!$AD$115="Moderado"),CONCATENATE("R37C",'Mapa final'!$R$115),"")</f>
        <v/>
      </c>
      <c r="Q42" s="41" t="str">
        <f>IF(AND('Mapa final'!$AB$116="Muy Alta",'Mapa final'!$AD$116="Moderado"),CONCATENATE("R37C",'Mapa final'!$R$116),"")</f>
        <v/>
      </c>
      <c r="R42" s="103" t="str">
        <f>IF(AND('Mapa final'!$AB$117="Muy Alta",'Mapa final'!$AD$117="Moderado"),CONCATENATE("R37C",'Mapa final'!$R$117),"")</f>
        <v/>
      </c>
      <c r="S42" s="102" t="str">
        <f ca="1">IF(AND('Mapa final'!$AB$115="Muy Alta",'Mapa final'!$AD$115="Mayor"),CONCATENATE("R37C",'Mapa final'!$R$115),"")</f>
        <v/>
      </c>
      <c r="T42" s="41" t="str">
        <f>IF(AND('Mapa final'!$AB$116="Muy Alta",'Mapa final'!$AD$116="Mayor"),CONCATENATE("R37C",'Mapa final'!$R$116),"")</f>
        <v/>
      </c>
      <c r="U42" s="103" t="str">
        <f>IF(AND('Mapa final'!$AB$117="Muy Alta",'Mapa final'!$AD$117="Mayor"),CONCATENATE("R37C",'Mapa final'!$R$117),"")</f>
        <v/>
      </c>
      <c r="V42" s="42" t="str">
        <f ca="1">IF(AND('Mapa final'!$AB$115="Muy Alta",'Mapa final'!$AD$115="Catastrófico"),CONCATENATE("R37C",'Mapa final'!$R$115),"")</f>
        <v/>
      </c>
      <c r="W42" s="43" t="str">
        <f>IF(AND('Mapa final'!$AB$116="Muy Alta",'Mapa final'!$AD$116="Catastrófico"),CONCATENATE("R37C",'Mapa final'!$R$116),"")</f>
        <v/>
      </c>
      <c r="X42" s="97" t="str">
        <f>IF(AND('Mapa final'!$AB$117="Muy Alta",'Mapa final'!$AD$117="Catastrófico"),CONCATENATE("R37C",'Mapa final'!$R$117),"")</f>
        <v/>
      </c>
      <c r="Y42" s="55"/>
      <c r="Z42" s="332"/>
      <c r="AA42" s="333"/>
      <c r="AB42" s="333"/>
      <c r="AC42" s="333"/>
      <c r="AD42" s="333"/>
      <c r="AE42" s="334"/>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row>
    <row r="43" spans="1:61" ht="15" customHeight="1" x14ac:dyDescent="0.25">
      <c r="A43" s="55"/>
      <c r="B43" s="338"/>
      <c r="C43" s="338"/>
      <c r="D43" s="339"/>
      <c r="E43" s="328"/>
      <c r="F43" s="327"/>
      <c r="G43" s="327"/>
      <c r="H43" s="327"/>
      <c r="I43" s="327"/>
      <c r="J43" s="102" t="str">
        <f ca="1">IF(AND('Mapa final'!$AB$118="Muy Alta",'Mapa final'!$AD$118="Leve"),CONCATENATE("R38C",'Mapa final'!$R$118),"")</f>
        <v/>
      </c>
      <c r="K43" s="41" t="str">
        <f>IF(AND('Mapa final'!$AB$119="Muy Alta",'Mapa final'!$AD$119="Leve"),CONCATENATE("R38C",'Mapa final'!$R$119),"")</f>
        <v/>
      </c>
      <c r="L43" s="103" t="str">
        <f>IF(AND('Mapa final'!$AB$120="Muy Alta",'Mapa final'!$AD$120="Leve"),CONCATENATE("R38C",'Mapa final'!$R$120),"")</f>
        <v/>
      </c>
      <c r="M43" s="102" t="str">
        <f ca="1">IF(AND('Mapa final'!$AB$118="Muy Alta",'Mapa final'!$AD$118="Menor"),CONCATENATE("R38C",'Mapa final'!$R$118),"")</f>
        <v/>
      </c>
      <c r="N43" s="41" t="str">
        <f>IF(AND('Mapa final'!$AB$119="Muy Alta",'Mapa final'!$AD$119="Menor"),CONCATENATE("R38C",'Mapa final'!$R$119),"")</f>
        <v/>
      </c>
      <c r="O43" s="103" t="str">
        <f>IF(AND('Mapa final'!$AB$120="Muy Alta",'Mapa final'!$AD$120="Menor"),CONCATENATE("R38C",'Mapa final'!$R$120),"")</f>
        <v/>
      </c>
      <c r="P43" s="102" t="str">
        <f ca="1">IF(AND('Mapa final'!$AB$118="Muy Alta",'Mapa final'!$AD$118="Moderado"),CONCATENATE("R38C",'Mapa final'!$R$118),"")</f>
        <v/>
      </c>
      <c r="Q43" s="41" t="str">
        <f>IF(AND('Mapa final'!$AB$119="Muy Alta",'Mapa final'!$AD$119="Moderado"),CONCATENATE("R38C",'Mapa final'!$R$119),"")</f>
        <v/>
      </c>
      <c r="R43" s="103" t="str">
        <f>IF(AND('Mapa final'!$AB$120="Muy Alta",'Mapa final'!$AD$120="Moderado"),CONCATENATE("R38C",'Mapa final'!$R$120),"")</f>
        <v/>
      </c>
      <c r="S43" s="102" t="str">
        <f ca="1">IF(AND('Mapa final'!$AB$118="Muy Alta",'Mapa final'!$AD$118="Mayor"),CONCATENATE("R38C",'Mapa final'!$R$118),"")</f>
        <v/>
      </c>
      <c r="T43" s="41" t="str">
        <f>IF(AND('Mapa final'!$AB$119="Muy Alta",'Mapa final'!$AD$119="Mayor"),CONCATENATE("R38C",'Mapa final'!$R$119),"")</f>
        <v/>
      </c>
      <c r="U43" s="103" t="str">
        <f>IF(AND('Mapa final'!$AB$120="Muy Alta",'Mapa final'!$AD$120="Mayor"),CONCATENATE("R38C",'Mapa final'!$R$120),"")</f>
        <v/>
      </c>
      <c r="V43" s="42" t="str">
        <f ca="1">IF(AND('Mapa final'!$AB$118="Muy Alta",'Mapa final'!$AD$118="Catastrófico"),CONCATENATE("R38C",'Mapa final'!$R$118),"")</f>
        <v/>
      </c>
      <c r="W43" s="43" t="str">
        <f>IF(AND('Mapa final'!$AB$119="Muy Alta",'Mapa final'!$AD$119="Catastrófico"),CONCATENATE("R38C",'Mapa final'!$R$119),"")</f>
        <v/>
      </c>
      <c r="X43" s="97" t="str">
        <f>IF(AND('Mapa final'!$AB$120="Muy Alta",'Mapa final'!$AD$120="Catastrófico"),CONCATENATE("R38C",'Mapa final'!$R$120),"")</f>
        <v/>
      </c>
      <c r="Y43" s="55"/>
      <c r="Z43" s="332"/>
      <c r="AA43" s="333"/>
      <c r="AB43" s="333"/>
      <c r="AC43" s="333"/>
      <c r="AD43" s="333"/>
      <c r="AE43" s="334"/>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row>
    <row r="44" spans="1:61" ht="15" customHeight="1" x14ac:dyDescent="0.25">
      <c r="A44" s="55"/>
      <c r="B44" s="338"/>
      <c r="C44" s="338"/>
      <c r="D44" s="339"/>
      <c r="E44" s="328"/>
      <c r="F44" s="327"/>
      <c r="G44" s="327"/>
      <c r="H44" s="327"/>
      <c r="I44" s="327"/>
      <c r="J44" s="102" t="str">
        <f ca="1">IF(AND('Mapa final'!$AB$121="Muy Alta",'Mapa final'!$AD$121="Leve"),CONCATENATE("R39C",'Mapa final'!$R$121),"")</f>
        <v/>
      </c>
      <c r="K44" s="41" t="str">
        <f>IF(AND('Mapa final'!$AB$122="Muy Alta",'Mapa final'!$AD$122="Leve"),CONCATENATE("R39C",'Mapa final'!$R$122),"")</f>
        <v/>
      </c>
      <c r="L44" s="103" t="str">
        <f>IF(AND('Mapa final'!$AB$123="Muy Alta",'Mapa final'!$AD$123="Leve"),CONCATENATE("R39C",'Mapa final'!$R$123),"")</f>
        <v/>
      </c>
      <c r="M44" s="102" t="str">
        <f ca="1">IF(AND('Mapa final'!$AB$121="Muy Alta",'Mapa final'!$AD$121="Menor"),CONCATENATE("R39C",'Mapa final'!$R$121),"")</f>
        <v/>
      </c>
      <c r="N44" s="41" t="str">
        <f>IF(AND('Mapa final'!$AB$122="Muy Alta",'Mapa final'!$AD$122="Menor"),CONCATENATE("R39C",'Mapa final'!$R$122),"")</f>
        <v/>
      </c>
      <c r="O44" s="103" t="str">
        <f>IF(AND('Mapa final'!$AB$123="Muy Alta",'Mapa final'!$AD$123="Menor"),CONCATENATE("R39C",'Mapa final'!$R$123),"")</f>
        <v/>
      </c>
      <c r="P44" s="102" t="str">
        <f ca="1">IF(AND('Mapa final'!$AB$121="Muy Alta",'Mapa final'!$AD$121="Moderado"),CONCATENATE("R39C",'Mapa final'!$R$121),"")</f>
        <v/>
      </c>
      <c r="Q44" s="41" t="str">
        <f>IF(AND('Mapa final'!$AB$122="Muy Alta",'Mapa final'!$AD$122="Moderado"),CONCATENATE("R39C",'Mapa final'!$R$122),"")</f>
        <v/>
      </c>
      <c r="R44" s="103" t="str">
        <f>IF(AND('Mapa final'!$AB$123="Muy Alta",'Mapa final'!$AD$123="Moderado"),CONCATENATE("R39C",'Mapa final'!$R$123),"")</f>
        <v/>
      </c>
      <c r="S44" s="102" t="str">
        <f ca="1">IF(AND('Mapa final'!$AB$121="Muy Alta",'Mapa final'!$AD$121="Mayor"),CONCATENATE("R39C",'Mapa final'!$R$121),"")</f>
        <v/>
      </c>
      <c r="T44" s="41" t="str">
        <f>IF(AND('Mapa final'!$AB$122="Muy Alta",'Mapa final'!$AD$122="Mayor"),CONCATENATE("R39C",'Mapa final'!$R$122),"")</f>
        <v/>
      </c>
      <c r="U44" s="103" t="str">
        <f>IF(AND('Mapa final'!$AB$123="Muy Alta",'Mapa final'!$AD$123="Mayor"),CONCATENATE("R39C",'Mapa final'!$R$123),"")</f>
        <v/>
      </c>
      <c r="V44" s="42" t="str">
        <f ca="1">IF(AND('Mapa final'!$AB$121="Muy Alta",'Mapa final'!$AD$121="Catastrófico"),CONCATENATE("R39C",'Mapa final'!$R$121),"")</f>
        <v/>
      </c>
      <c r="W44" s="43" t="str">
        <f>IF(AND('Mapa final'!$AB$122="Muy Alta",'Mapa final'!$AD$122="Catastrófico"),CONCATENATE("R39C",'Mapa final'!$R$122),"")</f>
        <v/>
      </c>
      <c r="X44" s="97" t="str">
        <f>IF(AND('Mapa final'!$AB$123="Muy Alta",'Mapa final'!$AD$123="Catastrófico"),CONCATENATE("R39C",'Mapa final'!$R$123),"")</f>
        <v/>
      </c>
      <c r="Y44" s="55"/>
      <c r="Z44" s="332"/>
      <c r="AA44" s="333"/>
      <c r="AB44" s="333"/>
      <c r="AC44" s="333"/>
      <c r="AD44" s="333"/>
      <c r="AE44" s="334"/>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row>
    <row r="45" spans="1:61" ht="15" customHeight="1" x14ac:dyDescent="0.25">
      <c r="A45" s="55"/>
      <c r="B45" s="338"/>
      <c r="C45" s="338"/>
      <c r="D45" s="339"/>
      <c r="E45" s="328"/>
      <c r="F45" s="327"/>
      <c r="G45" s="327"/>
      <c r="H45" s="327"/>
      <c r="I45" s="327"/>
      <c r="J45" s="102" t="str">
        <f ca="1">IF(AND('Mapa final'!$AB$124="Muy Alta",'Mapa final'!$AD$124="Leve"),CONCATENATE("R40C",'Mapa final'!$R$124),"")</f>
        <v/>
      </c>
      <c r="K45" s="41" t="str">
        <f>IF(AND('Mapa final'!$AB$125="Muy Alta",'Mapa final'!$AD$125="Leve"),CONCATENATE("R40C",'Mapa final'!$R$125),"")</f>
        <v/>
      </c>
      <c r="L45" s="103" t="str">
        <f>IF(AND('Mapa final'!$AB$126="Muy Alta",'Mapa final'!$AD$126="Leve"),CONCATENATE("R40C",'Mapa final'!$R$126),"")</f>
        <v/>
      </c>
      <c r="M45" s="102" t="str">
        <f ca="1">IF(AND('Mapa final'!$AB$124="Muy Alta",'Mapa final'!$AD$124="Menor"),CONCATENATE("R40C",'Mapa final'!$R$124),"")</f>
        <v/>
      </c>
      <c r="N45" s="41" t="str">
        <f>IF(AND('Mapa final'!$AB$125="Muy Alta",'Mapa final'!$AD$125="Menor"),CONCATENATE("R40C",'Mapa final'!$R$125),"")</f>
        <v/>
      </c>
      <c r="O45" s="103" t="str">
        <f>IF(AND('Mapa final'!$AB$126="Muy Alta",'Mapa final'!$AD$126="Menor"),CONCATENATE("R40C",'Mapa final'!$R$126),"")</f>
        <v/>
      </c>
      <c r="P45" s="102" t="str">
        <f ca="1">IF(AND('Mapa final'!$AB$124="Muy Alta",'Mapa final'!$AD$124="Moderado"),CONCATENATE("R40C",'Mapa final'!$R$124),"")</f>
        <v/>
      </c>
      <c r="Q45" s="41" t="str">
        <f>IF(AND('Mapa final'!$AB$125="Muy Alta",'Mapa final'!$AD$125="Moderado"),CONCATENATE("R40C",'Mapa final'!$R$125),"")</f>
        <v/>
      </c>
      <c r="R45" s="103" t="str">
        <f>IF(AND('Mapa final'!$AB$126="Muy Alta",'Mapa final'!$AD$126="Moderado"),CONCATENATE("R40C",'Mapa final'!$R$126),"")</f>
        <v/>
      </c>
      <c r="S45" s="102" t="str">
        <f ca="1">IF(AND('Mapa final'!$AB$124="Muy Alta",'Mapa final'!$AD$124="Mayor"),CONCATENATE("R40C",'Mapa final'!$R$124),"")</f>
        <v/>
      </c>
      <c r="T45" s="41" t="str">
        <f>IF(AND('Mapa final'!$AB$125="Muy Alta",'Mapa final'!$AD$125="Mayor"),CONCATENATE("R40C",'Mapa final'!$R$125),"")</f>
        <v/>
      </c>
      <c r="U45" s="103" t="str">
        <f>IF(AND('Mapa final'!$AB$126="Muy Alta",'Mapa final'!$AD$126="Mayor"),CONCATENATE("R40C",'Mapa final'!$R$126),"")</f>
        <v/>
      </c>
      <c r="V45" s="42" t="str">
        <f ca="1">IF(AND('Mapa final'!$AB$124="Muy Alta",'Mapa final'!$AD$124="Catastrófico"),CONCATENATE("R40C",'Mapa final'!$R$124),"")</f>
        <v/>
      </c>
      <c r="W45" s="43" t="str">
        <f>IF(AND('Mapa final'!$AB$125="Muy Alta",'Mapa final'!$AD$125="Catastrófico"),CONCATENATE("R40C",'Mapa final'!$R$125),"")</f>
        <v/>
      </c>
      <c r="X45" s="97" t="str">
        <f>IF(AND('Mapa final'!$AB$126="Muy Alta",'Mapa final'!$AD$126="Catastrófico"),CONCATENATE("R40C",'Mapa final'!$R$126),"")</f>
        <v/>
      </c>
      <c r="Y45" s="55"/>
      <c r="Z45" s="332"/>
      <c r="AA45" s="333"/>
      <c r="AB45" s="333"/>
      <c r="AC45" s="333"/>
      <c r="AD45" s="333"/>
      <c r="AE45" s="334"/>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row>
    <row r="46" spans="1:61" ht="15" customHeight="1" x14ac:dyDescent="0.25">
      <c r="A46" s="55"/>
      <c r="B46" s="338"/>
      <c r="C46" s="338"/>
      <c r="D46" s="339"/>
      <c r="E46" s="328"/>
      <c r="F46" s="327"/>
      <c r="G46" s="327"/>
      <c r="H46" s="327"/>
      <c r="I46" s="327"/>
      <c r="J46" s="102" t="str">
        <f ca="1">IF(AND('Mapa final'!$AB$127="Muy Alta",'Mapa final'!$AD$127="Leve"),CONCATENATE("R41C",'Mapa final'!$R$127),"")</f>
        <v/>
      </c>
      <c r="K46" s="41" t="str">
        <f>IF(AND('Mapa final'!$AB$128="Muy Alta",'Mapa final'!$AD$128="Leve"),CONCATENATE("R41C",'Mapa final'!$R$128),"")</f>
        <v/>
      </c>
      <c r="L46" s="103" t="str">
        <f>IF(AND('Mapa final'!$AB$129="Muy Alta",'Mapa final'!$AD$129="Leve"),CONCATENATE("R41C",'Mapa final'!$R$129),"")</f>
        <v/>
      </c>
      <c r="M46" s="102" t="str">
        <f ca="1">IF(AND('Mapa final'!$AB$127="Muy Alta",'Mapa final'!$AD$127="Menor"),CONCATENATE("R41C",'Mapa final'!$R$127),"")</f>
        <v/>
      </c>
      <c r="N46" s="41" t="str">
        <f>IF(AND('Mapa final'!$AB$128="Muy Alta",'Mapa final'!$AD$128="Menor"),CONCATENATE("R41C",'Mapa final'!$R$128),"")</f>
        <v/>
      </c>
      <c r="O46" s="103" t="str">
        <f>IF(AND('Mapa final'!$AB$129="Muy Alta",'Mapa final'!$AD$129="Menor"),CONCATENATE("R41C",'Mapa final'!$R$129),"")</f>
        <v/>
      </c>
      <c r="P46" s="102" t="str">
        <f ca="1">IF(AND('Mapa final'!$AB$127="Muy Alta",'Mapa final'!$AD$127="Moderado"),CONCATENATE("R41C",'Mapa final'!$R$127),"")</f>
        <v/>
      </c>
      <c r="Q46" s="41" t="str">
        <f>IF(AND('Mapa final'!$AB$128="Muy Alta",'Mapa final'!$AD$128="Moderado"),CONCATENATE("R41C",'Mapa final'!$R$128),"")</f>
        <v/>
      </c>
      <c r="R46" s="103" t="str">
        <f>IF(AND('Mapa final'!$AB$129="Muy Alta",'Mapa final'!$AD$129="Moderado"),CONCATENATE("R41C",'Mapa final'!$R$129),"")</f>
        <v/>
      </c>
      <c r="S46" s="102" t="str">
        <f ca="1">IF(AND('Mapa final'!$AB$127="Muy Alta",'Mapa final'!$AD$127="Mayor"),CONCATENATE("R41C",'Mapa final'!$R$127),"")</f>
        <v/>
      </c>
      <c r="T46" s="41" t="str">
        <f>IF(AND('Mapa final'!$AB$128="Muy Alta",'Mapa final'!$AD$128="Mayor"),CONCATENATE("R41C",'Mapa final'!$R$128),"")</f>
        <v/>
      </c>
      <c r="U46" s="103" t="str">
        <f>IF(AND('Mapa final'!$AB$129="Muy Alta",'Mapa final'!$AD$129="Mayor"),CONCATENATE("R41C",'Mapa final'!$R$129),"")</f>
        <v/>
      </c>
      <c r="V46" s="42" t="str">
        <f ca="1">IF(AND('Mapa final'!$AB$127="Muy Alta",'Mapa final'!$AD$127="Catastrófico"),CONCATENATE("R41C",'Mapa final'!$R$127),"")</f>
        <v/>
      </c>
      <c r="W46" s="43" t="str">
        <f>IF(AND('Mapa final'!$AB$128="Muy Alta",'Mapa final'!$AD$128="Catastrófico"),CONCATENATE("R41C",'Mapa final'!$R$128),"")</f>
        <v/>
      </c>
      <c r="X46" s="97" t="str">
        <f>IF(AND('Mapa final'!$AB$129="Muy Alta",'Mapa final'!$AD$129="Catastrófico"),CONCATENATE("R41C",'Mapa final'!$R$129),"")</f>
        <v/>
      </c>
      <c r="Y46" s="55"/>
      <c r="Z46" s="332"/>
      <c r="AA46" s="333"/>
      <c r="AB46" s="333"/>
      <c r="AC46" s="333"/>
      <c r="AD46" s="333"/>
      <c r="AE46" s="334"/>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row>
    <row r="47" spans="1:61" ht="15" customHeight="1" x14ac:dyDescent="0.25">
      <c r="A47" s="55"/>
      <c r="B47" s="338"/>
      <c r="C47" s="338"/>
      <c r="D47" s="339"/>
      <c r="E47" s="328"/>
      <c r="F47" s="327"/>
      <c r="G47" s="327"/>
      <c r="H47" s="327"/>
      <c r="I47" s="327"/>
      <c r="J47" s="102" t="str">
        <f ca="1">IF(AND('Mapa final'!$AB$130="Muy Alta",'Mapa final'!$AD$130="Leve"),CONCATENATE("R42C",'Mapa final'!$R$130),"")</f>
        <v/>
      </c>
      <c r="K47" s="41" t="str">
        <f>IF(AND('Mapa final'!$AB$131="Muy Alta",'Mapa final'!$AD$131="Leve"),CONCATENATE("R42C",'Mapa final'!$R$131),"")</f>
        <v/>
      </c>
      <c r="L47" s="103" t="str">
        <f>IF(AND('Mapa final'!$AB$132="Muy Alta",'Mapa final'!$AD$132="Leve"),CONCATENATE("R42C",'Mapa final'!$R$132),"")</f>
        <v/>
      </c>
      <c r="M47" s="102" t="str">
        <f ca="1">IF(AND('Mapa final'!$AB$130="Muy Alta",'Mapa final'!$AD$130="Menor"),CONCATENATE("R42C",'Mapa final'!$R$130),"")</f>
        <v/>
      </c>
      <c r="N47" s="41" t="str">
        <f>IF(AND('Mapa final'!$AB$131="Muy Alta",'Mapa final'!$AD$131="Menor"),CONCATENATE("R42C",'Mapa final'!$R$131),"")</f>
        <v/>
      </c>
      <c r="O47" s="103" t="str">
        <f>IF(AND('Mapa final'!$AB$132="Muy Alta",'Mapa final'!$AD$132="Menor"),CONCATENATE("R42C",'Mapa final'!$R$132),"")</f>
        <v/>
      </c>
      <c r="P47" s="102" t="str">
        <f ca="1">IF(AND('Mapa final'!$AB$130="Muy Alta",'Mapa final'!$AD$130="Moderado"),CONCATENATE("R42C",'Mapa final'!$R$130),"")</f>
        <v/>
      </c>
      <c r="Q47" s="41" t="str">
        <f>IF(AND('Mapa final'!$AB$131="Muy Alta",'Mapa final'!$AD$131="Moderado"),CONCATENATE("R42C",'Mapa final'!$R$131),"")</f>
        <v/>
      </c>
      <c r="R47" s="103" t="str">
        <f>IF(AND('Mapa final'!$AB$132="Muy Alta",'Mapa final'!$AD$132="Moderado"),CONCATENATE("R42C",'Mapa final'!$R$132),"")</f>
        <v/>
      </c>
      <c r="S47" s="102" t="str">
        <f ca="1">IF(AND('Mapa final'!$AB$130="Muy Alta",'Mapa final'!$AD$130="Mayor"),CONCATENATE("R42C",'Mapa final'!$R$130),"")</f>
        <v/>
      </c>
      <c r="T47" s="41" t="str">
        <f>IF(AND('Mapa final'!$AB$131="Muy Alta",'Mapa final'!$AD$131="Mayor"),CONCATENATE("R42C",'Mapa final'!$R$131),"")</f>
        <v/>
      </c>
      <c r="U47" s="103" t="str">
        <f>IF(AND('Mapa final'!$AB$132="Muy Alta",'Mapa final'!$AD$132="Mayor"),CONCATENATE("R42C",'Mapa final'!$R$132),"")</f>
        <v/>
      </c>
      <c r="V47" s="42" t="str">
        <f ca="1">IF(AND('Mapa final'!$AB$130="Muy Alta",'Mapa final'!$AD$130="Catastrófico"),CONCATENATE("R42C",'Mapa final'!$R$130),"")</f>
        <v/>
      </c>
      <c r="W47" s="43" t="str">
        <f>IF(AND('Mapa final'!$AB$131="Muy Alta",'Mapa final'!$AD$131="Catastrófico"),CONCATENATE("R42C",'Mapa final'!$R$131),"")</f>
        <v/>
      </c>
      <c r="X47" s="97" t="str">
        <f>IF(AND('Mapa final'!$AB$132="Muy Alta",'Mapa final'!$AD$132="Catastrófico"),CONCATENATE("R42C",'Mapa final'!$R$132),"")</f>
        <v/>
      </c>
      <c r="Y47" s="55"/>
      <c r="Z47" s="332"/>
      <c r="AA47" s="333"/>
      <c r="AB47" s="333"/>
      <c r="AC47" s="333"/>
      <c r="AD47" s="333"/>
      <c r="AE47" s="334"/>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row>
    <row r="48" spans="1:61" ht="15" customHeight="1" x14ac:dyDescent="0.25">
      <c r="A48" s="55"/>
      <c r="B48" s="338"/>
      <c r="C48" s="338"/>
      <c r="D48" s="339"/>
      <c r="E48" s="328"/>
      <c r="F48" s="327"/>
      <c r="G48" s="327"/>
      <c r="H48" s="327"/>
      <c r="I48" s="327"/>
      <c r="J48" s="102" t="str">
        <f ca="1">IF(AND('Mapa final'!$AB$133="Muy Alta",'Mapa final'!$AD$133="Leve"),CONCATENATE("R43C",'Mapa final'!$R$133),"")</f>
        <v/>
      </c>
      <c r="K48" s="41" t="str">
        <f>IF(AND('Mapa final'!$AB$134="Muy Alta",'Mapa final'!$AD$134="Leve"),CONCATENATE("R43C",'Mapa final'!$R$134),"")</f>
        <v/>
      </c>
      <c r="L48" s="103" t="str">
        <f>IF(AND('Mapa final'!$AB$135="Muy Alta",'Mapa final'!$AD$135="Leve"),CONCATENATE("R43C",'Mapa final'!$R$135),"")</f>
        <v/>
      </c>
      <c r="M48" s="102" t="str">
        <f ca="1">IF(AND('Mapa final'!$AB$133="Muy Alta",'Mapa final'!$AD$133="Menor"),CONCATENATE("R43C",'Mapa final'!$R$133),"")</f>
        <v/>
      </c>
      <c r="N48" s="41" t="str">
        <f>IF(AND('Mapa final'!$AB$134="Muy Alta",'Mapa final'!$AD$134="Menor"),CONCATENATE("R43C",'Mapa final'!$R$134),"")</f>
        <v/>
      </c>
      <c r="O48" s="103" t="str">
        <f>IF(AND('Mapa final'!$AB$135="Muy Alta",'Mapa final'!$AD$135="Menor"),CONCATENATE("R43C",'Mapa final'!$R$135),"")</f>
        <v/>
      </c>
      <c r="P48" s="102" t="str">
        <f ca="1">IF(AND('Mapa final'!$AB$133="Muy Alta",'Mapa final'!$AD$133="Moderado"),CONCATENATE("R43C",'Mapa final'!$R$133),"")</f>
        <v/>
      </c>
      <c r="Q48" s="41" t="str">
        <f>IF(AND('Mapa final'!$AB$134="Muy Alta",'Mapa final'!$AD$134="Moderado"),CONCATENATE("R43C",'Mapa final'!$R$134),"")</f>
        <v/>
      </c>
      <c r="R48" s="103" t="str">
        <f>IF(AND('Mapa final'!$AB$135="Muy Alta",'Mapa final'!$AD$135="Moderado"),CONCATENATE("R43C",'Mapa final'!$R$135),"")</f>
        <v/>
      </c>
      <c r="S48" s="102" t="str">
        <f ca="1">IF(AND('Mapa final'!$AB$133="Muy Alta",'Mapa final'!$AD$133="Mayor"),CONCATENATE("R43C",'Mapa final'!$R$133),"")</f>
        <v/>
      </c>
      <c r="T48" s="41" t="str">
        <f>IF(AND('Mapa final'!$AB$134="Muy Alta",'Mapa final'!$AD$134="Mayor"),CONCATENATE("R43C",'Mapa final'!$R$134),"")</f>
        <v/>
      </c>
      <c r="U48" s="103" t="str">
        <f>IF(AND('Mapa final'!$AB$135="Muy Alta",'Mapa final'!$AD$135="Mayor"),CONCATENATE("R43C",'Mapa final'!$R$135),"")</f>
        <v/>
      </c>
      <c r="V48" s="42" t="str">
        <f ca="1">IF(AND('Mapa final'!$AB$133="Muy Alta",'Mapa final'!$AD$133="Catastrófico"),CONCATENATE("R43C",'Mapa final'!$R$133),"")</f>
        <v/>
      </c>
      <c r="W48" s="43" t="str">
        <f>IF(AND('Mapa final'!$AB$134="Muy Alta",'Mapa final'!$AD$134="Catastrófico"),CONCATENATE("R43C",'Mapa final'!$R$134),"")</f>
        <v/>
      </c>
      <c r="X48" s="97" t="str">
        <f>IF(AND('Mapa final'!$AB$135="Muy Alta",'Mapa final'!$AD$135="Catastrófico"),CONCATENATE("R43C",'Mapa final'!$R$135),"")</f>
        <v/>
      </c>
      <c r="Y48" s="55"/>
      <c r="Z48" s="332"/>
      <c r="AA48" s="333"/>
      <c r="AB48" s="333"/>
      <c r="AC48" s="333"/>
      <c r="AD48" s="333"/>
      <c r="AE48" s="334"/>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row>
    <row r="49" spans="1:61" ht="15" customHeight="1" x14ac:dyDescent="0.25">
      <c r="A49" s="55"/>
      <c r="B49" s="338"/>
      <c r="C49" s="338"/>
      <c r="D49" s="339"/>
      <c r="E49" s="328"/>
      <c r="F49" s="327"/>
      <c r="G49" s="327"/>
      <c r="H49" s="327"/>
      <c r="I49" s="327"/>
      <c r="J49" s="102" t="str">
        <f ca="1">IF(AND('Mapa final'!$AB$136="Muy Alta",'Mapa final'!$AD$136="Leve"),CONCATENATE("R44C",'Mapa final'!$R$136),"")</f>
        <v/>
      </c>
      <c r="K49" s="41" t="str">
        <f>IF(AND('Mapa final'!$AB$137="Muy Alta",'Mapa final'!$AD$137="Leve"),CONCATENATE("R44C",'Mapa final'!$R$137),"")</f>
        <v/>
      </c>
      <c r="L49" s="103" t="str">
        <f>IF(AND('Mapa final'!$AB$138="Muy Alta",'Mapa final'!$AD$138="Leve"),CONCATENATE("R44C",'Mapa final'!$R$138),"")</f>
        <v/>
      </c>
      <c r="M49" s="102" t="str">
        <f ca="1">IF(AND('Mapa final'!$AB$136="Muy Alta",'Mapa final'!$AD$136="Menor"),CONCATENATE("R44C",'Mapa final'!$R$136),"")</f>
        <v/>
      </c>
      <c r="N49" s="41" t="str">
        <f>IF(AND('Mapa final'!$AB$137="Muy Alta",'Mapa final'!$AD$137="Menor"),CONCATENATE("R44C",'Mapa final'!$R$137),"")</f>
        <v/>
      </c>
      <c r="O49" s="103" t="str">
        <f>IF(AND('Mapa final'!$AB$138="Muy Alta",'Mapa final'!$AD$138="Menor"),CONCATENATE("R44C",'Mapa final'!$R$138),"")</f>
        <v/>
      </c>
      <c r="P49" s="102" t="str">
        <f ca="1">IF(AND('Mapa final'!$AB$136="Muy Alta",'Mapa final'!$AD$136="Moderado"),CONCATENATE("R44C",'Mapa final'!$R$136),"")</f>
        <v/>
      </c>
      <c r="Q49" s="41" t="str">
        <f>IF(AND('Mapa final'!$AB$137="Muy Alta",'Mapa final'!$AD$137="Moderado"),CONCATENATE("R44C",'Mapa final'!$R$137),"")</f>
        <v/>
      </c>
      <c r="R49" s="103" t="str">
        <f>IF(AND('Mapa final'!$AB$138="Muy Alta",'Mapa final'!$AD$138="Moderado"),CONCATENATE("R44C",'Mapa final'!$R$138),"")</f>
        <v/>
      </c>
      <c r="S49" s="102" t="str">
        <f ca="1">IF(AND('Mapa final'!$AB$136="Muy Alta",'Mapa final'!$AD$136="Mayor"),CONCATENATE("R44C",'Mapa final'!$R$136),"")</f>
        <v/>
      </c>
      <c r="T49" s="41" t="str">
        <f>IF(AND('Mapa final'!$AB$137="Muy Alta",'Mapa final'!$AD$137="Mayor"),CONCATENATE("R44C",'Mapa final'!$R$137),"")</f>
        <v/>
      </c>
      <c r="U49" s="103" t="str">
        <f>IF(AND('Mapa final'!$AB$138="Muy Alta",'Mapa final'!$AD$138="Mayor"),CONCATENATE("R44C",'Mapa final'!$R$138),"")</f>
        <v/>
      </c>
      <c r="V49" s="42" t="str">
        <f ca="1">IF(AND('Mapa final'!$AB$136="Muy Alta",'Mapa final'!$AD$136="Catastrófico"),CONCATENATE("R44C",'Mapa final'!$R$136),"")</f>
        <v/>
      </c>
      <c r="W49" s="43" t="str">
        <f>IF(AND('Mapa final'!$AB$137="Muy Alta",'Mapa final'!$AD$137="Catastrófico"),CONCATENATE("R44C",'Mapa final'!$R$137),"")</f>
        <v/>
      </c>
      <c r="X49" s="97" t="str">
        <f>IF(AND('Mapa final'!$AB$138="Muy Alta",'Mapa final'!$AD$138="Catastrófico"),CONCATENATE("R44C",'Mapa final'!$R$138),"")</f>
        <v/>
      </c>
      <c r="Y49" s="55"/>
      <c r="Z49" s="332"/>
      <c r="AA49" s="333"/>
      <c r="AB49" s="333"/>
      <c r="AC49" s="333"/>
      <c r="AD49" s="333"/>
      <c r="AE49" s="334"/>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row>
    <row r="50" spans="1:61" ht="15" customHeight="1" x14ac:dyDescent="0.25">
      <c r="A50" s="55"/>
      <c r="B50" s="338"/>
      <c r="C50" s="338"/>
      <c r="D50" s="339"/>
      <c r="E50" s="328"/>
      <c r="F50" s="327"/>
      <c r="G50" s="327"/>
      <c r="H50" s="327"/>
      <c r="I50" s="327"/>
      <c r="J50" s="102" t="str">
        <f ca="1">IF(AND('Mapa final'!$AB$139="Muy Alta",'Mapa final'!$AD$139="Leve"),CONCATENATE("R45C",'Mapa final'!$R$139),"")</f>
        <v/>
      </c>
      <c r="K50" s="41" t="str">
        <f>IF(AND('Mapa final'!$AB$140="Muy Alta",'Mapa final'!$AD$140="Leve"),CONCATENATE("R45C",'Mapa final'!$R$140),"")</f>
        <v/>
      </c>
      <c r="L50" s="103" t="str">
        <f>IF(AND('Mapa final'!$AB$141="Muy Alta",'Mapa final'!$AD$141="Leve"),CONCATENATE("R45C",'Mapa final'!$R$141),"")</f>
        <v/>
      </c>
      <c r="M50" s="102" t="str">
        <f ca="1">IF(AND('Mapa final'!$AB$139="Muy Alta",'Mapa final'!$AD$139="Menor"),CONCATENATE("R45C",'Mapa final'!$R$139),"")</f>
        <v/>
      </c>
      <c r="N50" s="41" t="str">
        <f>IF(AND('Mapa final'!$AB$140="Muy Alta",'Mapa final'!$AD$140="Menor"),CONCATENATE("R45C",'Mapa final'!$R$140),"")</f>
        <v/>
      </c>
      <c r="O50" s="103" t="str">
        <f>IF(AND('Mapa final'!$AB$141="Muy Alta",'Mapa final'!$AD$141="Menor"),CONCATENATE("R45C",'Mapa final'!$R$141),"")</f>
        <v/>
      </c>
      <c r="P50" s="102" t="str">
        <f ca="1">IF(AND('Mapa final'!$AB$139="Muy Alta",'Mapa final'!$AD$139="Moderado"),CONCATENATE("R45C",'Mapa final'!$R$139),"")</f>
        <v/>
      </c>
      <c r="Q50" s="41" t="str">
        <f>IF(AND('Mapa final'!$AB$140="Muy Alta",'Mapa final'!$AD$140="Moderado"),CONCATENATE("R45C",'Mapa final'!$R$140),"")</f>
        <v/>
      </c>
      <c r="R50" s="103" t="str">
        <f>IF(AND('Mapa final'!$AB$141="Muy Alta",'Mapa final'!$AD$141="Moderado"),CONCATENATE("R45C",'Mapa final'!$R$141),"")</f>
        <v/>
      </c>
      <c r="S50" s="102" t="str">
        <f ca="1">IF(AND('Mapa final'!$AB$139="Muy Alta",'Mapa final'!$AD$139="Mayor"),CONCATENATE("R45C",'Mapa final'!$R$139),"")</f>
        <v/>
      </c>
      <c r="T50" s="41" t="str">
        <f>IF(AND('Mapa final'!$AB$140="Muy Alta",'Mapa final'!$AD$140="Mayor"),CONCATENATE("R45C",'Mapa final'!$R$140),"")</f>
        <v/>
      </c>
      <c r="U50" s="103" t="str">
        <f>IF(AND('Mapa final'!$AB$141="Muy Alta",'Mapa final'!$AD$141="Mayor"),CONCATENATE("R45C",'Mapa final'!$R$141),"")</f>
        <v/>
      </c>
      <c r="V50" s="42" t="str">
        <f ca="1">IF(AND('Mapa final'!$AB$139="Muy Alta",'Mapa final'!$AD$139="Catastrófico"),CONCATENATE("R45C",'Mapa final'!$R$139),"")</f>
        <v/>
      </c>
      <c r="W50" s="43" t="str">
        <f>IF(AND('Mapa final'!$AB$140="Muy Alta",'Mapa final'!$AD$140="Catastrófico"),CONCATENATE("R45C",'Mapa final'!$R$140),"")</f>
        <v/>
      </c>
      <c r="X50" s="97" t="str">
        <f>IF(AND('Mapa final'!$AB$141="Muy Alta",'Mapa final'!$AD$141="Catastrófico"),CONCATENATE("R45C",'Mapa final'!$R$141),"")</f>
        <v/>
      </c>
      <c r="Y50" s="55"/>
      <c r="Z50" s="332"/>
      <c r="AA50" s="333"/>
      <c r="AB50" s="333"/>
      <c r="AC50" s="333"/>
      <c r="AD50" s="333"/>
      <c r="AE50" s="334"/>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row>
    <row r="51" spans="1:61" ht="15" customHeight="1" x14ac:dyDescent="0.25">
      <c r="A51" s="55"/>
      <c r="B51" s="338"/>
      <c r="C51" s="338"/>
      <c r="D51" s="339"/>
      <c r="E51" s="328"/>
      <c r="F51" s="327"/>
      <c r="G51" s="327"/>
      <c r="H51" s="327"/>
      <c r="I51" s="327"/>
      <c r="J51" s="102" t="str">
        <f>IF(AND('Mapa final'!$AB$142="Muy Alta",'Mapa final'!$AD$142="Leve"),CONCATENATE("R46C",'Mapa final'!$R$142),"")</f>
        <v/>
      </c>
      <c r="K51" s="41" t="str">
        <f>IF(AND('Mapa final'!$AB$143="Muy Alta",'Mapa final'!$AD$143="Leve"),CONCATENATE("R46C",'Mapa final'!$R$143),"")</f>
        <v/>
      </c>
      <c r="L51" s="103" t="str">
        <f>IF(AND('Mapa final'!$AB$144="Muy Alta",'Mapa final'!$AD$144="Leve"),CONCATENATE("R46C",'Mapa final'!$R$144),"")</f>
        <v/>
      </c>
      <c r="M51" s="102" t="str">
        <f>IF(AND('Mapa final'!$AB$142="Muy Alta",'Mapa final'!$AD$142="Menor"),CONCATENATE("R46C",'Mapa final'!$R$142),"")</f>
        <v/>
      </c>
      <c r="N51" s="41" t="str">
        <f>IF(AND('Mapa final'!$AB$143="Muy Alta",'Mapa final'!$AD$143="Menor"),CONCATENATE("R46C",'Mapa final'!$R$143),"")</f>
        <v/>
      </c>
      <c r="O51" s="103" t="str">
        <f>IF(AND('Mapa final'!$AB$144="Muy Alta",'Mapa final'!$AD$144="Menor"),CONCATENATE("R46C",'Mapa final'!$R$144),"")</f>
        <v/>
      </c>
      <c r="P51" s="102" t="str">
        <f>IF(AND('Mapa final'!$AB$142="Muy Alta",'Mapa final'!$AD$142="Moderado"),CONCATENATE("R46C",'Mapa final'!$R$142),"")</f>
        <v/>
      </c>
      <c r="Q51" s="41" t="str">
        <f>IF(AND('Mapa final'!$AB$143="Muy Alta",'Mapa final'!$AD$143="Moderado"),CONCATENATE("R46C",'Mapa final'!$R$143),"")</f>
        <v/>
      </c>
      <c r="R51" s="103" t="str">
        <f>IF(AND('Mapa final'!$AB$144="Muy Alta",'Mapa final'!$AD$144="Moderado"),CONCATENATE("R46C",'Mapa final'!$R$144),"")</f>
        <v/>
      </c>
      <c r="S51" s="102" t="str">
        <f>IF(AND('Mapa final'!$AB$142="Muy Alta",'Mapa final'!$AD$142="Mayor"),CONCATENATE("R46C",'Mapa final'!$R$142),"")</f>
        <v/>
      </c>
      <c r="T51" s="41" t="str">
        <f>IF(AND('Mapa final'!$AB$143="Muy Alta",'Mapa final'!$AD$143="Mayor"),CONCATENATE("R46C",'Mapa final'!$R$143),"")</f>
        <v/>
      </c>
      <c r="U51" s="103" t="str">
        <f>IF(AND('Mapa final'!$AB$144="Muy Alta",'Mapa final'!$AD$144="Mayor"),CONCATENATE("R46C",'Mapa final'!$R$144),"")</f>
        <v/>
      </c>
      <c r="V51" s="42" t="str">
        <f>IF(AND('Mapa final'!$AB$142="Muy Alta",'Mapa final'!$AD$142="Catastrófico"),CONCATENATE("R46C",'Mapa final'!$R$142),"")</f>
        <v/>
      </c>
      <c r="W51" s="43" t="str">
        <f>IF(AND('Mapa final'!$AB$143="Muy Alta",'Mapa final'!$AD$143="Catastrófico"),CONCATENATE("R46C",'Mapa final'!$R$143),"")</f>
        <v/>
      </c>
      <c r="X51" s="97" t="str">
        <f>IF(AND('Mapa final'!$AB$144="Muy Alta",'Mapa final'!$AD$144="Catastrófico"),CONCATENATE("R46C",'Mapa final'!$R$144),"")</f>
        <v/>
      </c>
      <c r="Y51" s="55"/>
      <c r="Z51" s="332"/>
      <c r="AA51" s="333"/>
      <c r="AB51" s="333"/>
      <c r="AC51" s="333"/>
      <c r="AD51" s="333"/>
      <c r="AE51" s="334"/>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row>
    <row r="52" spans="1:61" ht="15" customHeight="1" x14ac:dyDescent="0.25">
      <c r="A52" s="55"/>
      <c r="B52" s="338"/>
      <c r="C52" s="338"/>
      <c r="D52" s="339"/>
      <c r="E52" s="328"/>
      <c r="F52" s="327"/>
      <c r="G52" s="327"/>
      <c r="H52" s="327"/>
      <c r="I52" s="327"/>
      <c r="J52" s="102" t="str">
        <f>IF(AND('Mapa final'!$AB$145="Muy Alta",'Mapa final'!$AD$145="Leve"),CONCATENATE("R47C",'Mapa final'!$R$145),"")</f>
        <v/>
      </c>
      <c r="K52" s="41" t="str">
        <f>IF(AND('Mapa final'!$AB$146="Muy Alta",'Mapa final'!$AD$146="Leve"),CONCATENATE("R47C",'Mapa final'!$R$146),"")</f>
        <v/>
      </c>
      <c r="L52" s="103" t="str">
        <f>IF(AND('Mapa final'!$AB$147="Muy Alta",'Mapa final'!$AD$147="Leve"),CONCATENATE("R47C",'Mapa final'!$R$147),"")</f>
        <v/>
      </c>
      <c r="M52" s="102" t="str">
        <f>IF(AND('Mapa final'!$AB$145="Muy Alta",'Mapa final'!$AD$145="Menor"),CONCATENATE("R47C",'Mapa final'!$R$145),"")</f>
        <v/>
      </c>
      <c r="N52" s="41" t="str">
        <f>IF(AND('Mapa final'!$AB$146="Muy Alta",'Mapa final'!$AD$146="Menor"),CONCATENATE("R47C",'Mapa final'!$R$146),"")</f>
        <v/>
      </c>
      <c r="O52" s="103" t="str">
        <f>IF(AND('Mapa final'!$AB$147="Muy Alta",'Mapa final'!$AD$147="Menor"),CONCATENATE("R47C",'Mapa final'!$R$147),"")</f>
        <v/>
      </c>
      <c r="P52" s="102" t="str">
        <f>IF(AND('Mapa final'!$AB$145="Muy Alta",'Mapa final'!$AD$145="Moderado"),CONCATENATE("R47C",'Mapa final'!$R$145),"")</f>
        <v/>
      </c>
      <c r="Q52" s="41" t="str">
        <f>IF(AND('Mapa final'!$AB$146="Muy Alta",'Mapa final'!$AD$146="Moderado"),CONCATENATE("R47C",'Mapa final'!$R$146),"")</f>
        <v/>
      </c>
      <c r="R52" s="103" t="str">
        <f>IF(AND('Mapa final'!$AB$147="Muy Alta",'Mapa final'!$AD$147="Moderado"),CONCATENATE("R47C",'Mapa final'!$R$147),"")</f>
        <v/>
      </c>
      <c r="S52" s="102" t="str">
        <f>IF(AND('Mapa final'!$AB$145="Muy Alta",'Mapa final'!$AD$145="Mayor"),CONCATENATE("R47C",'Mapa final'!$R$145),"")</f>
        <v/>
      </c>
      <c r="T52" s="41" t="str">
        <f>IF(AND('Mapa final'!$AB$146="Muy Alta",'Mapa final'!$AD$146="Mayor"),CONCATENATE("R47C",'Mapa final'!$R$146),"")</f>
        <v/>
      </c>
      <c r="U52" s="103" t="str">
        <f>IF(AND('Mapa final'!$AB$147="Muy Alta",'Mapa final'!$AD$147="Mayor"),CONCATENATE("R47C",'Mapa final'!$R$147),"")</f>
        <v/>
      </c>
      <c r="V52" s="42" t="str">
        <f>IF(AND('Mapa final'!$AB$145="Muy Alta",'Mapa final'!$AD$145="Catastrófico"),CONCATENATE("R47C",'Mapa final'!$R$145),"")</f>
        <v/>
      </c>
      <c r="W52" s="43" t="str">
        <f>IF(AND('Mapa final'!$AB$146="Muy Alta",'Mapa final'!$AD$146="Catastrófico"),CONCATENATE("R47C",'Mapa final'!$R$146),"")</f>
        <v/>
      </c>
      <c r="X52" s="97" t="str">
        <f>IF(AND('Mapa final'!$AB$147="Muy Alta",'Mapa final'!$AD$147="Catastrófico"),CONCATENATE("R47C",'Mapa final'!$R$147),"")</f>
        <v/>
      </c>
      <c r="Y52" s="55"/>
      <c r="Z52" s="332"/>
      <c r="AA52" s="333"/>
      <c r="AB52" s="333"/>
      <c r="AC52" s="333"/>
      <c r="AD52" s="333"/>
      <c r="AE52" s="334"/>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row>
    <row r="53" spans="1:61" ht="15" customHeight="1" x14ac:dyDescent="0.25">
      <c r="A53" s="55"/>
      <c r="B53" s="338"/>
      <c r="C53" s="338"/>
      <c r="D53" s="339"/>
      <c r="E53" s="328"/>
      <c r="F53" s="327"/>
      <c r="G53" s="327"/>
      <c r="H53" s="327"/>
      <c r="I53" s="327"/>
      <c r="J53" s="102" t="str">
        <f>IF(AND('Mapa final'!$AB$148="Muy Alta",'Mapa final'!$AD$148="Leve"),CONCATENATE("R48C",'Mapa final'!$R$148),"")</f>
        <v/>
      </c>
      <c r="K53" s="41" t="str">
        <f>IF(AND('Mapa final'!$AB$149="Muy Alta",'Mapa final'!$AD$149="Leve"),CONCATENATE("R48C",'Mapa final'!$R$149),"")</f>
        <v/>
      </c>
      <c r="L53" s="103" t="str">
        <f>IF(AND('Mapa final'!$AB$150="Muy Alta",'Mapa final'!$AD$150="Leve"),CONCATENATE("R48C",'Mapa final'!$R$150),"")</f>
        <v/>
      </c>
      <c r="M53" s="102" t="str">
        <f>IF(AND('Mapa final'!$AB$148="Muy Alta",'Mapa final'!$AD$148="Menor"),CONCATENATE("R48C",'Mapa final'!$R$148),"")</f>
        <v/>
      </c>
      <c r="N53" s="41" t="str">
        <f>IF(AND('Mapa final'!$AB$149="Muy Alta",'Mapa final'!$AD$149="Menor"),CONCATENATE("R48C",'Mapa final'!$R$149),"")</f>
        <v/>
      </c>
      <c r="O53" s="103" t="str">
        <f>IF(AND('Mapa final'!$AB$150="Muy Alta",'Mapa final'!$AD$150="Menor"),CONCATENATE("R48C",'Mapa final'!$R$150),"")</f>
        <v/>
      </c>
      <c r="P53" s="102" t="str">
        <f>IF(AND('Mapa final'!$AB$148="Muy Alta",'Mapa final'!$AD$148="Moderado"),CONCATENATE("R48C",'Mapa final'!$R$148),"")</f>
        <v/>
      </c>
      <c r="Q53" s="41" t="str">
        <f>IF(AND('Mapa final'!$AB$149="Muy Alta",'Mapa final'!$AD$149="Moderado"),CONCATENATE("R48C",'Mapa final'!$R$149),"")</f>
        <v/>
      </c>
      <c r="R53" s="103" t="str">
        <f>IF(AND('Mapa final'!$AB$150="Muy Alta",'Mapa final'!$AD$150="Moderado"),CONCATENATE("R48C",'Mapa final'!$R$150),"")</f>
        <v/>
      </c>
      <c r="S53" s="102" t="str">
        <f>IF(AND('Mapa final'!$AB$148="Muy Alta",'Mapa final'!$AD$148="Mayor"),CONCATENATE("R48C",'Mapa final'!$R$148),"")</f>
        <v/>
      </c>
      <c r="T53" s="41" t="str">
        <f>IF(AND('Mapa final'!$AB$149="Muy Alta",'Mapa final'!$AD$149="Mayor"),CONCATENATE("R48C",'Mapa final'!$R$149),"")</f>
        <v/>
      </c>
      <c r="U53" s="103" t="str">
        <f>IF(AND('Mapa final'!$AB$150="Muy Alta",'Mapa final'!$AD$150="Mayor"),CONCATENATE("R48C",'Mapa final'!$R$150),"")</f>
        <v/>
      </c>
      <c r="V53" s="42" t="str">
        <f>IF(AND('Mapa final'!$AB$148="Muy Alta",'Mapa final'!$AD$148="Catastrófico"),CONCATENATE("R48C",'Mapa final'!$R$148),"")</f>
        <v/>
      </c>
      <c r="W53" s="43" t="str">
        <f>IF(AND('Mapa final'!$AB$149="Muy Alta",'Mapa final'!$AD$149="Catastrófico"),CONCATENATE("R48C",'Mapa final'!$R$149),"")</f>
        <v/>
      </c>
      <c r="X53" s="97" t="str">
        <f>IF(AND('Mapa final'!$AB$150="Muy Alta",'Mapa final'!$AD$150="Catastrófico"),CONCATENATE("R48C",'Mapa final'!$R$150),"")</f>
        <v/>
      </c>
      <c r="Y53" s="55"/>
      <c r="Z53" s="332"/>
      <c r="AA53" s="333"/>
      <c r="AB53" s="333"/>
      <c r="AC53" s="333"/>
      <c r="AD53" s="333"/>
      <c r="AE53" s="334"/>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row>
    <row r="54" spans="1:61" ht="15" customHeight="1" x14ac:dyDescent="0.25">
      <c r="A54" s="55"/>
      <c r="B54" s="338"/>
      <c r="C54" s="338"/>
      <c r="D54" s="339"/>
      <c r="E54" s="328"/>
      <c r="F54" s="327"/>
      <c r="G54" s="327"/>
      <c r="H54" s="327"/>
      <c r="I54" s="327"/>
      <c r="J54" s="102" t="str">
        <f>IF(AND('Mapa final'!$AB$151="Muy Alta",'Mapa final'!$AD$151="Leve"),CONCATENATE("R49C",'Mapa final'!$R$151),"")</f>
        <v/>
      </c>
      <c r="K54" s="41" t="str">
        <f>IF(AND('Mapa final'!$AB$152="Muy Alta",'Mapa final'!$AD$152="Leve"),CONCATENATE("R49C",'Mapa final'!$R$152),"")</f>
        <v/>
      </c>
      <c r="L54" s="103" t="str">
        <f>IF(AND('Mapa final'!$AB$153="Muy Alta",'Mapa final'!$AD$153="Leve"),CONCATENATE("R49C",'Mapa final'!$R$153),"")</f>
        <v/>
      </c>
      <c r="M54" s="102" t="str">
        <f>IF(AND('Mapa final'!$AB$151="Muy Alta",'Mapa final'!$AD$151="Menor"),CONCATENATE("R49C",'Mapa final'!$R$151),"")</f>
        <v/>
      </c>
      <c r="N54" s="41" t="str">
        <f>IF(AND('Mapa final'!$AB$152="Muy Alta",'Mapa final'!$AD$152="Menor"),CONCATENATE("R49C",'Mapa final'!$R$152),"")</f>
        <v/>
      </c>
      <c r="O54" s="103" t="str">
        <f>IF(AND('Mapa final'!$AB$153="Muy Alta",'Mapa final'!$AD$153="Menor"),CONCATENATE("R49C",'Mapa final'!$R$153),"")</f>
        <v/>
      </c>
      <c r="P54" s="102" t="str">
        <f>IF(AND('Mapa final'!$AB$151="Muy Alta",'Mapa final'!$AD$151="Moderado"),CONCATENATE("R49C",'Mapa final'!$R$151),"")</f>
        <v/>
      </c>
      <c r="Q54" s="41" t="str">
        <f>IF(AND('Mapa final'!$AB$152="Muy Alta",'Mapa final'!$AD$152="Moderado"),CONCATENATE("R49C",'Mapa final'!$R$152),"")</f>
        <v/>
      </c>
      <c r="R54" s="103" t="str">
        <f>IF(AND('Mapa final'!$AB$153="Muy Alta",'Mapa final'!$AD$153="Moderado"),CONCATENATE("R49C",'Mapa final'!$R$153),"")</f>
        <v/>
      </c>
      <c r="S54" s="102" t="str">
        <f>IF(AND('Mapa final'!$AB$151="Muy Alta",'Mapa final'!$AD$151="Mayor"),CONCATENATE("R49C",'Mapa final'!$R$151),"")</f>
        <v/>
      </c>
      <c r="T54" s="41" t="str">
        <f>IF(AND('Mapa final'!$AB$152="Muy Alta",'Mapa final'!$AD$152="Mayor"),CONCATENATE("R49C",'Mapa final'!$R$152),"")</f>
        <v/>
      </c>
      <c r="U54" s="103" t="str">
        <f>IF(AND('Mapa final'!$AB$153="Muy Alta",'Mapa final'!$AD$153="Mayor"),CONCATENATE("R49C",'Mapa final'!$R$153),"")</f>
        <v/>
      </c>
      <c r="V54" s="42" t="str">
        <f>IF(AND('Mapa final'!$AB$151="Muy Alta",'Mapa final'!$AD$151="Catastrófico"),CONCATENATE("R49C",'Mapa final'!$R$151),"")</f>
        <v/>
      </c>
      <c r="W54" s="43" t="str">
        <f>IF(AND('Mapa final'!$AB$152="Muy Alta",'Mapa final'!$AD$152="Catastrófico"),CONCATENATE("R49C",'Mapa final'!$R$152),"")</f>
        <v/>
      </c>
      <c r="X54" s="97" t="str">
        <f>IF(AND('Mapa final'!$AB$153="Muy Alta",'Mapa final'!$AD$153="Catastrófico"),CONCATENATE("R49C",'Mapa final'!$R$153),"")</f>
        <v/>
      </c>
      <c r="Y54" s="55"/>
      <c r="Z54" s="332"/>
      <c r="AA54" s="333"/>
      <c r="AB54" s="333"/>
      <c r="AC54" s="333"/>
      <c r="AD54" s="333"/>
      <c r="AE54" s="334"/>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row>
    <row r="55" spans="1:61" ht="15" customHeight="1" thickBot="1" x14ac:dyDescent="0.3">
      <c r="A55" s="55"/>
      <c r="B55" s="338"/>
      <c r="C55" s="338"/>
      <c r="D55" s="339"/>
      <c r="E55" s="328"/>
      <c r="F55" s="327"/>
      <c r="G55" s="327"/>
      <c r="H55" s="327"/>
      <c r="I55" s="327"/>
      <c r="J55" s="102" t="str">
        <f>IF(AND('Mapa final'!$AB$154="Muy Alta",'Mapa final'!$AD$154="Leve"),CONCATENATE("R50C",'Mapa final'!$R$154),"")</f>
        <v/>
      </c>
      <c r="K55" s="41" t="str">
        <f>IF(AND('Mapa final'!$AB$155="Muy Alta",'Mapa final'!$AD$155="Leve"),CONCATENATE("R50C",'Mapa final'!$R$155),"")</f>
        <v/>
      </c>
      <c r="L55" s="103" t="str">
        <f>IF(AND('Mapa final'!$AB$156="Muy Alta",'Mapa final'!$AD$156="Leve"),CONCATENATE("R50C",'Mapa final'!$R$156),"")</f>
        <v/>
      </c>
      <c r="M55" s="102" t="str">
        <f>IF(AND('Mapa final'!$AB$154="Muy Alta",'Mapa final'!$AD$154="Menor"),CONCATENATE("R50C",'Mapa final'!$R$154),"")</f>
        <v/>
      </c>
      <c r="N55" s="41" t="str">
        <f>IF(AND('Mapa final'!$AB$155="Muy Alta",'Mapa final'!$AD$155="Menor"),CONCATENATE("R50C",'Mapa final'!$R$155),"")</f>
        <v/>
      </c>
      <c r="O55" s="103" t="str">
        <f>IF(AND('Mapa final'!$AB$156="Muy Alta",'Mapa final'!$AD$156="Menor"),CONCATENATE("R50C",'Mapa final'!$R$156),"")</f>
        <v/>
      </c>
      <c r="P55" s="102" t="str">
        <f>IF(AND('Mapa final'!$AB$154="Muy Alta",'Mapa final'!$AD$154="Moderado"),CONCATENATE("R50C",'Mapa final'!$R$154),"")</f>
        <v/>
      </c>
      <c r="Q55" s="41" t="str">
        <f>IF(AND('Mapa final'!$AB$155="Muy Alta",'Mapa final'!$AD$155="Moderado"),CONCATENATE("R50C",'Mapa final'!$R$155),"")</f>
        <v/>
      </c>
      <c r="R55" s="103" t="str">
        <f>IF(AND('Mapa final'!$AB$156="Muy Alta",'Mapa final'!$AD$156="Moderado"),CONCATENATE("R50C",'Mapa final'!$R$156),"")</f>
        <v/>
      </c>
      <c r="S55" s="104" t="str">
        <f>IF(AND('Mapa final'!$AB$154="Muy Alta",'Mapa final'!$AD$154="Mayor"),CONCATENATE("R50C",'Mapa final'!$R$154),"")</f>
        <v/>
      </c>
      <c r="T55" s="105" t="str">
        <f>IF(AND('Mapa final'!$AB$155="Muy Alta",'Mapa final'!$AD$155="Mayor"),CONCATENATE("R50C",'Mapa final'!$R$155),"")</f>
        <v/>
      </c>
      <c r="U55" s="106" t="str">
        <f>IF(AND('Mapa final'!$AB$156="Muy Alta",'Mapa final'!$AD$156="Mayor"),CONCATENATE("R50C",'Mapa final'!$R$156),"")</f>
        <v/>
      </c>
      <c r="V55" s="44" t="str">
        <f>IF(AND('Mapa final'!$AB$154="Muy Alta",'Mapa final'!$AD$154="Catastrófico"),CONCATENATE("R50C",'Mapa final'!$R$154),"")</f>
        <v/>
      </c>
      <c r="W55" s="45" t="str">
        <f>IF(AND('Mapa final'!$AB$155="Muy Alta",'Mapa final'!$AD$155="Catastrófico"),CONCATENATE("R50C",'Mapa final'!$R$155),"")</f>
        <v/>
      </c>
      <c r="X55" s="98" t="str">
        <f>IF(AND('Mapa final'!$AB$156="Muy Alta",'Mapa final'!$AD$156="Catastrófico"),CONCATENATE("R50C",'Mapa final'!$R$156),"")</f>
        <v/>
      </c>
      <c r="Y55" s="55"/>
      <c r="Z55" s="332"/>
      <c r="AA55" s="333"/>
      <c r="AB55" s="333"/>
      <c r="AC55" s="333"/>
      <c r="AD55" s="333"/>
      <c r="AE55" s="334"/>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row>
    <row r="56" spans="1:61" ht="15" customHeight="1" x14ac:dyDescent="0.25">
      <c r="A56" s="55"/>
      <c r="B56" s="338"/>
      <c r="C56" s="338"/>
      <c r="D56" s="339"/>
      <c r="E56" s="324" t="s">
        <v>106</v>
      </c>
      <c r="F56" s="325"/>
      <c r="G56" s="325"/>
      <c r="H56" s="325"/>
      <c r="I56" s="325"/>
      <c r="J56" s="46" t="str">
        <f ca="1">IF(AND('Mapa final'!$AB$7="Alta",'Mapa final'!$AD$7="Leve"),CONCATENATE("R1C",'Mapa final'!$R$7),"")</f>
        <v/>
      </c>
      <c r="K56" s="47" t="str">
        <f>IF(AND('Mapa final'!$AB$8="Alta",'Mapa final'!$AD$8="Leve"),CONCATENATE("R1C",'Mapa final'!$R$8),"")</f>
        <v/>
      </c>
      <c r="L56" s="107" t="str">
        <f>IF(AND('Mapa final'!$AB$9="Alta",'Mapa final'!$AD$9="Leve"),CONCATENATE("R1C",'Mapa final'!$R$9),"")</f>
        <v/>
      </c>
      <c r="M56" s="46" t="str">
        <f ca="1">IF(AND('Mapa final'!$AB$7="Alta",'Mapa final'!$AD$7="Menor"),CONCATENATE("R1C",'Mapa final'!$R$7),"")</f>
        <v/>
      </c>
      <c r="N56" s="47" t="str">
        <f>IF(AND('Mapa final'!$AB$8="Alta",'Mapa final'!$AD$8="Menor"),CONCATENATE("R1C",'Mapa final'!$R$8),"")</f>
        <v/>
      </c>
      <c r="O56" s="107" t="str">
        <f>IF(AND('Mapa final'!$AB$9="Alta",'Mapa final'!$AD$9="Menor"),CONCATENATE("R1C",'Mapa final'!$R$9),"")</f>
        <v/>
      </c>
      <c r="P56" s="99" t="str">
        <f ca="1">IF(AND('Mapa final'!$AB$7="Alta",'Mapa final'!$AD$7="Moderado"),CONCATENATE("R1C",'Mapa final'!$R$7),"")</f>
        <v/>
      </c>
      <c r="Q56" s="100" t="str">
        <f>IF(AND('Mapa final'!$AB$8="Alta",'Mapa final'!$AD$8="Moderado"),CONCATENATE("R1C",'Mapa final'!$R$8),"")</f>
        <v/>
      </c>
      <c r="R56" s="101" t="str">
        <f>IF(AND('Mapa final'!$AB$9="Alta",'Mapa final'!$AD$9="Moderado"),CONCATENATE("R1C",'Mapa final'!$R$9),"")</f>
        <v/>
      </c>
      <c r="S56" s="99" t="str">
        <f ca="1">IF(AND('Mapa final'!$AB$7="Alta",'Mapa final'!$AD$7="Mayor"),CONCATENATE("R1C",'Mapa final'!$R$7),"")</f>
        <v/>
      </c>
      <c r="T56" s="100" t="str">
        <f>IF(AND('Mapa final'!$AB$8="Alta",'Mapa final'!$AD$8="Mayor"),CONCATENATE("R1C",'Mapa final'!$R$8),"")</f>
        <v/>
      </c>
      <c r="U56" s="101" t="str">
        <f>IF(AND('Mapa final'!$AB$9="Alta",'Mapa final'!$AD$9="Mayor"),CONCATENATE("R1C",'Mapa final'!$R$9),"")</f>
        <v/>
      </c>
      <c r="V56" s="39" t="str">
        <f ca="1">IF(AND('Mapa final'!$AB$7="Alta",'Mapa final'!$AD$7="Catastrófico"),CONCATENATE("R1C",'Mapa final'!$R$7),"")</f>
        <v/>
      </c>
      <c r="W56" s="40" t="str">
        <f>IF(AND('Mapa final'!$AB$8="Alta",'Mapa final'!$AD$8="Catastrófico"),CONCATENATE("R1C",'Mapa final'!$R$8),"")</f>
        <v/>
      </c>
      <c r="X56" s="96" t="str">
        <f>IF(AND('Mapa final'!$AB$9="Alta",'Mapa final'!$AD$9="Catastrófico"),CONCATENATE("R1C",'Mapa final'!$R$9),"")</f>
        <v/>
      </c>
      <c r="Y56" s="55"/>
      <c r="Z56" s="318" t="s">
        <v>74</v>
      </c>
      <c r="AA56" s="319"/>
      <c r="AB56" s="319"/>
      <c r="AC56" s="319"/>
      <c r="AD56" s="319"/>
      <c r="AE56" s="320"/>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row>
    <row r="57" spans="1:61" ht="15" customHeight="1" x14ac:dyDescent="0.25">
      <c r="A57" s="55"/>
      <c r="B57" s="338"/>
      <c r="C57" s="338"/>
      <c r="D57" s="339"/>
      <c r="E57" s="326"/>
      <c r="F57" s="327"/>
      <c r="G57" s="327"/>
      <c r="H57" s="327"/>
      <c r="I57" s="327"/>
      <c r="J57" s="48" t="str">
        <f ca="1">IF(AND('Mapa final'!$AB$10="Alta",'Mapa final'!$AD$10="Leve"),CONCATENATE("R2C",'Mapa final'!$R$10),"")</f>
        <v/>
      </c>
      <c r="K57" s="49" t="str">
        <f>IF(AND('Mapa final'!$AB$11="Alta",'Mapa final'!$AD$11="Leve"),CONCATENATE("R2C",'Mapa final'!$R$11),"")</f>
        <v/>
      </c>
      <c r="L57" s="108" t="str">
        <f>IF(AND('Mapa final'!$AB$12="Alta",'Mapa final'!$AD$12="Leve"),CONCATENATE("R2C",'Mapa final'!$R$12),"")</f>
        <v/>
      </c>
      <c r="M57" s="48" t="str">
        <f ca="1">IF(AND('Mapa final'!$AB$10="Alta",'Mapa final'!$AD$10="Menor"),CONCATENATE("R2C",'Mapa final'!$R$10),"")</f>
        <v/>
      </c>
      <c r="N57" s="49" t="str">
        <f>IF(AND('Mapa final'!$AB$11="Alta",'Mapa final'!$AD$11="Menor"),CONCATENATE("R2C",'Mapa final'!$R$11),"")</f>
        <v/>
      </c>
      <c r="O57" s="108" t="str">
        <f>IF(AND('Mapa final'!$AB$12="Alta",'Mapa final'!$AD$12="Menor"),CONCATENATE("R2C",'Mapa final'!$R$12),"")</f>
        <v/>
      </c>
      <c r="P57" s="102" t="str">
        <f ca="1">IF(AND('Mapa final'!$AB$10="Alta",'Mapa final'!$AD$10="Moderado"),CONCATENATE("R2C",'Mapa final'!$R$10),"")</f>
        <v/>
      </c>
      <c r="Q57" s="41" t="str">
        <f>IF(AND('Mapa final'!$AB$11="Alta",'Mapa final'!$AD$11="Moderado"),CONCATENATE("R2C",'Mapa final'!$R$11),"")</f>
        <v/>
      </c>
      <c r="R57" s="103" t="str">
        <f>IF(AND('Mapa final'!$AB$12="Alta",'Mapa final'!$AD$12="Moderado"),CONCATENATE("R2C",'Mapa final'!$R$12),"")</f>
        <v/>
      </c>
      <c r="S57" s="102" t="str">
        <f ca="1">IF(AND('Mapa final'!$AB$10="Alta",'Mapa final'!$AD$10="Mayor"),CONCATENATE("R2C",'Mapa final'!$R$10),"")</f>
        <v/>
      </c>
      <c r="T57" s="41" t="str">
        <f>IF(AND('Mapa final'!$AB$11="Alta",'Mapa final'!$AD$11="Mayor"),CONCATENATE("R2C",'Mapa final'!$R$11),"")</f>
        <v/>
      </c>
      <c r="U57" s="103" t="str">
        <f>IF(AND('Mapa final'!$AB$12="Alta",'Mapa final'!$AD$12="Mayor"),CONCATENATE("R2C",'Mapa final'!$R$12),"")</f>
        <v/>
      </c>
      <c r="V57" s="42" t="str">
        <f ca="1">IF(AND('Mapa final'!$AB$10="Alta",'Mapa final'!$AD$10="Catastrófico"),CONCATENATE("R2C",'Mapa final'!$R$10),"")</f>
        <v/>
      </c>
      <c r="W57" s="43" t="str">
        <f>IF(AND('Mapa final'!$AB$11="Alta",'Mapa final'!$AD$11="Catastrófico"),CONCATENATE("R2C",'Mapa final'!$R$11),"")</f>
        <v/>
      </c>
      <c r="X57" s="97" t="str">
        <f>IF(AND('Mapa final'!$AB$12="Alta",'Mapa final'!$AD$12="Catastrófico"),CONCATENATE("R2C",'Mapa final'!$R$12),"")</f>
        <v/>
      </c>
      <c r="Y57" s="55"/>
      <c r="Z57" s="321"/>
      <c r="AA57" s="322"/>
      <c r="AB57" s="322"/>
      <c r="AC57" s="322"/>
      <c r="AD57" s="322"/>
      <c r="AE57" s="323"/>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row>
    <row r="58" spans="1:61" ht="15" customHeight="1" x14ac:dyDescent="0.25">
      <c r="A58" s="55"/>
      <c r="B58" s="338"/>
      <c r="C58" s="338"/>
      <c r="D58" s="339"/>
      <c r="E58" s="328"/>
      <c r="F58" s="327"/>
      <c r="G58" s="327"/>
      <c r="H58" s="327"/>
      <c r="I58" s="327"/>
      <c r="J58" s="48" t="str">
        <f ca="1">IF(AND('Mapa final'!$AB$13="Alta",'Mapa final'!$AD$13="Leve"),CONCATENATE("R3C",'Mapa final'!$R$13),"")</f>
        <v/>
      </c>
      <c r="K58" s="49" t="str">
        <f>IF(AND('Mapa final'!$AB$14="Alta",'Mapa final'!$AD$14="Leve"),CONCATENATE("R3C",'Mapa final'!$R$14),"")</f>
        <v/>
      </c>
      <c r="L58" s="108" t="str">
        <f>IF(AND('Mapa final'!$AB$15="Alta",'Mapa final'!$AD$15="Leve"),CONCATENATE("R3C",'Mapa final'!$R$15),"")</f>
        <v/>
      </c>
      <c r="M58" s="48" t="str">
        <f ca="1">IF(AND('Mapa final'!$AB$13="Alta",'Mapa final'!$AD$13="Menor"),CONCATENATE("R3C",'Mapa final'!$R$13),"")</f>
        <v/>
      </c>
      <c r="N58" s="49" t="str">
        <f>IF(AND('Mapa final'!$AB$14="Alta",'Mapa final'!$AD$14="Menor"),CONCATENATE("R3C",'Mapa final'!$R$14),"")</f>
        <v/>
      </c>
      <c r="O58" s="108" t="str">
        <f>IF(AND('Mapa final'!$AB$15="Alta",'Mapa final'!$AD$15="Menor"),CONCATENATE("R3C",'Mapa final'!$R$15),"")</f>
        <v/>
      </c>
      <c r="P58" s="102" t="str">
        <f ca="1">IF(AND('Mapa final'!$AB$13="Alta",'Mapa final'!$AD$13="Moderado"),CONCATENATE("R3C",'Mapa final'!$R$13),"")</f>
        <v/>
      </c>
      <c r="Q58" s="41" t="str">
        <f>IF(AND('Mapa final'!$AB$14="Alta",'Mapa final'!$AD$14="Moderado"),CONCATENATE("R3C",'Mapa final'!$R$14),"")</f>
        <v/>
      </c>
      <c r="R58" s="103" t="str">
        <f>IF(AND('Mapa final'!$AB$15="Alta",'Mapa final'!$AD$15="Moderado"),CONCATENATE("R3C",'Mapa final'!$R$15),"")</f>
        <v/>
      </c>
      <c r="S58" s="102" t="str">
        <f ca="1">IF(AND('Mapa final'!$AB$13="Alta",'Mapa final'!$AD$13="Mayor"),CONCATENATE("R3C",'Mapa final'!$R$13),"")</f>
        <v/>
      </c>
      <c r="T58" s="41" t="str">
        <f>IF(AND('Mapa final'!$AB$14="Alta",'Mapa final'!$AD$14="Mayor"),CONCATENATE("R3C",'Mapa final'!$R$14),"")</f>
        <v/>
      </c>
      <c r="U58" s="103" t="str">
        <f>IF(AND('Mapa final'!$AB$15="Alta",'Mapa final'!$AD$15="Mayor"),CONCATENATE("R3C",'Mapa final'!$R$15),"")</f>
        <v/>
      </c>
      <c r="V58" s="42" t="str">
        <f ca="1">IF(AND('Mapa final'!$AB$13="Alta",'Mapa final'!$AD$13="Catastrófico"),CONCATENATE("R3C",'Mapa final'!$R$13),"")</f>
        <v/>
      </c>
      <c r="W58" s="43" t="str">
        <f>IF(AND('Mapa final'!$AB$14="Alta",'Mapa final'!$AD$14="Catastrófico"),CONCATENATE("R3C",'Mapa final'!$R$14),"")</f>
        <v/>
      </c>
      <c r="X58" s="97" t="str">
        <f>IF(AND('Mapa final'!$AB$15="Alta",'Mapa final'!$AD$15="Catastrófico"),CONCATENATE("R3C",'Mapa final'!$R$15),"")</f>
        <v/>
      </c>
      <c r="Y58" s="55"/>
      <c r="Z58" s="321"/>
      <c r="AA58" s="322"/>
      <c r="AB58" s="322"/>
      <c r="AC58" s="322"/>
      <c r="AD58" s="322"/>
      <c r="AE58" s="323"/>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row>
    <row r="59" spans="1:61" ht="15" customHeight="1" x14ac:dyDescent="0.25">
      <c r="A59" s="55"/>
      <c r="B59" s="338"/>
      <c r="C59" s="338"/>
      <c r="D59" s="339"/>
      <c r="E59" s="328"/>
      <c r="F59" s="327"/>
      <c r="G59" s="327"/>
      <c r="H59" s="327"/>
      <c r="I59" s="327"/>
      <c r="J59" s="48" t="e">
        <f>IF(AND('Mapa final'!#REF!="Alta",'Mapa final'!#REF!="Leve"),CONCATENATE("R4C",'Mapa final'!#REF!),"")</f>
        <v>#REF!</v>
      </c>
      <c r="K59" s="49" t="e">
        <f>IF(AND('Mapa final'!#REF!="Alta",'Mapa final'!#REF!="Leve"),CONCATENATE("R4C",'Mapa final'!#REF!),"")</f>
        <v>#REF!</v>
      </c>
      <c r="L59" s="108" t="e">
        <f>IF(AND('Mapa final'!#REF!="Alta",'Mapa final'!#REF!="Leve"),CONCATENATE("R4C",'Mapa final'!#REF!),"")</f>
        <v>#REF!</v>
      </c>
      <c r="M59" s="48" t="e">
        <f>IF(AND('Mapa final'!#REF!="Alta",'Mapa final'!#REF!="Menor"),CONCATENATE("R4C",'Mapa final'!#REF!),"")</f>
        <v>#REF!</v>
      </c>
      <c r="N59" s="49" t="e">
        <f>IF(AND('Mapa final'!#REF!="Alta",'Mapa final'!#REF!="Menor"),CONCATENATE("R4C",'Mapa final'!#REF!),"")</f>
        <v>#REF!</v>
      </c>
      <c r="O59" s="108" t="e">
        <f>IF(AND('Mapa final'!#REF!="Alta",'Mapa final'!#REF!="Menor"),CONCATENATE("R4C",'Mapa final'!#REF!),"")</f>
        <v>#REF!</v>
      </c>
      <c r="P59" s="102" t="e">
        <f>IF(AND('Mapa final'!#REF!="Alta",'Mapa final'!#REF!="Moderado"),CONCATENATE("R4C",'Mapa final'!#REF!),"")</f>
        <v>#REF!</v>
      </c>
      <c r="Q59" s="41" t="e">
        <f>IF(AND('Mapa final'!#REF!="Alta",'Mapa final'!#REF!="Moderado"),CONCATENATE("R4C",'Mapa final'!#REF!),"")</f>
        <v>#REF!</v>
      </c>
      <c r="R59" s="103" t="e">
        <f>IF(AND('Mapa final'!#REF!="Alta",'Mapa final'!#REF!="Moderado"),CONCATENATE("R4C",'Mapa final'!#REF!),"")</f>
        <v>#REF!</v>
      </c>
      <c r="S59" s="102" t="e">
        <f>IF(AND('Mapa final'!#REF!="Alta",'Mapa final'!#REF!="Mayor"),CONCATENATE("R4C",'Mapa final'!#REF!),"")</f>
        <v>#REF!</v>
      </c>
      <c r="T59" s="41" t="e">
        <f>IF(AND('Mapa final'!#REF!="Alta",'Mapa final'!#REF!="Mayor"),CONCATENATE("R4C",'Mapa final'!#REF!),"")</f>
        <v>#REF!</v>
      </c>
      <c r="U59" s="103" t="e">
        <f>IF(AND('Mapa final'!#REF!="Alta",'Mapa final'!#REF!="Mayor"),CONCATENATE("R4C",'Mapa final'!#REF!),"")</f>
        <v>#REF!</v>
      </c>
      <c r="V59" s="42" t="e">
        <f>IF(AND('Mapa final'!#REF!="Alta",'Mapa final'!#REF!="Catastrófico"),CONCATENATE("R4C",'Mapa final'!#REF!),"")</f>
        <v>#REF!</v>
      </c>
      <c r="W59" s="43" t="e">
        <f>IF(AND('Mapa final'!#REF!="Alta",'Mapa final'!#REF!="Catastrófico"),CONCATENATE("R4C",'Mapa final'!#REF!),"")</f>
        <v>#REF!</v>
      </c>
      <c r="X59" s="97" t="e">
        <f>IF(AND('Mapa final'!#REF!="Alta",'Mapa final'!#REF!="Catastrófico"),CONCATENATE("R4C",'Mapa final'!#REF!),"")</f>
        <v>#REF!</v>
      </c>
      <c r="Y59" s="55"/>
      <c r="Z59" s="321"/>
      <c r="AA59" s="322"/>
      <c r="AB59" s="322"/>
      <c r="AC59" s="322"/>
      <c r="AD59" s="322"/>
      <c r="AE59" s="323"/>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row>
    <row r="60" spans="1:61" ht="12" customHeight="1" x14ac:dyDescent="0.25">
      <c r="A60" s="55"/>
      <c r="B60" s="338"/>
      <c r="C60" s="338"/>
      <c r="D60" s="339"/>
      <c r="E60" s="328"/>
      <c r="F60" s="327"/>
      <c r="G60" s="327"/>
      <c r="H60" s="327"/>
      <c r="I60" s="327"/>
      <c r="J60" s="48" t="str">
        <f ca="1">IF(AND('Mapa final'!$AB$16="Alta",'Mapa final'!$AD$16="Leve"),CONCATENATE("R5C",'Mapa final'!$R$16),"")</f>
        <v/>
      </c>
      <c r="K60" s="49" t="str">
        <f>IF(AND('Mapa final'!$AB$17="Alta",'Mapa final'!$AD$17="Leve"),CONCATENATE("R5C",'Mapa final'!$R$17),"")</f>
        <v/>
      </c>
      <c r="L60" s="108" t="str">
        <f>IF(AND('Mapa final'!$AB$18="Alta",'Mapa final'!$AD$18="Leve"),CONCATENATE("R5C",'Mapa final'!$R$18),"")</f>
        <v/>
      </c>
      <c r="M60" s="48" t="str">
        <f ca="1">IF(AND('Mapa final'!$AB$16="Alta",'Mapa final'!$AD$16="Menor"),CONCATENATE("R5C",'Mapa final'!$R$16),"")</f>
        <v/>
      </c>
      <c r="N60" s="49" t="str">
        <f>IF(AND('Mapa final'!$AB$17="Alta",'Mapa final'!$AD$17="Menor"),CONCATENATE("R5C",'Mapa final'!$R$17),"")</f>
        <v/>
      </c>
      <c r="O60" s="108" t="str">
        <f>IF(AND('Mapa final'!$AB$18="Alta",'Mapa final'!$AD$18="Menor"),CONCATENATE("R5C",'Mapa final'!$R$18),"")</f>
        <v/>
      </c>
      <c r="P60" s="102" t="str">
        <f ca="1">IF(AND('Mapa final'!$AB$16="Alta",'Mapa final'!$AD$16="Moderado"),CONCATENATE("R5C",'Mapa final'!$R$16),"")</f>
        <v/>
      </c>
      <c r="Q60" s="41" t="str">
        <f>IF(AND('Mapa final'!$AB$17="Alta",'Mapa final'!$AD$17="Moderado"),CONCATENATE("R5C",'Mapa final'!$R$17),"")</f>
        <v/>
      </c>
      <c r="R60" s="103" t="str">
        <f>IF(AND('Mapa final'!$AB$18="Alta",'Mapa final'!$AD$18="Moderado"),CONCATENATE("R5C",'Mapa final'!$R$18),"")</f>
        <v/>
      </c>
      <c r="S60" s="102" t="str">
        <f ca="1">IF(AND('Mapa final'!$AB$16="Alta",'Mapa final'!$AD$16="Mayor"),CONCATENATE("R5C",'Mapa final'!$R$16),"")</f>
        <v/>
      </c>
      <c r="T60" s="41" t="str">
        <f>IF(AND('Mapa final'!$AB$17="Alta",'Mapa final'!$AD$17="Mayor"),CONCATENATE("R5C",'Mapa final'!$R$17),"")</f>
        <v/>
      </c>
      <c r="U60" s="103" t="str">
        <f>IF(AND('Mapa final'!$AB$18="Alta",'Mapa final'!$AD$18="Mayor"),CONCATENATE("R5C",'Mapa final'!$R$18),"")</f>
        <v/>
      </c>
      <c r="V60" s="42" t="str">
        <f ca="1">IF(AND('Mapa final'!$AB$16="Alta",'Mapa final'!$AD$16="Catastrófico"),CONCATENATE("R5C",'Mapa final'!$R$16),"")</f>
        <v/>
      </c>
      <c r="W60" s="43" t="str">
        <f>IF(AND('Mapa final'!$AB$17="Alta",'Mapa final'!$AD$17="Catastrófico"),CONCATENATE("R5C",'Mapa final'!$R$17),"")</f>
        <v/>
      </c>
      <c r="X60" s="97" t="str">
        <f>IF(AND('Mapa final'!$AB$18="Alta",'Mapa final'!$AD$18="Catastrófico"),CONCATENATE("R5C",'Mapa final'!$R$18),"")</f>
        <v/>
      </c>
      <c r="Y60" s="55"/>
      <c r="Z60" s="321"/>
      <c r="AA60" s="322"/>
      <c r="AB60" s="322"/>
      <c r="AC60" s="322"/>
      <c r="AD60" s="322"/>
      <c r="AE60" s="323"/>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row>
    <row r="61" spans="1:61" ht="12" customHeight="1" x14ac:dyDescent="0.25">
      <c r="A61" s="55"/>
      <c r="B61" s="338"/>
      <c r="C61" s="338"/>
      <c r="D61" s="339"/>
      <c r="E61" s="328"/>
      <c r="F61" s="327"/>
      <c r="G61" s="327"/>
      <c r="H61" s="327"/>
      <c r="I61" s="327"/>
      <c r="J61" s="48" t="str">
        <f ca="1">IF(AND('Mapa final'!$AB$19="Alta",'Mapa final'!$AD$19="Leve"),CONCATENATE("R6C",'Mapa final'!$R$19),"")</f>
        <v/>
      </c>
      <c r="K61" s="49" t="str">
        <f>IF(AND('Mapa final'!$AB$20="Alta",'Mapa final'!$AD$20="Leve"),CONCATENATE("R6C",'Mapa final'!$R$20),"")</f>
        <v/>
      </c>
      <c r="L61" s="108" t="str">
        <f>IF(AND('Mapa final'!$AB$21="Alta",'Mapa final'!$AD$21="Leve"),CONCATENATE("R6C",'Mapa final'!$R$21),"")</f>
        <v/>
      </c>
      <c r="M61" s="48" t="str">
        <f ca="1">IF(AND('Mapa final'!$AB$19="Alta",'Mapa final'!$AD$19="Menor"),CONCATENATE("R6C",'Mapa final'!$R$19),"")</f>
        <v/>
      </c>
      <c r="N61" s="49" t="str">
        <f>IF(AND('Mapa final'!$AB$20="Alta",'Mapa final'!$AD$20="Menor"),CONCATENATE("R6C",'Mapa final'!$R$20),"")</f>
        <v/>
      </c>
      <c r="O61" s="108" t="str">
        <f>IF(AND('Mapa final'!$AB$21="Alta",'Mapa final'!$AD$21="Menor"),CONCATENATE("R6C",'Mapa final'!$R$21),"")</f>
        <v/>
      </c>
      <c r="P61" s="102" t="str">
        <f ca="1">IF(AND('Mapa final'!$AB$19="Alta",'Mapa final'!$AD$19="Moderado"),CONCATENATE("R6C",'Mapa final'!$R$19),"")</f>
        <v/>
      </c>
      <c r="Q61" s="41" t="str">
        <f>IF(AND('Mapa final'!$AB$20="Alta",'Mapa final'!$AD$20="Moderado"),CONCATENATE("R6C",'Mapa final'!$R$20),"")</f>
        <v/>
      </c>
      <c r="R61" s="103" t="str">
        <f>IF(AND('Mapa final'!$AB$21="Alta",'Mapa final'!$AD$21="Moderado"),CONCATENATE("R6C",'Mapa final'!$R$21),"")</f>
        <v/>
      </c>
      <c r="S61" s="102" t="str">
        <f ca="1">IF(AND('Mapa final'!$AB$19="Alta",'Mapa final'!$AD$19="Mayor"),CONCATENATE("R6C",'Mapa final'!$R$19),"")</f>
        <v/>
      </c>
      <c r="T61" s="41" t="str">
        <f>IF(AND('Mapa final'!$AB$20="Alta",'Mapa final'!$AD$20="Mayor"),CONCATENATE("R6C",'Mapa final'!$R$20),"")</f>
        <v/>
      </c>
      <c r="U61" s="103" t="str">
        <f>IF(AND('Mapa final'!$AB$21="Alta",'Mapa final'!$AD$21="Mayor"),CONCATENATE("R6C",'Mapa final'!$R$21),"")</f>
        <v/>
      </c>
      <c r="V61" s="42" t="str">
        <f ca="1">IF(AND('Mapa final'!$AB$19="Alta",'Mapa final'!$AD$19="Catastrófico"),CONCATENATE("R6C",'Mapa final'!$R$19),"")</f>
        <v/>
      </c>
      <c r="W61" s="43" t="str">
        <f>IF(AND('Mapa final'!$AB$20="Alta",'Mapa final'!$AD$20="Catastrófico"),CONCATENATE("R6C",'Mapa final'!$R$20),"")</f>
        <v/>
      </c>
      <c r="X61" s="97" t="str">
        <f>IF(AND('Mapa final'!$AB$21="Alta",'Mapa final'!$AD$21="Catastrófico"),CONCATENATE("R6C",'Mapa final'!$R$21),"")</f>
        <v/>
      </c>
      <c r="Y61" s="55"/>
      <c r="Z61" s="321"/>
      <c r="AA61" s="322"/>
      <c r="AB61" s="322"/>
      <c r="AC61" s="322"/>
      <c r="AD61" s="322"/>
      <c r="AE61" s="323"/>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row>
    <row r="62" spans="1:61" ht="12" customHeight="1" x14ac:dyDescent="0.25">
      <c r="A62" s="55"/>
      <c r="B62" s="338"/>
      <c r="C62" s="338"/>
      <c r="D62" s="339"/>
      <c r="E62" s="328"/>
      <c r="F62" s="327"/>
      <c r="G62" s="327"/>
      <c r="H62" s="327"/>
      <c r="I62" s="327"/>
      <c r="J62" s="48" t="str">
        <f ca="1">IF(AND('Mapa final'!$AB$22="Alta",'Mapa final'!$AD$22="Leve"),CONCATENATE("R7C",'Mapa final'!$R$22),"")</f>
        <v/>
      </c>
      <c r="K62" s="49" t="str">
        <f>IF(AND('Mapa final'!$AB$23="Alta",'Mapa final'!$AD$23="Leve"),CONCATENATE("R7C",'Mapa final'!$R$23),"")</f>
        <v/>
      </c>
      <c r="L62" s="108" t="str">
        <f>IF(AND('Mapa final'!$AB$24="Alta",'Mapa final'!$AD$24="Leve"),CONCATENATE("R7C",'Mapa final'!$R$24),"")</f>
        <v/>
      </c>
      <c r="M62" s="48" t="str">
        <f ca="1">IF(AND('Mapa final'!$AB$22="Alta",'Mapa final'!$AD$22="Menor"),CONCATENATE("R7C",'Mapa final'!$R$22),"")</f>
        <v/>
      </c>
      <c r="N62" s="49" t="str">
        <f>IF(AND('Mapa final'!$AB$23="Alta",'Mapa final'!$AD$23="Menor"),CONCATENATE("R7C",'Mapa final'!$R$23),"")</f>
        <v/>
      </c>
      <c r="O62" s="108" t="str">
        <f>IF(AND('Mapa final'!$AB$24="Alta",'Mapa final'!$AD$24="Menor"),CONCATENATE("R7C",'Mapa final'!$R$24),"")</f>
        <v/>
      </c>
      <c r="P62" s="102" t="str">
        <f ca="1">IF(AND('Mapa final'!$AB$22="Alta",'Mapa final'!$AD$22="Moderado"),CONCATENATE("R7C",'Mapa final'!$R$22),"")</f>
        <v/>
      </c>
      <c r="Q62" s="41" t="str">
        <f>IF(AND('Mapa final'!$AB$23="Alta",'Mapa final'!$AD$23="Moderado"),CONCATENATE("R7C",'Mapa final'!$R$23),"")</f>
        <v/>
      </c>
      <c r="R62" s="103" t="str">
        <f>IF(AND('Mapa final'!$AB$24="Alta",'Mapa final'!$AD$24="Moderado"),CONCATENATE("R7C",'Mapa final'!$R$24),"")</f>
        <v/>
      </c>
      <c r="S62" s="102" t="str">
        <f ca="1">IF(AND('Mapa final'!$AB$22="Alta",'Mapa final'!$AD$22="Mayor"),CONCATENATE("R7C",'Mapa final'!$R$22),"")</f>
        <v/>
      </c>
      <c r="T62" s="41" t="str">
        <f>IF(AND('Mapa final'!$AB$23="Alta",'Mapa final'!$AD$23="Mayor"),CONCATENATE("R7C",'Mapa final'!$R$23),"")</f>
        <v/>
      </c>
      <c r="U62" s="103" t="str">
        <f>IF(AND('Mapa final'!$AB$24="Alta",'Mapa final'!$AD$24="Mayor"),CONCATENATE("R7C",'Mapa final'!$R$24),"")</f>
        <v/>
      </c>
      <c r="V62" s="42" t="str">
        <f ca="1">IF(AND('Mapa final'!$AB$22="Alta",'Mapa final'!$AD$22="Catastrófico"),CONCATENATE("R7C",'Mapa final'!$R$22),"")</f>
        <v/>
      </c>
      <c r="W62" s="43" t="str">
        <f>IF(AND('Mapa final'!$AB$23="Alta",'Mapa final'!$AD$23="Catastrófico"),CONCATENATE("R7C",'Mapa final'!$R$23),"")</f>
        <v/>
      </c>
      <c r="X62" s="97" t="str">
        <f>IF(AND('Mapa final'!$AB$24="Alta",'Mapa final'!$AD$24="Catastrófico"),CONCATENATE("R7C",'Mapa final'!$R$24),"")</f>
        <v/>
      </c>
      <c r="Y62" s="55"/>
      <c r="Z62" s="321"/>
      <c r="AA62" s="322"/>
      <c r="AB62" s="322"/>
      <c r="AC62" s="322"/>
      <c r="AD62" s="322"/>
      <c r="AE62" s="323"/>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row>
    <row r="63" spans="1:61" ht="12" customHeight="1" x14ac:dyDescent="0.25">
      <c r="A63" s="55"/>
      <c r="B63" s="338"/>
      <c r="C63" s="338"/>
      <c r="D63" s="339"/>
      <c r="E63" s="328"/>
      <c r="F63" s="327"/>
      <c r="G63" s="327"/>
      <c r="H63" s="327"/>
      <c r="I63" s="327"/>
      <c r="J63" s="48" t="str">
        <f ca="1">IF(AND('Mapa final'!$AB$25="Alta",'Mapa final'!$AD$25="Leve"),CONCATENATE("R8C",'Mapa final'!$R$25),"")</f>
        <v/>
      </c>
      <c r="K63" s="49" t="str">
        <f>IF(AND('Mapa final'!$AB$26="Alta",'Mapa final'!$AD$26="Leve"),CONCATENATE("R8C",'Mapa final'!$R$26),"")</f>
        <v/>
      </c>
      <c r="L63" s="108" t="str">
        <f>IF(AND('Mapa final'!$AB$27="Alta",'Mapa final'!$AD$27="Leve"),CONCATENATE("R8C",'Mapa final'!$R$27),"")</f>
        <v/>
      </c>
      <c r="M63" s="48" t="str">
        <f ca="1">IF(AND('Mapa final'!$AB$25="Alta",'Mapa final'!$AD$25="Menor"),CONCATENATE("R8C",'Mapa final'!$R$25),"")</f>
        <v/>
      </c>
      <c r="N63" s="49" t="str">
        <f>IF(AND('Mapa final'!$AB$26="Alta",'Mapa final'!$AD$26="Menor"),CONCATENATE("R8C",'Mapa final'!$R$26),"")</f>
        <v/>
      </c>
      <c r="O63" s="108" t="str">
        <f>IF(AND('Mapa final'!$AB$27="Alta",'Mapa final'!$AD$27="Menor"),CONCATENATE("R8C",'Mapa final'!$R$27),"")</f>
        <v/>
      </c>
      <c r="P63" s="102" t="str">
        <f ca="1">IF(AND('Mapa final'!$AB$25="Alta",'Mapa final'!$AD$25="Moderado"),CONCATENATE("R8C",'Mapa final'!$R$25),"")</f>
        <v/>
      </c>
      <c r="Q63" s="41" t="str">
        <f>IF(AND('Mapa final'!$AB$26="Alta",'Mapa final'!$AD$26="Moderado"),CONCATENATE("R8C",'Mapa final'!$R$26),"")</f>
        <v/>
      </c>
      <c r="R63" s="103" t="str">
        <f>IF(AND('Mapa final'!$AB$27="Alta",'Mapa final'!$AD$27="Moderado"),CONCATENATE("R8C",'Mapa final'!$R$27),"")</f>
        <v/>
      </c>
      <c r="S63" s="102" t="str">
        <f ca="1">IF(AND('Mapa final'!$AB$25="Alta",'Mapa final'!$AD$25="Mayor"),CONCATENATE("R8C",'Mapa final'!$R$25),"")</f>
        <v/>
      </c>
      <c r="T63" s="41" t="str">
        <f>IF(AND('Mapa final'!$AB$26="Alta",'Mapa final'!$AD$26="Mayor"),CONCATENATE("R8C",'Mapa final'!$R$26),"")</f>
        <v/>
      </c>
      <c r="U63" s="103" t="str">
        <f>IF(AND('Mapa final'!$AB$27="Alta",'Mapa final'!$AD$27="Mayor"),CONCATENATE("R8C",'Mapa final'!$R$27),"")</f>
        <v/>
      </c>
      <c r="V63" s="42" t="str">
        <f ca="1">IF(AND('Mapa final'!$AB$25="Alta",'Mapa final'!$AD$25="Catastrófico"),CONCATENATE("R8C",'Mapa final'!$R$25),"")</f>
        <v/>
      </c>
      <c r="W63" s="43" t="str">
        <f>IF(AND('Mapa final'!$AB$26="Alta",'Mapa final'!$AD$26="Catastrófico"),CONCATENATE("R8C",'Mapa final'!$R$26),"")</f>
        <v/>
      </c>
      <c r="X63" s="97" t="str">
        <f>IF(AND('Mapa final'!$AB$27="Alta",'Mapa final'!$AD$27="Catastrófico"),CONCATENATE("R8C",'Mapa final'!$R$27),"")</f>
        <v/>
      </c>
      <c r="Y63" s="55"/>
      <c r="Z63" s="321"/>
      <c r="AA63" s="322"/>
      <c r="AB63" s="322"/>
      <c r="AC63" s="322"/>
      <c r="AD63" s="322"/>
      <c r="AE63" s="323"/>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row>
    <row r="64" spans="1:61" ht="12" customHeight="1" x14ac:dyDescent="0.25">
      <c r="A64" s="55"/>
      <c r="B64" s="338"/>
      <c r="C64" s="338"/>
      <c r="D64" s="339"/>
      <c r="E64" s="328"/>
      <c r="F64" s="327"/>
      <c r="G64" s="327"/>
      <c r="H64" s="327"/>
      <c r="I64" s="327"/>
      <c r="J64" s="48" t="str">
        <f>IF(AND('Mapa final'!$AB$28="Alta",'Mapa final'!$AD$28="Leve"),CONCATENATE("R9C",'Mapa final'!$R$28),"")</f>
        <v/>
      </c>
      <c r="K64" s="49" t="str">
        <f>IF(AND('Mapa final'!$AB$29="Alta",'Mapa final'!$AD$29="Leve"),CONCATENATE("R9C",'Mapa final'!$R$29),"")</f>
        <v/>
      </c>
      <c r="L64" s="108" t="str">
        <f>IF(AND('Mapa final'!$AB$30="Alta",'Mapa final'!$AD$30="Leve"),CONCATENATE("R9C",'Mapa final'!$R$30),"")</f>
        <v/>
      </c>
      <c r="M64" s="48" t="str">
        <f>IF(AND('Mapa final'!$AB$28="Alta",'Mapa final'!$AD$28="Menor"),CONCATENATE("R9C",'Mapa final'!$R$28),"")</f>
        <v/>
      </c>
      <c r="N64" s="49" t="str">
        <f>IF(AND('Mapa final'!$AB$29="Alta",'Mapa final'!$AD$29="Menor"),CONCATENATE("R9C",'Mapa final'!$R$29),"")</f>
        <v/>
      </c>
      <c r="O64" s="108" t="str">
        <f>IF(AND('Mapa final'!$AB$30="Alta",'Mapa final'!$AD$30="Menor"),CONCATENATE("R9C",'Mapa final'!$R$30),"")</f>
        <v/>
      </c>
      <c r="P64" s="102" t="str">
        <f>IF(AND('Mapa final'!$AB$28="Alta",'Mapa final'!$AD$28="Moderado"),CONCATENATE("R9C",'Mapa final'!$R$28),"")</f>
        <v/>
      </c>
      <c r="Q64" s="41" t="str">
        <f>IF(AND('Mapa final'!$AB$29="Alta",'Mapa final'!$AD$29="Moderado"),CONCATENATE("R9C",'Mapa final'!$R$29),"")</f>
        <v/>
      </c>
      <c r="R64" s="103" t="str">
        <f>IF(AND('Mapa final'!$AB$30="Alta",'Mapa final'!$AD$30="Moderado"),CONCATENATE("R9C",'Mapa final'!$R$30),"")</f>
        <v/>
      </c>
      <c r="S64" s="102" t="str">
        <f>IF(AND('Mapa final'!$AB$28="Alta",'Mapa final'!$AD$28="Mayor"),CONCATENATE("R9C",'Mapa final'!$R$28),"")</f>
        <v/>
      </c>
      <c r="T64" s="41" t="str">
        <f>IF(AND('Mapa final'!$AB$29="Alta",'Mapa final'!$AD$29="Mayor"),CONCATENATE("R9C",'Mapa final'!$R$29),"")</f>
        <v/>
      </c>
      <c r="U64" s="103" t="str">
        <f>IF(AND('Mapa final'!$AB$30="Alta",'Mapa final'!$AD$30="Mayor"),CONCATENATE("R9C",'Mapa final'!$R$30),"")</f>
        <v/>
      </c>
      <c r="V64" s="42" t="str">
        <f>IF(AND('Mapa final'!$AB$28="Alta",'Mapa final'!$AD$28="Catastrófico"),CONCATENATE("R9C",'Mapa final'!$R$28),"")</f>
        <v/>
      </c>
      <c r="W64" s="43" t="str">
        <f>IF(AND('Mapa final'!$AB$29="Alta",'Mapa final'!$AD$29="Catastrófico"),CONCATENATE("R9C",'Mapa final'!$R$29),"")</f>
        <v/>
      </c>
      <c r="X64" s="97" t="str">
        <f>IF(AND('Mapa final'!$AB$30="Alta",'Mapa final'!$AD$30="Catastrófico"),CONCATENATE("R9C",'Mapa final'!$R$30),"")</f>
        <v/>
      </c>
      <c r="Y64" s="55"/>
      <c r="Z64" s="321"/>
      <c r="AA64" s="322"/>
      <c r="AB64" s="322"/>
      <c r="AC64" s="322"/>
      <c r="AD64" s="322"/>
      <c r="AE64" s="323"/>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row>
    <row r="65" spans="1:61" ht="12" customHeight="1" x14ac:dyDescent="0.25">
      <c r="A65" s="55"/>
      <c r="B65" s="338"/>
      <c r="C65" s="338"/>
      <c r="D65" s="339"/>
      <c r="E65" s="328"/>
      <c r="F65" s="327"/>
      <c r="G65" s="327"/>
      <c r="H65" s="327"/>
      <c r="I65" s="327"/>
      <c r="J65" s="48" t="str">
        <f ca="1">IF(AND('Mapa final'!$AB$31="Alta",'Mapa final'!$AD$31="Leve"),CONCATENATE("R10C",'Mapa final'!$R$31),"")</f>
        <v/>
      </c>
      <c r="K65" s="49" t="str">
        <f>IF(AND('Mapa final'!$AB$32="Alta",'Mapa final'!$AD$32="Leve"),CONCATENATE("R10C",'Mapa final'!$R$32),"")</f>
        <v/>
      </c>
      <c r="L65" s="108" t="str">
        <f>IF(AND('Mapa final'!$AB$33="Alta",'Mapa final'!$AD$33="Leve"),CONCATENATE("R10C",'Mapa final'!$R$33),"")</f>
        <v/>
      </c>
      <c r="M65" s="48" t="str">
        <f ca="1">IF(AND('Mapa final'!$AB$31="Alta",'Mapa final'!$AD$31="Menor"),CONCATENATE("R10C",'Mapa final'!$R$31),"")</f>
        <v/>
      </c>
      <c r="N65" s="49" t="str">
        <f>IF(AND('Mapa final'!$AB$32="Alta",'Mapa final'!$AD$32="Menor"),CONCATENATE("R10C",'Mapa final'!$R$32),"")</f>
        <v/>
      </c>
      <c r="O65" s="108" t="str">
        <f>IF(AND('Mapa final'!$AB$33="Alta",'Mapa final'!$AD$33="Menor"),CONCATENATE("R10C",'Mapa final'!$R$33),"")</f>
        <v/>
      </c>
      <c r="P65" s="102" t="str">
        <f ca="1">IF(AND('Mapa final'!$AB$31="Alta",'Mapa final'!$AD$31="Moderado"),CONCATENATE("R10C",'Mapa final'!$R$31),"")</f>
        <v/>
      </c>
      <c r="Q65" s="41" t="str">
        <f>IF(AND('Mapa final'!$AB$32="Alta",'Mapa final'!$AD$32="Moderado"),CONCATENATE("R10C",'Mapa final'!$R$32),"")</f>
        <v/>
      </c>
      <c r="R65" s="103" t="str">
        <f>IF(AND('Mapa final'!$AB$33="Alta",'Mapa final'!$AD$33="Moderado"),CONCATENATE("R10C",'Mapa final'!$R$33),"")</f>
        <v/>
      </c>
      <c r="S65" s="102" t="str">
        <f ca="1">IF(AND('Mapa final'!$AB$31="Alta",'Mapa final'!$AD$31="Mayor"),CONCATENATE("R10C",'Mapa final'!$R$31),"")</f>
        <v/>
      </c>
      <c r="T65" s="41" t="str">
        <f>IF(AND('Mapa final'!$AB$32="Alta",'Mapa final'!$AD$32="Mayor"),CONCATENATE("R10C",'Mapa final'!$R$32),"")</f>
        <v/>
      </c>
      <c r="U65" s="103" t="str">
        <f>IF(AND('Mapa final'!$AB$33="Alta",'Mapa final'!$AD$33="Mayor"),CONCATENATE("R10C",'Mapa final'!$R$33),"")</f>
        <v/>
      </c>
      <c r="V65" s="42" t="str">
        <f ca="1">IF(AND('Mapa final'!$AB$31="Alta",'Mapa final'!$AD$31="Catastrófico"),CONCATENATE("R10C",'Mapa final'!$R$31),"")</f>
        <v/>
      </c>
      <c r="W65" s="43" t="str">
        <f>IF(AND('Mapa final'!$AB$32="Alta",'Mapa final'!$AD$32="Catastrófico"),CONCATENATE("R10C",'Mapa final'!$R$32),"")</f>
        <v/>
      </c>
      <c r="X65" s="97" t="str">
        <f>IF(AND('Mapa final'!$AB$33="Alta",'Mapa final'!$AD$33="Catastrófico"),CONCATENATE("R10C",'Mapa final'!$R$33),"")</f>
        <v/>
      </c>
      <c r="Y65" s="55"/>
      <c r="Z65" s="321"/>
      <c r="AA65" s="322"/>
      <c r="AB65" s="322"/>
      <c r="AC65" s="322"/>
      <c r="AD65" s="322"/>
      <c r="AE65" s="323"/>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row>
    <row r="66" spans="1:61" ht="12" customHeight="1" x14ac:dyDescent="0.25">
      <c r="A66" s="55"/>
      <c r="B66" s="338"/>
      <c r="C66" s="338"/>
      <c r="D66" s="339"/>
      <c r="E66" s="328"/>
      <c r="F66" s="327"/>
      <c r="G66" s="327"/>
      <c r="H66" s="327"/>
      <c r="I66" s="327"/>
      <c r="J66" s="48" t="str">
        <f ca="1">IF(AND('Mapa final'!$AB$34="Alta",'Mapa final'!$AD$34="Leve"),CONCATENATE("R11C",'Mapa final'!$R$34),"")</f>
        <v/>
      </c>
      <c r="K66" s="49" t="str">
        <f>IF(AND('Mapa final'!$AB$35="Alta",'Mapa final'!$AD$35="Leve"),CONCATENATE("R11C",'Mapa final'!$R$35),"")</f>
        <v/>
      </c>
      <c r="L66" s="108" t="str">
        <f>IF(AND('Mapa final'!$AB$36="Alta",'Mapa final'!$AD$36="Leve"),CONCATENATE("R11C",'Mapa final'!$R$36),"")</f>
        <v/>
      </c>
      <c r="M66" s="48" t="str">
        <f ca="1">IF(AND('Mapa final'!$AB$34="Alta",'Mapa final'!$AD$34="Menor"),CONCATENATE("R11C",'Mapa final'!$R$34),"")</f>
        <v/>
      </c>
      <c r="N66" s="49" t="str">
        <f>IF(AND('Mapa final'!$AB$35="Alta",'Mapa final'!$AD$35="Menor"),CONCATENATE("R11C",'Mapa final'!$R$35),"")</f>
        <v/>
      </c>
      <c r="O66" s="108" t="str">
        <f>IF(AND('Mapa final'!$AB$36="Alta",'Mapa final'!$AD$36="Menor"),CONCATENATE("R11C",'Mapa final'!$R$36),"")</f>
        <v/>
      </c>
      <c r="P66" s="102" t="str">
        <f ca="1">IF(AND('Mapa final'!$AB$34="Alta",'Mapa final'!$AD$34="Moderado"),CONCATENATE("R11C",'Mapa final'!$R$34),"")</f>
        <v/>
      </c>
      <c r="Q66" s="41" t="str">
        <f>IF(AND('Mapa final'!$AB$35="Alta",'Mapa final'!$AD$35="Moderado"),CONCATENATE("R11C",'Mapa final'!$R$35),"")</f>
        <v/>
      </c>
      <c r="R66" s="103" t="str">
        <f>IF(AND('Mapa final'!$AB$36="Alta",'Mapa final'!$AD$36="Moderado"),CONCATENATE("R11C",'Mapa final'!$R$36),"")</f>
        <v/>
      </c>
      <c r="S66" s="102" t="str">
        <f ca="1">IF(AND('Mapa final'!$AB$34="Alta",'Mapa final'!$AD$34="Mayor"),CONCATENATE("R11C",'Mapa final'!$R$34),"")</f>
        <v/>
      </c>
      <c r="T66" s="41" t="str">
        <f>IF(AND('Mapa final'!$AB$35="Alta",'Mapa final'!$AD$35="Mayor"),CONCATENATE("R11C",'Mapa final'!$R$35),"")</f>
        <v/>
      </c>
      <c r="U66" s="103" t="str">
        <f>IF(AND('Mapa final'!$AB$36="Alta",'Mapa final'!$AD$36="Mayor"),CONCATENATE("R11C",'Mapa final'!$R$36),"")</f>
        <v/>
      </c>
      <c r="V66" s="42" t="str">
        <f ca="1">IF(AND('Mapa final'!$AB$34="Alta",'Mapa final'!$AD$34="Catastrófico"),CONCATENATE("R11C",'Mapa final'!$R$34),"")</f>
        <v/>
      </c>
      <c r="W66" s="43" t="str">
        <f>IF(AND('Mapa final'!$AB$35="Alta",'Mapa final'!$AD$35="Catastrófico"),CONCATENATE("R11C",'Mapa final'!$R$35),"")</f>
        <v/>
      </c>
      <c r="X66" s="97" t="str">
        <f>IF(AND('Mapa final'!$AB$36="Alta",'Mapa final'!$AD$36="Catastrófico"),CONCATENATE("R11C",'Mapa final'!$R$36),"")</f>
        <v/>
      </c>
      <c r="Y66" s="55"/>
      <c r="Z66" s="321"/>
      <c r="AA66" s="322"/>
      <c r="AB66" s="322"/>
      <c r="AC66" s="322"/>
      <c r="AD66" s="322"/>
      <c r="AE66" s="323"/>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row>
    <row r="67" spans="1:61" ht="12" customHeight="1" x14ac:dyDescent="0.25">
      <c r="A67" s="55"/>
      <c r="B67" s="338"/>
      <c r="C67" s="338"/>
      <c r="D67" s="339"/>
      <c r="E67" s="328"/>
      <c r="F67" s="327"/>
      <c r="G67" s="327"/>
      <c r="H67" s="327"/>
      <c r="I67" s="327"/>
      <c r="J67" s="48" t="str">
        <f ca="1">IF(AND('Mapa final'!$AB$37="Alta",'Mapa final'!$AD$37="Leve"),CONCATENATE("R12C",'Mapa final'!$R$37),"")</f>
        <v/>
      </c>
      <c r="K67" s="49" t="str">
        <f>IF(AND('Mapa final'!$AB$38="Alta",'Mapa final'!$AD$38="Leve"),CONCATENATE("R12C",'Mapa final'!$R$38),"")</f>
        <v/>
      </c>
      <c r="L67" s="108" t="str">
        <f>IF(AND('Mapa final'!$AB$39="Alta",'Mapa final'!$AD$39="Leve"),CONCATENATE("R12C",'Mapa final'!$R$39),"")</f>
        <v/>
      </c>
      <c r="M67" s="48" t="str">
        <f ca="1">IF(AND('Mapa final'!$AB$37="Alta",'Mapa final'!$AD$37="Menor"),CONCATENATE("R12C",'Mapa final'!$R$37),"")</f>
        <v/>
      </c>
      <c r="N67" s="49" t="str">
        <f>IF(AND('Mapa final'!$AB$38="Alta",'Mapa final'!$AD$38="Menor"),CONCATENATE("R12C",'Mapa final'!$R$38),"")</f>
        <v/>
      </c>
      <c r="O67" s="108" t="str">
        <f>IF(AND('Mapa final'!$AB$39="Alta",'Mapa final'!$AD$39="Menor"),CONCATENATE("R12C",'Mapa final'!$R$39),"")</f>
        <v/>
      </c>
      <c r="P67" s="102" t="str">
        <f ca="1">IF(AND('Mapa final'!$AB$37="Alta",'Mapa final'!$AD$37="Moderado"),CONCATENATE("R12C",'Mapa final'!$R$37),"")</f>
        <v/>
      </c>
      <c r="Q67" s="41" t="str">
        <f>IF(AND('Mapa final'!$AB$38="Alta",'Mapa final'!$AD$38="Moderado"),CONCATENATE("R12C",'Mapa final'!$R$38),"")</f>
        <v/>
      </c>
      <c r="R67" s="103" t="str">
        <f>IF(AND('Mapa final'!$AB$39="Alta",'Mapa final'!$AD$39="Moderado"),CONCATENATE("R12C",'Mapa final'!$R$39),"")</f>
        <v/>
      </c>
      <c r="S67" s="102" t="str">
        <f ca="1">IF(AND('Mapa final'!$AB$37="Alta",'Mapa final'!$AD$37="Mayor"),CONCATENATE("R12C",'Mapa final'!$R$37),"")</f>
        <v/>
      </c>
      <c r="T67" s="41" t="str">
        <f>IF(AND('Mapa final'!$AB$38="Alta",'Mapa final'!$AD$38="Mayor"),CONCATENATE("R12C",'Mapa final'!$R$38),"")</f>
        <v/>
      </c>
      <c r="U67" s="103" t="str">
        <f>IF(AND('Mapa final'!$AB$39="Alta",'Mapa final'!$AD$39="Mayor"),CONCATENATE("R12C",'Mapa final'!$R$39),"")</f>
        <v/>
      </c>
      <c r="V67" s="42" t="str">
        <f ca="1">IF(AND('Mapa final'!$AB$37="Alta",'Mapa final'!$AD$37="Catastrófico"),CONCATENATE("R12C",'Mapa final'!$R$37),"")</f>
        <v/>
      </c>
      <c r="W67" s="43" t="str">
        <f>IF(AND('Mapa final'!$AB$38="Alta",'Mapa final'!$AD$38="Catastrófico"),CONCATENATE("R12C",'Mapa final'!$R$38),"")</f>
        <v/>
      </c>
      <c r="X67" s="97" t="str">
        <f>IF(AND('Mapa final'!$AB$39="Alta",'Mapa final'!$AD$39="Catastrófico"),CONCATENATE("R12C",'Mapa final'!$R$39),"")</f>
        <v/>
      </c>
      <c r="Y67" s="55"/>
      <c r="Z67" s="321"/>
      <c r="AA67" s="322"/>
      <c r="AB67" s="322"/>
      <c r="AC67" s="322"/>
      <c r="AD67" s="322"/>
      <c r="AE67" s="323"/>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row>
    <row r="68" spans="1:61" ht="12" customHeight="1" x14ac:dyDescent="0.25">
      <c r="A68" s="55"/>
      <c r="B68" s="338"/>
      <c r="C68" s="338"/>
      <c r="D68" s="339"/>
      <c r="E68" s="328"/>
      <c r="F68" s="327"/>
      <c r="G68" s="327"/>
      <c r="H68" s="327"/>
      <c r="I68" s="327"/>
      <c r="J68" s="48" t="str">
        <f ca="1">IF(AND('Mapa final'!$AB$40="Alta",'Mapa final'!$AD$40="Leve"),CONCATENATE("R13C",'Mapa final'!$R$40),"")</f>
        <v/>
      </c>
      <c r="K68" s="49" t="str">
        <f>IF(AND('Mapa final'!$AB$41="Alta",'Mapa final'!$AD$41="Leve"),CONCATENATE("R13C",'Mapa final'!$R$41),"")</f>
        <v/>
      </c>
      <c r="L68" s="108" t="str">
        <f>IF(AND('Mapa final'!$AB$42="Alta",'Mapa final'!$AD$42="Leve"),CONCATENATE("R13C",'Mapa final'!$R$42),"")</f>
        <v/>
      </c>
      <c r="M68" s="48" t="str">
        <f ca="1">IF(AND('Mapa final'!$AB$40="Alta",'Mapa final'!$AD$40="Menor"),CONCATENATE("R13C",'Mapa final'!$R$40),"")</f>
        <v/>
      </c>
      <c r="N68" s="49" t="str">
        <f>IF(AND('Mapa final'!$AB$41="Alta",'Mapa final'!$AD$41="Menor"),CONCATENATE("R13C",'Mapa final'!$R$41),"")</f>
        <v/>
      </c>
      <c r="O68" s="108" t="str">
        <f>IF(AND('Mapa final'!$AB$42="Alta",'Mapa final'!$AD$42="Menor"),CONCATENATE("R13C",'Mapa final'!$R$42),"")</f>
        <v/>
      </c>
      <c r="P68" s="102" t="str">
        <f ca="1">IF(AND('Mapa final'!$AB$40="Alta",'Mapa final'!$AD$40="Moderado"),CONCATENATE("R13C",'Mapa final'!$R$40),"")</f>
        <v/>
      </c>
      <c r="Q68" s="41" t="str">
        <f>IF(AND('Mapa final'!$AB$41="Alta",'Mapa final'!$AD$41="Moderado"),CONCATENATE("R13C",'Mapa final'!$R$41),"")</f>
        <v/>
      </c>
      <c r="R68" s="103" t="str">
        <f>IF(AND('Mapa final'!$AB$42="Alta",'Mapa final'!$AD$42="Moderado"),CONCATENATE("R13C",'Mapa final'!$R$42),"")</f>
        <v/>
      </c>
      <c r="S68" s="102" t="str">
        <f ca="1">IF(AND('Mapa final'!$AB$40="Alta",'Mapa final'!$AD$40="Mayor"),CONCATENATE("R13C",'Mapa final'!$R$40),"")</f>
        <v/>
      </c>
      <c r="T68" s="41" t="str">
        <f>IF(AND('Mapa final'!$AB$41="Alta",'Mapa final'!$AD$41="Mayor"),CONCATENATE("R13C",'Mapa final'!$R$41),"")</f>
        <v/>
      </c>
      <c r="U68" s="103" t="str">
        <f>IF(AND('Mapa final'!$AB$42="Alta",'Mapa final'!$AD$42="Mayor"),CONCATENATE("R13C",'Mapa final'!$R$42),"")</f>
        <v/>
      </c>
      <c r="V68" s="42" t="str">
        <f ca="1">IF(AND('Mapa final'!$AB$40="Alta",'Mapa final'!$AD$40="Catastrófico"),CONCATENATE("R13C",'Mapa final'!$R$40),"")</f>
        <v/>
      </c>
      <c r="W68" s="43" t="str">
        <f>IF(AND('Mapa final'!$AB$41="Alta",'Mapa final'!$AD$41="Catastrófico"),CONCATENATE("R13C",'Mapa final'!$R$41),"")</f>
        <v/>
      </c>
      <c r="X68" s="97" t="str">
        <f>IF(AND('Mapa final'!$AB$42="Alta",'Mapa final'!$AD$42="Catastrófico"),CONCATENATE("R13C",'Mapa final'!$R$42),"")</f>
        <v/>
      </c>
      <c r="Y68" s="55"/>
      <c r="Z68" s="321"/>
      <c r="AA68" s="322"/>
      <c r="AB68" s="322"/>
      <c r="AC68" s="322"/>
      <c r="AD68" s="322"/>
      <c r="AE68" s="323"/>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row>
    <row r="69" spans="1:61" ht="12" customHeight="1" x14ac:dyDescent="0.25">
      <c r="A69" s="55"/>
      <c r="B69" s="338"/>
      <c r="C69" s="338"/>
      <c r="D69" s="339"/>
      <c r="E69" s="328"/>
      <c r="F69" s="327"/>
      <c r="G69" s="327"/>
      <c r="H69" s="327"/>
      <c r="I69" s="327"/>
      <c r="J69" s="48" t="str">
        <f ca="1">IF(AND('Mapa final'!$AB$43="Alta",'Mapa final'!$AD$43="Leve"),CONCATENATE("R14C",'Mapa final'!$R$43),"")</f>
        <v/>
      </c>
      <c r="K69" s="49" t="str">
        <f>IF(AND('Mapa final'!$AB$44="Alta",'Mapa final'!$AD$44="Leve"),CONCATENATE("R14C",'Mapa final'!$R$44),"")</f>
        <v/>
      </c>
      <c r="L69" s="108" t="str">
        <f>IF(AND('Mapa final'!$AB$45="Alta",'Mapa final'!$AD$45="Leve"),CONCATENATE("R14C",'Mapa final'!$R$45),"")</f>
        <v/>
      </c>
      <c r="M69" s="48" t="str">
        <f ca="1">IF(AND('Mapa final'!$AB$43="Alta",'Mapa final'!$AD$43="Menor"),CONCATENATE("R14C",'Mapa final'!$R$43),"")</f>
        <v/>
      </c>
      <c r="N69" s="49" t="str">
        <f>IF(AND('Mapa final'!$AB$44="Alta",'Mapa final'!$AD$44="Menor"),CONCATENATE("R14C",'Mapa final'!$R$44),"")</f>
        <v/>
      </c>
      <c r="O69" s="108" t="str">
        <f>IF(AND('Mapa final'!$AB$45="Alta",'Mapa final'!$AD$45="Menor"),CONCATENATE("R14C",'Mapa final'!$R$45),"")</f>
        <v/>
      </c>
      <c r="P69" s="102" t="str">
        <f ca="1">IF(AND('Mapa final'!$AB$43="Alta",'Mapa final'!$AD$43="Moderado"),CONCATENATE("R14C",'Mapa final'!$R$43),"")</f>
        <v/>
      </c>
      <c r="Q69" s="41" t="str">
        <f>IF(AND('Mapa final'!$AB$44="Alta",'Mapa final'!$AD$44="Moderado"),CONCATENATE("R14C",'Mapa final'!$R$44),"")</f>
        <v/>
      </c>
      <c r="R69" s="103" t="str">
        <f>IF(AND('Mapa final'!$AB$45="Alta",'Mapa final'!$AD$45="Moderado"),CONCATENATE("R14C",'Mapa final'!$R$45),"")</f>
        <v/>
      </c>
      <c r="S69" s="102" t="str">
        <f ca="1">IF(AND('Mapa final'!$AB$43="Alta",'Mapa final'!$AD$43="Mayor"),CONCATENATE("R14C",'Mapa final'!$R$43),"")</f>
        <v/>
      </c>
      <c r="T69" s="41" t="str">
        <f>IF(AND('Mapa final'!$AB$44="Alta",'Mapa final'!$AD$44="Mayor"),CONCATENATE("R14C",'Mapa final'!$R$44),"")</f>
        <v/>
      </c>
      <c r="U69" s="103" t="str">
        <f>IF(AND('Mapa final'!$AB$45="Alta",'Mapa final'!$AD$45="Mayor"),CONCATENATE("R14C",'Mapa final'!$R$45),"")</f>
        <v/>
      </c>
      <c r="V69" s="42" t="str">
        <f ca="1">IF(AND('Mapa final'!$AB$43="Alta",'Mapa final'!$AD$43="Catastrófico"),CONCATENATE("R14C",'Mapa final'!$R$43),"")</f>
        <v/>
      </c>
      <c r="W69" s="43" t="str">
        <f>IF(AND('Mapa final'!$AB$44="Alta",'Mapa final'!$AD$44="Catastrófico"),CONCATENATE("R14C",'Mapa final'!$R$44),"")</f>
        <v/>
      </c>
      <c r="X69" s="97" t="str">
        <f>IF(AND('Mapa final'!$AB$45="Alta",'Mapa final'!$AD$45="Catastrófico"),CONCATENATE("R14C",'Mapa final'!$R$45),"")</f>
        <v/>
      </c>
      <c r="Y69" s="55"/>
      <c r="Z69" s="321"/>
      <c r="AA69" s="322"/>
      <c r="AB69" s="322"/>
      <c r="AC69" s="322"/>
      <c r="AD69" s="322"/>
      <c r="AE69" s="323"/>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row>
    <row r="70" spans="1:61" ht="15" customHeight="1" x14ac:dyDescent="0.25">
      <c r="A70" s="55"/>
      <c r="B70" s="338"/>
      <c r="C70" s="338"/>
      <c r="D70" s="339"/>
      <c r="E70" s="328"/>
      <c r="F70" s="327"/>
      <c r="G70" s="327"/>
      <c r="H70" s="327"/>
      <c r="I70" s="327"/>
      <c r="J70" s="48" t="str">
        <f ca="1">IF(AND('Mapa final'!$AB$46="Alta",'Mapa final'!$AD$46="Leve"),CONCATENATE("R15C",'Mapa final'!$R$46),"")</f>
        <v/>
      </c>
      <c r="K70" s="49" t="str">
        <f>IF(AND('Mapa final'!$AB$47="Alta",'Mapa final'!$AD$47="Leve"),CONCATENATE("R15C",'Mapa final'!$R$47),"")</f>
        <v/>
      </c>
      <c r="L70" s="108" t="str">
        <f>IF(AND('Mapa final'!$AB$48="Alta",'Mapa final'!$AD$48="Leve"),CONCATENATE("R15C",'Mapa final'!$R$48),"")</f>
        <v/>
      </c>
      <c r="M70" s="48" t="str">
        <f ca="1">IF(AND('Mapa final'!$AB$46="Alta",'Mapa final'!$AD$46="Menor"),CONCATENATE("R15C",'Mapa final'!$R$46),"")</f>
        <v/>
      </c>
      <c r="N70" s="49" t="str">
        <f>IF(AND('Mapa final'!$AB$47="Alta",'Mapa final'!$AD$47="Menor"),CONCATENATE("R15C",'Mapa final'!$R$47),"")</f>
        <v/>
      </c>
      <c r="O70" s="108" t="str">
        <f>IF(AND('Mapa final'!$AB$48="Alta",'Mapa final'!$AD$48="Menor"),CONCATENATE("R15C",'Mapa final'!$R$48),"")</f>
        <v/>
      </c>
      <c r="P70" s="102" t="str">
        <f ca="1">IF(AND('Mapa final'!$AB$46="Alta",'Mapa final'!$AD$46="Moderado"),CONCATENATE("R15C",'Mapa final'!$R$46),"")</f>
        <v/>
      </c>
      <c r="Q70" s="41" t="str">
        <f>IF(AND('Mapa final'!$AB$47="Alta",'Mapa final'!$AD$47="Moderado"),CONCATENATE("R15C",'Mapa final'!$R$47),"")</f>
        <v/>
      </c>
      <c r="R70" s="103" t="str">
        <f>IF(AND('Mapa final'!$AB$48="Alta",'Mapa final'!$AD$48="Moderado"),CONCATENATE("R15C",'Mapa final'!$R$48),"")</f>
        <v/>
      </c>
      <c r="S70" s="102" t="str">
        <f ca="1">IF(AND('Mapa final'!$AB$46="Alta",'Mapa final'!$AD$46="Mayor"),CONCATENATE("R15C",'Mapa final'!$R$46),"")</f>
        <v/>
      </c>
      <c r="T70" s="41" t="str">
        <f>IF(AND('Mapa final'!$AB$47="Alta",'Mapa final'!$AD$47="Mayor"),CONCATENATE("R15C",'Mapa final'!$R$47),"")</f>
        <v/>
      </c>
      <c r="U70" s="103" t="str">
        <f>IF(AND('Mapa final'!$AB$48="Alta",'Mapa final'!$AD$48="Mayor"),CONCATENATE("R15C",'Mapa final'!$R$48),"")</f>
        <v/>
      </c>
      <c r="V70" s="42" t="str">
        <f ca="1">IF(AND('Mapa final'!$AB$46="Alta",'Mapa final'!$AD$46="Catastrófico"),CONCATENATE("R15C",'Mapa final'!$R$46),"")</f>
        <v/>
      </c>
      <c r="W70" s="43" t="str">
        <f>IF(AND('Mapa final'!$AB$47="Alta",'Mapa final'!$AD$47="Catastrófico"),CONCATENATE("R15C",'Mapa final'!$R$47),"")</f>
        <v/>
      </c>
      <c r="X70" s="97" t="str">
        <f>IF(AND('Mapa final'!$AB$48="Alta",'Mapa final'!$AD$48="Catastrófico"),CONCATENATE("R15C",'Mapa final'!$R$48),"")</f>
        <v/>
      </c>
      <c r="Y70" s="55"/>
      <c r="Z70" s="321"/>
      <c r="AA70" s="322"/>
      <c r="AB70" s="322"/>
      <c r="AC70" s="322"/>
      <c r="AD70" s="322"/>
      <c r="AE70" s="323"/>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row>
    <row r="71" spans="1:61" ht="15" customHeight="1" x14ac:dyDescent="0.25">
      <c r="A71" s="55"/>
      <c r="B71" s="338"/>
      <c r="C71" s="338"/>
      <c r="D71" s="339"/>
      <c r="E71" s="328"/>
      <c r="F71" s="327"/>
      <c r="G71" s="327"/>
      <c r="H71" s="327"/>
      <c r="I71" s="327"/>
      <c r="J71" s="48" t="str">
        <f ca="1">IF(AND('Mapa final'!$AB$49="Alta",'Mapa final'!$AD$49="Leve"),CONCATENATE("R16C",'Mapa final'!$R$49),"")</f>
        <v/>
      </c>
      <c r="K71" s="49" t="str">
        <f>IF(AND('Mapa final'!$AB$50="Alta",'Mapa final'!$AD$50="Leve"),CONCATENATE("R16C",'Mapa final'!$R$50),"")</f>
        <v/>
      </c>
      <c r="L71" s="108" t="str">
        <f>IF(AND('Mapa final'!$AB$51="Alta",'Mapa final'!$AD$51="Leve"),CONCATENATE("R16C",'Mapa final'!$R$51),"")</f>
        <v/>
      </c>
      <c r="M71" s="48" t="str">
        <f ca="1">IF(AND('Mapa final'!$AB$49="Alta",'Mapa final'!$AD$49="Menor"),CONCATENATE("R16C",'Mapa final'!$R$49),"")</f>
        <v/>
      </c>
      <c r="N71" s="49" t="str">
        <f>IF(AND('Mapa final'!$AB$50="Alta",'Mapa final'!$AD$50="Menor"),CONCATENATE("R16C",'Mapa final'!$R$50),"")</f>
        <v/>
      </c>
      <c r="O71" s="108" t="str">
        <f>IF(AND('Mapa final'!$AB$51="Alta",'Mapa final'!$AD$51="Menor"),CONCATENATE("R16C",'Mapa final'!$R$51),"")</f>
        <v/>
      </c>
      <c r="P71" s="102" t="str">
        <f ca="1">IF(AND('Mapa final'!$AB$49="Alta",'Mapa final'!$AD$49="Moderado"),CONCATENATE("R16C",'Mapa final'!$R$49),"")</f>
        <v/>
      </c>
      <c r="Q71" s="41" t="str">
        <f>IF(AND('Mapa final'!$AB$50="Alta",'Mapa final'!$AD$50="Moderado"),CONCATENATE("R16C",'Mapa final'!$R$50),"")</f>
        <v/>
      </c>
      <c r="R71" s="103" t="str">
        <f>IF(AND('Mapa final'!$AB$51="Alta",'Mapa final'!$AD$51="Moderado"),CONCATENATE("R16C",'Mapa final'!$R$51),"")</f>
        <v/>
      </c>
      <c r="S71" s="102" t="str">
        <f ca="1">IF(AND('Mapa final'!$AB$49="Alta",'Mapa final'!$AD$49="Mayor"),CONCATENATE("R16C",'Mapa final'!$R$49),"")</f>
        <v/>
      </c>
      <c r="T71" s="41" t="str">
        <f>IF(AND('Mapa final'!$AB$50="Alta",'Mapa final'!$AD$50="Mayor"),CONCATENATE("R16C",'Mapa final'!$R$50),"")</f>
        <v/>
      </c>
      <c r="U71" s="103" t="str">
        <f>IF(AND('Mapa final'!$AB$51="Alta",'Mapa final'!$AD$51="Mayor"),CONCATENATE("R16C",'Mapa final'!$R$51),"")</f>
        <v/>
      </c>
      <c r="V71" s="42" t="str">
        <f ca="1">IF(AND('Mapa final'!$AB$49="Alta",'Mapa final'!$AD$49="Catastrófico"),CONCATENATE("R16C",'Mapa final'!$R$49),"")</f>
        <v/>
      </c>
      <c r="W71" s="43" t="str">
        <f>IF(AND('Mapa final'!$AB$50="Alta",'Mapa final'!$AD$50="Catastrófico"),CONCATENATE("R16C",'Mapa final'!$R$50),"")</f>
        <v/>
      </c>
      <c r="X71" s="97" t="str">
        <f>IF(AND('Mapa final'!$AB$51="Alta",'Mapa final'!$AD$51="Catastrófico"),CONCATENATE("R16C",'Mapa final'!$R$51),"")</f>
        <v/>
      </c>
      <c r="Y71" s="55"/>
      <c r="Z71" s="321"/>
      <c r="AA71" s="322"/>
      <c r="AB71" s="322"/>
      <c r="AC71" s="322"/>
      <c r="AD71" s="322"/>
      <c r="AE71" s="323"/>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row>
    <row r="72" spans="1:61" ht="15" customHeight="1" x14ac:dyDescent="0.25">
      <c r="A72" s="55"/>
      <c r="B72" s="338"/>
      <c r="C72" s="338"/>
      <c r="D72" s="339"/>
      <c r="E72" s="328"/>
      <c r="F72" s="327"/>
      <c r="G72" s="327"/>
      <c r="H72" s="327"/>
      <c r="I72" s="327"/>
      <c r="J72" s="48" t="str">
        <f ca="1">IF(AND('Mapa final'!$AB$52="Alta",'Mapa final'!$AD$52="Leve"),CONCATENATE("R17C",'Mapa final'!$R$52),"")</f>
        <v/>
      </c>
      <c r="K72" s="49" t="str">
        <f>IF(AND('Mapa final'!$AB$53="Alta",'Mapa final'!$AD$53="Leve"),CONCATENATE("R17C",'Mapa final'!$R$53),"")</f>
        <v/>
      </c>
      <c r="L72" s="108" t="str">
        <f>IF(AND('Mapa final'!$AB$54="Alta",'Mapa final'!$AD$54="Leve"),CONCATENATE("R17C",'Mapa final'!$R$54),"")</f>
        <v/>
      </c>
      <c r="M72" s="48" t="str">
        <f ca="1">IF(AND('Mapa final'!$AB$52="Alta",'Mapa final'!$AD$52="Menor"),CONCATENATE("R17C",'Mapa final'!$R$52),"")</f>
        <v/>
      </c>
      <c r="N72" s="49" t="str">
        <f>IF(AND('Mapa final'!$AB$53="Alta",'Mapa final'!$AD$53="Menor"),CONCATENATE("R17C",'Mapa final'!$R$53),"")</f>
        <v/>
      </c>
      <c r="O72" s="108" t="str">
        <f>IF(AND('Mapa final'!$AB$54="Alta",'Mapa final'!$AD$54="Menor"),CONCATENATE("R17C",'Mapa final'!$R$54),"")</f>
        <v/>
      </c>
      <c r="P72" s="102" t="str">
        <f ca="1">IF(AND('Mapa final'!$AB$52="Alta",'Mapa final'!$AD$52="Moderado"),CONCATENATE("R17C",'Mapa final'!$R$52),"")</f>
        <v/>
      </c>
      <c r="Q72" s="41" t="str">
        <f>IF(AND('Mapa final'!$AB$53="Alta",'Mapa final'!$AD$53="Moderado"),CONCATENATE("R17C",'Mapa final'!$R$53),"")</f>
        <v/>
      </c>
      <c r="R72" s="103" t="str">
        <f>IF(AND('Mapa final'!$AB$54="Alta",'Mapa final'!$AD$54="Moderado"),CONCATENATE("R17C",'Mapa final'!$R$54),"")</f>
        <v/>
      </c>
      <c r="S72" s="102" t="str">
        <f ca="1">IF(AND('Mapa final'!$AB$52="Alta",'Mapa final'!$AD$52="Mayor"),CONCATENATE("R17C",'Mapa final'!$R$52),"")</f>
        <v/>
      </c>
      <c r="T72" s="41" t="str">
        <f>IF(AND('Mapa final'!$AB$53="Alta",'Mapa final'!$AD$53="Mayor"),CONCATENATE("R17C",'Mapa final'!$R$53),"")</f>
        <v/>
      </c>
      <c r="U72" s="103" t="str">
        <f>IF(AND('Mapa final'!$AB$54="Alta",'Mapa final'!$AD$54="Mayor"),CONCATENATE("R17C",'Mapa final'!$R$54),"")</f>
        <v/>
      </c>
      <c r="V72" s="42" t="str">
        <f ca="1">IF(AND('Mapa final'!$AB$52="Alta",'Mapa final'!$AD$52="Catastrófico"),CONCATENATE("R17C",'Mapa final'!$R$52),"")</f>
        <v/>
      </c>
      <c r="W72" s="43" t="str">
        <f>IF(AND('Mapa final'!$AB$53="Alta",'Mapa final'!$AD$53="Catastrófico"),CONCATENATE("R17C",'Mapa final'!$R$53),"")</f>
        <v/>
      </c>
      <c r="X72" s="97" t="str">
        <f>IF(AND('Mapa final'!$AB$54="Alta",'Mapa final'!$AD$54="Catastrófico"),CONCATENATE("R17C",'Mapa final'!$R$54),"")</f>
        <v/>
      </c>
      <c r="Y72" s="55"/>
      <c r="Z72" s="321"/>
      <c r="AA72" s="322"/>
      <c r="AB72" s="322"/>
      <c r="AC72" s="322"/>
      <c r="AD72" s="322"/>
      <c r="AE72" s="323"/>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row>
    <row r="73" spans="1:61" ht="15" customHeight="1" x14ac:dyDescent="0.25">
      <c r="A73" s="55"/>
      <c r="B73" s="338"/>
      <c r="C73" s="338"/>
      <c r="D73" s="339"/>
      <c r="E73" s="328"/>
      <c r="F73" s="327"/>
      <c r="G73" s="327"/>
      <c r="H73" s="327"/>
      <c r="I73" s="327"/>
      <c r="J73" s="48" t="str">
        <f ca="1">IF(AND('Mapa final'!$AB$55="Alta",'Mapa final'!$AD$55="Leve"),CONCATENATE("R18C",'Mapa final'!$R$55),"")</f>
        <v/>
      </c>
      <c r="K73" s="49" t="str">
        <f>IF(AND('Mapa final'!$AB$56="Alta",'Mapa final'!$AD$56="Leve"),CONCATENATE("R18C",'Mapa final'!$R$56),"")</f>
        <v/>
      </c>
      <c r="L73" s="108" t="str">
        <f>IF(AND('Mapa final'!$AB$57="Alta",'Mapa final'!$AD$57="Leve"),CONCATENATE("R18C",'Mapa final'!$R$57),"")</f>
        <v/>
      </c>
      <c r="M73" s="48" t="str">
        <f ca="1">IF(AND('Mapa final'!$AB$55="Alta",'Mapa final'!$AD$55="Menor"),CONCATENATE("R18C",'Mapa final'!$R$55),"")</f>
        <v/>
      </c>
      <c r="N73" s="49" t="str">
        <f>IF(AND('Mapa final'!$AB$56="Alta",'Mapa final'!$AD$56="Menor"),CONCATENATE("R18C",'Mapa final'!$R$56),"")</f>
        <v/>
      </c>
      <c r="O73" s="108" t="str">
        <f>IF(AND('Mapa final'!$AB$57="Alta",'Mapa final'!$AD$57="Menor"),CONCATENATE("R18C",'Mapa final'!$R$57),"")</f>
        <v/>
      </c>
      <c r="P73" s="102" t="str">
        <f ca="1">IF(AND('Mapa final'!$AB$55="Alta",'Mapa final'!$AD$55="Moderado"),CONCATENATE("R18C",'Mapa final'!$R$55),"")</f>
        <v/>
      </c>
      <c r="Q73" s="41" t="str">
        <f>IF(AND('Mapa final'!$AB$56="Alta",'Mapa final'!$AD$56="Moderado"),CONCATENATE("R18C",'Mapa final'!$R$56),"")</f>
        <v/>
      </c>
      <c r="R73" s="103" t="str">
        <f>IF(AND('Mapa final'!$AB$57="Alta",'Mapa final'!$AD$57="Moderado"),CONCATENATE("R18C",'Mapa final'!$R$57),"")</f>
        <v/>
      </c>
      <c r="S73" s="102" t="str">
        <f ca="1">IF(AND('Mapa final'!$AB$55="Alta",'Mapa final'!$AD$55="Mayor"),CONCATENATE("R18C",'Mapa final'!$R$55),"")</f>
        <v/>
      </c>
      <c r="T73" s="41" t="str">
        <f>IF(AND('Mapa final'!$AB$56="Alta",'Mapa final'!$AD$56="Mayor"),CONCATENATE("R18C",'Mapa final'!$R$56),"")</f>
        <v/>
      </c>
      <c r="U73" s="103" t="str">
        <f>IF(AND('Mapa final'!$AB$57="Alta",'Mapa final'!$AD$57="Mayor"),CONCATENATE("R18C",'Mapa final'!$R$57),"")</f>
        <v/>
      </c>
      <c r="V73" s="42" t="str">
        <f ca="1">IF(AND('Mapa final'!$AB$55="Alta",'Mapa final'!$AD$55="Catastrófico"),CONCATENATE("R18C",'Mapa final'!$R$55),"")</f>
        <v/>
      </c>
      <c r="W73" s="43" t="str">
        <f>IF(AND('Mapa final'!$AB$56="Alta",'Mapa final'!$AD$56="Catastrófico"),CONCATENATE("R18C",'Mapa final'!$R$56),"")</f>
        <v/>
      </c>
      <c r="X73" s="97" t="str">
        <f>IF(AND('Mapa final'!$AB$57="Alta",'Mapa final'!$AD$57="Catastrófico"),CONCATENATE("R18C",'Mapa final'!$R$57),"")</f>
        <v/>
      </c>
      <c r="Y73" s="55"/>
      <c r="Z73" s="321"/>
      <c r="AA73" s="322"/>
      <c r="AB73" s="322"/>
      <c r="AC73" s="322"/>
      <c r="AD73" s="322"/>
      <c r="AE73" s="323"/>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row>
    <row r="74" spans="1:61" ht="15" customHeight="1" x14ac:dyDescent="0.25">
      <c r="A74" s="55"/>
      <c r="B74" s="338"/>
      <c r="C74" s="338"/>
      <c r="D74" s="339"/>
      <c r="E74" s="328"/>
      <c r="F74" s="327"/>
      <c r="G74" s="327"/>
      <c r="H74" s="327"/>
      <c r="I74" s="327"/>
      <c r="J74" s="48" t="str">
        <f ca="1">IF(AND('Mapa final'!$AB$58="Alta",'Mapa final'!$AD$58="Leve"),CONCATENATE("R19C",'Mapa final'!$R$58),"")</f>
        <v/>
      </c>
      <c r="K74" s="49" t="str">
        <f>IF(AND('Mapa final'!$AB$59="Alta",'Mapa final'!$AD$59="Leve"),CONCATENATE("R19C",'Mapa final'!$R$59),"")</f>
        <v/>
      </c>
      <c r="L74" s="108" t="str">
        <f>IF(AND('Mapa final'!$AB$60="Alta",'Mapa final'!$AD$60="Leve"),CONCATENATE("R19C",'Mapa final'!$R$60),"")</f>
        <v/>
      </c>
      <c r="M74" s="48" t="str">
        <f ca="1">IF(AND('Mapa final'!$AB$58="Alta",'Mapa final'!$AD$58="Menor"),CONCATENATE("R19C",'Mapa final'!$R$58),"")</f>
        <v/>
      </c>
      <c r="N74" s="49" t="str">
        <f>IF(AND('Mapa final'!$AB$59="Alta",'Mapa final'!$AD$59="Menor"),CONCATENATE("R19C",'Mapa final'!$R$59),"")</f>
        <v/>
      </c>
      <c r="O74" s="108" t="str">
        <f>IF(AND('Mapa final'!$AB$60="Alta",'Mapa final'!$AD$60="Menor"),CONCATENATE("R19C",'Mapa final'!$R$60),"")</f>
        <v/>
      </c>
      <c r="P74" s="102" t="str">
        <f ca="1">IF(AND('Mapa final'!$AB$58="Alta",'Mapa final'!$AD$58="Moderado"),CONCATENATE("R19C",'Mapa final'!$R$58),"")</f>
        <v/>
      </c>
      <c r="Q74" s="41" t="str">
        <f>IF(AND('Mapa final'!$AB$59="Alta",'Mapa final'!$AD$59="Moderado"),CONCATENATE("R19C",'Mapa final'!$R$59),"")</f>
        <v/>
      </c>
      <c r="R74" s="103" t="str">
        <f>IF(AND('Mapa final'!$AB$60="Alta",'Mapa final'!$AD$60="Moderado"),CONCATENATE("R19C",'Mapa final'!$R$60),"")</f>
        <v/>
      </c>
      <c r="S74" s="102" t="str">
        <f ca="1">IF(AND('Mapa final'!$AB$58="Alta",'Mapa final'!$AD$58="Mayor"),CONCATENATE("R19C",'Mapa final'!$R$58),"")</f>
        <v/>
      </c>
      <c r="T74" s="41" t="str">
        <f>IF(AND('Mapa final'!$AB$59="Alta",'Mapa final'!$AD$59="Mayor"),CONCATENATE("R19C",'Mapa final'!$R$59),"")</f>
        <v/>
      </c>
      <c r="U74" s="103" t="str">
        <f>IF(AND('Mapa final'!$AB$60="Alta",'Mapa final'!$AD$60="Mayor"),CONCATENATE("R19C",'Mapa final'!$R$60),"")</f>
        <v/>
      </c>
      <c r="V74" s="42" t="str">
        <f ca="1">IF(AND('Mapa final'!$AB$58="Alta",'Mapa final'!$AD$58="Catastrófico"),CONCATENATE("R19C",'Mapa final'!$R$58),"")</f>
        <v/>
      </c>
      <c r="W74" s="43" t="str">
        <f>IF(AND('Mapa final'!$AB$59="Alta",'Mapa final'!$AD$59="Catastrófico"),CONCATENATE("R19C",'Mapa final'!$R$59),"")</f>
        <v/>
      </c>
      <c r="X74" s="97" t="str">
        <f>IF(AND('Mapa final'!$AB$60="Alta",'Mapa final'!$AD$60="Catastrófico"),CONCATENATE("R19C",'Mapa final'!$R$60),"")</f>
        <v/>
      </c>
      <c r="Y74" s="55"/>
      <c r="Z74" s="321"/>
      <c r="AA74" s="322"/>
      <c r="AB74" s="322"/>
      <c r="AC74" s="322"/>
      <c r="AD74" s="322"/>
      <c r="AE74" s="323"/>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row>
    <row r="75" spans="1:61" ht="15" customHeight="1" x14ac:dyDescent="0.25">
      <c r="A75" s="55"/>
      <c r="B75" s="338"/>
      <c r="C75" s="338"/>
      <c r="D75" s="339"/>
      <c r="E75" s="328"/>
      <c r="F75" s="327"/>
      <c r="G75" s="327"/>
      <c r="H75" s="327"/>
      <c r="I75" s="327"/>
      <c r="J75" s="48" t="str">
        <f ca="1">IF(AND('Mapa final'!$AB$61="Alta",'Mapa final'!$AD$61="Leve"),CONCATENATE("R20C",'Mapa final'!$R$61),"")</f>
        <v/>
      </c>
      <c r="K75" s="49" t="str">
        <f>IF(AND('Mapa final'!$AB$62="Alta",'Mapa final'!$AD$62="Leve"),CONCATENATE("R20C",'Mapa final'!$R$62),"")</f>
        <v/>
      </c>
      <c r="L75" s="108" t="str">
        <f>IF(AND('Mapa final'!$AB$63="Alta",'Mapa final'!$AD$63="Leve"),CONCATENATE("R20C",'Mapa final'!$R$63),"")</f>
        <v/>
      </c>
      <c r="M75" s="48" t="str">
        <f ca="1">IF(AND('Mapa final'!$AB$61="Alta",'Mapa final'!$AD$61="Menor"),CONCATENATE("R20C",'Mapa final'!$R$61),"")</f>
        <v/>
      </c>
      <c r="N75" s="49" t="str">
        <f>IF(AND('Mapa final'!$AB$62="Alta",'Mapa final'!$AD$62="Menor"),CONCATENATE("R20C",'Mapa final'!$R$62),"")</f>
        <v/>
      </c>
      <c r="O75" s="108" t="str">
        <f>IF(AND('Mapa final'!$AB$63="Alta",'Mapa final'!$AD$63="Menor"),CONCATENATE("R20C",'Mapa final'!$R$63),"")</f>
        <v/>
      </c>
      <c r="P75" s="102" t="str">
        <f ca="1">IF(AND('Mapa final'!$AB$61="Alta",'Mapa final'!$AD$61="Moderado"),CONCATENATE("R20C",'Mapa final'!$R$61),"")</f>
        <v/>
      </c>
      <c r="Q75" s="41" t="str">
        <f>IF(AND('Mapa final'!$AB$62="Alta",'Mapa final'!$AD$62="Moderado"),CONCATENATE("R20C",'Mapa final'!$R$62),"")</f>
        <v/>
      </c>
      <c r="R75" s="103" t="str">
        <f>IF(AND('Mapa final'!$AB$63="Alta",'Mapa final'!$AD$63="Moderado"),CONCATENATE("R20C",'Mapa final'!$R$63),"")</f>
        <v/>
      </c>
      <c r="S75" s="102" t="str">
        <f ca="1">IF(AND('Mapa final'!$AB$61="Alta",'Mapa final'!$AD$61="Mayor"),CONCATENATE("R20C",'Mapa final'!$R$61),"")</f>
        <v/>
      </c>
      <c r="T75" s="41" t="str">
        <f>IF(AND('Mapa final'!$AB$62="Alta",'Mapa final'!$AD$62="Mayor"),CONCATENATE("R20C",'Mapa final'!$R$62),"")</f>
        <v/>
      </c>
      <c r="U75" s="103" t="str">
        <f>IF(AND('Mapa final'!$AB$63="Alta",'Mapa final'!$AD$63="Mayor"),CONCATENATE("R20C",'Mapa final'!$R$63),"")</f>
        <v/>
      </c>
      <c r="V75" s="42" t="str">
        <f ca="1">IF(AND('Mapa final'!$AB$61="Alta",'Mapa final'!$AD$61="Catastrófico"),CONCATENATE("R20C",'Mapa final'!$R$61),"")</f>
        <v/>
      </c>
      <c r="W75" s="43" t="str">
        <f>IF(AND('Mapa final'!$AB$62="Alta",'Mapa final'!$AD$62="Catastrófico"),CONCATENATE("R20C",'Mapa final'!$R$62),"")</f>
        <v/>
      </c>
      <c r="X75" s="97" t="str">
        <f>IF(AND('Mapa final'!$AB$63="Alta",'Mapa final'!$AD$63="Catastrófico"),CONCATENATE("R20C",'Mapa final'!$R$63),"")</f>
        <v/>
      </c>
      <c r="Y75" s="55"/>
      <c r="Z75" s="321"/>
      <c r="AA75" s="322"/>
      <c r="AB75" s="322"/>
      <c r="AC75" s="322"/>
      <c r="AD75" s="322"/>
      <c r="AE75" s="323"/>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row>
    <row r="76" spans="1:61" ht="15" customHeight="1" x14ac:dyDescent="0.25">
      <c r="A76" s="55"/>
      <c r="B76" s="338"/>
      <c r="C76" s="338"/>
      <c r="D76" s="339"/>
      <c r="E76" s="328"/>
      <c r="F76" s="327"/>
      <c r="G76" s="327"/>
      <c r="H76" s="327"/>
      <c r="I76" s="327"/>
      <c r="J76" s="48" t="str">
        <f ca="1">IF(AND('Mapa final'!$AB$64="Alta",'Mapa final'!$AD$64="Leve"),CONCATENATE("R21C",'Mapa final'!$R$64),"")</f>
        <v/>
      </c>
      <c r="K76" s="49" t="str">
        <f>IF(AND('Mapa final'!$AB$65="Alta",'Mapa final'!$AD$65="Leve"),CONCATENATE("R21C",'Mapa final'!$R$65),"")</f>
        <v/>
      </c>
      <c r="L76" s="108" t="str">
        <f>IF(AND('Mapa final'!$AB$66="Alta",'Mapa final'!$AD$66="Leve"),CONCATENATE("R21C",'Mapa final'!$R$66),"")</f>
        <v/>
      </c>
      <c r="M76" s="48" t="str">
        <f ca="1">IF(AND('Mapa final'!$AB$64="Alta",'Mapa final'!$AD$64="Menor"),CONCATENATE("R21C",'Mapa final'!$R$64),"")</f>
        <v/>
      </c>
      <c r="N76" s="49" t="str">
        <f>IF(AND('Mapa final'!$AB$65="Alta",'Mapa final'!$AD$65="Menor"),CONCATENATE("R21C",'Mapa final'!$R$65),"")</f>
        <v/>
      </c>
      <c r="O76" s="108" t="str">
        <f>IF(AND('Mapa final'!$AB$66="Alta",'Mapa final'!$AD$66="Menor"),CONCATENATE("R21C",'Mapa final'!$R$66),"")</f>
        <v/>
      </c>
      <c r="P76" s="102" t="str">
        <f ca="1">IF(AND('Mapa final'!$AB$64="Alta",'Mapa final'!$AD$64="Moderado"),CONCATENATE("R21C",'Mapa final'!$R$64),"")</f>
        <v/>
      </c>
      <c r="Q76" s="41" t="str">
        <f>IF(AND('Mapa final'!$AB$65="Alta",'Mapa final'!$AD$65="Moderado"),CONCATENATE("R21C",'Mapa final'!$R$65),"")</f>
        <v/>
      </c>
      <c r="R76" s="103" t="str">
        <f>IF(AND('Mapa final'!$AB$66="Alta",'Mapa final'!$AD$66="Moderado"),CONCATENATE("R21C",'Mapa final'!$R$66),"")</f>
        <v/>
      </c>
      <c r="S76" s="102" t="str">
        <f ca="1">IF(AND('Mapa final'!$AB$64="Alta",'Mapa final'!$AD$64="Mayor"),CONCATENATE("R21C",'Mapa final'!$R$64),"")</f>
        <v/>
      </c>
      <c r="T76" s="41" t="str">
        <f>IF(AND('Mapa final'!$AB$65="Alta",'Mapa final'!$AD$65="Mayor"),CONCATENATE("R21C",'Mapa final'!$R$65),"")</f>
        <v/>
      </c>
      <c r="U76" s="103" t="str">
        <f>IF(AND('Mapa final'!$AB$66="Alta",'Mapa final'!$AD$66="Mayor"),CONCATENATE("R21C",'Mapa final'!$R$66),"")</f>
        <v/>
      </c>
      <c r="V76" s="42" t="str">
        <f ca="1">IF(AND('Mapa final'!$AB$64="Alta",'Mapa final'!$AD$64="Catastrófico"),CONCATENATE("R21C",'Mapa final'!$R$64),"")</f>
        <v/>
      </c>
      <c r="W76" s="43" t="str">
        <f>IF(AND('Mapa final'!$AB$65="Alta",'Mapa final'!$AD$65="Catastrófico"),CONCATENATE("R21C",'Mapa final'!$R$65),"")</f>
        <v/>
      </c>
      <c r="X76" s="97" t="str">
        <f>IF(AND('Mapa final'!$AB$66="Alta",'Mapa final'!$AD$66="Catastrófico"),CONCATENATE("R21C",'Mapa final'!$R$66),"")</f>
        <v/>
      </c>
      <c r="Y76" s="55"/>
      <c r="Z76" s="321"/>
      <c r="AA76" s="322"/>
      <c r="AB76" s="322"/>
      <c r="AC76" s="322"/>
      <c r="AD76" s="322"/>
      <c r="AE76" s="323"/>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row>
    <row r="77" spans="1:61" ht="15" customHeight="1" x14ac:dyDescent="0.25">
      <c r="A77" s="55"/>
      <c r="B77" s="338"/>
      <c r="C77" s="338"/>
      <c r="D77" s="339"/>
      <c r="E77" s="328"/>
      <c r="F77" s="327"/>
      <c r="G77" s="327"/>
      <c r="H77" s="327"/>
      <c r="I77" s="327"/>
      <c r="J77" s="48" t="str">
        <f ca="1">IF(AND('Mapa final'!$AB$67="Alta",'Mapa final'!$AD$67="Leve"),CONCATENATE("R22C",'Mapa final'!$R$67),"")</f>
        <v/>
      </c>
      <c r="K77" s="49" t="str">
        <f>IF(AND('Mapa final'!$AB$68="Alta",'Mapa final'!$AD$68="Leve"),CONCATENATE("R22C",'Mapa final'!$R$68),"")</f>
        <v/>
      </c>
      <c r="L77" s="108" t="str">
        <f>IF(AND('Mapa final'!$AB$69="Alta",'Mapa final'!$AD$69="Leve"),CONCATENATE("R22C",'Mapa final'!$R$69),"")</f>
        <v/>
      </c>
      <c r="M77" s="48" t="str">
        <f ca="1">IF(AND('Mapa final'!$AB$67="Alta",'Mapa final'!$AD$67="Menor"),CONCATENATE("R22C",'Mapa final'!$R$67),"")</f>
        <v/>
      </c>
      <c r="N77" s="49" t="str">
        <f>IF(AND('Mapa final'!$AB$68="Alta",'Mapa final'!$AD$68="Menor"),CONCATENATE("R22C",'Mapa final'!$R$68),"")</f>
        <v/>
      </c>
      <c r="O77" s="108" t="str">
        <f>IF(AND('Mapa final'!$AB$69="Alta",'Mapa final'!$AD$69="Menor"),CONCATENATE("R22C",'Mapa final'!$R$69),"")</f>
        <v/>
      </c>
      <c r="P77" s="102" t="str">
        <f ca="1">IF(AND('Mapa final'!$AB$67="Alta",'Mapa final'!$AD$67="Moderado"),CONCATENATE("R22C",'Mapa final'!$R$67),"")</f>
        <v/>
      </c>
      <c r="Q77" s="41" t="str">
        <f>IF(AND('Mapa final'!$AB$68="Alta",'Mapa final'!$AD$68="Moderado"),CONCATENATE("R22C",'Mapa final'!$R$68),"")</f>
        <v/>
      </c>
      <c r="R77" s="103" t="str">
        <f>IF(AND('Mapa final'!$AB$69="Alta",'Mapa final'!$AD$69="Moderado"),CONCATENATE("R22C",'Mapa final'!$R$69),"")</f>
        <v/>
      </c>
      <c r="S77" s="102" t="str">
        <f ca="1">IF(AND('Mapa final'!$AB$67="Alta",'Mapa final'!$AD$67="Mayor"),CONCATENATE("R22C",'Mapa final'!$R$67),"")</f>
        <v/>
      </c>
      <c r="T77" s="41" t="str">
        <f>IF(AND('Mapa final'!$AB$68="Alta",'Mapa final'!$AD$68="Mayor"),CONCATENATE("R22C",'Mapa final'!$R$68),"")</f>
        <v/>
      </c>
      <c r="U77" s="103" t="str">
        <f>IF(AND('Mapa final'!$AB$69="Alta",'Mapa final'!$AD$69="Mayor"),CONCATENATE("R22C",'Mapa final'!$R$69),"")</f>
        <v/>
      </c>
      <c r="V77" s="42" t="str">
        <f ca="1">IF(AND('Mapa final'!$AB$67="Alta",'Mapa final'!$AD$67="Catastrófico"),CONCATENATE("R22C",'Mapa final'!$R$67),"")</f>
        <v/>
      </c>
      <c r="W77" s="43" t="str">
        <f>IF(AND('Mapa final'!$AB$68="Alta",'Mapa final'!$AD$68="Catastrófico"),CONCATENATE("R22C",'Mapa final'!$R$68),"")</f>
        <v/>
      </c>
      <c r="X77" s="97" t="str">
        <f>IF(AND('Mapa final'!$AB$69="Alta",'Mapa final'!$AD$69="Catastrófico"),CONCATENATE("R22C",'Mapa final'!$R$69),"")</f>
        <v/>
      </c>
      <c r="Y77" s="55"/>
      <c r="Z77" s="321"/>
      <c r="AA77" s="322"/>
      <c r="AB77" s="322"/>
      <c r="AC77" s="322"/>
      <c r="AD77" s="322"/>
      <c r="AE77" s="323"/>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row>
    <row r="78" spans="1:61" ht="15" customHeight="1" x14ac:dyDescent="0.25">
      <c r="A78" s="55"/>
      <c r="B78" s="338"/>
      <c r="C78" s="338"/>
      <c r="D78" s="339"/>
      <c r="E78" s="328"/>
      <c r="F78" s="327"/>
      <c r="G78" s="327"/>
      <c r="H78" s="327"/>
      <c r="I78" s="327"/>
      <c r="J78" s="48" t="str">
        <f ca="1">IF(AND('Mapa final'!$AB$73="Alta",'Mapa final'!$AD$73="Leve"),CONCATENATE("R23C",'Mapa final'!$R$73),"")</f>
        <v/>
      </c>
      <c r="K78" s="49" t="str">
        <f>IF(AND('Mapa final'!$AB$74="Alta",'Mapa final'!$AD$74="Leve"),CONCATENATE("R23C",'Mapa final'!$R$74),"")</f>
        <v/>
      </c>
      <c r="L78" s="108" t="str">
        <f>IF(AND('Mapa final'!$AB$75="Alta",'Mapa final'!$AD$75="Leve"),CONCATENATE("R23C",'Mapa final'!$R$75),"")</f>
        <v/>
      </c>
      <c r="M78" s="48" t="str">
        <f ca="1">IF(AND('Mapa final'!$AB$73="Alta",'Mapa final'!$AD$73="Menor"),CONCATENATE("R23C",'Mapa final'!$R$73),"")</f>
        <v/>
      </c>
      <c r="N78" s="49" t="str">
        <f>IF(AND('Mapa final'!$AB$74="Alta",'Mapa final'!$AD$74="Menor"),CONCATENATE("R23C",'Mapa final'!$R$74),"")</f>
        <v/>
      </c>
      <c r="O78" s="108" t="str">
        <f>IF(AND('Mapa final'!$AB$75="Alta",'Mapa final'!$AD$75="Menor"),CONCATENATE("R23C",'Mapa final'!$R$75),"")</f>
        <v/>
      </c>
      <c r="P78" s="102" t="str">
        <f ca="1">IF(AND('Mapa final'!$AB$73="Alta",'Mapa final'!$AD$73="Moderado"),CONCATENATE("R23C",'Mapa final'!$R$73),"")</f>
        <v/>
      </c>
      <c r="Q78" s="41" t="str">
        <f>IF(AND('Mapa final'!$AB$74="Alta",'Mapa final'!$AD$74="Moderado"),CONCATENATE("R23C",'Mapa final'!$R$74),"")</f>
        <v/>
      </c>
      <c r="R78" s="103" t="str">
        <f>IF(AND('Mapa final'!$AB$75="Alta",'Mapa final'!$AD$75="Moderado"),CONCATENATE("R23C",'Mapa final'!$R$75),"")</f>
        <v/>
      </c>
      <c r="S78" s="102" t="str">
        <f ca="1">IF(AND('Mapa final'!$AB$73="Alta",'Mapa final'!$AD$73="Mayor"),CONCATENATE("R23C",'Mapa final'!$R$73),"")</f>
        <v/>
      </c>
      <c r="T78" s="41" t="str">
        <f>IF(AND('Mapa final'!$AB$74="Alta",'Mapa final'!$AD$74="Mayor"),CONCATENATE("R23C",'Mapa final'!$R$74),"")</f>
        <v/>
      </c>
      <c r="U78" s="103" t="str">
        <f>IF(AND('Mapa final'!$AB$75="Alta",'Mapa final'!$AD$75="Mayor"),CONCATENATE("R23C",'Mapa final'!$R$75),"")</f>
        <v/>
      </c>
      <c r="V78" s="42" t="str">
        <f ca="1">IF(AND('Mapa final'!$AB$73="Alta",'Mapa final'!$AD$73="Catastrófico"),CONCATENATE("R23C",'Mapa final'!$R$73),"")</f>
        <v/>
      </c>
      <c r="W78" s="43" t="str">
        <f>IF(AND('Mapa final'!$AB$74="Alta",'Mapa final'!$AD$74="Catastrófico"),CONCATENATE("R23C",'Mapa final'!$R$74),"")</f>
        <v/>
      </c>
      <c r="X78" s="97" t="str">
        <f>IF(AND('Mapa final'!$AB$75="Alta",'Mapa final'!$AD$75="Catastrófico"),CONCATENATE("R23C",'Mapa final'!$R$75),"")</f>
        <v/>
      </c>
      <c r="Y78" s="55"/>
      <c r="Z78" s="321"/>
      <c r="AA78" s="322"/>
      <c r="AB78" s="322"/>
      <c r="AC78" s="322"/>
      <c r="AD78" s="322"/>
      <c r="AE78" s="323"/>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row>
    <row r="79" spans="1:61" ht="15" customHeight="1" x14ac:dyDescent="0.25">
      <c r="A79" s="55"/>
      <c r="B79" s="338"/>
      <c r="C79" s="338"/>
      <c r="D79" s="339"/>
      <c r="E79" s="328"/>
      <c r="F79" s="327"/>
      <c r="G79" s="327"/>
      <c r="H79" s="327"/>
      <c r="I79" s="327"/>
      <c r="J79" s="48" t="str">
        <f ca="1">IF(AND('Mapa final'!$AB$76="Alta",'Mapa final'!$AD$76="Leve"),CONCATENATE("R24C",'Mapa final'!$R$76),"")</f>
        <v/>
      </c>
      <c r="K79" s="49" t="str">
        <f>IF(AND('Mapa final'!$AB$77="Alta",'Mapa final'!$AD$77="Leve"),CONCATENATE("R24C",'Mapa final'!$R$77),"")</f>
        <v/>
      </c>
      <c r="L79" s="108" t="str">
        <f>IF(AND('Mapa final'!$AB$78="Alta",'Mapa final'!$AD$78="Leve"),CONCATENATE("R24C",'Mapa final'!$R$78),"")</f>
        <v/>
      </c>
      <c r="M79" s="48" t="str">
        <f ca="1">IF(AND('Mapa final'!$AB$76="Alta",'Mapa final'!$AD$76="Menor"),CONCATENATE("R24C",'Mapa final'!$R$76),"")</f>
        <v/>
      </c>
      <c r="N79" s="49" t="str">
        <f>IF(AND('Mapa final'!$AB$77="Alta",'Mapa final'!$AD$77="Menor"),CONCATENATE("R24C",'Mapa final'!$R$77),"")</f>
        <v/>
      </c>
      <c r="O79" s="108" t="str">
        <f>IF(AND('Mapa final'!$AB$78="Alta",'Mapa final'!$AD$78="Menor"),CONCATENATE("R24C",'Mapa final'!$R$78),"")</f>
        <v/>
      </c>
      <c r="P79" s="102" t="str">
        <f ca="1">IF(AND('Mapa final'!$AB$76="Alta",'Mapa final'!$AD$76="Moderado"),CONCATENATE("R24C",'Mapa final'!$R$76),"")</f>
        <v/>
      </c>
      <c r="Q79" s="41" t="str">
        <f>IF(AND('Mapa final'!$AB$77="Alta",'Mapa final'!$AD$77="Moderado"),CONCATENATE("R24C",'Mapa final'!$R$77),"")</f>
        <v/>
      </c>
      <c r="R79" s="103" t="str">
        <f>IF(AND('Mapa final'!$AB$78="Alta",'Mapa final'!$AD$78="Moderado"),CONCATENATE("R24C",'Mapa final'!$R$78),"")</f>
        <v/>
      </c>
      <c r="S79" s="102" t="str">
        <f ca="1">IF(AND('Mapa final'!$AB$76="Alta",'Mapa final'!$AD$76="Mayor"),CONCATENATE("R24C",'Mapa final'!$R$76),"")</f>
        <v/>
      </c>
      <c r="T79" s="41" t="str">
        <f>IF(AND('Mapa final'!$AB$77="Alta",'Mapa final'!$AD$77="Mayor"),CONCATENATE("R24C",'Mapa final'!$R$77),"")</f>
        <v/>
      </c>
      <c r="U79" s="103" t="str">
        <f>IF(AND('Mapa final'!$AB$78="Alta",'Mapa final'!$AD$78="Mayor"),CONCATENATE("R24C",'Mapa final'!$R$78),"")</f>
        <v/>
      </c>
      <c r="V79" s="42" t="str">
        <f ca="1">IF(AND('Mapa final'!$AB$76="Alta",'Mapa final'!$AD$76="Catastrófico"),CONCATENATE("R24C",'Mapa final'!$R$76),"")</f>
        <v/>
      </c>
      <c r="W79" s="43" t="str">
        <f>IF(AND('Mapa final'!$AB$77="Alta",'Mapa final'!$AD$77="Catastrófico"),CONCATENATE("R24C",'Mapa final'!$R$77),"")</f>
        <v/>
      </c>
      <c r="X79" s="97" t="str">
        <f>IF(AND('Mapa final'!$AB$78="Alta",'Mapa final'!$AD$78="Catastrófico"),CONCATENATE("R24C",'Mapa final'!$R$78),"")</f>
        <v/>
      </c>
      <c r="Y79" s="55"/>
      <c r="Z79" s="321"/>
      <c r="AA79" s="322"/>
      <c r="AB79" s="322"/>
      <c r="AC79" s="322"/>
      <c r="AD79" s="322"/>
      <c r="AE79" s="323"/>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row>
    <row r="80" spans="1:61" ht="15" customHeight="1" x14ac:dyDescent="0.25">
      <c r="A80" s="55"/>
      <c r="B80" s="338"/>
      <c r="C80" s="338"/>
      <c r="D80" s="339"/>
      <c r="E80" s="328"/>
      <c r="F80" s="327"/>
      <c r="G80" s="327"/>
      <c r="H80" s="327"/>
      <c r="I80" s="327"/>
      <c r="J80" s="48" t="str">
        <f ca="1">IF(AND('Mapa final'!$AB$79="Alta",'Mapa final'!$AD$79="Leve"),CONCATENATE("R25C",'Mapa final'!$R$79),"")</f>
        <v/>
      </c>
      <c r="K80" s="49" t="str">
        <f>IF(AND('Mapa final'!$AB$80="Alta",'Mapa final'!$AD$80="Leve"),CONCATENATE("R25C",'Mapa final'!$R$80),"")</f>
        <v/>
      </c>
      <c r="L80" s="108" t="str">
        <f>IF(AND('Mapa final'!$AB$81="Alta",'Mapa final'!$AD$81="Leve"),CONCATENATE("R25C",'Mapa final'!$R$81),"")</f>
        <v/>
      </c>
      <c r="M80" s="48" t="str">
        <f ca="1">IF(AND('Mapa final'!$AB$79="Alta",'Mapa final'!$AD$79="Menor"),CONCATENATE("R25C",'Mapa final'!$R$79),"")</f>
        <v/>
      </c>
      <c r="N80" s="49" t="str">
        <f>IF(AND('Mapa final'!$AB$80="Alta",'Mapa final'!$AD$80="Menor"),CONCATENATE("R25C",'Mapa final'!$R$80),"")</f>
        <v/>
      </c>
      <c r="O80" s="108" t="str">
        <f>IF(AND('Mapa final'!$AB$81="Alta",'Mapa final'!$AD$81="Menor"),CONCATENATE("R25C",'Mapa final'!$R$81),"")</f>
        <v/>
      </c>
      <c r="P80" s="102" t="str">
        <f ca="1">IF(AND('Mapa final'!$AB$79="Alta",'Mapa final'!$AD$79="Moderado"),CONCATENATE("R25C",'Mapa final'!$R$79),"")</f>
        <v/>
      </c>
      <c r="Q80" s="41" t="str">
        <f>IF(AND('Mapa final'!$AB$80="Alta",'Mapa final'!$AD$80="Moderado"),CONCATENATE("R25C",'Mapa final'!$R$80),"")</f>
        <v/>
      </c>
      <c r="R80" s="103" t="str">
        <f>IF(AND('Mapa final'!$AB$81="Alta",'Mapa final'!$AD$81="Moderado"),CONCATENATE("R25C",'Mapa final'!$R$81),"")</f>
        <v/>
      </c>
      <c r="S80" s="102" t="str">
        <f ca="1">IF(AND('Mapa final'!$AB$79="Alta",'Mapa final'!$AD$79="Mayor"),CONCATENATE("R25C",'Mapa final'!$R$79),"")</f>
        <v/>
      </c>
      <c r="T80" s="41" t="str">
        <f>IF(AND('Mapa final'!$AB$80="Alta",'Mapa final'!$AD$80="Mayor"),CONCATENATE("R25C",'Mapa final'!$R$80),"")</f>
        <v/>
      </c>
      <c r="U80" s="103" t="str">
        <f>IF(AND('Mapa final'!$AB$81="Alta",'Mapa final'!$AD$81="Mayor"),CONCATENATE("R25C",'Mapa final'!$R$81),"")</f>
        <v/>
      </c>
      <c r="V80" s="42" t="str">
        <f ca="1">IF(AND('Mapa final'!$AB$79="Alta",'Mapa final'!$AD$79="Catastrófico"),CONCATENATE("R25C",'Mapa final'!$R$79),"")</f>
        <v/>
      </c>
      <c r="W80" s="43" t="str">
        <f>IF(AND('Mapa final'!$AB$80="Alta",'Mapa final'!$AD$80="Catastrófico"),CONCATENATE("R25C",'Mapa final'!$R$80),"")</f>
        <v/>
      </c>
      <c r="X80" s="97" t="str">
        <f>IF(AND('Mapa final'!$AB$81="Alta",'Mapa final'!$AD$81="Catastrófico"),CONCATENATE("R25C",'Mapa final'!$R$81),"")</f>
        <v/>
      </c>
      <c r="Y80" s="55"/>
      <c r="Z80" s="321"/>
      <c r="AA80" s="322"/>
      <c r="AB80" s="322"/>
      <c r="AC80" s="322"/>
      <c r="AD80" s="322"/>
      <c r="AE80" s="323"/>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row>
    <row r="81" spans="1:61" ht="15" customHeight="1" x14ac:dyDescent="0.25">
      <c r="A81" s="55"/>
      <c r="B81" s="338"/>
      <c r="C81" s="338"/>
      <c r="D81" s="339"/>
      <c r="E81" s="328"/>
      <c r="F81" s="327"/>
      <c r="G81" s="327"/>
      <c r="H81" s="327"/>
      <c r="I81" s="327"/>
      <c r="J81" s="48" t="str">
        <f ca="1">IF(AND('Mapa final'!$AB$82="Alta",'Mapa final'!$AD$82="Leve"),CONCATENATE("R26C",'Mapa final'!$R$82),"")</f>
        <v/>
      </c>
      <c r="K81" s="49" t="str">
        <f ca="1">IF(AND('Mapa final'!$AB$83="Alta",'Mapa final'!$AD$83="Leve"),CONCATENATE("R26C",'Mapa final'!$R$83),"")</f>
        <v/>
      </c>
      <c r="L81" s="108" t="str">
        <f ca="1">IF(AND('Mapa final'!$AB$84="Alta",'Mapa final'!$AD$84="Leve"),CONCATENATE("R26C",'Mapa final'!$R$84),"")</f>
        <v/>
      </c>
      <c r="M81" s="48" t="str">
        <f ca="1">IF(AND('Mapa final'!$AB$82="Alta",'Mapa final'!$AD$82="Menor"),CONCATENATE("R26C",'Mapa final'!$R$82),"")</f>
        <v/>
      </c>
      <c r="N81" s="49" t="str">
        <f ca="1">IF(AND('Mapa final'!$AB$83="Alta",'Mapa final'!$AD$83="Menor"),CONCATENATE("R26C",'Mapa final'!$R$83),"")</f>
        <v/>
      </c>
      <c r="O81" s="108" t="str">
        <f ca="1">IF(AND('Mapa final'!$AB$84="Alta",'Mapa final'!$AD$84="Menor"),CONCATENATE("R26C",'Mapa final'!$R$84),"")</f>
        <v/>
      </c>
      <c r="P81" s="102" t="str">
        <f ca="1">IF(AND('Mapa final'!$AB$82="Alta",'Mapa final'!$AD$82="Moderado"),CONCATENATE("R26C",'Mapa final'!$R$82),"")</f>
        <v/>
      </c>
      <c r="Q81" s="41" t="str">
        <f ca="1">IF(AND('Mapa final'!$AB$83="Alta",'Mapa final'!$AD$83="Moderado"),CONCATENATE("R26C",'Mapa final'!$R$83),"")</f>
        <v/>
      </c>
      <c r="R81" s="103" t="str">
        <f ca="1">IF(AND('Mapa final'!$AB$84="Alta",'Mapa final'!$AD$84="Moderado"),CONCATENATE("R26C",'Mapa final'!$R$84),"")</f>
        <v/>
      </c>
      <c r="S81" s="102" t="str">
        <f ca="1">IF(AND('Mapa final'!$AB$82="Alta",'Mapa final'!$AD$82="Mayor"),CONCATENATE("R26C",'Mapa final'!$R$82),"")</f>
        <v/>
      </c>
      <c r="T81" s="41" t="str">
        <f ca="1">IF(AND('Mapa final'!$AB$83="Alta",'Mapa final'!$AD$83="Mayor"),CONCATENATE("R26C",'Mapa final'!$R$83),"")</f>
        <v/>
      </c>
      <c r="U81" s="103" t="str">
        <f ca="1">IF(AND('Mapa final'!$AB$84="Alta",'Mapa final'!$AD$84="Mayor"),CONCATENATE("R26C",'Mapa final'!$R$84),"")</f>
        <v/>
      </c>
      <c r="V81" s="42" t="str">
        <f ca="1">IF(AND('Mapa final'!$AB$82="Alta",'Mapa final'!$AD$82="Catastrófico"),CONCATENATE("R26C",'Mapa final'!$R$82),"")</f>
        <v/>
      </c>
      <c r="W81" s="43" t="str">
        <f ca="1">IF(AND('Mapa final'!$AB$83="Alta",'Mapa final'!$AD$83="Catastrófico"),CONCATENATE("R26C",'Mapa final'!$R$83),"")</f>
        <v/>
      </c>
      <c r="X81" s="97" t="str">
        <f ca="1">IF(AND('Mapa final'!$AB$84="Alta",'Mapa final'!$AD$84="Catastrófico"),CONCATENATE("R26C",'Mapa final'!$R$84),"")</f>
        <v/>
      </c>
      <c r="Y81" s="55"/>
      <c r="Z81" s="321"/>
      <c r="AA81" s="322"/>
      <c r="AB81" s="322"/>
      <c r="AC81" s="322"/>
      <c r="AD81" s="322"/>
      <c r="AE81" s="323"/>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row>
    <row r="82" spans="1:61" ht="15" customHeight="1" x14ac:dyDescent="0.25">
      <c r="A82" s="55"/>
      <c r="B82" s="338"/>
      <c r="C82" s="338"/>
      <c r="D82" s="339"/>
      <c r="E82" s="328"/>
      <c r="F82" s="327"/>
      <c r="G82" s="327"/>
      <c r="H82" s="327"/>
      <c r="I82" s="327"/>
      <c r="J82" s="48" t="str">
        <f ca="1">IF(AND('Mapa final'!$AB$85="Alta",'Mapa final'!$AD$85="Leve"),CONCATENATE("R27C",'Mapa final'!$R$85),"")</f>
        <v/>
      </c>
      <c r="K82" s="49" t="str">
        <f>IF(AND('Mapa final'!$AB$86="Alta",'Mapa final'!$AD$86="Leve"),CONCATENATE("R27C",'Mapa final'!$R$86),"")</f>
        <v/>
      </c>
      <c r="L82" s="108" t="str">
        <f>IF(AND('Mapa final'!$AB$87="Alta",'Mapa final'!$AD$87="Leve"),CONCATENATE("R27C",'Mapa final'!$R$87),"")</f>
        <v/>
      </c>
      <c r="M82" s="48" t="str">
        <f ca="1">IF(AND('Mapa final'!$AB$85="Alta",'Mapa final'!$AD$85="Menor"),CONCATENATE("R27C",'Mapa final'!$R$85),"")</f>
        <v/>
      </c>
      <c r="N82" s="49" t="str">
        <f>IF(AND('Mapa final'!$AB$86="Alta",'Mapa final'!$AD$86="Menor"),CONCATENATE("R27C",'Mapa final'!$R$86),"")</f>
        <v/>
      </c>
      <c r="O82" s="108" t="str">
        <f>IF(AND('Mapa final'!$AB$87="Alta",'Mapa final'!$AD$87="Menor"),CONCATENATE("R27C",'Mapa final'!$R$87),"")</f>
        <v/>
      </c>
      <c r="P82" s="102" t="str">
        <f ca="1">IF(AND('Mapa final'!$AB$85="Alta",'Mapa final'!$AD$85="Moderado"),CONCATENATE("R27C",'Mapa final'!$R$85),"")</f>
        <v/>
      </c>
      <c r="Q82" s="41" t="str">
        <f>IF(AND('Mapa final'!$AB$86="Alta",'Mapa final'!$AD$86="Moderado"),CONCATENATE("R27C",'Mapa final'!$R$86),"")</f>
        <v/>
      </c>
      <c r="R82" s="103" t="str">
        <f>IF(AND('Mapa final'!$AB$87="Alta",'Mapa final'!$AD$87="Moderado"),CONCATENATE("R27C",'Mapa final'!$R$87),"")</f>
        <v/>
      </c>
      <c r="S82" s="102" t="str">
        <f ca="1">IF(AND('Mapa final'!$AB$85="Alta",'Mapa final'!$AD$85="Mayor"),CONCATENATE("R27C",'Mapa final'!$R$85),"")</f>
        <v/>
      </c>
      <c r="T82" s="41" t="str">
        <f>IF(AND('Mapa final'!$AB$86="Alta",'Mapa final'!$AD$86="Mayor"),CONCATENATE("R27C",'Mapa final'!$R$86),"")</f>
        <v/>
      </c>
      <c r="U82" s="103" t="str">
        <f>IF(AND('Mapa final'!$AB$87="Alta",'Mapa final'!$AD$87="Mayor"),CONCATENATE("R27C",'Mapa final'!$R$87),"")</f>
        <v/>
      </c>
      <c r="V82" s="42" t="str">
        <f ca="1">IF(AND('Mapa final'!$AB$85="Alta",'Mapa final'!$AD$85="Catastrófico"),CONCATENATE("R27C",'Mapa final'!$R$85),"")</f>
        <v/>
      </c>
      <c r="W82" s="43" t="str">
        <f>IF(AND('Mapa final'!$AB$86="Alta",'Mapa final'!$AD$86="Catastrófico"),CONCATENATE("R27C",'Mapa final'!$R$86),"")</f>
        <v/>
      </c>
      <c r="X82" s="97" t="str">
        <f>IF(AND('Mapa final'!$AB$87="Alta",'Mapa final'!$AD$87="Catastrófico"),CONCATENATE("R27C",'Mapa final'!$R$87),"")</f>
        <v/>
      </c>
      <c r="Y82" s="55"/>
      <c r="Z82" s="321"/>
      <c r="AA82" s="322"/>
      <c r="AB82" s="322"/>
      <c r="AC82" s="322"/>
      <c r="AD82" s="322"/>
      <c r="AE82" s="323"/>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row>
    <row r="83" spans="1:61" ht="15" customHeight="1" x14ac:dyDescent="0.25">
      <c r="A83" s="55"/>
      <c r="B83" s="338"/>
      <c r="C83" s="338"/>
      <c r="D83" s="339"/>
      <c r="E83" s="328"/>
      <c r="F83" s="327"/>
      <c r="G83" s="327"/>
      <c r="H83" s="327"/>
      <c r="I83" s="327"/>
      <c r="J83" s="48" t="str">
        <f ca="1">IF(AND('Mapa final'!$AB$88="Alta",'Mapa final'!$AD$88="Leve"),CONCATENATE("R28C",'Mapa final'!$R$88),"")</f>
        <v/>
      </c>
      <c r="K83" s="49" t="str">
        <f>IF(AND('Mapa final'!$AB$89="Alta",'Mapa final'!$AD$89="Leve"),CONCATENATE("R28C",'Mapa final'!$R$89),"")</f>
        <v/>
      </c>
      <c r="L83" s="108" t="str">
        <f>IF(AND('Mapa final'!$AB$90="Alta",'Mapa final'!$AD$90="Leve"),CONCATENATE("R28C",'Mapa final'!$R$90),"")</f>
        <v/>
      </c>
      <c r="M83" s="48" t="str">
        <f ca="1">IF(AND('Mapa final'!$AB$88="Alta",'Mapa final'!$AD$88="Menor"),CONCATENATE("R28C",'Mapa final'!$R$88),"")</f>
        <v/>
      </c>
      <c r="N83" s="49" t="str">
        <f>IF(AND('Mapa final'!$AB$89="Alta",'Mapa final'!$AD$89="Menor"),CONCATENATE("R28C",'Mapa final'!$R$89),"")</f>
        <v/>
      </c>
      <c r="O83" s="108" t="str">
        <f>IF(AND('Mapa final'!$AB$90="Alta",'Mapa final'!$AD$90="Menor"),CONCATENATE("R28C",'Mapa final'!$R$90),"")</f>
        <v/>
      </c>
      <c r="P83" s="102" t="str">
        <f ca="1">IF(AND('Mapa final'!$AB$88="Alta",'Mapa final'!$AD$88="Moderado"),CONCATENATE("R28C",'Mapa final'!$R$88),"")</f>
        <v/>
      </c>
      <c r="Q83" s="41" t="str">
        <f>IF(AND('Mapa final'!$AB$89="Alta",'Mapa final'!$AD$89="Moderado"),CONCATENATE("R28C",'Mapa final'!$R$89),"")</f>
        <v/>
      </c>
      <c r="R83" s="103" t="str">
        <f>IF(AND('Mapa final'!$AB$90="Alta",'Mapa final'!$AD$90="Moderado"),CONCATENATE("R28C",'Mapa final'!$R$90),"")</f>
        <v/>
      </c>
      <c r="S83" s="102" t="str">
        <f ca="1">IF(AND('Mapa final'!$AB$88="Alta",'Mapa final'!$AD$88="Mayor"),CONCATENATE("R28C",'Mapa final'!$R$88),"")</f>
        <v/>
      </c>
      <c r="T83" s="41" t="str">
        <f>IF(AND('Mapa final'!$AB$89="Alta",'Mapa final'!$AD$89="Mayor"),CONCATENATE("R28C",'Mapa final'!$R$89),"")</f>
        <v/>
      </c>
      <c r="U83" s="103" t="str">
        <f>IF(AND('Mapa final'!$AB$90="Alta",'Mapa final'!$AD$90="Mayor"),CONCATENATE("R28C",'Mapa final'!$R$90),"")</f>
        <v/>
      </c>
      <c r="V83" s="42" t="str">
        <f ca="1">IF(AND('Mapa final'!$AB$88="Alta",'Mapa final'!$AD$88="Catastrófico"),CONCATENATE("R28C",'Mapa final'!$R$88),"")</f>
        <v/>
      </c>
      <c r="W83" s="43" t="str">
        <f>IF(AND('Mapa final'!$AB$89="Alta",'Mapa final'!$AD$89="Catastrófico"),CONCATENATE("R28C",'Mapa final'!$R$89),"")</f>
        <v/>
      </c>
      <c r="X83" s="97" t="str">
        <f>IF(AND('Mapa final'!$AB$90="Alta",'Mapa final'!$AD$90="Catastrófico"),CONCATENATE("R28C",'Mapa final'!$R$90),"")</f>
        <v/>
      </c>
      <c r="Y83" s="55"/>
      <c r="Z83" s="321"/>
      <c r="AA83" s="322"/>
      <c r="AB83" s="322"/>
      <c r="AC83" s="322"/>
      <c r="AD83" s="322"/>
      <c r="AE83" s="323"/>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row>
    <row r="84" spans="1:61" ht="15" customHeight="1" x14ac:dyDescent="0.25">
      <c r="A84" s="55"/>
      <c r="B84" s="338"/>
      <c r="C84" s="338"/>
      <c r="D84" s="339"/>
      <c r="E84" s="328"/>
      <c r="F84" s="327"/>
      <c r="G84" s="327"/>
      <c r="H84" s="327"/>
      <c r="I84" s="327"/>
      <c r="J84" s="48" t="str">
        <f ca="1">IF(AND('Mapa final'!$AB$91="Alta",'Mapa final'!$AD$91="Leve"),CONCATENATE("R29C",'Mapa final'!$R$91),"")</f>
        <v/>
      </c>
      <c r="K84" s="49" t="str">
        <f>IF(AND('Mapa final'!$AB$92="Alta",'Mapa final'!$AD$92="Leve"),CONCATENATE("R29C",'Mapa final'!$R$92),"")</f>
        <v/>
      </c>
      <c r="L84" s="108" t="str">
        <f>IF(AND('Mapa final'!$AB$93="Alta",'Mapa final'!$AD$93="Leve"),CONCATENATE("R29C",'Mapa final'!$R$93),"")</f>
        <v/>
      </c>
      <c r="M84" s="48" t="str">
        <f ca="1">IF(AND('Mapa final'!$AB$91="Alta",'Mapa final'!$AD$91="Menor"),CONCATENATE("R29C",'Mapa final'!$R$91),"")</f>
        <v/>
      </c>
      <c r="N84" s="49" t="str">
        <f>IF(AND('Mapa final'!$AB$92="Alta",'Mapa final'!$AD$92="Menor"),CONCATENATE("R29C",'Mapa final'!$R$92),"")</f>
        <v/>
      </c>
      <c r="O84" s="108" t="str">
        <f>IF(AND('Mapa final'!$AB$93="Alta",'Mapa final'!$AD$93="Menor"),CONCATENATE("R29C",'Mapa final'!$R$93),"")</f>
        <v/>
      </c>
      <c r="P84" s="102" t="str">
        <f ca="1">IF(AND('Mapa final'!$AB$91="Alta",'Mapa final'!$AD$91="Moderado"),CONCATENATE("R29C",'Mapa final'!$R$91),"")</f>
        <v/>
      </c>
      <c r="Q84" s="41" t="str">
        <f>IF(AND('Mapa final'!$AB$92="Alta",'Mapa final'!$AD$92="Moderado"),CONCATENATE("R29C",'Mapa final'!$R$92),"")</f>
        <v/>
      </c>
      <c r="R84" s="103" t="str">
        <f>IF(AND('Mapa final'!$AB$93="Alta",'Mapa final'!$AD$93="Moderado"),CONCATENATE("R29C",'Mapa final'!$R$93),"")</f>
        <v/>
      </c>
      <c r="S84" s="102" t="str">
        <f ca="1">IF(AND('Mapa final'!$AB$91="Alta",'Mapa final'!$AD$91="Mayor"),CONCATENATE("R29C",'Mapa final'!$R$91),"")</f>
        <v/>
      </c>
      <c r="T84" s="41" t="str">
        <f>IF(AND('Mapa final'!$AB$92="Alta",'Mapa final'!$AD$92="Mayor"),CONCATENATE("R29C",'Mapa final'!$R$92),"")</f>
        <v/>
      </c>
      <c r="U84" s="103" t="str">
        <f>IF(AND('Mapa final'!$AB$93="Alta",'Mapa final'!$AD$93="Mayor"),CONCATENATE("R29C",'Mapa final'!$R$93),"")</f>
        <v/>
      </c>
      <c r="V84" s="42" t="str">
        <f ca="1">IF(AND('Mapa final'!$AB$91="Alta",'Mapa final'!$AD$91="Catastrófico"),CONCATENATE("R29C",'Mapa final'!$R$91),"")</f>
        <v/>
      </c>
      <c r="W84" s="43" t="str">
        <f>IF(AND('Mapa final'!$AB$92="Alta",'Mapa final'!$AD$92="Catastrófico"),CONCATENATE("R29C",'Mapa final'!$R$92),"")</f>
        <v/>
      </c>
      <c r="X84" s="97" t="str">
        <f>IF(AND('Mapa final'!$AB$93="Alta",'Mapa final'!$AD$93="Catastrófico"),CONCATENATE("R29C",'Mapa final'!$R$93),"")</f>
        <v/>
      </c>
      <c r="Y84" s="55"/>
      <c r="Z84" s="321"/>
      <c r="AA84" s="322"/>
      <c r="AB84" s="322"/>
      <c r="AC84" s="322"/>
      <c r="AD84" s="322"/>
      <c r="AE84" s="323"/>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row>
    <row r="85" spans="1:61" ht="15" customHeight="1" x14ac:dyDescent="0.25">
      <c r="A85" s="55"/>
      <c r="B85" s="338"/>
      <c r="C85" s="338"/>
      <c r="D85" s="339"/>
      <c r="E85" s="328"/>
      <c r="F85" s="327"/>
      <c r="G85" s="327"/>
      <c r="H85" s="327"/>
      <c r="I85" s="327"/>
      <c r="J85" s="48" t="str">
        <f ca="1">IF(AND('Mapa final'!$AB$94="Alta",'Mapa final'!$AD$94="Leve"),CONCATENATE("R30C",'Mapa final'!$R$94),"")</f>
        <v/>
      </c>
      <c r="K85" s="49" t="str">
        <f>IF(AND('Mapa final'!$AB$95="Alta",'Mapa final'!$AD$95="Leve"),CONCATENATE("R30C",'Mapa final'!$R$95),"")</f>
        <v/>
      </c>
      <c r="L85" s="108" t="str">
        <f>IF(AND('Mapa final'!$AB$96="Alta",'Mapa final'!$AD$96="Leve"),CONCATENATE("R30C",'Mapa final'!$R$96),"")</f>
        <v/>
      </c>
      <c r="M85" s="48" t="str">
        <f ca="1">IF(AND('Mapa final'!$AB$94="Alta",'Mapa final'!$AD$94="Menor"),CONCATENATE("R30C",'Mapa final'!$R$94),"")</f>
        <v/>
      </c>
      <c r="N85" s="49" t="str">
        <f>IF(AND('Mapa final'!$AB$95="Alta",'Mapa final'!$AD$95="Menor"),CONCATENATE("R30C",'Mapa final'!$R$95),"")</f>
        <v/>
      </c>
      <c r="O85" s="108" t="str">
        <f>IF(AND('Mapa final'!$AB$96="Alta",'Mapa final'!$AD$96="Menor"),CONCATENATE("R30C",'Mapa final'!$R$96),"")</f>
        <v/>
      </c>
      <c r="P85" s="102" t="str">
        <f ca="1">IF(AND('Mapa final'!$AB$94="Alta",'Mapa final'!$AD$94="Moderado"),CONCATENATE("R30C",'Mapa final'!$R$94),"")</f>
        <v/>
      </c>
      <c r="Q85" s="41" t="str">
        <f>IF(AND('Mapa final'!$AB$95="Alta",'Mapa final'!$AD$95="Moderado"),CONCATENATE("R30C",'Mapa final'!$R$95),"")</f>
        <v/>
      </c>
      <c r="R85" s="103" t="str">
        <f>IF(AND('Mapa final'!$AB$96="Alta",'Mapa final'!$AD$96="Moderado"),CONCATENATE("R30C",'Mapa final'!$R$96),"")</f>
        <v/>
      </c>
      <c r="S85" s="102" t="str">
        <f ca="1">IF(AND('Mapa final'!$AB$94="Alta",'Mapa final'!$AD$94="Mayor"),CONCATENATE("R30C",'Mapa final'!$R$94),"")</f>
        <v/>
      </c>
      <c r="T85" s="41" t="str">
        <f>IF(AND('Mapa final'!$AB$95="Alta",'Mapa final'!$AD$95="Mayor"),CONCATENATE("R30C",'Mapa final'!$R$95),"")</f>
        <v/>
      </c>
      <c r="U85" s="103" t="str">
        <f>IF(AND('Mapa final'!$AB$96="Alta",'Mapa final'!$AD$96="Mayor"),CONCATENATE("R30C",'Mapa final'!$R$96),"")</f>
        <v/>
      </c>
      <c r="V85" s="42" t="str">
        <f ca="1">IF(AND('Mapa final'!$AB$94="Alta",'Mapa final'!$AD$94="Catastrófico"),CONCATENATE("R30C",'Mapa final'!$R$94),"")</f>
        <v/>
      </c>
      <c r="W85" s="43" t="str">
        <f>IF(AND('Mapa final'!$AB$95="Alta",'Mapa final'!$AD$95="Catastrófico"),CONCATENATE("R30C",'Mapa final'!$R$95),"")</f>
        <v/>
      </c>
      <c r="X85" s="97" t="str">
        <f>IF(AND('Mapa final'!$AB$96="Alta",'Mapa final'!$AD$96="Catastrófico"),CONCATENATE("R30C",'Mapa final'!$R$96),"")</f>
        <v/>
      </c>
      <c r="Y85" s="55"/>
      <c r="Z85" s="321"/>
      <c r="AA85" s="322"/>
      <c r="AB85" s="322"/>
      <c r="AC85" s="322"/>
      <c r="AD85" s="322"/>
      <c r="AE85" s="323"/>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row>
    <row r="86" spans="1:61" ht="15" customHeight="1" x14ac:dyDescent="0.25">
      <c r="A86" s="55"/>
      <c r="B86" s="338"/>
      <c r="C86" s="338"/>
      <c r="D86" s="339"/>
      <c r="E86" s="328"/>
      <c r="F86" s="327"/>
      <c r="G86" s="327"/>
      <c r="H86" s="327"/>
      <c r="I86" s="327"/>
      <c r="J86" s="48" t="str">
        <f ca="1">IF(AND('Mapa final'!$AB$97="Alta",'Mapa final'!$AD$97="Leve"),CONCATENATE("R31C",'Mapa final'!$R$97),"")</f>
        <v/>
      </c>
      <c r="K86" s="49" t="str">
        <f>IF(AND('Mapa final'!$AB$98="Alta",'Mapa final'!$AD$98="Leve"),CONCATENATE("R31C",'Mapa final'!$R$98),"")</f>
        <v/>
      </c>
      <c r="L86" s="108" t="str">
        <f>IF(AND('Mapa final'!$AB$99="Alta",'Mapa final'!$AD$99="Leve"),CONCATENATE("R31C",'Mapa final'!$R$99),"")</f>
        <v/>
      </c>
      <c r="M86" s="48" t="str">
        <f ca="1">IF(AND('Mapa final'!$AB$97="Alta",'Mapa final'!$AD$97="Menor"),CONCATENATE("R31C",'Mapa final'!$R$97),"")</f>
        <v/>
      </c>
      <c r="N86" s="49" t="str">
        <f>IF(AND('Mapa final'!$AB$98="Alta",'Mapa final'!$AD$98="Menor"),CONCATENATE("R31C",'Mapa final'!$R$98),"")</f>
        <v/>
      </c>
      <c r="O86" s="108" t="str">
        <f>IF(AND('Mapa final'!$AB$99="Alta",'Mapa final'!$AD$99="Menor"),CONCATENATE("R31C",'Mapa final'!$R$99),"")</f>
        <v/>
      </c>
      <c r="P86" s="102" t="str">
        <f ca="1">IF(AND('Mapa final'!$AB$97="Alta",'Mapa final'!$AD$97="Moderado"),CONCATENATE("R31C",'Mapa final'!$R$97),"")</f>
        <v/>
      </c>
      <c r="Q86" s="41" t="str">
        <f>IF(AND('Mapa final'!$AB$98="Alta",'Mapa final'!$AD$98="Moderado"),CONCATENATE("R31C",'Mapa final'!$R$98),"")</f>
        <v/>
      </c>
      <c r="R86" s="103" t="str">
        <f>IF(AND('Mapa final'!$AB$99="Alta",'Mapa final'!$AD$99="Moderado"),CONCATENATE("R31C",'Mapa final'!$R$99),"")</f>
        <v/>
      </c>
      <c r="S86" s="102" t="str">
        <f ca="1">IF(AND('Mapa final'!$AB$97="Alta",'Mapa final'!$AD$97="Mayor"),CONCATENATE("R31C",'Mapa final'!$R$97),"")</f>
        <v/>
      </c>
      <c r="T86" s="41" t="str">
        <f>IF(AND('Mapa final'!$AB$98="Alta",'Mapa final'!$AD$98="Mayor"),CONCATENATE("R31C",'Mapa final'!$R$98),"")</f>
        <v/>
      </c>
      <c r="U86" s="103" t="str">
        <f>IF(AND('Mapa final'!$AB$99="Alta",'Mapa final'!$AD$99="Mayor"),CONCATENATE("R31C",'Mapa final'!$R$99),"")</f>
        <v/>
      </c>
      <c r="V86" s="42" t="str">
        <f ca="1">IF(AND('Mapa final'!$AB$97="Alta",'Mapa final'!$AD$97="Catastrófico"),CONCATENATE("R31C",'Mapa final'!$R$97),"")</f>
        <v/>
      </c>
      <c r="W86" s="43" t="str">
        <f>IF(AND('Mapa final'!$AB$98="Alta",'Mapa final'!$AD$98="Catastrófico"),CONCATENATE("R31C",'Mapa final'!$R$98),"")</f>
        <v/>
      </c>
      <c r="X86" s="97" t="str">
        <f>IF(AND('Mapa final'!$AB$99="Alta",'Mapa final'!$AD$99="Catastrófico"),CONCATENATE("R31C",'Mapa final'!$R$99),"")</f>
        <v/>
      </c>
      <c r="Y86" s="55"/>
      <c r="Z86" s="321"/>
      <c r="AA86" s="322"/>
      <c r="AB86" s="322"/>
      <c r="AC86" s="322"/>
      <c r="AD86" s="322"/>
      <c r="AE86" s="323"/>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row>
    <row r="87" spans="1:61" ht="15" customHeight="1" x14ac:dyDescent="0.25">
      <c r="A87" s="55"/>
      <c r="B87" s="338"/>
      <c r="C87" s="338"/>
      <c r="D87" s="339"/>
      <c r="E87" s="328"/>
      <c r="F87" s="327"/>
      <c r="G87" s="327"/>
      <c r="H87" s="327"/>
      <c r="I87" s="327"/>
      <c r="J87" s="48" t="str">
        <f ca="1">IF(AND('Mapa final'!$AB$100="Alta",'Mapa final'!$AD$100="Leve"),CONCATENATE("R32C",'Mapa final'!$R$100),"")</f>
        <v/>
      </c>
      <c r="K87" s="49" t="str">
        <f>IF(AND('Mapa final'!$AB$101="Alta",'Mapa final'!$AD$101="Leve"),CONCATENATE("R32C",'Mapa final'!$R$101),"")</f>
        <v/>
      </c>
      <c r="L87" s="108" t="str">
        <f>IF(AND('Mapa final'!$AB$102="Alta",'Mapa final'!$AD$102="Leve"),CONCATENATE("R32C",'Mapa final'!$R$102),"")</f>
        <v/>
      </c>
      <c r="M87" s="48" t="str">
        <f ca="1">IF(AND('Mapa final'!$AB$100="Alta",'Mapa final'!$AD$100="Menor"),CONCATENATE("R32C",'Mapa final'!$R$100),"")</f>
        <v/>
      </c>
      <c r="N87" s="49" t="str">
        <f>IF(AND('Mapa final'!$AB$101="Alta",'Mapa final'!$AD$101="Menor"),CONCATENATE("R32C",'Mapa final'!$R$101),"")</f>
        <v/>
      </c>
      <c r="O87" s="108" t="str">
        <f>IF(AND('Mapa final'!$AB$102="Alta",'Mapa final'!$AD$102="Menor"),CONCATENATE("R32C",'Mapa final'!$R$102),"")</f>
        <v/>
      </c>
      <c r="P87" s="102" t="str">
        <f ca="1">IF(AND('Mapa final'!$AB$100="Alta",'Mapa final'!$AD$100="Moderado"),CONCATENATE("R32C",'Mapa final'!$R$100),"")</f>
        <v/>
      </c>
      <c r="Q87" s="41" t="str">
        <f>IF(AND('Mapa final'!$AB$101="Alta",'Mapa final'!$AD$101="Moderado"),CONCATENATE("R32C",'Mapa final'!$R$101),"")</f>
        <v/>
      </c>
      <c r="R87" s="41" t="str">
        <f>IF(AND('Mapa final'!$AB$102="Alta",'Mapa final'!$AD$102="Moderado"),CONCATENATE("R32C",'Mapa final'!$R$102),"")</f>
        <v/>
      </c>
      <c r="S87" s="102" t="str">
        <f ca="1">IF(AND('Mapa final'!$AB$100="Alta",'Mapa final'!$AD$100="Mayor"),CONCATENATE("R32C",'Mapa final'!$R$100),"")</f>
        <v/>
      </c>
      <c r="T87" s="41" t="str">
        <f>IF(AND('Mapa final'!$AB$101="Alta",'Mapa final'!$AD$101="Mayor"),CONCATENATE("R32C",'Mapa final'!$R$101),"")</f>
        <v/>
      </c>
      <c r="U87" s="103" t="str">
        <f>IF(AND('Mapa final'!$AB$102="Alta",'Mapa final'!$AD$102="Mayor"),CONCATENATE("R32C",'Mapa final'!$R$102),"")</f>
        <v/>
      </c>
      <c r="V87" s="42" t="str">
        <f ca="1">IF(AND('Mapa final'!$AB$100="Alta",'Mapa final'!$AD$100="Catastrófico"),CONCATENATE("R32C",'Mapa final'!$R$100),"")</f>
        <v/>
      </c>
      <c r="W87" s="43" t="str">
        <f>IF(AND('Mapa final'!$AB$101="Alta",'Mapa final'!$AD$101="Catastrófico"),CONCATENATE("R32C",'Mapa final'!$R$101),"")</f>
        <v/>
      </c>
      <c r="X87" s="97" t="str">
        <f>IF(AND('Mapa final'!$AB$102="Alta",'Mapa final'!$AD$102="Catastrófico"),CONCATENATE("R32C",'Mapa final'!$R$102),"")</f>
        <v/>
      </c>
      <c r="Y87" s="55"/>
      <c r="Z87" s="321"/>
      <c r="AA87" s="322"/>
      <c r="AB87" s="322"/>
      <c r="AC87" s="322"/>
      <c r="AD87" s="322"/>
      <c r="AE87" s="323"/>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row>
    <row r="88" spans="1:61" ht="15" customHeight="1" x14ac:dyDescent="0.25">
      <c r="A88" s="55"/>
      <c r="B88" s="338"/>
      <c r="C88" s="338"/>
      <c r="D88" s="339"/>
      <c r="E88" s="328"/>
      <c r="F88" s="327"/>
      <c r="G88" s="327"/>
      <c r="H88" s="327"/>
      <c r="I88" s="327"/>
      <c r="J88" s="48" t="str">
        <f>IF(AND('Mapa final'!$AB$103="Alta",'Mapa final'!$AD$103="Leve"),CONCATENATE("R33C",'Mapa final'!$R$103),"")</f>
        <v/>
      </c>
      <c r="K88" s="49" t="str">
        <f>IF(AND('Mapa final'!$AB$104="Alta",'Mapa final'!$AD$104="Leve"),CONCATENATE("R33C",'Mapa final'!$R$104),"")</f>
        <v/>
      </c>
      <c r="L88" s="108" t="str">
        <f>IF(AND('Mapa final'!$AB$105="Alta",'Mapa final'!$AD$105="Leve"),CONCATENATE("R33C",'Mapa final'!$R$105),"")</f>
        <v/>
      </c>
      <c r="M88" s="48" t="str">
        <f>IF(AND('Mapa final'!$AB$103="Alta",'Mapa final'!$AD$103="Menor"),CONCATENATE("R33C",'Mapa final'!$R$103),"")</f>
        <v/>
      </c>
      <c r="N88" s="49" t="str">
        <f>IF(AND('Mapa final'!$AB$104="Alta",'Mapa final'!$AD$104="Menor"),CONCATENATE("R33C",'Mapa final'!$R$104),"")</f>
        <v/>
      </c>
      <c r="O88" s="108" t="str">
        <f>IF(AND('Mapa final'!$AB$105="Alta",'Mapa final'!$AD$105="Menor"),CONCATENATE("R33C",'Mapa final'!$R$105),"")</f>
        <v/>
      </c>
      <c r="P88" s="102" t="str">
        <f>IF(AND('Mapa final'!$AB$103="Alta",'Mapa final'!$AD$103="Moderado"),CONCATENATE("R33C",'Mapa final'!$R$103),"")</f>
        <v/>
      </c>
      <c r="Q88" s="41" t="str">
        <f>IF(AND('Mapa final'!$AB$104="Alta",'Mapa final'!$AD$104="Moderado"),CONCATENATE("R33C",'Mapa final'!$R$104),"")</f>
        <v/>
      </c>
      <c r="R88" s="41" t="str">
        <f>IF(AND('Mapa final'!$AB$105="Alta",'Mapa final'!$AD$105="Moderado"),CONCATENATE("R33C",'Mapa final'!$R$105),"")</f>
        <v/>
      </c>
      <c r="S88" s="102" t="str">
        <f>IF(AND('Mapa final'!$AB$103="Alta",'Mapa final'!$AD$103="Mayor"),CONCATENATE("R33C",'Mapa final'!$R$103),"")</f>
        <v/>
      </c>
      <c r="T88" s="41" t="str">
        <f>IF(AND('Mapa final'!$AB$104="Alta",'Mapa final'!$AD$104="Mayor"),CONCATENATE("R33C",'Mapa final'!$R$104),"")</f>
        <v/>
      </c>
      <c r="U88" s="103" t="str">
        <f>IF(AND('Mapa final'!$AB$105="Alta",'Mapa final'!$AD$105="Mayor"),CONCATENATE("R33C",'Mapa final'!$R$105),"")</f>
        <v/>
      </c>
      <c r="V88" s="42" t="str">
        <f>IF(AND('Mapa final'!$AB$103="Alta",'Mapa final'!$AD$103="Catastrófico"),CONCATENATE("R33C",'Mapa final'!$R$103),"")</f>
        <v/>
      </c>
      <c r="W88" s="43" t="str">
        <f>IF(AND('Mapa final'!$AB$104="Alta",'Mapa final'!$AD$104="Catastrófico"),CONCATENATE("R33C",'Mapa final'!$R$104),"")</f>
        <v/>
      </c>
      <c r="X88" s="97" t="str">
        <f>IF(AND('Mapa final'!$AB$105="Alta",'Mapa final'!$AD$105="Catastrófico"),CONCATENATE("R33C",'Mapa final'!$R$105),"")</f>
        <v/>
      </c>
      <c r="Y88" s="55"/>
      <c r="Z88" s="321"/>
      <c r="AA88" s="322"/>
      <c r="AB88" s="322"/>
      <c r="AC88" s="322"/>
      <c r="AD88" s="322"/>
      <c r="AE88" s="323"/>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row>
    <row r="89" spans="1:61" ht="15" customHeight="1" x14ac:dyDescent="0.25">
      <c r="A89" s="55"/>
      <c r="B89" s="338"/>
      <c r="C89" s="338"/>
      <c r="D89" s="339"/>
      <c r="E89" s="328"/>
      <c r="F89" s="327"/>
      <c r="G89" s="327"/>
      <c r="H89" s="327"/>
      <c r="I89" s="327"/>
      <c r="J89" s="48" t="str">
        <f ca="1">IF(AND('Mapa final'!$AB$106="Alta",'Mapa final'!$AD$106="Leve"),CONCATENATE("R34C",'Mapa final'!$R$106),"")</f>
        <v/>
      </c>
      <c r="K89" s="49" t="str">
        <f>IF(AND('Mapa final'!$AB$107="Alta",'Mapa final'!$AD$107="Leve"),CONCATENATE("R34C",'Mapa final'!$R$107),"")</f>
        <v/>
      </c>
      <c r="L89" s="108" t="str">
        <f>IF(AND('Mapa final'!$AB$108="Alta",'Mapa final'!$AD$108="Leve"),CONCATENATE("R34C",'Mapa final'!$R$108),"")</f>
        <v/>
      </c>
      <c r="M89" s="48" t="str">
        <f ca="1">IF(AND('Mapa final'!$AB$106="Alta",'Mapa final'!$AD$106="Menor"),CONCATENATE("R34C",'Mapa final'!$R$106),"")</f>
        <v/>
      </c>
      <c r="N89" s="49" t="str">
        <f>IF(AND('Mapa final'!$AB$107="Alta",'Mapa final'!$AD$107="Menor"),CONCATENATE("R34C",'Mapa final'!$R$107),"")</f>
        <v/>
      </c>
      <c r="O89" s="108" t="str">
        <f>IF(AND('Mapa final'!$AB$108="Alta",'Mapa final'!$AD$108="Menor"),CONCATENATE("R34C",'Mapa final'!$R$108),"")</f>
        <v/>
      </c>
      <c r="P89" s="102" t="str">
        <f ca="1">IF(AND('Mapa final'!$AB$106="Alta",'Mapa final'!$AD$106="Moderado"),CONCATENATE("R34C",'Mapa final'!$R$106),"")</f>
        <v/>
      </c>
      <c r="Q89" s="41" t="str">
        <f>IF(AND('Mapa final'!$AB$107="Alta",'Mapa final'!$AD$107="Moderado"),CONCATENATE("R34C",'Mapa final'!$R$107),"")</f>
        <v/>
      </c>
      <c r="R89" s="103" t="str">
        <f>IF(AND('Mapa final'!$AB$108="Alta",'Mapa final'!$AD$108="Moderado"),CONCATENATE("R34C",'Mapa final'!$R$108),"")</f>
        <v/>
      </c>
      <c r="S89" s="102" t="str">
        <f ca="1">IF(AND('Mapa final'!$AB$106="Alta",'Mapa final'!$AD$106="Mayor"),CONCATENATE("R34C",'Mapa final'!$R$106),"")</f>
        <v/>
      </c>
      <c r="T89" s="41" t="str">
        <f>IF(AND('Mapa final'!$AB$107="Alta",'Mapa final'!$AD$107="Mayor"),CONCATENATE("R34C",'Mapa final'!$R$107),"")</f>
        <v/>
      </c>
      <c r="U89" s="103" t="str">
        <f>IF(AND('Mapa final'!$AB$108="Alta",'Mapa final'!$AD$108="Mayor"),CONCATENATE("R34C",'Mapa final'!$R$108),"")</f>
        <v/>
      </c>
      <c r="V89" s="42" t="str">
        <f ca="1">IF(AND('Mapa final'!$AB$106="Alta",'Mapa final'!$AD$106="Catastrófico"),CONCATENATE("R34C",'Mapa final'!$R$106),"")</f>
        <v/>
      </c>
      <c r="W89" s="43" t="str">
        <f>IF(AND('Mapa final'!$AB$107="Alta",'Mapa final'!$AD$107="Catastrófico"),CONCATENATE("R34C",'Mapa final'!$R$107),"")</f>
        <v/>
      </c>
      <c r="X89" s="97" t="str">
        <f>IF(AND('Mapa final'!$AB$108="Alta",'Mapa final'!$AD$108="Catastrófico"),CONCATENATE("R34C",'Mapa final'!$R$108),"")</f>
        <v/>
      </c>
      <c r="Y89" s="55"/>
      <c r="Z89" s="321"/>
      <c r="AA89" s="322"/>
      <c r="AB89" s="322"/>
      <c r="AC89" s="322"/>
      <c r="AD89" s="322"/>
      <c r="AE89" s="323"/>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row>
    <row r="90" spans="1:61" ht="15" customHeight="1" x14ac:dyDescent="0.25">
      <c r="A90" s="55"/>
      <c r="B90" s="338"/>
      <c r="C90" s="338"/>
      <c r="D90" s="339"/>
      <c r="E90" s="328"/>
      <c r="F90" s="327"/>
      <c r="G90" s="327"/>
      <c r="H90" s="327"/>
      <c r="I90" s="327"/>
      <c r="J90" s="48" t="str">
        <f ca="1">IF(AND('Mapa final'!$AB$109="Alta",'Mapa final'!$AD$109="Leve"),CONCATENATE("R35C",'Mapa final'!$R$109),"")</f>
        <v/>
      </c>
      <c r="K90" s="49" t="str">
        <f>IF(AND('Mapa final'!$AB$110="Alta",'Mapa final'!$AD$110="Leve"),CONCATENATE("R35C",'Mapa final'!$R$110),"")</f>
        <v/>
      </c>
      <c r="L90" s="108" t="str">
        <f>IF(AND('Mapa final'!$AB$111="Alta",'Mapa final'!$AD$111="Leve"),CONCATENATE("R35C",'Mapa final'!$R$111),"")</f>
        <v/>
      </c>
      <c r="M90" s="48" t="str">
        <f ca="1">IF(AND('Mapa final'!$AB$109="Alta",'Mapa final'!$AD$109="Menor"),CONCATENATE("R35C",'Mapa final'!$R$109),"")</f>
        <v/>
      </c>
      <c r="N90" s="49" t="str">
        <f>IF(AND('Mapa final'!$AB$110="Alta",'Mapa final'!$AD$110="Menor"),CONCATENATE("R35C",'Mapa final'!$R$110),"")</f>
        <v/>
      </c>
      <c r="O90" s="108" t="str">
        <f>IF(AND('Mapa final'!$AB$111="Alta",'Mapa final'!$AD$111="Menor"),CONCATENATE("R35C",'Mapa final'!$R$111),"")</f>
        <v/>
      </c>
      <c r="P90" s="102" t="str">
        <f ca="1">IF(AND('Mapa final'!$AB$109="Alta",'Mapa final'!$AD$109="Moderado"),CONCATENATE("R35C",'Mapa final'!$R$109),"")</f>
        <v/>
      </c>
      <c r="Q90" s="41" t="str">
        <f>IF(AND('Mapa final'!$AB$110="Alta",'Mapa final'!$AD$110="Moderado"),CONCATENATE("R35C",'Mapa final'!$R$110),"")</f>
        <v/>
      </c>
      <c r="R90" s="103" t="str">
        <f>IF(AND('Mapa final'!$AB$111="Alta",'Mapa final'!$AD$111="Moderado"),CONCATENATE("R35C",'Mapa final'!$R$111),"")</f>
        <v/>
      </c>
      <c r="S90" s="102" t="str">
        <f ca="1">IF(AND('Mapa final'!$AB$109="Alta",'Mapa final'!$AD$109="Mayor"),CONCATENATE("R35C",'Mapa final'!$R$109),"")</f>
        <v/>
      </c>
      <c r="T90" s="41" t="str">
        <f>IF(AND('Mapa final'!$AB$110="Alta",'Mapa final'!$AD$110="Mayor"),CONCATENATE("R35C",'Mapa final'!$R$110),"")</f>
        <v/>
      </c>
      <c r="U90" s="103" t="str">
        <f>IF(AND('Mapa final'!$AB$111="Alta",'Mapa final'!$AD$111="Mayor"),CONCATENATE("R35C",'Mapa final'!$R$111),"")</f>
        <v/>
      </c>
      <c r="V90" s="42" t="str">
        <f ca="1">IF(AND('Mapa final'!$AB$109="Alta",'Mapa final'!$AD$109="Catastrófico"),CONCATENATE("R35C",'Mapa final'!$R$109),"")</f>
        <v/>
      </c>
      <c r="W90" s="43" t="str">
        <f>IF(AND('Mapa final'!$AB$110="Alta",'Mapa final'!$AD$110="Catastrófico"),CONCATENATE("R35C",'Mapa final'!$R$110),"")</f>
        <v/>
      </c>
      <c r="X90" s="97" t="str">
        <f>IF(AND('Mapa final'!$AB$111="Alta",'Mapa final'!$AD$111="Catastrófico"),CONCATENATE("R35C",'Mapa final'!$R$111),"")</f>
        <v/>
      </c>
      <c r="Y90" s="55"/>
      <c r="Z90" s="321"/>
      <c r="AA90" s="322"/>
      <c r="AB90" s="322"/>
      <c r="AC90" s="322"/>
      <c r="AD90" s="322"/>
      <c r="AE90" s="323"/>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row>
    <row r="91" spans="1:61" ht="15" customHeight="1" x14ac:dyDescent="0.25">
      <c r="A91" s="55"/>
      <c r="B91" s="338"/>
      <c r="C91" s="338"/>
      <c r="D91" s="339"/>
      <c r="E91" s="328"/>
      <c r="F91" s="327"/>
      <c r="G91" s="327"/>
      <c r="H91" s="327"/>
      <c r="I91" s="327"/>
      <c r="J91" s="48" t="str">
        <f ca="1">IF(AND('Mapa final'!$AB$112="Alta",'Mapa final'!$AD$112="Leve"),CONCATENATE("R36C",'Mapa final'!$R$112),"")</f>
        <v/>
      </c>
      <c r="K91" s="49" t="str">
        <f>IF(AND('Mapa final'!$AB$113="Alta",'Mapa final'!$AD$113="Leve"),CONCATENATE("R36C",'Mapa final'!$R$113),"")</f>
        <v/>
      </c>
      <c r="L91" s="108" t="str">
        <f>IF(AND('Mapa final'!$AB$114="Alta",'Mapa final'!$AD$114="Leve"),CONCATENATE("R36C",'Mapa final'!$R$114),"")</f>
        <v/>
      </c>
      <c r="M91" s="48" t="str">
        <f ca="1">IF(AND('Mapa final'!$AB$112="Alta",'Mapa final'!$AD$112="Menor"),CONCATENATE("R36C",'Mapa final'!$R$112),"")</f>
        <v/>
      </c>
      <c r="N91" s="49" t="str">
        <f>IF(AND('Mapa final'!$AB$113="Alta",'Mapa final'!$AD$113="Menor"),CONCATENATE("R36C",'Mapa final'!$R$113),"")</f>
        <v/>
      </c>
      <c r="O91" s="108" t="str">
        <f>IF(AND('Mapa final'!$AB$114="Alta",'Mapa final'!$AD$114="Menor"),CONCATENATE("R36C",'Mapa final'!$R$114),"")</f>
        <v/>
      </c>
      <c r="P91" s="102" t="str">
        <f ca="1">IF(AND('Mapa final'!$AB$112="Alta",'Mapa final'!$AD$112="Moderado"),CONCATENATE("R36C",'Mapa final'!$R$112),"")</f>
        <v/>
      </c>
      <c r="Q91" s="41" t="str">
        <f>IF(AND('Mapa final'!$AB$113="Alta",'Mapa final'!$AD$113="Moderado"),CONCATENATE("R36C",'Mapa final'!$R$113),"")</f>
        <v/>
      </c>
      <c r="R91" s="103" t="str">
        <f>IF(AND('Mapa final'!$AB$114="Alta",'Mapa final'!$AD$114="Moderado"),CONCATENATE("R36C",'Mapa final'!$R$114),"")</f>
        <v/>
      </c>
      <c r="S91" s="102" t="str">
        <f ca="1">IF(AND('Mapa final'!$AB$112="Alta",'Mapa final'!$AD$112="Mayor"),CONCATENATE("R36C",'Mapa final'!$R$112),"")</f>
        <v/>
      </c>
      <c r="T91" s="41" t="str">
        <f>IF(AND('Mapa final'!$AB$113="Alta",'Mapa final'!$AD$113="Mayor"),CONCATENATE("R36C",'Mapa final'!$R$113),"")</f>
        <v/>
      </c>
      <c r="U91" s="103" t="str">
        <f>IF(AND('Mapa final'!$AB$114="Alta",'Mapa final'!$AD$114="Mayor"),CONCATENATE("R36C",'Mapa final'!$R$114),"")</f>
        <v/>
      </c>
      <c r="V91" s="42" t="str">
        <f ca="1">IF(AND('Mapa final'!$AB$112="Alta",'Mapa final'!$AD$112="Catastrófico"),CONCATENATE("R36C",'Mapa final'!$R$112),"")</f>
        <v/>
      </c>
      <c r="W91" s="43" t="str">
        <f>IF(AND('Mapa final'!$AB$113="Alta",'Mapa final'!$AD$113="Catastrófico"),CONCATENATE("R36C",'Mapa final'!$R$113),"")</f>
        <v/>
      </c>
      <c r="X91" s="97" t="str">
        <f>IF(AND('Mapa final'!$AB$114="Alta",'Mapa final'!$AD$114="Catastrófico"),CONCATENATE("R36C",'Mapa final'!$R$114),"")</f>
        <v/>
      </c>
      <c r="Y91" s="55"/>
      <c r="Z91" s="321"/>
      <c r="AA91" s="322"/>
      <c r="AB91" s="322"/>
      <c r="AC91" s="322"/>
      <c r="AD91" s="322"/>
      <c r="AE91" s="323"/>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row>
    <row r="92" spans="1:61" ht="15" customHeight="1" x14ac:dyDescent="0.25">
      <c r="A92" s="55"/>
      <c r="B92" s="338"/>
      <c r="C92" s="338"/>
      <c r="D92" s="339"/>
      <c r="E92" s="328"/>
      <c r="F92" s="327"/>
      <c r="G92" s="327"/>
      <c r="H92" s="327"/>
      <c r="I92" s="327"/>
      <c r="J92" s="48" t="str">
        <f ca="1">IF(AND('Mapa final'!$AB$115="Alta",'Mapa final'!$AD$115="Leve"),CONCATENATE("R37C",'Mapa final'!$R$115),"")</f>
        <v/>
      </c>
      <c r="K92" s="49" t="str">
        <f>IF(AND('Mapa final'!$AB$116="Alta",'Mapa final'!$AD$116="Leve"),CONCATENATE("R37C",'Mapa final'!$R$116),"")</f>
        <v/>
      </c>
      <c r="L92" s="108" t="str">
        <f>IF(AND('Mapa final'!$AB$117="Alta",'Mapa final'!$AD$117="Leve"),CONCATENATE("R37C",'Mapa final'!$R$117),"")</f>
        <v/>
      </c>
      <c r="M92" s="48" t="str">
        <f ca="1">IF(AND('Mapa final'!$AB$115="Alta",'Mapa final'!$AD$115="Menor"),CONCATENATE("R37C",'Mapa final'!$R$115),"")</f>
        <v/>
      </c>
      <c r="N92" s="49" t="str">
        <f>IF(AND('Mapa final'!$AB$116="Alta",'Mapa final'!$AD$116="Menor"),CONCATENATE("R37C",'Mapa final'!$R$116),"")</f>
        <v/>
      </c>
      <c r="O92" s="108" t="str">
        <f>IF(AND('Mapa final'!$AB$117="Alta",'Mapa final'!$AD$117="Menor"),CONCATENATE("R37C",'Mapa final'!$R$117),"")</f>
        <v/>
      </c>
      <c r="P92" s="102" t="str">
        <f ca="1">IF(AND('Mapa final'!$AB$115="Alta",'Mapa final'!$AD$115="Moderado"),CONCATENATE("R37C",'Mapa final'!$R$115),"")</f>
        <v/>
      </c>
      <c r="Q92" s="41" t="str">
        <f>IF(AND('Mapa final'!$AB$116="Alta",'Mapa final'!$AD$116="Moderado"),CONCATENATE("R37C",'Mapa final'!$R$116),"")</f>
        <v/>
      </c>
      <c r="R92" s="103" t="str">
        <f>IF(AND('Mapa final'!$AB$117="Alta",'Mapa final'!$AD$117="Moderado"),CONCATENATE("R37C",'Mapa final'!$R$117),"")</f>
        <v/>
      </c>
      <c r="S92" s="102" t="str">
        <f ca="1">IF(AND('Mapa final'!$AB$115="Alta",'Mapa final'!$AD$115="Mayor"),CONCATENATE("R37C",'Mapa final'!$R$115),"")</f>
        <v/>
      </c>
      <c r="T92" s="41" t="str">
        <f>IF(AND('Mapa final'!$AB$116="Alta",'Mapa final'!$AD$116="Mayor"),CONCATENATE("R37C",'Mapa final'!$R$116),"")</f>
        <v/>
      </c>
      <c r="U92" s="103" t="str">
        <f>IF(AND('Mapa final'!$AB$117="Alta",'Mapa final'!$AD$117="Mayor"),CONCATENATE("R37C",'Mapa final'!$R$117),"")</f>
        <v/>
      </c>
      <c r="V92" s="42" t="str">
        <f ca="1">IF(AND('Mapa final'!$AB$115="Alta",'Mapa final'!$AD$115="Catastrófico"),CONCATENATE("R37C",'Mapa final'!$R$115),"")</f>
        <v/>
      </c>
      <c r="W92" s="43" t="str">
        <f>IF(AND('Mapa final'!$AB$116="Alta",'Mapa final'!$AD$116="Catastrófico"),CONCATENATE("R37C",'Mapa final'!$R$116),"")</f>
        <v/>
      </c>
      <c r="X92" s="97" t="str">
        <f>IF(AND('Mapa final'!$AB$117="Alta",'Mapa final'!$AD$117="Catastrófico"),CONCATENATE("R37C",'Mapa final'!$R$117),"")</f>
        <v/>
      </c>
      <c r="Y92" s="55"/>
      <c r="Z92" s="321"/>
      <c r="AA92" s="322"/>
      <c r="AB92" s="322"/>
      <c r="AC92" s="322"/>
      <c r="AD92" s="322"/>
      <c r="AE92" s="323"/>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row>
    <row r="93" spans="1:61" ht="15" customHeight="1" x14ac:dyDescent="0.25">
      <c r="A93" s="55"/>
      <c r="B93" s="338"/>
      <c r="C93" s="338"/>
      <c r="D93" s="339"/>
      <c r="E93" s="328"/>
      <c r="F93" s="327"/>
      <c r="G93" s="327"/>
      <c r="H93" s="327"/>
      <c r="I93" s="327"/>
      <c r="J93" s="48" t="str">
        <f ca="1">IF(AND('Mapa final'!$AB$118="Alta",'Mapa final'!$AD$118="Leve"),CONCATENATE("R38C",'Mapa final'!$R$118),"")</f>
        <v/>
      </c>
      <c r="K93" s="49" t="str">
        <f>IF(AND('Mapa final'!$AB$119="Alta",'Mapa final'!$AD$119="Leve"),CONCATENATE("R38C",'Mapa final'!$R$119),"")</f>
        <v/>
      </c>
      <c r="L93" s="108" t="str">
        <f>IF(AND('Mapa final'!$AB$120="Alta",'Mapa final'!$AD$120="Leve"),CONCATENATE("R38C",'Mapa final'!$R$120),"")</f>
        <v/>
      </c>
      <c r="M93" s="48" t="str">
        <f ca="1">IF(AND('Mapa final'!$AB$118="Alta",'Mapa final'!$AD$118="Menor"),CONCATENATE("R38C",'Mapa final'!$R$118),"")</f>
        <v/>
      </c>
      <c r="N93" s="49" t="str">
        <f>IF(AND('Mapa final'!$AB$119="Alta",'Mapa final'!$AD$119="Menor"),CONCATENATE("R38C",'Mapa final'!$R$119),"")</f>
        <v/>
      </c>
      <c r="O93" s="108" t="str">
        <f>IF(AND('Mapa final'!$AB$120="Alta",'Mapa final'!$AD$120="Menor"),CONCATENATE("R38C",'Mapa final'!$R$120),"")</f>
        <v/>
      </c>
      <c r="P93" s="102" t="str">
        <f ca="1">IF(AND('Mapa final'!$AB$118="Alta",'Mapa final'!$AD$118="Moderado"),CONCATENATE("R38C",'Mapa final'!$R$118),"")</f>
        <v/>
      </c>
      <c r="Q93" s="41" t="str">
        <f>IF(AND('Mapa final'!$AB$119="Alta",'Mapa final'!$AD$119="Moderado"),CONCATENATE("R38C",'Mapa final'!$R$119),"")</f>
        <v/>
      </c>
      <c r="R93" s="103" t="str">
        <f>IF(AND('Mapa final'!$AB$120="Alta",'Mapa final'!$AD$120="Moderado"),CONCATENATE("R38C",'Mapa final'!$R$120),"")</f>
        <v/>
      </c>
      <c r="S93" s="102" t="str">
        <f ca="1">IF(AND('Mapa final'!$AB$118="Alta",'Mapa final'!$AD$118="Mayor"),CONCATENATE("R38C",'Mapa final'!$R$118),"")</f>
        <v/>
      </c>
      <c r="T93" s="41" t="str">
        <f>IF(AND('Mapa final'!$AB$119="Alta",'Mapa final'!$AD$119="Mayor"),CONCATENATE("R38C",'Mapa final'!$R$119),"")</f>
        <v/>
      </c>
      <c r="U93" s="103" t="str">
        <f>IF(AND('Mapa final'!$AB$120="Alta",'Mapa final'!$AD$120="Mayor"),CONCATENATE("R38C",'Mapa final'!$R$120),"")</f>
        <v/>
      </c>
      <c r="V93" s="42" t="str">
        <f ca="1">IF(AND('Mapa final'!$AB$118="Alta",'Mapa final'!$AD$118="Catastrófico"),CONCATENATE("R38C",'Mapa final'!$R$118),"")</f>
        <v/>
      </c>
      <c r="W93" s="43" t="str">
        <f>IF(AND('Mapa final'!$AB$119="Alta",'Mapa final'!$AD$119="Catastrófico"),CONCATENATE("R38C",'Mapa final'!$R$119),"")</f>
        <v/>
      </c>
      <c r="X93" s="97" t="str">
        <f>IF(AND('Mapa final'!$AB$120="Alta",'Mapa final'!$AD$120="Catastrófico"),CONCATENATE("R38C",'Mapa final'!$R$120),"")</f>
        <v/>
      </c>
      <c r="Y93" s="55"/>
      <c r="Z93" s="321"/>
      <c r="AA93" s="322"/>
      <c r="AB93" s="322"/>
      <c r="AC93" s="322"/>
      <c r="AD93" s="322"/>
      <c r="AE93" s="323"/>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row>
    <row r="94" spans="1:61" ht="15" customHeight="1" x14ac:dyDescent="0.25">
      <c r="A94" s="55"/>
      <c r="B94" s="338"/>
      <c r="C94" s="338"/>
      <c r="D94" s="339"/>
      <c r="E94" s="328"/>
      <c r="F94" s="327"/>
      <c r="G94" s="327"/>
      <c r="H94" s="327"/>
      <c r="I94" s="327"/>
      <c r="J94" s="48" t="str">
        <f ca="1">IF(AND('Mapa final'!$AB$121="Alta",'Mapa final'!$AD$121="Leve"),CONCATENATE("R39C",'Mapa final'!$R$121),"")</f>
        <v/>
      </c>
      <c r="K94" s="49" t="str">
        <f>IF(AND('Mapa final'!$AB$122="Alta",'Mapa final'!$AD$122="Leve"),CONCATENATE("R39C",'Mapa final'!$R$122),"")</f>
        <v/>
      </c>
      <c r="L94" s="108" t="str">
        <f>IF(AND('Mapa final'!$AB$123="Alta",'Mapa final'!$AD$123="Leve"),CONCATENATE("R39C",'Mapa final'!$R$123),"")</f>
        <v/>
      </c>
      <c r="M94" s="48" t="str">
        <f ca="1">IF(AND('Mapa final'!$AB$121="Alta",'Mapa final'!$AD$121="Menor"),CONCATENATE("R39C",'Mapa final'!$R$121),"")</f>
        <v/>
      </c>
      <c r="N94" s="49" t="str">
        <f>IF(AND('Mapa final'!$AB$122="Alta",'Mapa final'!$AD$122="Menor"),CONCATENATE("R39C",'Mapa final'!$R$122),"")</f>
        <v/>
      </c>
      <c r="O94" s="108" t="str">
        <f>IF(AND('Mapa final'!$AB$123="Alta",'Mapa final'!$AD$123="Menor"),CONCATENATE("R39C",'Mapa final'!$R$123),"")</f>
        <v/>
      </c>
      <c r="P94" s="102" t="str">
        <f ca="1">IF(AND('Mapa final'!$AB$121="Alta",'Mapa final'!$AD$121="Moderado"),CONCATENATE("R39C",'Mapa final'!$R$121),"")</f>
        <v/>
      </c>
      <c r="Q94" s="41" t="str">
        <f>IF(AND('Mapa final'!$AB$122="Alta",'Mapa final'!$AD$122="Moderado"),CONCATENATE("R39C",'Mapa final'!$R$122),"")</f>
        <v/>
      </c>
      <c r="R94" s="103" t="str">
        <f>IF(AND('Mapa final'!$AB$123="Alta",'Mapa final'!$AD$123="Moderado"),CONCATENATE("R39C",'Mapa final'!$R$123),"")</f>
        <v/>
      </c>
      <c r="S94" s="102" t="str">
        <f ca="1">IF(AND('Mapa final'!$AB$121="Alta",'Mapa final'!$AD$121="Mayor"),CONCATENATE("R39C",'Mapa final'!$R$121),"")</f>
        <v/>
      </c>
      <c r="T94" s="41" t="str">
        <f>IF(AND('Mapa final'!$AB$122="Alta",'Mapa final'!$AD$122="Mayor"),CONCATENATE("R39C",'Mapa final'!$R$122),"")</f>
        <v/>
      </c>
      <c r="U94" s="103" t="str">
        <f>IF(AND('Mapa final'!$AB$123="Alta",'Mapa final'!$AD$123="Mayor"),CONCATENATE("R39C",'Mapa final'!$R$123),"")</f>
        <v/>
      </c>
      <c r="V94" s="42" t="str">
        <f ca="1">IF(AND('Mapa final'!$AB$121="Alta",'Mapa final'!$AD$121="Catastrófico"),CONCATENATE("R39C",'Mapa final'!$R$121),"")</f>
        <v/>
      </c>
      <c r="W94" s="43" t="str">
        <f>IF(AND('Mapa final'!$AB$122="Alta",'Mapa final'!$AD$122="Catastrófico"),CONCATENATE("R39C",'Mapa final'!$R$122),"")</f>
        <v/>
      </c>
      <c r="X94" s="97" t="str">
        <f>IF(AND('Mapa final'!$AB$123="Alta",'Mapa final'!$AD$123="Catastrófico"),CONCATENATE("R39C",'Mapa final'!$R$123),"")</f>
        <v/>
      </c>
      <c r="Y94" s="55"/>
      <c r="Z94" s="321"/>
      <c r="AA94" s="322"/>
      <c r="AB94" s="322"/>
      <c r="AC94" s="322"/>
      <c r="AD94" s="322"/>
      <c r="AE94" s="323"/>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row>
    <row r="95" spans="1:61" ht="15" customHeight="1" x14ac:dyDescent="0.25">
      <c r="A95" s="55"/>
      <c r="B95" s="338"/>
      <c r="C95" s="338"/>
      <c r="D95" s="339"/>
      <c r="E95" s="328"/>
      <c r="F95" s="327"/>
      <c r="G95" s="327"/>
      <c r="H95" s="327"/>
      <c r="I95" s="327"/>
      <c r="J95" s="48" t="str">
        <f ca="1">IF(AND('Mapa final'!$AB$124="Alta",'Mapa final'!$AD$124="Leve"),CONCATENATE("R40C",'Mapa final'!$R$124),"")</f>
        <v/>
      </c>
      <c r="K95" s="49" t="str">
        <f>IF(AND('Mapa final'!$AB$125="Alta",'Mapa final'!$AD$125="Leve"),CONCATENATE("R40C",'Mapa final'!$R$125),"")</f>
        <v/>
      </c>
      <c r="L95" s="108" t="str">
        <f>IF(AND('Mapa final'!$AB$126="Alta",'Mapa final'!$AD$126="Leve"),CONCATENATE("R40C",'Mapa final'!$R$126),"")</f>
        <v/>
      </c>
      <c r="M95" s="48" t="str">
        <f ca="1">IF(AND('Mapa final'!$AB$124="Alta",'Mapa final'!$AD$124="Menor"),CONCATENATE("R40C",'Mapa final'!$R$124),"")</f>
        <v/>
      </c>
      <c r="N95" s="49" t="str">
        <f>IF(AND('Mapa final'!$AB$125="Alta",'Mapa final'!$AD$125="Menor"),CONCATENATE("R40C",'Mapa final'!$R$125),"")</f>
        <v/>
      </c>
      <c r="O95" s="108" t="str">
        <f>IF(AND('Mapa final'!$AB$126="Alta",'Mapa final'!$AD$126="Menor"),CONCATENATE("R40C",'Mapa final'!$R$126),"")</f>
        <v/>
      </c>
      <c r="P95" s="102" t="str">
        <f ca="1">IF(AND('Mapa final'!$AB$124="Alta",'Mapa final'!$AD$124="Moderado"),CONCATENATE("R40C",'Mapa final'!$R$124),"")</f>
        <v/>
      </c>
      <c r="Q95" s="41" t="str">
        <f>IF(AND('Mapa final'!$AB$125="Alta",'Mapa final'!$AD$125="Moderado"),CONCATENATE("R40C",'Mapa final'!$R$125),"")</f>
        <v/>
      </c>
      <c r="R95" s="103" t="str">
        <f>IF(AND('Mapa final'!$AB$126="Alta",'Mapa final'!$AD$126="Moderado"),CONCATENATE("R40C",'Mapa final'!$R$126),"")</f>
        <v/>
      </c>
      <c r="S95" s="102" t="str">
        <f ca="1">IF(AND('Mapa final'!$AB$124="Alta",'Mapa final'!$AD$124="Mayor"),CONCATENATE("R40C",'Mapa final'!$R$124),"")</f>
        <v/>
      </c>
      <c r="T95" s="41" t="str">
        <f>IF(AND('Mapa final'!$AB$125="Alta",'Mapa final'!$AD$125="Mayor"),CONCATENATE("R40C",'Mapa final'!$R$125),"")</f>
        <v/>
      </c>
      <c r="U95" s="103" t="str">
        <f>IF(AND('Mapa final'!$AB$126="Alta",'Mapa final'!$AD$126="Mayor"),CONCATENATE("R40C",'Mapa final'!$R$126),"")</f>
        <v/>
      </c>
      <c r="V95" s="42" t="str">
        <f ca="1">IF(AND('Mapa final'!$AB$124="Alta",'Mapa final'!$AD$124="Catastrófico"),CONCATENATE("R40C",'Mapa final'!$R$124),"")</f>
        <v/>
      </c>
      <c r="W95" s="43" t="str">
        <f>IF(AND('Mapa final'!$AB$125="Alta",'Mapa final'!$AD$125="Catastrófico"),CONCATENATE("R40C",'Mapa final'!$R$125),"")</f>
        <v/>
      </c>
      <c r="X95" s="97" t="str">
        <f>IF(AND('Mapa final'!$AB$126="Alta",'Mapa final'!$AD$126="Catastrófico"),CONCATENATE("R40C",'Mapa final'!$R$126),"")</f>
        <v/>
      </c>
      <c r="Y95" s="55"/>
      <c r="Z95" s="321"/>
      <c r="AA95" s="322"/>
      <c r="AB95" s="322"/>
      <c r="AC95" s="322"/>
      <c r="AD95" s="322"/>
      <c r="AE95" s="323"/>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row>
    <row r="96" spans="1:61" ht="15" customHeight="1" x14ac:dyDescent="0.25">
      <c r="A96" s="55"/>
      <c r="B96" s="338"/>
      <c r="C96" s="338"/>
      <c r="D96" s="339"/>
      <c r="E96" s="328"/>
      <c r="F96" s="327"/>
      <c r="G96" s="327"/>
      <c r="H96" s="327"/>
      <c r="I96" s="327"/>
      <c r="J96" s="48" t="str">
        <f ca="1">IF(AND('Mapa final'!$AB$127="Alta",'Mapa final'!$AD$127="Leve"),CONCATENATE("R41C",'Mapa final'!$R$127),"")</f>
        <v/>
      </c>
      <c r="K96" s="49" t="str">
        <f>IF(AND('Mapa final'!$AB$128="Alta",'Mapa final'!$AD$128="Leve"),CONCATENATE("R41C",'Mapa final'!$R$128),"")</f>
        <v/>
      </c>
      <c r="L96" s="108" t="str">
        <f>IF(AND('Mapa final'!$AB$129="Alta",'Mapa final'!$AD$129="Leve"),CONCATENATE("R41C",'Mapa final'!$R$129),"")</f>
        <v/>
      </c>
      <c r="M96" s="48" t="str">
        <f ca="1">IF(AND('Mapa final'!$AB$127="Alta",'Mapa final'!$AD$127="Menor"),CONCATENATE("R41C",'Mapa final'!$R$127),"")</f>
        <v/>
      </c>
      <c r="N96" s="49" t="str">
        <f>IF(AND('Mapa final'!$AB$128="Alta",'Mapa final'!$AD$128="Menor"),CONCATENATE("R41C",'Mapa final'!$R$128),"")</f>
        <v/>
      </c>
      <c r="O96" s="108" t="str">
        <f>IF(AND('Mapa final'!$AB$129="Alta",'Mapa final'!$AD$129="Menor"),CONCATENATE("R41C",'Mapa final'!$R$129),"")</f>
        <v/>
      </c>
      <c r="P96" s="102" t="str">
        <f ca="1">IF(AND('Mapa final'!$AB$127="Alta",'Mapa final'!$AD$127="Moderado"),CONCATENATE("R41C",'Mapa final'!$R$127),"")</f>
        <v/>
      </c>
      <c r="Q96" s="41" t="str">
        <f>IF(AND('Mapa final'!$AB$128="Alta",'Mapa final'!$AD$128="Moderado"),CONCATENATE("R41C",'Mapa final'!$R$128),"")</f>
        <v/>
      </c>
      <c r="R96" s="103" t="str">
        <f>IF(AND('Mapa final'!$AB$129="Alta",'Mapa final'!$AD$129="Moderado"),CONCATENATE("R41C",'Mapa final'!$R$129),"")</f>
        <v/>
      </c>
      <c r="S96" s="102" t="str">
        <f ca="1">IF(AND('Mapa final'!$AB$127="Alta",'Mapa final'!$AD$127="Mayor"),CONCATENATE("R41C",'Mapa final'!$R$127),"")</f>
        <v/>
      </c>
      <c r="T96" s="41" t="str">
        <f>IF(AND('Mapa final'!$AB$128="Alta",'Mapa final'!$AD$128="Mayor"),CONCATENATE("R41C",'Mapa final'!$R$128),"")</f>
        <v/>
      </c>
      <c r="U96" s="103" t="str">
        <f>IF(AND('Mapa final'!$AB$129="Alta",'Mapa final'!$AD$129="Mayor"),CONCATENATE("R41C",'Mapa final'!$R$129),"")</f>
        <v/>
      </c>
      <c r="V96" s="42" t="str">
        <f ca="1">IF(AND('Mapa final'!$AB$127="Alta",'Mapa final'!$AD$127="Catastrófico"),CONCATENATE("R41C",'Mapa final'!$R$127),"")</f>
        <v/>
      </c>
      <c r="W96" s="43" t="str">
        <f>IF(AND('Mapa final'!$AB$128="Alta",'Mapa final'!$AD$128="Catastrófico"),CONCATENATE("R41C",'Mapa final'!$R$128),"")</f>
        <v/>
      </c>
      <c r="X96" s="97" t="str">
        <f>IF(AND('Mapa final'!$AB$129="Alta",'Mapa final'!$AD$129="Catastrófico"),CONCATENATE("R41C",'Mapa final'!$R$129),"")</f>
        <v/>
      </c>
      <c r="Y96" s="55"/>
      <c r="Z96" s="321"/>
      <c r="AA96" s="322"/>
      <c r="AB96" s="322"/>
      <c r="AC96" s="322"/>
      <c r="AD96" s="322"/>
      <c r="AE96" s="323"/>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row>
    <row r="97" spans="1:61" ht="15" customHeight="1" x14ac:dyDescent="0.25">
      <c r="A97" s="55"/>
      <c r="B97" s="338"/>
      <c r="C97" s="338"/>
      <c r="D97" s="339"/>
      <c r="E97" s="328"/>
      <c r="F97" s="327"/>
      <c r="G97" s="327"/>
      <c r="H97" s="327"/>
      <c r="I97" s="327"/>
      <c r="J97" s="48" t="str">
        <f ca="1">IF(AND('Mapa final'!$AB$130="Alta",'Mapa final'!$AD$130="Leve"),CONCATENATE("R42C",'Mapa final'!$R$130),"")</f>
        <v/>
      </c>
      <c r="K97" s="49" t="str">
        <f>IF(AND('Mapa final'!$AB$131="Alta",'Mapa final'!$AD$131="Leve"),CONCATENATE("R42C",'Mapa final'!$R$131),"")</f>
        <v/>
      </c>
      <c r="L97" s="108" t="str">
        <f>IF(AND('Mapa final'!$AB$132="Alta",'Mapa final'!$AD$132="Leve"),CONCATENATE("R42C",'Mapa final'!$R$132),"")</f>
        <v/>
      </c>
      <c r="M97" s="48" t="str">
        <f ca="1">IF(AND('Mapa final'!$AB$130="Alta",'Mapa final'!$AD$130="Menor"),CONCATENATE("R42C",'Mapa final'!$R$130),"")</f>
        <v/>
      </c>
      <c r="N97" s="49" t="str">
        <f>IF(AND('Mapa final'!$AB$131="Alta",'Mapa final'!$AD$131="Menor"),CONCATENATE("R42C",'Mapa final'!$R$131),"")</f>
        <v/>
      </c>
      <c r="O97" s="108" t="str">
        <f>IF(AND('Mapa final'!$AB$132="Alta",'Mapa final'!$AD$132="Menor"),CONCATENATE("R42C",'Mapa final'!$R$132),"")</f>
        <v/>
      </c>
      <c r="P97" s="102" t="str">
        <f ca="1">IF(AND('Mapa final'!$AB$130="Alta",'Mapa final'!$AD$130="Moderado"),CONCATENATE("R42C",'Mapa final'!$R$130),"")</f>
        <v/>
      </c>
      <c r="Q97" s="41" t="str">
        <f>IF(AND('Mapa final'!$AB$131="Alta",'Mapa final'!$AD$131="Moderado"),CONCATENATE("R42C",'Mapa final'!$R$131),"")</f>
        <v/>
      </c>
      <c r="R97" s="103" t="str">
        <f>IF(AND('Mapa final'!$AB$132="Alta",'Mapa final'!$AD$132="Moderado"),CONCATENATE("R42C",'Mapa final'!$R$132),"")</f>
        <v/>
      </c>
      <c r="S97" s="102" t="str">
        <f ca="1">IF(AND('Mapa final'!$AB$130="Alta",'Mapa final'!$AD$130="Mayor"),CONCATENATE("R42C",'Mapa final'!$R$130),"")</f>
        <v/>
      </c>
      <c r="T97" s="41" t="str">
        <f>IF(AND('Mapa final'!$AB$131="Alta",'Mapa final'!$AD$131="Mayor"),CONCATENATE("R42C",'Mapa final'!$R$131),"")</f>
        <v/>
      </c>
      <c r="U97" s="103" t="str">
        <f>IF(AND('Mapa final'!$AB$132="Alta",'Mapa final'!$AD$132="Mayor"),CONCATENATE("R42C",'Mapa final'!$R$132),"")</f>
        <v/>
      </c>
      <c r="V97" s="42" t="str">
        <f ca="1">IF(AND('Mapa final'!$AB$130="Alta",'Mapa final'!$AD$130="Catastrófico"),CONCATENATE("R42C",'Mapa final'!$R$130),"")</f>
        <v/>
      </c>
      <c r="W97" s="43" t="str">
        <f>IF(AND('Mapa final'!$AB$131="Alta",'Mapa final'!$AD$131="Catastrófico"),CONCATENATE("R42C",'Mapa final'!$R$131),"")</f>
        <v/>
      </c>
      <c r="X97" s="97" t="str">
        <f>IF(AND('Mapa final'!$AB$132="Alta",'Mapa final'!$AD$132="Catastrófico"),CONCATENATE("R42C",'Mapa final'!$R$132),"")</f>
        <v/>
      </c>
      <c r="Y97" s="55"/>
      <c r="Z97" s="321"/>
      <c r="AA97" s="322"/>
      <c r="AB97" s="322"/>
      <c r="AC97" s="322"/>
      <c r="AD97" s="322"/>
      <c r="AE97" s="323"/>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row>
    <row r="98" spans="1:61" ht="15" customHeight="1" x14ac:dyDescent="0.25">
      <c r="A98" s="55"/>
      <c r="B98" s="338"/>
      <c r="C98" s="338"/>
      <c r="D98" s="339"/>
      <c r="E98" s="328"/>
      <c r="F98" s="327"/>
      <c r="G98" s="327"/>
      <c r="H98" s="327"/>
      <c r="I98" s="327"/>
      <c r="J98" s="48" t="str">
        <f ca="1">IF(AND('Mapa final'!$AB$133="Alta",'Mapa final'!$AD$133="Leve"),CONCATENATE("R43C",'Mapa final'!$R$133),"")</f>
        <v/>
      </c>
      <c r="K98" s="49" t="str">
        <f>IF(AND('Mapa final'!$AB$134="Alta",'Mapa final'!$AD$134="Leve"),CONCATENATE("R43C",'Mapa final'!$R$134),"")</f>
        <v/>
      </c>
      <c r="L98" s="108" t="str">
        <f>IF(AND('Mapa final'!$AB$135="Alta",'Mapa final'!$AD$135="Leve"),CONCATENATE("R43C",'Mapa final'!$R$135),"")</f>
        <v/>
      </c>
      <c r="M98" s="48" t="str">
        <f ca="1">IF(AND('Mapa final'!$AB$133="Alta",'Mapa final'!$AD$133="Menor"),CONCATENATE("R43C",'Mapa final'!$R$133),"")</f>
        <v/>
      </c>
      <c r="N98" s="49" t="str">
        <f>IF(AND('Mapa final'!$AB$134="Alta",'Mapa final'!$AD$134="Menor"),CONCATENATE("R43C",'Mapa final'!$R$134),"")</f>
        <v/>
      </c>
      <c r="O98" s="108" t="str">
        <f>IF(AND('Mapa final'!$AB$135="Alta",'Mapa final'!$AD$135="Menor"),CONCATENATE("R43C",'Mapa final'!$R$135),"")</f>
        <v/>
      </c>
      <c r="P98" s="102" t="str">
        <f ca="1">IF(AND('Mapa final'!$AB$133="Alta",'Mapa final'!$AD$133="Moderado"),CONCATENATE("R43C",'Mapa final'!$R$133),"")</f>
        <v/>
      </c>
      <c r="Q98" s="41" t="str">
        <f>IF(AND('Mapa final'!$AB$134="Alta",'Mapa final'!$AD$134="Moderado"),CONCATENATE("R43C",'Mapa final'!$R$134),"")</f>
        <v/>
      </c>
      <c r="R98" s="103" t="str">
        <f>IF(AND('Mapa final'!$AB$135="Alta",'Mapa final'!$AD$135="Moderado"),CONCATENATE("R43C",'Mapa final'!$R$135),"")</f>
        <v/>
      </c>
      <c r="S98" s="102" t="str">
        <f ca="1">IF(AND('Mapa final'!$AB$133="Alta",'Mapa final'!$AD$133="Mayor"),CONCATENATE("R43C",'Mapa final'!$R$133),"")</f>
        <v/>
      </c>
      <c r="T98" s="41" t="str">
        <f>IF(AND('Mapa final'!$AB$134="Alta",'Mapa final'!$AD$134="Mayor"),CONCATENATE("R43C",'Mapa final'!$R$134),"")</f>
        <v/>
      </c>
      <c r="U98" s="103" t="str">
        <f>IF(AND('Mapa final'!$AB$135="Alta",'Mapa final'!$AD$135="Mayor"),CONCATENATE("R43C",'Mapa final'!$R$135),"")</f>
        <v/>
      </c>
      <c r="V98" s="42" t="str">
        <f ca="1">IF(AND('Mapa final'!$AB$133="Alta",'Mapa final'!$AD$133="Catastrófico"),CONCATENATE("R43C",'Mapa final'!$R$133),"")</f>
        <v/>
      </c>
      <c r="W98" s="43" t="str">
        <f>IF(AND('Mapa final'!$AB$134="Alta",'Mapa final'!$AD$134="Catastrófico"),CONCATENATE("R43C",'Mapa final'!$R$134),"")</f>
        <v/>
      </c>
      <c r="X98" s="97" t="str">
        <f>IF(AND('Mapa final'!$AB$135="Alta",'Mapa final'!$AD$135="Catastrófico"),CONCATENATE("R43C",'Mapa final'!$R$135),"")</f>
        <v/>
      </c>
      <c r="Y98" s="55"/>
      <c r="Z98" s="321"/>
      <c r="AA98" s="322"/>
      <c r="AB98" s="322"/>
      <c r="AC98" s="322"/>
      <c r="AD98" s="322"/>
      <c r="AE98" s="323"/>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row>
    <row r="99" spans="1:61" ht="15" customHeight="1" x14ac:dyDescent="0.25">
      <c r="A99" s="55"/>
      <c r="B99" s="338"/>
      <c r="C99" s="338"/>
      <c r="D99" s="339"/>
      <c r="E99" s="328"/>
      <c r="F99" s="327"/>
      <c r="G99" s="327"/>
      <c r="H99" s="327"/>
      <c r="I99" s="327"/>
      <c r="J99" s="48" t="str">
        <f ca="1">IF(AND('Mapa final'!$AB$136="Alta",'Mapa final'!$AD$136="Leve"),CONCATENATE("R44C",'Mapa final'!$R$136),"")</f>
        <v/>
      </c>
      <c r="K99" s="49" t="str">
        <f>IF(AND('Mapa final'!$AB$137="Alta",'Mapa final'!$AD$137="Leve"),CONCATENATE("R44C",'Mapa final'!$R$137),"")</f>
        <v/>
      </c>
      <c r="L99" s="108" t="str">
        <f>IF(AND('Mapa final'!$AB$138="Alta",'Mapa final'!$AD$138="Leve"),CONCATENATE("R44C",'Mapa final'!$R$138),"")</f>
        <v/>
      </c>
      <c r="M99" s="48" t="str">
        <f ca="1">IF(AND('Mapa final'!$AB$136="Alta",'Mapa final'!$AD$136="Menor"),CONCATENATE("R44C",'Mapa final'!$R$136),"")</f>
        <v/>
      </c>
      <c r="N99" s="49" t="str">
        <f>IF(AND('Mapa final'!$AB$137="Alta",'Mapa final'!$AD$137="Menor"),CONCATENATE("R44C",'Mapa final'!$R$137),"")</f>
        <v/>
      </c>
      <c r="O99" s="108" t="str">
        <f>IF(AND('Mapa final'!$AB$138="Alta",'Mapa final'!$AD$138="Menor"),CONCATENATE("R44C",'Mapa final'!$R$138),"")</f>
        <v/>
      </c>
      <c r="P99" s="102" t="str">
        <f ca="1">IF(AND('Mapa final'!$AB$136="Alta",'Mapa final'!$AD$136="Moderado"),CONCATENATE("R44C",'Mapa final'!$R$136),"")</f>
        <v/>
      </c>
      <c r="Q99" s="41" t="str">
        <f>IF(AND('Mapa final'!$AB$137="Alta",'Mapa final'!$AD$137="Moderado"),CONCATENATE("R44C",'Mapa final'!$R$137),"")</f>
        <v/>
      </c>
      <c r="R99" s="103" t="str">
        <f>IF(AND('Mapa final'!$AB$138="Alta",'Mapa final'!$AD$138="Moderado"),CONCATENATE("R44C",'Mapa final'!$R$138),"")</f>
        <v/>
      </c>
      <c r="S99" s="102" t="str">
        <f ca="1">IF(AND('Mapa final'!$AB$136="Alta",'Mapa final'!$AD$136="Mayor"),CONCATENATE("R44C",'Mapa final'!$R$136),"")</f>
        <v/>
      </c>
      <c r="T99" s="41" t="str">
        <f>IF(AND('Mapa final'!$AB$137="Alta",'Mapa final'!$AD$137="Mayor"),CONCATENATE("R44C",'Mapa final'!$R$137),"")</f>
        <v/>
      </c>
      <c r="U99" s="103" t="str">
        <f>IF(AND('Mapa final'!$AB$138="Alta",'Mapa final'!$AD$138="Mayor"),CONCATENATE("R44C",'Mapa final'!$R$138),"")</f>
        <v/>
      </c>
      <c r="V99" s="42" t="str">
        <f ca="1">IF(AND('Mapa final'!$AB$136="Alta",'Mapa final'!$AD$136="Catastrófico"),CONCATENATE("R44C",'Mapa final'!$R$136),"")</f>
        <v/>
      </c>
      <c r="W99" s="43" t="str">
        <f>IF(AND('Mapa final'!$AB$137="Alta",'Mapa final'!$AD$137="Catastrófico"),CONCATENATE("R44C",'Mapa final'!$R$137),"")</f>
        <v/>
      </c>
      <c r="X99" s="97" t="str">
        <f>IF(AND('Mapa final'!$AB$138="Alta",'Mapa final'!$AD$138="Catastrófico"),CONCATENATE("R44C",'Mapa final'!$R$138),"")</f>
        <v/>
      </c>
      <c r="Y99" s="55"/>
      <c r="Z99" s="321"/>
      <c r="AA99" s="322"/>
      <c r="AB99" s="322"/>
      <c r="AC99" s="322"/>
      <c r="AD99" s="322"/>
      <c r="AE99" s="323"/>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row>
    <row r="100" spans="1:61" ht="15" customHeight="1" x14ac:dyDescent="0.25">
      <c r="A100" s="55"/>
      <c r="B100" s="338"/>
      <c r="C100" s="338"/>
      <c r="D100" s="339"/>
      <c r="E100" s="328"/>
      <c r="F100" s="327"/>
      <c r="G100" s="327"/>
      <c r="H100" s="327"/>
      <c r="I100" s="327"/>
      <c r="J100" s="48" t="str">
        <f ca="1">IF(AND('Mapa final'!$AB$139="Alta",'Mapa final'!$AD$139="Leve"),CONCATENATE("R45C",'Mapa final'!$R$139),"")</f>
        <v/>
      </c>
      <c r="K100" s="49" t="str">
        <f>IF(AND('Mapa final'!$AB$140="Alta",'Mapa final'!$AD$140="Leve"),CONCATENATE("R45C",'Mapa final'!$R$140),"")</f>
        <v/>
      </c>
      <c r="L100" s="108" t="str">
        <f>IF(AND('Mapa final'!$AB$141="Alta",'Mapa final'!$AD$141="Leve"),CONCATENATE("R45C",'Mapa final'!$R$141),"")</f>
        <v/>
      </c>
      <c r="M100" s="48" t="str">
        <f ca="1">IF(AND('Mapa final'!$AB$139="Alta",'Mapa final'!$AD$139="Menor"),CONCATENATE("R45C",'Mapa final'!$R$139),"")</f>
        <v/>
      </c>
      <c r="N100" s="49" t="str">
        <f>IF(AND('Mapa final'!$AB$140="Alta",'Mapa final'!$AD$140="Menor"),CONCATENATE("R45C",'Mapa final'!$R$140),"")</f>
        <v/>
      </c>
      <c r="O100" s="108" t="str">
        <f>IF(AND('Mapa final'!$AB$141="Alta",'Mapa final'!$AD$141="Menor"),CONCATENATE("R45C",'Mapa final'!$R$141),"")</f>
        <v/>
      </c>
      <c r="P100" s="102" t="str">
        <f ca="1">IF(AND('Mapa final'!$AB$139="Alta",'Mapa final'!$AD$139="Moderado"),CONCATENATE("R45C",'Mapa final'!$R$139),"")</f>
        <v/>
      </c>
      <c r="Q100" s="41" t="str">
        <f>IF(AND('Mapa final'!$AB$140="Alta",'Mapa final'!$AD$140="Moderado"),CONCATENATE("R45C",'Mapa final'!$R$140),"")</f>
        <v/>
      </c>
      <c r="R100" s="103" t="str">
        <f>IF(AND('Mapa final'!$AB$141="Alta",'Mapa final'!$AD$141="Moderado"),CONCATENATE("R45C",'Mapa final'!$R$141),"")</f>
        <v/>
      </c>
      <c r="S100" s="102" t="str">
        <f ca="1">IF(AND('Mapa final'!$AB$139="Alta",'Mapa final'!$AD$139="Mayor"),CONCATENATE("R45C",'Mapa final'!$R$139),"")</f>
        <v/>
      </c>
      <c r="T100" s="41" t="str">
        <f>IF(AND('Mapa final'!$AB$140="Alta",'Mapa final'!$AD$140="Mayor"),CONCATENATE("R45C",'Mapa final'!$R$140),"")</f>
        <v/>
      </c>
      <c r="U100" s="103" t="str">
        <f>IF(AND('Mapa final'!$AB$141="Alta",'Mapa final'!$AD$141="Mayor"),CONCATENATE("R45C",'Mapa final'!$R$141),"")</f>
        <v/>
      </c>
      <c r="V100" s="42" t="str">
        <f ca="1">IF(AND('Mapa final'!$AB$139="Alta",'Mapa final'!$AD$139="Catastrófico"),CONCATENATE("R45C",'Mapa final'!$R$139),"")</f>
        <v/>
      </c>
      <c r="W100" s="43" t="str">
        <f>IF(AND('Mapa final'!$AB$140="Alta",'Mapa final'!$AD$140="Catastrófico"),CONCATENATE("R45C",'Mapa final'!$R$140),"")</f>
        <v/>
      </c>
      <c r="X100" s="97" t="str">
        <f>IF(AND('Mapa final'!$AB$141="Alta",'Mapa final'!$AD$141="Catastrófico"),CONCATENATE("R45C",'Mapa final'!$R$141),"")</f>
        <v/>
      </c>
      <c r="Y100" s="55"/>
      <c r="Z100" s="321"/>
      <c r="AA100" s="322"/>
      <c r="AB100" s="322"/>
      <c r="AC100" s="322"/>
      <c r="AD100" s="322"/>
      <c r="AE100" s="323"/>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row>
    <row r="101" spans="1:61" ht="15" customHeight="1" x14ac:dyDescent="0.25">
      <c r="A101" s="55"/>
      <c r="B101" s="338"/>
      <c r="C101" s="338"/>
      <c r="D101" s="339"/>
      <c r="E101" s="328"/>
      <c r="F101" s="327"/>
      <c r="G101" s="327"/>
      <c r="H101" s="327"/>
      <c r="I101" s="327"/>
      <c r="J101" s="48" t="str">
        <f>IF(AND('Mapa final'!$AB$142="Alta",'Mapa final'!$AD$142="Leve"),CONCATENATE("R46C",'Mapa final'!$R$142),"")</f>
        <v/>
      </c>
      <c r="K101" s="49" t="str">
        <f>IF(AND('Mapa final'!$AB$143="Alta",'Mapa final'!$AD$143="Leve"),CONCATENATE("R46C",'Mapa final'!$R$143),"")</f>
        <v/>
      </c>
      <c r="L101" s="108" t="str">
        <f>IF(AND('Mapa final'!$AB$144="Alta",'Mapa final'!$AD$144="Leve"),CONCATENATE("R46C",'Mapa final'!$R$144),"")</f>
        <v/>
      </c>
      <c r="M101" s="48" t="str">
        <f>IF(AND('Mapa final'!$AB$142="Alta",'Mapa final'!$AD$142="Menor"),CONCATENATE("R46C",'Mapa final'!$R$142),"")</f>
        <v/>
      </c>
      <c r="N101" s="49" t="str">
        <f>IF(AND('Mapa final'!$AB$143="Alta",'Mapa final'!$AD$143="Menor"),CONCATENATE("R46C",'Mapa final'!$R$143),"")</f>
        <v/>
      </c>
      <c r="O101" s="108" t="str">
        <f>IF(AND('Mapa final'!$AB$144="Alta",'Mapa final'!$AD$144="Menor"),CONCATENATE("R46C",'Mapa final'!$R$144),"")</f>
        <v/>
      </c>
      <c r="P101" s="102" t="str">
        <f>IF(AND('Mapa final'!$AB$142="Alta",'Mapa final'!$AD$142="Moderado"),CONCATENATE("R46C",'Mapa final'!$R$142),"")</f>
        <v/>
      </c>
      <c r="Q101" s="41" t="str">
        <f>IF(AND('Mapa final'!$AB$143="Alta",'Mapa final'!$AD$143="Moderado"),CONCATENATE("R46C",'Mapa final'!$R$143),"")</f>
        <v/>
      </c>
      <c r="R101" s="103" t="str">
        <f>IF(AND('Mapa final'!$AB$144="Alta",'Mapa final'!$AD$144="Moderado"),CONCATENATE("R46C",'Mapa final'!$R$144),"")</f>
        <v/>
      </c>
      <c r="S101" s="102" t="str">
        <f>IF(AND('Mapa final'!$AB$142="Alta",'Mapa final'!$AD$142="Mayor"),CONCATENATE("R46C",'Mapa final'!$R$142),"")</f>
        <v/>
      </c>
      <c r="T101" s="41" t="str">
        <f>IF(AND('Mapa final'!$AB$143="Alta",'Mapa final'!$AD$143="Mayor"),CONCATENATE("R46C",'Mapa final'!$R$143),"")</f>
        <v/>
      </c>
      <c r="U101" s="103" t="str">
        <f>IF(AND('Mapa final'!$AB$144="Alta",'Mapa final'!$AD$144="Mayor"),CONCATENATE("R46C",'Mapa final'!$R$144),"")</f>
        <v/>
      </c>
      <c r="V101" s="42" t="str">
        <f>IF(AND('Mapa final'!$AB$142="Alta",'Mapa final'!$AD$142="Catastrófico"),CONCATENATE("R46C",'Mapa final'!$R$142),"")</f>
        <v/>
      </c>
      <c r="W101" s="43" t="str">
        <f>IF(AND('Mapa final'!$AB$143="Alta",'Mapa final'!$AD$143="Catastrófico"),CONCATENATE("R46C",'Mapa final'!$R$143),"")</f>
        <v/>
      </c>
      <c r="X101" s="97" t="str">
        <f>IF(AND('Mapa final'!$AB$144="Alta",'Mapa final'!$AD$144="Catastrófico"),CONCATENATE("R46C",'Mapa final'!$R$144),"")</f>
        <v/>
      </c>
      <c r="Y101" s="55"/>
      <c r="Z101" s="321"/>
      <c r="AA101" s="322"/>
      <c r="AB101" s="322"/>
      <c r="AC101" s="322"/>
      <c r="AD101" s="322"/>
      <c r="AE101" s="323"/>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row>
    <row r="102" spans="1:61" ht="15" customHeight="1" x14ac:dyDescent="0.25">
      <c r="A102" s="55"/>
      <c r="B102" s="338"/>
      <c r="C102" s="338"/>
      <c r="D102" s="339"/>
      <c r="E102" s="328"/>
      <c r="F102" s="327"/>
      <c r="G102" s="327"/>
      <c r="H102" s="327"/>
      <c r="I102" s="327"/>
      <c r="J102" s="48" t="str">
        <f>IF(AND('Mapa final'!$AB$145="Alta",'Mapa final'!$AD$145="Leve"),CONCATENATE("R47C",'Mapa final'!$R$145),"")</f>
        <v/>
      </c>
      <c r="K102" s="49" t="str">
        <f>IF(AND('Mapa final'!$AB$146="Alta",'Mapa final'!$AD$146="Leve"),CONCATENATE("R47C",'Mapa final'!$R$146),"")</f>
        <v/>
      </c>
      <c r="L102" s="108" t="str">
        <f>IF(AND('Mapa final'!$AB$147="Alta",'Mapa final'!$AD$147="Leve"),CONCATENATE("R47C",'Mapa final'!$R$147),"")</f>
        <v/>
      </c>
      <c r="M102" s="48" t="str">
        <f>IF(AND('Mapa final'!$AB$145="Alta",'Mapa final'!$AD$145="Menor"),CONCATENATE("R47C",'Mapa final'!$R$145),"")</f>
        <v/>
      </c>
      <c r="N102" s="49" t="str">
        <f>IF(AND('Mapa final'!$AB$146="Alta",'Mapa final'!$AD$146="Menor"),CONCATENATE("R47C",'Mapa final'!$R$146),"")</f>
        <v/>
      </c>
      <c r="O102" s="108" t="str">
        <f>IF(AND('Mapa final'!$AB$147="Alta",'Mapa final'!$AD$147="Menor"),CONCATENATE("R47C",'Mapa final'!$R$147),"")</f>
        <v/>
      </c>
      <c r="P102" s="102" t="str">
        <f>IF(AND('Mapa final'!$AB$145="Alta",'Mapa final'!$AD$145="Moderado"),CONCATENATE("R47C",'Mapa final'!$R$145),"")</f>
        <v/>
      </c>
      <c r="Q102" s="41" t="str">
        <f>IF(AND('Mapa final'!$AB$146="Alta",'Mapa final'!$AD$146="Moderado"),CONCATENATE("R47C",'Mapa final'!$R$146),"")</f>
        <v/>
      </c>
      <c r="R102" s="103" t="str">
        <f>IF(AND('Mapa final'!$AB$147="Alta",'Mapa final'!$AD$147="Moderado"),CONCATENATE("R47C",'Mapa final'!$R$147),"")</f>
        <v/>
      </c>
      <c r="S102" s="102" t="str">
        <f>IF(AND('Mapa final'!$AB$145="Alta",'Mapa final'!$AD$145="Mayor"),CONCATENATE("R47C",'Mapa final'!$R$145),"")</f>
        <v/>
      </c>
      <c r="T102" s="41" t="str">
        <f>IF(AND('Mapa final'!$AB$146="Alta",'Mapa final'!$AD$146="Mayor"),CONCATENATE("R47C",'Mapa final'!$R$146),"")</f>
        <v/>
      </c>
      <c r="U102" s="103" t="str">
        <f>IF(AND('Mapa final'!$AB$147="Alta",'Mapa final'!$AD$147="Mayor"),CONCATENATE("R47C",'Mapa final'!$R$147),"")</f>
        <v/>
      </c>
      <c r="V102" s="42" t="str">
        <f>IF(AND('Mapa final'!$AB$145="Alta",'Mapa final'!$AD$145="Catastrófico"),CONCATENATE("R47C",'Mapa final'!$R$145),"")</f>
        <v/>
      </c>
      <c r="W102" s="43" t="str">
        <f>IF(AND('Mapa final'!$AB$146="Alta",'Mapa final'!$AD$146="Catastrófico"),CONCATENATE("R47C",'Mapa final'!$R$146),"")</f>
        <v/>
      </c>
      <c r="X102" s="97" t="str">
        <f>IF(AND('Mapa final'!$AB$147="Alta",'Mapa final'!$AD$147="Catastrófico"),CONCATENATE("R47C",'Mapa final'!$R$147),"")</f>
        <v/>
      </c>
      <c r="Y102" s="55"/>
      <c r="Z102" s="321"/>
      <c r="AA102" s="322"/>
      <c r="AB102" s="322"/>
      <c r="AC102" s="322"/>
      <c r="AD102" s="322"/>
      <c r="AE102" s="323"/>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row>
    <row r="103" spans="1:61" ht="15" customHeight="1" x14ac:dyDescent="0.25">
      <c r="A103" s="55"/>
      <c r="B103" s="338"/>
      <c r="C103" s="338"/>
      <c r="D103" s="339"/>
      <c r="E103" s="328"/>
      <c r="F103" s="327"/>
      <c r="G103" s="327"/>
      <c r="H103" s="327"/>
      <c r="I103" s="327"/>
      <c r="J103" s="48" t="str">
        <f>IF(AND('Mapa final'!$AB$148="Alta",'Mapa final'!$AD$148="Leve"),CONCATENATE("R48C",'Mapa final'!$R$148),"")</f>
        <v/>
      </c>
      <c r="K103" s="49" t="str">
        <f>IF(AND('Mapa final'!$AB$149="Alta",'Mapa final'!$AD$149="Leve"),CONCATENATE("R48C",'Mapa final'!$R$149),"")</f>
        <v/>
      </c>
      <c r="L103" s="108" t="str">
        <f>IF(AND('Mapa final'!$AB$150="Alta",'Mapa final'!$AD$150="Leve"),CONCATENATE("R48C",'Mapa final'!$R$150),"")</f>
        <v/>
      </c>
      <c r="M103" s="48" t="str">
        <f>IF(AND('Mapa final'!$AB$148="Alta",'Mapa final'!$AD$148="Menor"),CONCATENATE("R48C",'Mapa final'!$R$148),"")</f>
        <v/>
      </c>
      <c r="N103" s="49" t="str">
        <f>IF(AND('Mapa final'!$AB$149="Alta",'Mapa final'!$AD$149="Menor"),CONCATENATE("R48C",'Mapa final'!$R$149),"")</f>
        <v/>
      </c>
      <c r="O103" s="108" t="str">
        <f>IF(AND('Mapa final'!$AB$150="Alta",'Mapa final'!$AD$150="Menor"),CONCATENATE("R48C",'Mapa final'!$R$150),"")</f>
        <v/>
      </c>
      <c r="P103" s="102" t="str">
        <f>IF(AND('Mapa final'!$AB$148="Alta",'Mapa final'!$AD$148="Moderado"),CONCATENATE("R48C",'Mapa final'!$R$148),"")</f>
        <v/>
      </c>
      <c r="Q103" s="41" t="str">
        <f>IF(AND('Mapa final'!$AB$149="Alta",'Mapa final'!$AD$149="Moderado"),CONCATENATE("R48C",'Mapa final'!$R$149),"")</f>
        <v/>
      </c>
      <c r="R103" s="103" t="str">
        <f>IF(AND('Mapa final'!$AB$150="Alta",'Mapa final'!$AD$150="Moderado"),CONCATENATE("R48C",'Mapa final'!$R$150),"")</f>
        <v/>
      </c>
      <c r="S103" s="102" t="str">
        <f>IF(AND('Mapa final'!$AB$148="Alta",'Mapa final'!$AD$148="Mayor"),CONCATENATE("R48C",'Mapa final'!$R$148),"")</f>
        <v/>
      </c>
      <c r="T103" s="41" t="str">
        <f>IF(AND('Mapa final'!$AB$149="Alta",'Mapa final'!$AD$149="Mayor"),CONCATENATE("R48C",'Mapa final'!$R$149),"")</f>
        <v/>
      </c>
      <c r="U103" s="103" t="str">
        <f>IF(AND('Mapa final'!$AB$150="Alta",'Mapa final'!$AD$150="Mayor"),CONCATENATE("R48C",'Mapa final'!$R$150),"")</f>
        <v/>
      </c>
      <c r="V103" s="42" t="str">
        <f>IF(AND('Mapa final'!$AB$148="Alta",'Mapa final'!$AD$148="Catastrófico"),CONCATENATE("R48C",'Mapa final'!$R$148),"")</f>
        <v/>
      </c>
      <c r="W103" s="43" t="str">
        <f>IF(AND('Mapa final'!$AB$149="Alta",'Mapa final'!$AD$149="Catastrófico"),CONCATENATE("R48C",'Mapa final'!$R$149),"")</f>
        <v/>
      </c>
      <c r="X103" s="97" t="str">
        <f>IF(AND('Mapa final'!$AB$150="Alta",'Mapa final'!$AD$150="Catastrófico"),CONCATENATE("R48C",'Mapa final'!$R$150),"")</f>
        <v/>
      </c>
      <c r="Y103" s="55"/>
      <c r="Z103" s="321"/>
      <c r="AA103" s="322"/>
      <c r="AB103" s="322"/>
      <c r="AC103" s="322"/>
      <c r="AD103" s="322"/>
      <c r="AE103" s="323"/>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row>
    <row r="104" spans="1:61" ht="15" customHeight="1" x14ac:dyDescent="0.25">
      <c r="A104" s="55"/>
      <c r="B104" s="338"/>
      <c r="C104" s="338"/>
      <c r="D104" s="339"/>
      <c r="E104" s="328"/>
      <c r="F104" s="327"/>
      <c r="G104" s="327"/>
      <c r="H104" s="327"/>
      <c r="I104" s="327"/>
      <c r="J104" s="48" t="str">
        <f>IF(AND('Mapa final'!$AB$151="Alta",'Mapa final'!$AD$151="Leve"),CONCATENATE("R49C",'Mapa final'!$R$151),"")</f>
        <v/>
      </c>
      <c r="K104" s="49" t="str">
        <f>IF(AND('Mapa final'!$AB$152="Alta",'Mapa final'!$AD$152="Leve"),CONCATENATE("R49C",'Mapa final'!$R$152),"")</f>
        <v/>
      </c>
      <c r="L104" s="108" t="str">
        <f>IF(AND('Mapa final'!$AB$153="Alta",'Mapa final'!$AD$153="Leve"),CONCATENATE("R49C",'Mapa final'!$R$153),"")</f>
        <v/>
      </c>
      <c r="M104" s="48" t="str">
        <f>IF(AND('Mapa final'!$AB$151="Alta",'Mapa final'!$AD$151="Menor"),CONCATENATE("R49C",'Mapa final'!$R$151),"")</f>
        <v/>
      </c>
      <c r="N104" s="49" t="str">
        <f>IF(AND('Mapa final'!$AB$152="Alta",'Mapa final'!$AD$152="Menor"),CONCATENATE("R49C",'Mapa final'!$R$152),"")</f>
        <v/>
      </c>
      <c r="O104" s="108" t="str">
        <f>IF(AND('Mapa final'!$AB$153="Alta",'Mapa final'!$AD$153="Menor"),CONCATENATE("R49C",'Mapa final'!$R$153),"")</f>
        <v/>
      </c>
      <c r="P104" s="102" t="str">
        <f>IF(AND('Mapa final'!$AB$151="Alta",'Mapa final'!$AD$151="Moderado"),CONCATENATE("R49C",'Mapa final'!$R$151),"")</f>
        <v/>
      </c>
      <c r="Q104" s="41" t="str">
        <f>IF(AND('Mapa final'!$AB$152="Alta",'Mapa final'!$AD$152="Moderado"),CONCATENATE("R49C",'Mapa final'!$R$152),"")</f>
        <v/>
      </c>
      <c r="R104" s="103" t="str">
        <f>IF(AND('Mapa final'!$AB$153="Alta",'Mapa final'!$AD$153="Moderado"),CONCATENATE("R49C",'Mapa final'!$R$153),"")</f>
        <v/>
      </c>
      <c r="S104" s="102" t="str">
        <f>IF(AND('Mapa final'!$AB$151="Alta",'Mapa final'!$AD$151="Mayor"),CONCATENATE("R49C",'Mapa final'!$R$151),"")</f>
        <v/>
      </c>
      <c r="T104" s="41" t="str">
        <f>IF(AND('Mapa final'!$AB$152="Alta",'Mapa final'!$AD$152="Mayor"),CONCATENATE("R49C",'Mapa final'!$R$152),"")</f>
        <v/>
      </c>
      <c r="U104" s="103" t="str">
        <f>IF(AND('Mapa final'!$AB$153="Alta",'Mapa final'!$AD$153="Mayor"),CONCATENATE("R49C",'Mapa final'!$R$153),"")</f>
        <v/>
      </c>
      <c r="V104" s="42" t="str">
        <f>IF(AND('Mapa final'!$AB$151="Alta",'Mapa final'!$AD$151="Catastrófico"),CONCATENATE("R49C",'Mapa final'!$R$151),"")</f>
        <v/>
      </c>
      <c r="W104" s="43" t="str">
        <f>IF(AND('Mapa final'!$AB$152="Alta",'Mapa final'!$AD$152="Catastrófico"),CONCATENATE("R49C",'Mapa final'!$R$152),"")</f>
        <v/>
      </c>
      <c r="X104" s="97" t="str">
        <f>IF(AND('Mapa final'!$AB$153="Alta",'Mapa final'!$AD$153="Catastrófico"),CONCATENATE("R49C",'Mapa final'!$R$153),"")</f>
        <v/>
      </c>
      <c r="Y104" s="55"/>
      <c r="Z104" s="321"/>
      <c r="AA104" s="322"/>
      <c r="AB104" s="322"/>
      <c r="AC104" s="322"/>
      <c r="AD104" s="322"/>
      <c r="AE104" s="323"/>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row>
    <row r="105" spans="1:61" ht="15" customHeight="1" thickBot="1" x14ac:dyDescent="0.3">
      <c r="A105" s="55"/>
      <c r="B105" s="338"/>
      <c r="C105" s="338"/>
      <c r="D105" s="339"/>
      <c r="E105" s="328"/>
      <c r="F105" s="327"/>
      <c r="G105" s="327"/>
      <c r="H105" s="327"/>
      <c r="I105" s="327"/>
      <c r="J105" s="50" t="str">
        <f>IF(AND('Mapa final'!$AB$154="Alta",'Mapa final'!$AD$154="Leve"),CONCATENATE("R50C",'Mapa final'!$R$154),"")</f>
        <v/>
      </c>
      <c r="K105" s="51" t="str">
        <f>IF(AND('Mapa final'!$AB$155="Alta",'Mapa final'!$AD$155="Leve"),CONCATENATE("R50C",'Mapa final'!$R$155),"")</f>
        <v/>
      </c>
      <c r="L105" s="109" t="str">
        <f>IF(AND('Mapa final'!$AB$156="Alta",'Mapa final'!$AD$156="Leve"),CONCATENATE("R50C",'Mapa final'!$R$156),"")</f>
        <v/>
      </c>
      <c r="M105" s="50" t="str">
        <f>IF(AND('Mapa final'!$AB$154="Alta",'Mapa final'!$AD$154="Menor"),CONCATENATE("R50C",'Mapa final'!$R$154),"")</f>
        <v/>
      </c>
      <c r="N105" s="51" t="str">
        <f>IF(AND('Mapa final'!$AB$155="Alta",'Mapa final'!$AD$155="Menor"),CONCATENATE("R50C",'Mapa final'!$R$155),"")</f>
        <v/>
      </c>
      <c r="O105" s="109" t="str">
        <f>IF(AND('Mapa final'!$AB$156="Alta",'Mapa final'!$AD$156="Menor"),CONCATENATE("R50C",'Mapa final'!$R$156),"")</f>
        <v/>
      </c>
      <c r="P105" s="102" t="str">
        <f>IF(AND('Mapa final'!$AB$154="Alta",'Mapa final'!$AD$154="Moderado"),CONCATENATE("R50C",'Mapa final'!$R$154),"")</f>
        <v/>
      </c>
      <c r="Q105" s="41" t="str">
        <f>IF(AND('Mapa final'!$AB$155="Alta",'Mapa final'!$AD$155="Moderado"),CONCATENATE("R50C",'Mapa final'!$R$155),"")</f>
        <v/>
      </c>
      <c r="R105" s="103" t="str">
        <f>IF(AND('Mapa final'!$AB$156="Alta",'Mapa final'!$AD$156="Moderado"),CONCATENATE("R50C",'Mapa final'!$R$156),"")</f>
        <v/>
      </c>
      <c r="S105" s="104" t="str">
        <f>IF(AND('Mapa final'!$AB$154="Alta",'Mapa final'!$AD$154="Mayor"),CONCATENATE("R50C",'Mapa final'!$R$154),"")</f>
        <v/>
      </c>
      <c r="T105" s="105" t="str">
        <f>IF(AND('Mapa final'!$AB$155="Alta",'Mapa final'!$AD$155="Mayor"),CONCATENATE("R50C",'Mapa final'!$R$155),"")</f>
        <v/>
      </c>
      <c r="U105" s="106" t="str">
        <f>IF(AND('Mapa final'!$AB$156="Alta",'Mapa final'!$AD$156="Mayor"),CONCATENATE("R50C",'Mapa final'!$R$156),"")</f>
        <v/>
      </c>
      <c r="V105" s="44" t="str">
        <f>IF(AND('Mapa final'!$AB$154="Alta",'Mapa final'!$AD$154="Catastrófico"),CONCATENATE("R50C",'Mapa final'!$R$154),"")</f>
        <v/>
      </c>
      <c r="W105" s="45" t="str">
        <f>IF(AND('Mapa final'!$AB$155="Alta",'Mapa final'!$AD$155="Catastrófico"),CONCATENATE("R50C",'Mapa final'!$R$155),"")</f>
        <v/>
      </c>
      <c r="X105" s="98" t="str">
        <f>IF(AND('Mapa final'!$AB$156="Alta",'Mapa final'!$AD$156="Catastrófico"),CONCATENATE("R50C",'Mapa final'!$R$156),"")</f>
        <v/>
      </c>
      <c r="Y105" s="55"/>
      <c r="Z105" s="321"/>
      <c r="AA105" s="322"/>
      <c r="AB105" s="322"/>
      <c r="AC105" s="322"/>
      <c r="AD105" s="322"/>
      <c r="AE105" s="323"/>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row>
    <row r="106" spans="1:61" ht="15" customHeight="1" x14ac:dyDescent="0.25">
      <c r="A106" s="55"/>
      <c r="B106" s="338"/>
      <c r="C106" s="338"/>
      <c r="D106" s="339"/>
      <c r="E106" s="324" t="s">
        <v>108</v>
      </c>
      <c r="F106" s="325"/>
      <c r="G106" s="325"/>
      <c r="H106" s="325"/>
      <c r="I106" s="325"/>
      <c r="J106" s="46" t="str">
        <f ca="1">IF(AND('Mapa final'!$AB$7="Media",'Mapa final'!$AD$7="Leve"),CONCATENATE("R1C",'Mapa final'!$R$7),"")</f>
        <v/>
      </c>
      <c r="K106" s="47" t="str">
        <f>IF(AND('Mapa final'!$AB$8="Media",'Mapa final'!$AD$8="Leve"),CONCATENATE("R1C",'Mapa final'!$R$8),"")</f>
        <v/>
      </c>
      <c r="L106" s="107" t="str">
        <f>IF(AND('Mapa final'!$AB$9="Media",'Mapa final'!$AD$9="Leve"),CONCATENATE("R1C",'Mapa final'!$R$9),"")</f>
        <v/>
      </c>
      <c r="M106" s="46" t="str">
        <f ca="1">IF(AND('Mapa final'!$AB$7="Media",'Mapa final'!$AD$7="Menor"),CONCATENATE("R1C",'Mapa final'!$R$7),"")</f>
        <v/>
      </c>
      <c r="N106" s="47" t="str">
        <f>IF(AND('Mapa final'!$AB$8="Media",'Mapa final'!$AD$8="Menor"),CONCATENATE("R1C",'Mapa final'!$R$8),"")</f>
        <v/>
      </c>
      <c r="O106" s="107" t="str">
        <f>IF(AND('Mapa final'!$AB$9="Media",'Mapa final'!$AD$9="Menor"),CONCATENATE("R1C",'Mapa final'!$R$9),"")</f>
        <v/>
      </c>
      <c r="P106" s="46" t="str">
        <f ca="1">IF(AND('Mapa final'!$AB$7="Media",'Mapa final'!$AD$7="Moderado"),CONCATENATE("R1C",'Mapa final'!$R$7),"")</f>
        <v/>
      </c>
      <c r="Q106" s="47" t="str">
        <f>IF(AND('Mapa final'!$AB$8="Media",'Mapa final'!$AD$8="Moderado"),CONCATENATE("R1C",'Mapa final'!$R$8),"")</f>
        <v/>
      </c>
      <c r="R106" s="107" t="str">
        <f>IF(AND('Mapa final'!$AB$9="Media",'Mapa final'!$AD$9="Moderado"),CONCATENATE("R1C",'Mapa final'!$R$9),"")</f>
        <v/>
      </c>
      <c r="S106" s="99" t="str">
        <f ca="1">IF(AND('Mapa final'!$AB$7="Media",'Mapa final'!$AD$7="Mayor"),CONCATENATE("R1C",'Mapa final'!$R$7),"")</f>
        <v/>
      </c>
      <c r="T106" s="100" t="str">
        <f>IF(AND('Mapa final'!$AB$8="Media",'Mapa final'!$AD$8="Mayor"),CONCATENATE("R1C",'Mapa final'!$R$8),"")</f>
        <v/>
      </c>
      <c r="U106" s="101" t="str">
        <f>IF(AND('Mapa final'!$AB$9="Media",'Mapa final'!$AD$9="Mayor"),CONCATENATE("R1C",'Mapa final'!$R$9),"")</f>
        <v/>
      </c>
      <c r="V106" s="39" t="str">
        <f ca="1">IF(AND('Mapa final'!$AB$7="Media",'Mapa final'!$AD$7="Catastrófico"),CONCATENATE("R1C",'Mapa final'!$R$7),"")</f>
        <v/>
      </c>
      <c r="W106" s="40" t="str">
        <f>IF(AND('Mapa final'!$AB$8="Media",'Mapa final'!$AD$8="Catastrófico"),CONCATENATE("R1C",'Mapa final'!$R$8),"")</f>
        <v/>
      </c>
      <c r="X106" s="96" t="str">
        <f>IF(AND('Mapa final'!$AB$9="Media",'Mapa final'!$AD$9="Catastrófico"),CONCATENATE("R1C",'Mapa final'!$R$9),"")</f>
        <v/>
      </c>
      <c r="Y106" s="55"/>
      <c r="Z106" s="346" t="s">
        <v>75</v>
      </c>
      <c r="AA106" s="347"/>
      <c r="AB106" s="347"/>
      <c r="AC106" s="347"/>
      <c r="AD106" s="347"/>
      <c r="AE106" s="348"/>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row>
    <row r="107" spans="1:61" ht="15" customHeight="1" x14ac:dyDescent="0.25">
      <c r="A107" s="55"/>
      <c r="B107" s="338"/>
      <c r="C107" s="338"/>
      <c r="D107" s="339"/>
      <c r="E107" s="326"/>
      <c r="F107" s="327"/>
      <c r="G107" s="327"/>
      <c r="H107" s="327"/>
      <c r="I107" s="327"/>
      <c r="J107" s="48" t="str">
        <f ca="1">IF(AND('Mapa final'!$AB$10="Media",'Mapa final'!$AD$10="Leve"),CONCATENATE("R2C",'Mapa final'!$R$10),"")</f>
        <v/>
      </c>
      <c r="K107" s="49" t="str">
        <f>IF(AND('Mapa final'!$AB$11="Media",'Mapa final'!$AD$11="Leve"),CONCATENATE("R2C",'Mapa final'!$R$11),"")</f>
        <v/>
      </c>
      <c r="L107" s="108" t="str">
        <f>IF(AND('Mapa final'!$AB$12="Media",'Mapa final'!$AD$12="Leve"),CONCATENATE("R2C",'Mapa final'!$R$12),"")</f>
        <v/>
      </c>
      <c r="M107" s="48" t="str">
        <f ca="1">IF(AND('Mapa final'!$AB$10="Media",'Mapa final'!$AD$10="Menor"),CONCATENATE("R2C",'Mapa final'!$R$10),"")</f>
        <v/>
      </c>
      <c r="N107" s="49" t="str">
        <f>IF(AND('Mapa final'!$AB$11="Media",'Mapa final'!$AD$11="Menor"),CONCATENATE("R2C",'Mapa final'!$R$11),"")</f>
        <v/>
      </c>
      <c r="O107" s="108" t="str">
        <f>IF(AND('Mapa final'!$AB$12="Media",'Mapa final'!$AD$12="Menor"),CONCATENATE("R2C",'Mapa final'!$R$12),"")</f>
        <v/>
      </c>
      <c r="P107" s="48" t="str">
        <f ca="1">IF(AND('Mapa final'!$AB$10="Media",'Mapa final'!$AD$10="Moderado"),CONCATENATE("R2C",'Mapa final'!$R$10),"")</f>
        <v/>
      </c>
      <c r="Q107" s="49" t="str">
        <f>IF(AND('Mapa final'!$AB$11="Media",'Mapa final'!$AD$11="Moderado"),CONCATENATE("R2C",'Mapa final'!$R$11),"")</f>
        <v/>
      </c>
      <c r="R107" s="108" t="str">
        <f>IF(AND('Mapa final'!$AB$12="Media",'Mapa final'!$AD$12="Moderado"),CONCATENATE("R2C",'Mapa final'!$R$12),"")</f>
        <v/>
      </c>
      <c r="S107" s="102" t="str">
        <f ca="1">IF(AND('Mapa final'!$AB$10="Media",'Mapa final'!$AD$10="Mayor"),CONCATENATE("R2C",'Mapa final'!$R$10),"")</f>
        <v/>
      </c>
      <c r="T107" s="41" t="str">
        <f>IF(AND('Mapa final'!$AB$11="Media",'Mapa final'!$AD$11="Mayor"),CONCATENATE("R2C",'Mapa final'!$R$11),"")</f>
        <v/>
      </c>
      <c r="U107" s="103" t="str">
        <f>IF(AND('Mapa final'!$AB$12="Media",'Mapa final'!$AD$12="Mayor"),CONCATENATE("R2C",'Mapa final'!$R$12),"")</f>
        <v/>
      </c>
      <c r="V107" s="42" t="str">
        <f ca="1">IF(AND('Mapa final'!$AB$10="Media",'Mapa final'!$AD$10="Catastrófico"),CONCATENATE("R2C",'Mapa final'!$R$10),"")</f>
        <v/>
      </c>
      <c r="W107" s="43" t="str">
        <f>IF(AND('Mapa final'!$AB$11="Media",'Mapa final'!$AD$11="Catastrófico"),CONCATENATE("R2C",'Mapa final'!$R$11),"")</f>
        <v/>
      </c>
      <c r="X107" s="97" t="str">
        <f>IF(AND('Mapa final'!$AB$12="Media",'Mapa final'!$AD$12="Catastrófico"),CONCATENATE("R2C",'Mapa final'!$R$12),"")</f>
        <v/>
      </c>
      <c r="Y107" s="55"/>
      <c r="Z107" s="349"/>
      <c r="AA107" s="350"/>
      <c r="AB107" s="350"/>
      <c r="AC107" s="350"/>
      <c r="AD107" s="350"/>
      <c r="AE107" s="351"/>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row>
    <row r="108" spans="1:61" ht="15" customHeight="1" x14ac:dyDescent="0.25">
      <c r="A108" s="55"/>
      <c r="B108" s="338"/>
      <c r="C108" s="338"/>
      <c r="D108" s="339"/>
      <c r="E108" s="328"/>
      <c r="F108" s="327"/>
      <c r="G108" s="327"/>
      <c r="H108" s="327"/>
      <c r="I108" s="327"/>
      <c r="J108" s="48" t="str">
        <f ca="1">IF(AND('Mapa final'!$AB$13="Media",'Mapa final'!$AD$13="Leve"),CONCATENATE("R3C",'Mapa final'!$R$13),"")</f>
        <v/>
      </c>
      <c r="K108" s="49" t="str">
        <f>IF(AND('Mapa final'!$AB$14="Media",'Mapa final'!$AD$14="Leve"),CONCATENATE("R3C",'Mapa final'!$R$14),"")</f>
        <v/>
      </c>
      <c r="L108" s="108" t="str">
        <f>IF(AND('Mapa final'!$AB$15="Media",'Mapa final'!$AD$15="Leve"),CONCATENATE("R3C",'Mapa final'!$R$15),"")</f>
        <v/>
      </c>
      <c r="M108" s="48" t="str">
        <f ca="1">IF(AND('Mapa final'!$AB$13="Media",'Mapa final'!$AD$13="Menor"),CONCATENATE("R3C",'Mapa final'!$R$13),"")</f>
        <v/>
      </c>
      <c r="N108" s="49" t="str">
        <f>IF(AND('Mapa final'!$AB$14="Media",'Mapa final'!$AD$14="Menor"),CONCATENATE("R3C",'Mapa final'!$R$14),"")</f>
        <v/>
      </c>
      <c r="O108" s="108" t="str">
        <f>IF(AND('Mapa final'!$AB$15="Media",'Mapa final'!$AD$15="Menor"),CONCATENATE("R3C",'Mapa final'!$R$15),"")</f>
        <v/>
      </c>
      <c r="P108" s="48" t="str">
        <f ca="1">IF(AND('Mapa final'!$AB$13="Media",'Mapa final'!$AD$13="Moderado"),CONCATENATE("R3C",'Mapa final'!$R$13),"")</f>
        <v>R3C1</v>
      </c>
      <c r="Q108" s="49" t="str">
        <f>IF(AND('Mapa final'!$AB$14="Media",'Mapa final'!$AD$14="Moderado"),CONCATENATE("R3C",'Mapa final'!$R$14),"")</f>
        <v/>
      </c>
      <c r="R108" s="108" t="str">
        <f>IF(AND('Mapa final'!$AB$15="Media",'Mapa final'!$AD$15="Moderado"),CONCATENATE("R3C",'Mapa final'!$R$15),"")</f>
        <v/>
      </c>
      <c r="S108" s="102" t="str">
        <f ca="1">IF(AND('Mapa final'!$AB$13="Media",'Mapa final'!$AD$13="Mayor"),CONCATENATE("R3C",'Mapa final'!$R$13),"")</f>
        <v/>
      </c>
      <c r="T108" s="41" t="str">
        <f>IF(AND('Mapa final'!$AB$14="Media",'Mapa final'!$AD$14="Mayor"),CONCATENATE("R3C",'Mapa final'!$R$14),"")</f>
        <v/>
      </c>
      <c r="U108" s="103" t="str">
        <f>IF(AND('Mapa final'!$AB$15="Media",'Mapa final'!$AD$15="Mayor"),CONCATENATE("R3C",'Mapa final'!$R$15),"")</f>
        <v/>
      </c>
      <c r="V108" s="42" t="str">
        <f ca="1">IF(AND('Mapa final'!$AB$13="Media",'Mapa final'!$AD$13="Catastrófico"),CONCATENATE("R3C",'Mapa final'!$R$13),"")</f>
        <v/>
      </c>
      <c r="W108" s="43" t="str">
        <f>IF(AND('Mapa final'!$AB$14="Media",'Mapa final'!$AD$14="Catastrófico"),CONCATENATE("R3C",'Mapa final'!$R$14),"")</f>
        <v/>
      </c>
      <c r="X108" s="97" t="str">
        <f>IF(AND('Mapa final'!$AB$15="Media",'Mapa final'!$AD$15="Catastrófico"),CONCATENATE("R3C",'Mapa final'!$R$15),"")</f>
        <v/>
      </c>
      <c r="Y108" s="55"/>
      <c r="Z108" s="349"/>
      <c r="AA108" s="350"/>
      <c r="AB108" s="350"/>
      <c r="AC108" s="350"/>
      <c r="AD108" s="350"/>
      <c r="AE108" s="351"/>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row>
    <row r="109" spans="1:61" ht="15" customHeight="1" x14ac:dyDescent="0.25">
      <c r="A109" s="55"/>
      <c r="B109" s="338"/>
      <c r="C109" s="338"/>
      <c r="D109" s="339"/>
      <c r="E109" s="328"/>
      <c r="F109" s="327"/>
      <c r="G109" s="327"/>
      <c r="H109" s="327"/>
      <c r="I109" s="327"/>
      <c r="J109" s="48" t="e">
        <f>IF(AND('Mapa final'!#REF!="Media",'Mapa final'!#REF!="Leve"),CONCATENATE("R4C",'Mapa final'!#REF!),"")</f>
        <v>#REF!</v>
      </c>
      <c r="K109" s="49" t="e">
        <f>IF(AND('Mapa final'!#REF!="Media",'Mapa final'!#REF!="Leve"),CONCATENATE("R4C",'Mapa final'!#REF!),"")</f>
        <v>#REF!</v>
      </c>
      <c r="L109" s="108" t="e">
        <f>IF(AND('Mapa final'!#REF!="Media",'Mapa final'!#REF!="Leve"),CONCATENATE("R4C",'Mapa final'!#REF!),"")</f>
        <v>#REF!</v>
      </c>
      <c r="M109" s="48" t="e">
        <f>IF(AND('Mapa final'!#REF!="Media",'Mapa final'!#REF!="Menor"),CONCATENATE("R4C",'Mapa final'!#REF!),"")</f>
        <v>#REF!</v>
      </c>
      <c r="N109" s="49" t="e">
        <f>IF(AND('Mapa final'!#REF!="Media",'Mapa final'!#REF!="Menor"),CONCATENATE("R4C",'Mapa final'!#REF!),"")</f>
        <v>#REF!</v>
      </c>
      <c r="O109" s="108" t="e">
        <f>IF(AND('Mapa final'!#REF!="Media",'Mapa final'!#REF!="Menor"),CONCATENATE("R4C",'Mapa final'!#REF!),"")</f>
        <v>#REF!</v>
      </c>
      <c r="P109" s="48" t="e">
        <f>IF(AND('Mapa final'!#REF!="Media",'Mapa final'!#REF!="Moderado"),CONCATENATE("R4C",'Mapa final'!#REF!),"")</f>
        <v>#REF!</v>
      </c>
      <c r="Q109" s="49" t="e">
        <f>IF(AND('Mapa final'!#REF!="Media",'Mapa final'!#REF!="Moderado"),CONCATENATE("R4C",'Mapa final'!#REF!),"")</f>
        <v>#REF!</v>
      </c>
      <c r="R109" s="108" t="e">
        <f>IF(AND('Mapa final'!#REF!="Media",'Mapa final'!#REF!="Moderado"),CONCATENATE("R4C",'Mapa final'!#REF!),"")</f>
        <v>#REF!</v>
      </c>
      <c r="S109" s="102" t="e">
        <f>IF(AND('Mapa final'!#REF!="Media",'Mapa final'!#REF!="Mayor"),CONCATENATE("R4C",'Mapa final'!#REF!),"")</f>
        <v>#REF!</v>
      </c>
      <c r="T109" s="41" t="e">
        <f>IF(AND('Mapa final'!#REF!="Media",'Mapa final'!#REF!="Mayor"),CONCATENATE("R4C",'Mapa final'!#REF!),"")</f>
        <v>#REF!</v>
      </c>
      <c r="U109" s="103" t="e">
        <f>IF(AND('Mapa final'!#REF!="Media",'Mapa final'!#REF!="Mayor"),CONCATENATE("R4C",'Mapa final'!#REF!),"")</f>
        <v>#REF!</v>
      </c>
      <c r="V109" s="42" t="e">
        <f>IF(AND('Mapa final'!#REF!="Media",'Mapa final'!#REF!="Catastrófico"),CONCATENATE("R4C",'Mapa final'!#REF!),"")</f>
        <v>#REF!</v>
      </c>
      <c r="W109" s="43" t="e">
        <f>IF(AND('Mapa final'!#REF!="Media",'Mapa final'!#REF!="Catastrófico"),CONCATENATE("R4C",'Mapa final'!#REF!),"")</f>
        <v>#REF!</v>
      </c>
      <c r="X109" s="97" t="e">
        <f>IF(AND('Mapa final'!#REF!="Media",'Mapa final'!#REF!="Catastrófico"),CONCATENATE("R4C",'Mapa final'!#REF!),"")</f>
        <v>#REF!</v>
      </c>
      <c r="Y109" s="55"/>
      <c r="Z109" s="349"/>
      <c r="AA109" s="350"/>
      <c r="AB109" s="350"/>
      <c r="AC109" s="350"/>
      <c r="AD109" s="350"/>
      <c r="AE109" s="351"/>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row>
    <row r="110" spans="1:61" ht="15" customHeight="1" x14ac:dyDescent="0.25">
      <c r="A110" s="55"/>
      <c r="B110" s="338"/>
      <c r="C110" s="338"/>
      <c r="D110" s="339"/>
      <c r="E110" s="328"/>
      <c r="F110" s="327"/>
      <c r="G110" s="327"/>
      <c r="H110" s="327"/>
      <c r="I110" s="327"/>
      <c r="J110" s="48" t="str">
        <f ca="1">IF(AND('Mapa final'!$AB$16="Media",'Mapa final'!$AD$16="Leve"),CONCATENATE("R5C",'Mapa final'!$R$16),"")</f>
        <v/>
      </c>
      <c r="K110" s="49" t="str">
        <f>IF(AND('Mapa final'!$AB$17="Media",'Mapa final'!$AD$17="Leve"),CONCATENATE("R5C",'Mapa final'!$R$17),"")</f>
        <v/>
      </c>
      <c r="L110" s="108" t="str">
        <f>IF(AND('Mapa final'!$AB$18="Media",'Mapa final'!$AD$18="Leve"),CONCATENATE("R5C",'Mapa final'!$R$18),"")</f>
        <v/>
      </c>
      <c r="M110" s="48" t="str">
        <f ca="1">IF(AND('Mapa final'!$AB$16="Media",'Mapa final'!$AD$16="Menor"),CONCATENATE("R5C",'Mapa final'!$R$16),"")</f>
        <v/>
      </c>
      <c r="N110" s="49" t="str">
        <f>IF(AND('Mapa final'!$AB$17="Media",'Mapa final'!$AD$17="Menor"),CONCATENATE("R5C",'Mapa final'!$R$17),"")</f>
        <v/>
      </c>
      <c r="O110" s="108" t="str">
        <f>IF(AND('Mapa final'!$AB$18="Media",'Mapa final'!$AD$18="Menor"),CONCATENATE("R5C",'Mapa final'!$R$18),"")</f>
        <v/>
      </c>
      <c r="P110" s="48" t="str">
        <f ca="1">IF(AND('Mapa final'!$AB$16="Media",'Mapa final'!$AD$16="Moderado"),CONCATENATE("R5C",'Mapa final'!$R$16),"")</f>
        <v>R5C1</v>
      </c>
      <c r="Q110" s="49" t="str">
        <f>IF(AND('Mapa final'!$AB$17="Media",'Mapa final'!$AD$17="Moderado"),CONCATENATE("R5C",'Mapa final'!$R$17),"")</f>
        <v/>
      </c>
      <c r="R110" s="108" t="str">
        <f>IF(AND('Mapa final'!$AB$18="Media",'Mapa final'!$AD$18="Moderado"),CONCATENATE("R5C",'Mapa final'!$R$18),"")</f>
        <v/>
      </c>
      <c r="S110" s="102" t="str">
        <f ca="1">IF(AND('Mapa final'!$AB$16="Media",'Mapa final'!$AD$16="Mayor"),CONCATENATE("R5C",'Mapa final'!$R$16),"")</f>
        <v/>
      </c>
      <c r="T110" s="41" t="str">
        <f>IF(AND('Mapa final'!$AB$17="Media",'Mapa final'!$AD$17="Mayor"),CONCATENATE("R5C",'Mapa final'!$R$17),"")</f>
        <v/>
      </c>
      <c r="U110" s="103" t="str">
        <f>IF(AND('Mapa final'!$AB$18="Media",'Mapa final'!$AD$18="Mayor"),CONCATENATE("R5C",'Mapa final'!$R$18),"")</f>
        <v/>
      </c>
      <c r="V110" s="42" t="str">
        <f ca="1">IF(AND('Mapa final'!$AB$16="Media",'Mapa final'!$AD$16="Catastrófico"),CONCATENATE("R5C",'Mapa final'!$R$16),"")</f>
        <v/>
      </c>
      <c r="W110" s="43" t="str">
        <f>IF(AND('Mapa final'!$AB$17="Media",'Mapa final'!$AD$17="Catastrófico"),CONCATENATE("R5C",'Mapa final'!$R$17),"")</f>
        <v/>
      </c>
      <c r="X110" s="97" t="str">
        <f>IF(AND('Mapa final'!$AB$18="Media",'Mapa final'!$AD$18="Catastrófico"),CONCATENATE("R5C",'Mapa final'!$R$18),"")</f>
        <v/>
      </c>
      <c r="Y110" s="55"/>
      <c r="Z110" s="349"/>
      <c r="AA110" s="350"/>
      <c r="AB110" s="350"/>
      <c r="AC110" s="350"/>
      <c r="AD110" s="350"/>
      <c r="AE110" s="351"/>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row>
    <row r="111" spans="1:61" ht="15" customHeight="1" x14ac:dyDescent="0.25">
      <c r="A111" s="55"/>
      <c r="B111" s="338"/>
      <c r="C111" s="338"/>
      <c r="D111" s="339"/>
      <c r="E111" s="328"/>
      <c r="F111" s="327"/>
      <c r="G111" s="327"/>
      <c r="H111" s="327"/>
      <c r="I111" s="327"/>
      <c r="J111" s="48" t="str">
        <f ca="1">IF(AND('Mapa final'!$AB$19="Media",'Mapa final'!$AD$19="Leve"),CONCATENATE("R6C",'Mapa final'!$R$19),"")</f>
        <v/>
      </c>
      <c r="K111" s="49" t="str">
        <f>IF(AND('Mapa final'!$AB$20="Media",'Mapa final'!$AD$20="Leve"),CONCATENATE("R6C",'Mapa final'!$R$20),"")</f>
        <v/>
      </c>
      <c r="L111" s="108" t="str">
        <f>IF(AND('Mapa final'!$AB$21="Media",'Mapa final'!$AD$21="Leve"),CONCATENATE("R6C",'Mapa final'!$R$21),"")</f>
        <v/>
      </c>
      <c r="M111" s="48" t="str">
        <f ca="1">IF(AND('Mapa final'!$AB$19="Media",'Mapa final'!$AD$19="Menor"),CONCATENATE("R6C",'Mapa final'!$R$19),"")</f>
        <v/>
      </c>
      <c r="N111" s="49" t="str">
        <f>IF(AND('Mapa final'!$AB$20="Media",'Mapa final'!$AD$20="Menor"),CONCATENATE("R6C",'Mapa final'!$R$20),"")</f>
        <v/>
      </c>
      <c r="O111" s="108" t="str">
        <f>IF(AND('Mapa final'!$AB$21="Media",'Mapa final'!$AD$21="Menor"),CONCATENATE("R6C",'Mapa final'!$R$21),"")</f>
        <v/>
      </c>
      <c r="P111" s="48" t="str">
        <f ca="1">IF(AND('Mapa final'!$AB$19="Media",'Mapa final'!$AD$19="Moderado"),CONCATENATE("R6C",'Mapa final'!$R$19),"")</f>
        <v/>
      </c>
      <c r="Q111" s="49" t="str">
        <f>IF(AND('Mapa final'!$AB$20="Media",'Mapa final'!$AD$20="Moderado"),CONCATENATE("R6C",'Mapa final'!$R$20),"")</f>
        <v/>
      </c>
      <c r="R111" s="108" t="str">
        <f>IF(AND('Mapa final'!$AB$21="Media",'Mapa final'!$AD$21="Moderado"),CONCATENATE("R6C",'Mapa final'!$R$21),"")</f>
        <v/>
      </c>
      <c r="S111" s="102" t="str">
        <f ca="1">IF(AND('Mapa final'!$AB$19="Media",'Mapa final'!$AD$19="Mayor"),CONCATENATE("R6C",'Mapa final'!$R$19),"")</f>
        <v/>
      </c>
      <c r="T111" s="41" t="str">
        <f>IF(AND('Mapa final'!$AB$20="Media",'Mapa final'!$AD$20="Mayor"),CONCATENATE("R6C",'Mapa final'!$R$20),"")</f>
        <v/>
      </c>
      <c r="U111" s="103" t="str">
        <f>IF(AND('Mapa final'!$AB$21="Media",'Mapa final'!$AD$21="Mayor"),CONCATENATE("R6C",'Mapa final'!$R$21),"")</f>
        <v/>
      </c>
      <c r="V111" s="42" t="str">
        <f ca="1">IF(AND('Mapa final'!$AB$19="Media",'Mapa final'!$AD$19="Catastrófico"),CONCATENATE("R6C",'Mapa final'!$R$19),"")</f>
        <v/>
      </c>
      <c r="W111" s="43" t="str">
        <f>IF(AND('Mapa final'!$AB$20="Media",'Mapa final'!$AD$20="Catastrófico"),CONCATENATE("R6C",'Mapa final'!$R$20),"")</f>
        <v/>
      </c>
      <c r="X111" s="97" t="str">
        <f>IF(AND('Mapa final'!$AB$21="Media",'Mapa final'!$AD$21="Catastrófico"),CONCATENATE("R6C",'Mapa final'!$R$21),"")</f>
        <v/>
      </c>
      <c r="Y111" s="55"/>
      <c r="Z111" s="349"/>
      <c r="AA111" s="350"/>
      <c r="AB111" s="350"/>
      <c r="AC111" s="350"/>
      <c r="AD111" s="350"/>
      <c r="AE111" s="351"/>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row>
    <row r="112" spans="1:61" ht="15" customHeight="1" x14ac:dyDescent="0.25">
      <c r="A112" s="55"/>
      <c r="B112" s="338"/>
      <c r="C112" s="338"/>
      <c r="D112" s="339"/>
      <c r="E112" s="328"/>
      <c r="F112" s="327"/>
      <c r="G112" s="327"/>
      <c r="H112" s="327"/>
      <c r="I112" s="327"/>
      <c r="J112" s="48" t="str">
        <f ca="1">IF(AND('Mapa final'!$AB$22="Media",'Mapa final'!$AD$22="Leve"),CONCATENATE("R7C",'Mapa final'!$R$22),"")</f>
        <v/>
      </c>
      <c r="K112" s="49" t="str">
        <f>IF(AND('Mapa final'!$AB$23="Media",'Mapa final'!$AD$23="Leve"),CONCATENATE("R7C",'Mapa final'!$R$23),"")</f>
        <v/>
      </c>
      <c r="L112" s="108" t="str">
        <f>IF(AND('Mapa final'!$AB$24="Media",'Mapa final'!$AD$24="Leve"),CONCATENATE("R7C",'Mapa final'!$R$24),"")</f>
        <v/>
      </c>
      <c r="M112" s="48" t="str">
        <f ca="1">IF(AND('Mapa final'!$AB$22="Media",'Mapa final'!$AD$22="Menor"),CONCATENATE("R7C",'Mapa final'!$R$22),"")</f>
        <v/>
      </c>
      <c r="N112" s="49" t="str">
        <f>IF(AND('Mapa final'!$AB$23="Media",'Mapa final'!$AD$23="Menor"),CONCATENATE("R7C",'Mapa final'!$R$23),"")</f>
        <v/>
      </c>
      <c r="O112" s="108" t="str">
        <f>IF(AND('Mapa final'!$AB$24="Media",'Mapa final'!$AD$24="Menor"),CONCATENATE("R7C",'Mapa final'!$R$24),"")</f>
        <v/>
      </c>
      <c r="P112" s="48" t="str">
        <f ca="1">IF(AND('Mapa final'!$AB$22="Media",'Mapa final'!$AD$22="Moderado"),CONCATENATE("R7C",'Mapa final'!$R$22),"")</f>
        <v/>
      </c>
      <c r="Q112" s="49" t="str">
        <f>IF(AND('Mapa final'!$AB$23="Media",'Mapa final'!$AD$23="Moderado"),CONCATENATE("R7C",'Mapa final'!$R$23),"")</f>
        <v/>
      </c>
      <c r="R112" s="108" t="str">
        <f>IF(AND('Mapa final'!$AB$24="Media",'Mapa final'!$AD$24="Moderado"),CONCATENATE("R7C",'Mapa final'!$R$24),"")</f>
        <v/>
      </c>
      <c r="S112" s="102" t="str">
        <f ca="1">IF(AND('Mapa final'!$AB$22="Media",'Mapa final'!$AD$22="Mayor"),CONCATENATE("R7C",'Mapa final'!$R$22),"")</f>
        <v/>
      </c>
      <c r="T112" s="41" t="str">
        <f>IF(AND('Mapa final'!$AB$23="Media",'Mapa final'!$AD$23="Mayor"),CONCATENATE("R7C",'Mapa final'!$R$23),"")</f>
        <v/>
      </c>
      <c r="U112" s="103" t="str">
        <f>IF(AND('Mapa final'!$AB$24="Media",'Mapa final'!$AD$24="Mayor"),CONCATENATE("R7C",'Mapa final'!$R$24),"")</f>
        <v/>
      </c>
      <c r="V112" s="42" t="str">
        <f ca="1">IF(AND('Mapa final'!$AB$22="Media",'Mapa final'!$AD$22="Catastrófico"),CONCATENATE("R7C",'Mapa final'!$R$22),"")</f>
        <v/>
      </c>
      <c r="W112" s="43" t="str">
        <f>IF(AND('Mapa final'!$AB$23="Media",'Mapa final'!$AD$23="Catastrófico"),CONCATENATE("R7C",'Mapa final'!$R$23),"")</f>
        <v/>
      </c>
      <c r="X112" s="97" t="str">
        <f>IF(AND('Mapa final'!$AB$24="Media",'Mapa final'!$AD$24="Catastrófico"),CONCATENATE("R7C",'Mapa final'!$R$24),"")</f>
        <v/>
      </c>
      <c r="Y112" s="55"/>
      <c r="Z112" s="349"/>
      <c r="AA112" s="350"/>
      <c r="AB112" s="350"/>
      <c r="AC112" s="350"/>
      <c r="AD112" s="350"/>
      <c r="AE112" s="351"/>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row>
    <row r="113" spans="1:61" ht="15" customHeight="1" x14ac:dyDescent="0.25">
      <c r="A113" s="55"/>
      <c r="B113" s="338"/>
      <c r="C113" s="338"/>
      <c r="D113" s="339"/>
      <c r="E113" s="328"/>
      <c r="F113" s="327"/>
      <c r="G113" s="327"/>
      <c r="H113" s="327"/>
      <c r="I113" s="327"/>
      <c r="J113" s="48" t="str">
        <f ca="1">IF(AND('Mapa final'!$AB$25="Media",'Mapa final'!$AD$25="Leve"),CONCATENATE("R8C",'Mapa final'!$R$25),"")</f>
        <v/>
      </c>
      <c r="K113" s="49" t="str">
        <f>IF(AND('Mapa final'!$AB$26="Media",'Mapa final'!$AD$26="Leve"),CONCATENATE("R8C",'Mapa final'!$R$26),"")</f>
        <v/>
      </c>
      <c r="L113" s="108" t="str">
        <f>IF(AND('Mapa final'!$AB$27="Media",'Mapa final'!$AD$27="Leve"),CONCATENATE("R8C",'Mapa final'!$R$27),"")</f>
        <v/>
      </c>
      <c r="M113" s="48" t="str">
        <f ca="1">IF(AND('Mapa final'!$AB$25="Media",'Mapa final'!$AD$25="Menor"),CONCATENATE("R8C",'Mapa final'!$R$25),"")</f>
        <v/>
      </c>
      <c r="N113" s="49" t="str">
        <f>IF(AND('Mapa final'!$AB$26="Media",'Mapa final'!$AD$26="Menor"),CONCATENATE("R8C",'Mapa final'!$R$26),"")</f>
        <v/>
      </c>
      <c r="O113" s="108" t="str">
        <f>IF(AND('Mapa final'!$AB$27="Media",'Mapa final'!$AD$27="Menor"),CONCATENATE("R8C",'Mapa final'!$R$27),"")</f>
        <v/>
      </c>
      <c r="P113" s="48" t="str">
        <f ca="1">IF(AND('Mapa final'!$AB$25="Media",'Mapa final'!$AD$25="Moderado"),CONCATENATE("R8C",'Mapa final'!$R$25),"")</f>
        <v>R8C1</v>
      </c>
      <c r="Q113" s="49" t="str">
        <f>IF(AND('Mapa final'!$AB$26="Media",'Mapa final'!$AD$26="Moderado"),CONCATENATE("R8C",'Mapa final'!$R$26),"")</f>
        <v/>
      </c>
      <c r="R113" s="108" t="str">
        <f>IF(AND('Mapa final'!$AB$27="Media",'Mapa final'!$AD$27="Moderado"),CONCATENATE("R8C",'Mapa final'!$R$27),"")</f>
        <v/>
      </c>
      <c r="S113" s="102" t="str">
        <f ca="1">IF(AND('Mapa final'!$AB$25="Media",'Mapa final'!$AD$25="Mayor"),CONCATENATE("R8C",'Mapa final'!$R$25),"")</f>
        <v/>
      </c>
      <c r="T113" s="41" t="str">
        <f>IF(AND('Mapa final'!$AB$26="Media",'Mapa final'!$AD$26="Mayor"),CONCATENATE("R8C",'Mapa final'!$R$26),"")</f>
        <v/>
      </c>
      <c r="U113" s="103" t="str">
        <f>IF(AND('Mapa final'!$AB$27="Media",'Mapa final'!$AD$27="Mayor"),CONCATENATE("R8C",'Mapa final'!$R$27),"")</f>
        <v/>
      </c>
      <c r="V113" s="42" t="str">
        <f ca="1">IF(AND('Mapa final'!$AB$25="Media",'Mapa final'!$AD$25="Catastrófico"),CONCATENATE("R8C",'Mapa final'!$R$25),"")</f>
        <v/>
      </c>
      <c r="W113" s="43" t="str">
        <f>IF(AND('Mapa final'!$AB$26="Media",'Mapa final'!$AD$26="Catastrófico"),CONCATENATE("R8C",'Mapa final'!$R$26),"")</f>
        <v/>
      </c>
      <c r="X113" s="97" t="str">
        <f>IF(AND('Mapa final'!$AB$27="Media",'Mapa final'!$AD$27="Catastrófico"),CONCATENATE("R8C",'Mapa final'!$R$27),"")</f>
        <v/>
      </c>
      <c r="Y113" s="55"/>
      <c r="Z113" s="349"/>
      <c r="AA113" s="350"/>
      <c r="AB113" s="350"/>
      <c r="AC113" s="350"/>
      <c r="AD113" s="350"/>
      <c r="AE113" s="351"/>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row>
    <row r="114" spans="1:61" ht="15" customHeight="1" x14ac:dyDescent="0.25">
      <c r="A114" s="55"/>
      <c r="B114" s="338"/>
      <c r="C114" s="338"/>
      <c r="D114" s="339"/>
      <c r="E114" s="328"/>
      <c r="F114" s="327"/>
      <c r="G114" s="327"/>
      <c r="H114" s="327"/>
      <c r="I114" s="327"/>
      <c r="J114" s="48" t="str">
        <f>IF(AND('Mapa final'!$AB$28="Media",'Mapa final'!$AD$28="Leve"),CONCATENATE("R9C",'Mapa final'!$R$28),"")</f>
        <v/>
      </c>
      <c r="K114" s="49" t="str">
        <f>IF(AND('Mapa final'!$AB$29="Media",'Mapa final'!$AD$29="Leve"),CONCATENATE("R9C",'Mapa final'!$R$29),"")</f>
        <v/>
      </c>
      <c r="L114" s="108" t="str">
        <f>IF(AND('Mapa final'!$AB$30="Media",'Mapa final'!$AD$30="Leve"),CONCATENATE("R9C",'Mapa final'!$R$30),"")</f>
        <v/>
      </c>
      <c r="M114" s="48" t="str">
        <f>IF(AND('Mapa final'!$AB$28="Media",'Mapa final'!$AD$28="Menor"),CONCATENATE("R9C",'Mapa final'!$R$28),"")</f>
        <v/>
      </c>
      <c r="N114" s="49" t="str">
        <f>IF(AND('Mapa final'!$AB$29="Media",'Mapa final'!$AD$29="Menor"),CONCATENATE("R9C",'Mapa final'!$R$29),"")</f>
        <v/>
      </c>
      <c r="O114" s="108" t="str">
        <f>IF(AND('Mapa final'!$AB$30="Media",'Mapa final'!$AD$30="Menor"),CONCATENATE("R9C",'Mapa final'!$R$30),"")</f>
        <v/>
      </c>
      <c r="P114" s="48" t="str">
        <f>IF(AND('Mapa final'!$AB$28="Media",'Mapa final'!$AD$28="Moderado"),CONCATENATE("R9C",'Mapa final'!$R$28),"")</f>
        <v/>
      </c>
      <c r="Q114" s="49" t="str">
        <f>IF(AND('Mapa final'!$AB$29="Media",'Mapa final'!$AD$29="Moderado"),CONCATENATE("R9C",'Mapa final'!$R$29),"")</f>
        <v/>
      </c>
      <c r="R114" s="108" t="str">
        <f>IF(AND('Mapa final'!$AB$30="Media",'Mapa final'!$AD$30="Moderado"),CONCATENATE("R9C",'Mapa final'!$R$30),"")</f>
        <v/>
      </c>
      <c r="S114" s="102" t="str">
        <f>IF(AND('Mapa final'!$AB$28="Media",'Mapa final'!$AD$28="Mayor"),CONCATENATE("R9C",'Mapa final'!$R$28),"")</f>
        <v>R9C1</v>
      </c>
      <c r="T114" s="41" t="str">
        <f>IF(AND('Mapa final'!$AB$29="Media",'Mapa final'!$AD$29="Mayor"),CONCATENATE("R9C",'Mapa final'!$R$29),"")</f>
        <v/>
      </c>
      <c r="U114" s="103" t="str">
        <f>IF(AND('Mapa final'!$AB$30="Media",'Mapa final'!$AD$30="Mayor"),CONCATENATE("R9C",'Mapa final'!$R$30),"")</f>
        <v/>
      </c>
      <c r="V114" s="42" t="str">
        <f>IF(AND('Mapa final'!$AB$28="Media",'Mapa final'!$AD$28="Catastrófico"),CONCATENATE("R9C",'Mapa final'!$R$28),"")</f>
        <v/>
      </c>
      <c r="W114" s="43" t="str">
        <f>IF(AND('Mapa final'!$AB$29="Media",'Mapa final'!$AD$29="Catastrófico"),CONCATENATE("R9C",'Mapa final'!$R$29),"")</f>
        <v/>
      </c>
      <c r="X114" s="97" t="str">
        <f>IF(AND('Mapa final'!$AB$30="Media",'Mapa final'!$AD$30="Catastrófico"),CONCATENATE("R9C",'Mapa final'!$R$30),"")</f>
        <v/>
      </c>
      <c r="Y114" s="55"/>
      <c r="Z114" s="349"/>
      <c r="AA114" s="350"/>
      <c r="AB114" s="350"/>
      <c r="AC114" s="350"/>
      <c r="AD114" s="350"/>
      <c r="AE114" s="351"/>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row>
    <row r="115" spans="1:61" ht="15" customHeight="1" x14ac:dyDescent="0.25">
      <c r="A115" s="55"/>
      <c r="B115" s="338"/>
      <c r="C115" s="338"/>
      <c r="D115" s="339"/>
      <c r="E115" s="328"/>
      <c r="F115" s="327"/>
      <c r="G115" s="327"/>
      <c r="H115" s="327"/>
      <c r="I115" s="327"/>
      <c r="J115" s="48" t="str">
        <f ca="1">IF(AND('Mapa final'!$AB$31="Media",'Mapa final'!$AD$31="Leve"),CONCATENATE("R10C",'Mapa final'!$R$31),"")</f>
        <v/>
      </c>
      <c r="K115" s="49" t="str">
        <f>IF(AND('Mapa final'!$AB$32="Media",'Mapa final'!$AD$32="Leve"),CONCATENATE("R10C",'Mapa final'!$R$32),"")</f>
        <v/>
      </c>
      <c r="L115" s="108" t="str">
        <f>IF(AND('Mapa final'!$AB$33="Media",'Mapa final'!$AD$33="Leve"),CONCATENATE("R10C",'Mapa final'!$R$33),"")</f>
        <v/>
      </c>
      <c r="M115" s="48" t="str">
        <f ca="1">IF(AND('Mapa final'!$AB$31="Media",'Mapa final'!$AD$31="Menor"),CONCATENATE("R10C",'Mapa final'!$R$31),"")</f>
        <v/>
      </c>
      <c r="N115" s="49" t="str">
        <f>IF(AND('Mapa final'!$AB$32="Media",'Mapa final'!$AD$32="Menor"),CONCATENATE("R10C",'Mapa final'!$R$32),"")</f>
        <v/>
      </c>
      <c r="O115" s="108" t="str">
        <f>IF(AND('Mapa final'!$AB$33="Media",'Mapa final'!$AD$33="Menor"),CONCATENATE("R10C",'Mapa final'!$R$33),"")</f>
        <v/>
      </c>
      <c r="P115" s="48" t="str">
        <f ca="1">IF(AND('Mapa final'!$AB$31="Media",'Mapa final'!$AD$31="Moderado"),CONCATENATE("R10C",'Mapa final'!$R$31),"")</f>
        <v>R10C1</v>
      </c>
      <c r="Q115" s="49" t="str">
        <f>IF(AND('Mapa final'!$AB$32="Media",'Mapa final'!$AD$32="Moderado"),CONCATENATE("R10C",'Mapa final'!$R$32),"")</f>
        <v/>
      </c>
      <c r="R115" s="108" t="str">
        <f>IF(AND('Mapa final'!$AB$33="Media",'Mapa final'!$AD$33="Moderado"),CONCATENATE("R10C",'Mapa final'!$R$33),"")</f>
        <v/>
      </c>
      <c r="S115" s="102" t="str">
        <f ca="1">IF(AND('Mapa final'!$AB$31="Media",'Mapa final'!$AD$31="Mayor"),CONCATENATE("R10C",'Mapa final'!$R$31),"")</f>
        <v/>
      </c>
      <c r="T115" s="41" t="str">
        <f>IF(AND('Mapa final'!$AB$32="Media",'Mapa final'!$AD$32="Mayor"),CONCATENATE("R10C",'Mapa final'!$R$32),"")</f>
        <v/>
      </c>
      <c r="U115" s="103" t="str">
        <f>IF(AND('Mapa final'!$AB$33="Media",'Mapa final'!$AD$33="Mayor"),CONCATENATE("R10C",'Mapa final'!$R$33),"")</f>
        <v/>
      </c>
      <c r="V115" s="42" t="str">
        <f ca="1">IF(AND('Mapa final'!$AB$31="Media",'Mapa final'!$AD$31="Catastrófico"),CONCATENATE("R10C",'Mapa final'!$R$31),"")</f>
        <v/>
      </c>
      <c r="W115" s="43" t="str">
        <f>IF(AND('Mapa final'!$AB$32="Media",'Mapa final'!$AD$32="Catastrófico"),CONCATENATE("R10C",'Mapa final'!$R$32),"")</f>
        <v/>
      </c>
      <c r="X115" s="97" t="str">
        <f>IF(AND('Mapa final'!$AB$33="Media",'Mapa final'!$AD$33="Catastrófico"),CONCATENATE("R10C",'Mapa final'!$R$33),"")</f>
        <v/>
      </c>
      <c r="Y115" s="55"/>
      <c r="Z115" s="349"/>
      <c r="AA115" s="350"/>
      <c r="AB115" s="350"/>
      <c r="AC115" s="350"/>
      <c r="AD115" s="350"/>
      <c r="AE115" s="351"/>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row>
    <row r="116" spans="1:61" ht="15" customHeight="1" x14ac:dyDescent="0.25">
      <c r="A116" s="55"/>
      <c r="B116" s="338"/>
      <c r="C116" s="338"/>
      <c r="D116" s="339"/>
      <c r="E116" s="328"/>
      <c r="F116" s="327"/>
      <c r="G116" s="327"/>
      <c r="H116" s="327"/>
      <c r="I116" s="327"/>
      <c r="J116" s="48" t="str">
        <f ca="1">IF(AND('Mapa final'!$AB$34="Media",'Mapa final'!$AD$34="Leve"),CONCATENATE("R11C",'Mapa final'!$R$34),"")</f>
        <v/>
      </c>
      <c r="K116" s="49" t="str">
        <f>IF(AND('Mapa final'!$AB$35="Media",'Mapa final'!$AD$35="Leve"),CONCATENATE("R11C",'Mapa final'!$R$35),"")</f>
        <v/>
      </c>
      <c r="L116" s="108" t="str">
        <f>IF(AND('Mapa final'!$AB$36="Media",'Mapa final'!$AD$36="Leve"),CONCATENATE("R11C",'Mapa final'!$R$36),"")</f>
        <v/>
      </c>
      <c r="M116" s="48" t="str">
        <f ca="1">IF(AND('Mapa final'!$AB$34="Media",'Mapa final'!$AD$34="Menor"),CONCATENATE("R11C",'Mapa final'!$R$34),"")</f>
        <v/>
      </c>
      <c r="N116" s="49" t="str">
        <f>IF(AND('Mapa final'!$AB$35="Media",'Mapa final'!$AD$35="Menor"),CONCATENATE("R11C",'Mapa final'!$R$35),"")</f>
        <v/>
      </c>
      <c r="O116" s="108" t="str">
        <f>IF(AND('Mapa final'!$AB$36="Media",'Mapa final'!$AD$36="Menor"),CONCATENATE("R11C",'Mapa final'!$R$36),"")</f>
        <v/>
      </c>
      <c r="P116" s="48" t="str">
        <f ca="1">IF(AND('Mapa final'!$AB$34="Media",'Mapa final'!$AD$34="Moderado"),CONCATENATE("R11C",'Mapa final'!$R$34),"")</f>
        <v/>
      </c>
      <c r="Q116" s="49" t="str">
        <f>IF(AND('Mapa final'!$AB$35="Media",'Mapa final'!$AD$35="Moderado"),CONCATENATE("R11C",'Mapa final'!$R$35),"")</f>
        <v/>
      </c>
      <c r="R116" s="108" t="str">
        <f>IF(AND('Mapa final'!$AB$36="Media",'Mapa final'!$AD$36="Moderado"),CONCATENATE("R11C",'Mapa final'!$R$36),"")</f>
        <v/>
      </c>
      <c r="S116" s="102" t="str">
        <f ca="1">IF(AND('Mapa final'!$AB$34="Media",'Mapa final'!$AD$34="Mayor"),CONCATENATE("R11C",'Mapa final'!$R$34),"")</f>
        <v/>
      </c>
      <c r="T116" s="41" t="str">
        <f>IF(AND('Mapa final'!$AB$35="Media",'Mapa final'!$AD$35="Mayor"),CONCATENATE("R11C",'Mapa final'!$R$35),"")</f>
        <v/>
      </c>
      <c r="U116" s="103" t="str">
        <f>IF(AND('Mapa final'!$AB$36="Media",'Mapa final'!$AD$36="Mayor"),CONCATENATE("R11C",'Mapa final'!$R$36),"")</f>
        <v/>
      </c>
      <c r="V116" s="42" t="str">
        <f ca="1">IF(AND('Mapa final'!$AB$34="Media",'Mapa final'!$AD$34="Catastrófico"),CONCATENATE("R11C",'Mapa final'!$R$34),"")</f>
        <v/>
      </c>
      <c r="W116" s="43" t="str">
        <f>IF(AND('Mapa final'!$AB$35="Media",'Mapa final'!$AD$35="Catastrófico"),CONCATENATE("R11C",'Mapa final'!$R$35),"")</f>
        <v/>
      </c>
      <c r="X116" s="97" t="str">
        <f>IF(AND('Mapa final'!$AB$36="Media",'Mapa final'!$AD$36="Catastrófico"),CONCATENATE("R11C",'Mapa final'!$R$36),"")</f>
        <v/>
      </c>
      <c r="Y116" s="55"/>
      <c r="Z116" s="349"/>
      <c r="AA116" s="350"/>
      <c r="AB116" s="350"/>
      <c r="AC116" s="350"/>
      <c r="AD116" s="350"/>
      <c r="AE116" s="351"/>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row>
    <row r="117" spans="1:61" ht="15" customHeight="1" x14ac:dyDescent="0.25">
      <c r="A117" s="55"/>
      <c r="B117" s="338"/>
      <c r="C117" s="338"/>
      <c r="D117" s="339"/>
      <c r="E117" s="328"/>
      <c r="F117" s="327"/>
      <c r="G117" s="327"/>
      <c r="H117" s="327"/>
      <c r="I117" s="327"/>
      <c r="J117" s="48" t="str">
        <f ca="1">IF(AND('Mapa final'!$AB$37="Media",'Mapa final'!$AD$37="Leve"),CONCATENATE("R12C",'Mapa final'!$R$37),"")</f>
        <v/>
      </c>
      <c r="K117" s="49" t="str">
        <f>IF(AND('Mapa final'!$AB$38="Media",'Mapa final'!$AD$38="Leve"),CONCATENATE("R12C",'Mapa final'!$R$38),"")</f>
        <v/>
      </c>
      <c r="L117" s="108" t="str">
        <f>IF(AND('Mapa final'!$AB$39="Media",'Mapa final'!$AD$39="Leve"),CONCATENATE("R12C",'Mapa final'!$R$39),"")</f>
        <v/>
      </c>
      <c r="M117" s="48" t="str">
        <f ca="1">IF(AND('Mapa final'!$AB$37="Media",'Mapa final'!$AD$37="Menor"),CONCATENATE("R12C",'Mapa final'!$R$37),"")</f>
        <v/>
      </c>
      <c r="N117" s="49" t="str">
        <f>IF(AND('Mapa final'!$AB$38="Media",'Mapa final'!$AD$38="Menor"),CONCATENATE("R12C",'Mapa final'!$R$38),"")</f>
        <v/>
      </c>
      <c r="O117" s="108" t="str">
        <f>IF(AND('Mapa final'!$AB$39="Media",'Mapa final'!$AD$39="Menor"),CONCATENATE("R12C",'Mapa final'!$R$39),"")</f>
        <v/>
      </c>
      <c r="P117" s="48" t="str">
        <f ca="1">IF(AND('Mapa final'!$AB$37="Media",'Mapa final'!$AD$37="Moderado"),CONCATENATE("R12C",'Mapa final'!$R$37),"")</f>
        <v/>
      </c>
      <c r="Q117" s="49" t="str">
        <f>IF(AND('Mapa final'!$AB$38="Media",'Mapa final'!$AD$38="Moderado"),CONCATENATE("R12C",'Mapa final'!$R$38),"")</f>
        <v/>
      </c>
      <c r="R117" s="108" t="str">
        <f>IF(AND('Mapa final'!$AB$39="Media",'Mapa final'!$AD$39="Moderado"),CONCATENATE("R12C",'Mapa final'!$R$39),"")</f>
        <v/>
      </c>
      <c r="S117" s="102" t="str">
        <f ca="1">IF(AND('Mapa final'!$AB$37="Media",'Mapa final'!$AD$37="Mayor"),CONCATENATE("R12C",'Mapa final'!$R$37),"")</f>
        <v/>
      </c>
      <c r="T117" s="41" t="str">
        <f>IF(AND('Mapa final'!$AB$38="Media",'Mapa final'!$AD$38="Mayor"),CONCATENATE("R12C",'Mapa final'!$R$38),"")</f>
        <v/>
      </c>
      <c r="U117" s="103" t="str">
        <f>IF(AND('Mapa final'!$AB$39="Media",'Mapa final'!$AD$39="Mayor"),CONCATENATE("R12C",'Mapa final'!$R$39),"")</f>
        <v/>
      </c>
      <c r="V117" s="42" t="str">
        <f ca="1">IF(AND('Mapa final'!$AB$37="Media",'Mapa final'!$AD$37="Catastrófico"),CONCATENATE("R12C",'Mapa final'!$R$37),"")</f>
        <v/>
      </c>
      <c r="W117" s="43" t="str">
        <f>IF(AND('Mapa final'!$AB$38="Media",'Mapa final'!$AD$38="Catastrófico"),CONCATENATE("R12C",'Mapa final'!$R$38),"")</f>
        <v/>
      </c>
      <c r="X117" s="97" t="str">
        <f>IF(AND('Mapa final'!$AB$39="Media",'Mapa final'!$AD$39="Catastrófico"),CONCATENATE("R12C",'Mapa final'!$R$39),"")</f>
        <v/>
      </c>
      <c r="Y117" s="55"/>
      <c r="Z117" s="349"/>
      <c r="AA117" s="350"/>
      <c r="AB117" s="350"/>
      <c r="AC117" s="350"/>
      <c r="AD117" s="350"/>
      <c r="AE117" s="351"/>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row>
    <row r="118" spans="1:61" ht="15" customHeight="1" x14ac:dyDescent="0.25">
      <c r="A118" s="55"/>
      <c r="B118" s="338"/>
      <c r="C118" s="338"/>
      <c r="D118" s="339"/>
      <c r="E118" s="328"/>
      <c r="F118" s="327"/>
      <c r="G118" s="327"/>
      <c r="H118" s="327"/>
      <c r="I118" s="327"/>
      <c r="J118" s="48" t="str">
        <f ca="1">IF(AND('Mapa final'!$AB$40="Media",'Mapa final'!$AD$40="Leve"),CONCATENATE("R13C",'Mapa final'!$R$40),"")</f>
        <v/>
      </c>
      <c r="K118" s="49" t="str">
        <f>IF(AND('Mapa final'!$AB$41="Media",'Mapa final'!$AD$41="Leve"),CONCATENATE("R13C",'Mapa final'!$R$41),"")</f>
        <v/>
      </c>
      <c r="L118" s="108" t="str">
        <f>IF(AND('Mapa final'!$AB$42="Media",'Mapa final'!$AD$42="Leve"),CONCATENATE("R13C",'Mapa final'!$R$42),"")</f>
        <v/>
      </c>
      <c r="M118" s="48" t="str">
        <f ca="1">IF(AND('Mapa final'!$AB$40="Media",'Mapa final'!$AD$40="Menor"),CONCATENATE("R13C",'Mapa final'!$R$40),"")</f>
        <v/>
      </c>
      <c r="N118" s="49" t="str">
        <f>IF(AND('Mapa final'!$AB$41="Media",'Mapa final'!$AD$41="Menor"),CONCATENATE("R13C",'Mapa final'!$R$41),"")</f>
        <v/>
      </c>
      <c r="O118" s="108" t="str">
        <f>IF(AND('Mapa final'!$AB$42="Media",'Mapa final'!$AD$42="Menor"),CONCATENATE("R13C",'Mapa final'!$R$42),"")</f>
        <v/>
      </c>
      <c r="P118" s="48" t="str">
        <f ca="1">IF(AND('Mapa final'!$AB$40="Media",'Mapa final'!$AD$40="Moderado"),CONCATENATE("R13C",'Mapa final'!$R$40),"")</f>
        <v/>
      </c>
      <c r="Q118" s="49" t="str">
        <f>IF(AND('Mapa final'!$AB$41="Media",'Mapa final'!$AD$41="Moderado"),CONCATENATE("R13C",'Mapa final'!$R$41),"")</f>
        <v/>
      </c>
      <c r="R118" s="108" t="str">
        <f>IF(AND('Mapa final'!$AB$42="Media",'Mapa final'!$AD$42="Moderado"),CONCATENATE("R13C",'Mapa final'!$R$42),"")</f>
        <v/>
      </c>
      <c r="S118" s="102" t="str">
        <f ca="1">IF(AND('Mapa final'!$AB$40="Media",'Mapa final'!$AD$40="Mayor"),CONCATENATE("R13C",'Mapa final'!$R$40),"")</f>
        <v/>
      </c>
      <c r="T118" s="41" t="str">
        <f>IF(AND('Mapa final'!$AB$41="Media",'Mapa final'!$AD$41="Mayor"),CONCATENATE("R13C",'Mapa final'!$R$41),"")</f>
        <v/>
      </c>
      <c r="U118" s="103" t="str">
        <f>IF(AND('Mapa final'!$AB$42="Media",'Mapa final'!$AD$42="Mayor"),CONCATENATE("R13C",'Mapa final'!$R$42),"")</f>
        <v/>
      </c>
      <c r="V118" s="42" t="str">
        <f ca="1">IF(AND('Mapa final'!$AB$40="Media",'Mapa final'!$AD$40="Catastrófico"),CONCATENATE("R13C",'Mapa final'!$R$40),"")</f>
        <v/>
      </c>
      <c r="W118" s="43" t="str">
        <f>IF(AND('Mapa final'!$AB$41="Media",'Mapa final'!$AD$41="Catastrófico"),CONCATENATE("R13C",'Mapa final'!$R$41),"")</f>
        <v/>
      </c>
      <c r="X118" s="97" t="str">
        <f>IF(AND('Mapa final'!$AB$42="Media",'Mapa final'!$AD$42="Catastrófico"),CONCATENATE("R13C",'Mapa final'!$R$42),"")</f>
        <v/>
      </c>
      <c r="Y118" s="55"/>
      <c r="Z118" s="349"/>
      <c r="AA118" s="350"/>
      <c r="AB118" s="350"/>
      <c r="AC118" s="350"/>
      <c r="AD118" s="350"/>
      <c r="AE118" s="351"/>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row>
    <row r="119" spans="1:61" ht="15" customHeight="1" x14ac:dyDescent="0.25">
      <c r="A119" s="55"/>
      <c r="B119" s="338"/>
      <c r="C119" s="338"/>
      <c r="D119" s="339"/>
      <c r="E119" s="328"/>
      <c r="F119" s="327"/>
      <c r="G119" s="327"/>
      <c r="H119" s="327"/>
      <c r="I119" s="327"/>
      <c r="J119" s="48" t="str">
        <f ca="1">IF(AND('Mapa final'!$AB$43="Media",'Mapa final'!$AD$43="Leve"),CONCATENATE("R14C",'Mapa final'!$R$43),"")</f>
        <v/>
      </c>
      <c r="K119" s="49" t="str">
        <f>IF(AND('Mapa final'!$AB$44="Media",'Mapa final'!$AD$44="Leve"),CONCATENATE("R14C",'Mapa final'!$R$44),"")</f>
        <v/>
      </c>
      <c r="L119" s="108" t="str">
        <f>IF(AND('Mapa final'!$AB$45="Media",'Mapa final'!$AD$45="Leve"),CONCATENATE("R14C",'Mapa final'!$R$45),"")</f>
        <v/>
      </c>
      <c r="M119" s="48" t="str">
        <f ca="1">IF(AND('Mapa final'!$AB$43="Media",'Mapa final'!$AD$43="Menor"),CONCATENATE("R14C",'Mapa final'!$R$43),"")</f>
        <v/>
      </c>
      <c r="N119" s="49" t="str">
        <f>IF(AND('Mapa final'!$AB$44="Media",'Mapa final'!$AD$44="Menor"),CONCATENATE("R14C",'Mapa final'!$R$44),"")</f>
        <v/>
      </c>
      <c r="O119" s="108" t="str">
        <f>IF(AND('Mapa final'!$AB$45="Media",'Mapa final'!$AD$45="Menor"),CONCATENATE("R14C",'Mapa final'!$R$45),"")</f>
        <v/>
      </c>
      <c r="P119" s="48" t="str">
        <f ca="1">IF(AND('Mapa final'!$AB$43="Media",'Mapa final'!$AD$43="Moderado"),CONCATENATE("R14C",'Mapa final'!$R$43),"")</f>
        <v/>
      </c>
      <c r="Q119" s="49" t="str">
        <f>IF(AND('Mapa final'!$AB$44="Media",'Mapa final'!$AD$44="Moderado"),CONCATENATE("R14C",'Mapa final'!$R$44),"")</f>
        <v/>
      </c>
      <c r="R119" s="108" t="str">
        <f>IF(AND('Mapa final'!$AB$45="Media",'Mapa final'!$AD$45="Moderado"),CONCATENATE("R14C",'Mapa final'!$R$45),"")</f>
        <v/>
      </c>
      <c r="S119" s="102" t="str">
        <f ca="1">IF(AND('Mapa final'!$AB$43="Media",'Mapa final'!$AD$43="Mayor"),CONCATENATE("R14C",'Mapa final'!$R$43),"")</f>
        <v/>
      </c>
      <c r="T119" s="41" t="str">
        <f>IF(AND('Mapa final'!$AB$44="Media",'Mapa final'!$AD$44="Mayor"),CONCATENATE("R14C",'Mapa final'!$R$44),"")</f>
        <v/>
      </c>
      <c r="U119" s="103" t="str">
        <f>IF(AND('Mapa final'!$AB$45="Media",'Mapa final'!$AD$45="Mayor"),CONCATENATE("R14C",'Mapa final'!$R$45),"")</f>
        <v/>
      </c>
      <c r="V119" s="42" t="str">
        <f ca="1">IF(AND('Mapa final'!$AB$43="Media",'Mapa final'!$AD$43="Catastrófico"),CONCATENATE("R14C",'Mapa final'!$R$43),"")</f>
        <v/>
      </c>
      <c r="W119" s="43" t="str">
        <f>IF(AND('Mapa final'!$AB$44="Media",'Mapa final'!$AD$44="Catastrófico"),CONCATENATE("R14C",'Mapa final'!$R$44),"")</f>
        <v/>
      </c>
      <c r="X119" s="97" t="str">
        <f>IF(AND('Mapa final'!$AB$45="Media",'Mapa final'!$AD$45="Catastrófico"),CONCATENATE("R14C",'Mapa final'!$R$45),"")</f>
        <v/>
      </c>
      <c r="Y119" s="55"/>
      <c r="Z119" s="349"/>
      <c r="AA119" s="350"/>
      <c r="AB119" s="350"/>
      <c r="AC119" s="350"/>
      <c r="AD119" s="350"/>
      <c r="AE119" s="351"/>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row>
    <row r="120" spans="1:61" ht="15" customHeight="1" x14ac:dyDescent="0.25">
      <c r="A120" s="55"/>
      <c r="B120" s="338"/>
      <c r="C120" s="338"/>
      <c r="D120" s="339"/>
      <c r="E120" s="328"/>
      <c r="F120" s="327"/>
      <c r="G120" s="327"/>
      <c r="H120" s="327"/>
      <c r="I120" s="327"/>
      <c r="J120" s="48" t="str">
        <f ca="1">IF(AND('Mapa final'!$AB$46="Media",'Mapa final'!$AD$46="Leve"),CONCATENATE("R15C",'Mapa final'!$R$46),"")</f>
        <v/>
      </c>
      <c r="K120" s="49" t="str">
        <f>IF(AND('Mapa final'!$AB$47="Media",'Mapa final'!$AD$47="Leve"),CONCATENATE("R15C",'Mapa final'!$R$47),"")</f>
        <v/>
      </c>
      <c r="L120" s="108" t="str">
        <f>IF(AND('Mapa final'!$AB$48="Media",'Mapa final'!$AD$48="Leve"),CONCATENATE("R15C",'Mapa final'!$R$48),"")</f>
        <v/>
      </c>
      <c r="M120" s="48" t="str">
        <f ca="1">IF(AND('Mapa final'!$AB$46="Media",'Mapa final'!$AD$46="Menor"),CONCATENATE("R15C",'Mapa final'!$R$46),"")</f>
        <v/>
      </c>
      <c r="N120" s="49" t="str">
        <f>IF(AND('Mapa final'!$AB$47="Media",'Mapa final'!$AD$47="Menor"),CONCATENATE("R15C",'Mapa final'!$R$47),"")</f>
        <v/>
      </c>
      <c r="O120" s="108" t="str">
        <f>IF(AND('Mapa final'!$AB$48="Media",'Mapa final'!$AD$48="Menor"),CONCATENATE("R15C",'Mapa final'!$R$48),"")</f>
        <v/>
      </c>
      <c r="P120" s="48" t="str">
        <f ca="1">IF(AND('Mapa final'!$AB$46="Media",'Mapa final'!$AD$46="Moderado"),CONCATENATE("R15C",'Mapa final'!$R$46),"")</f>
        <v>R15C1</v>
      </c>
      <c r="Q120" s="49" t="str">
        <f>IF(AND('Mapa final'!$AB$47="Media",'Mapa final'!$AD$47="Moderado"),CONCATENATE("R15C",'Mapa final'!$R$47),"")</f>
        <v/>
      </c>
      <c r="R120" s="108" t="str">
        <f>IF(AND('Mapa final'!$AB$48="Media",'Mapa final'!$AD$48="Moderado"),CONCATENATE("R15C",'Mapa final'!$R$48),"")</f>
        <v/>
      </c>
      <c r="S120" s="102" t="str">
        <f ca="1">IF(AND('Mapa final'!$AB$46="Media",'Mapa final'!$AD$46="Mayor"),CONCATENATE("R15C",'Mapa final'!$R$46),"")</f>
        <v/>
      </c>
      <c r="T120" s="41" t="str">
        <f>IF(AND('Mapa final'!$AB$47="Media",'Mapa final'!$AD$47="Mayor"),CONCATENATE("R15C",'Mapa final'!$R$47),"")</f>
        <v/>
      </c>
      <c r="U120" s="103" t="str">
        <f>IF(AND('Mapa final'!$AB$48="Media",'Mapa final'!$AD$48="Mayor"),CONCATENATE("R15C",'Mapa final'!$R$48),"")</f>
        <v/>
      </c>
      <c r="V120" s="42" t="str">
        <f ca="1">IF(AND('Mapa final'!$AB$46="Media",'Mapa final'!$AD$46="Catastrófico"),CONCATENATE("R15C",'Mapa final'!$R$46),"")</f>
        <v/>
      </c>
      <c r="W120" s="43" t="str">
        <f>IF(AND('Mapa final'!$AB$47="Media",'Mapa final'!$AD$47="Catastrófico"),CONCATENATE("R15C",'Mapa final'!$R$47),"")</f>
        <v/>
      </c>
      <c r="X120" s="97" t="str">
        <f>IF(AND('Mapa final'!$AB$48="Media",'Mapa final'!$AD$48="Catastrófico"),CONCATENATE("R15C",'Mapa final'!$R$48),"")</f>
        <v/>
      </c>
      <c r="Y120" s="55"/>
      <c r="Z120" s="349"/>
      <c r="AA120" s="350"/>
      <c r="AB120" s="350"/>
      <c r="AC120" s="350"/>
      <c r="AD120" s="350"/>
      <c r="AE120" s="351"/>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row>
    <row r="121" spans="1:61" ht="15" customHeight="1" x14ac:dyDescent="0.25">
      <c r="A121" s="55"/>
      <c r="B121" s="338"/>
      <c r="C121" s="338"/>
      <c r="D121" s="339"/>
      <c r="E121" s="328"/>
      <c r="F121" s="327"/>
      <c r="G121" s="327"/>
      <c r="H121" s="327"/>
      <c r="I121" s="327"/>
      <c r="J121" s="48" t="str">
        <f ca="1">IF(AND('Mapa final'!$AB$49="Media",'Mapa final'!$AD$49="Leve"),CONCATENATE("R16C",'Mapa final'!$R$49),"")</f>
        <v/>
      </c>
      <c r="K121" s="49" t="str">
        <f>IF(AND('Mapa final'!$AB$50="Media",'Mapa final'!$AD$50="Leve"),CONCATENATE("R16C",'Mapa final'!$R$50),"")</f>
        <v/>
      </c>
      <c r="L121" s="108" t="str">
        <f>IF(AND('Mapa final'!$AB$51="Media",'Mapa final'!$AD$51="Leve"),CONCATENATE("R16C",'Mapa final'!$R$51),"")</f>
        <v/>
      </c>
      <c r="M121" s="48" t="str">
        <f ca="1">IF(AND('Mapa final'!$AB$49="Media",'Mapa final'!$AD$49="Menor"),CONCATENATE("R16C",'Mapa final'!$R$49),"")</f>
        <v/>
      </c>
      <c r="N121" s="49" t="str">
        <f>IF(AND('Mapa final'!$AB$50="Media",'Mapa final'!$AD$50="Menor"),CONCATENATE("R16C",'Mapa final'!$R$50),"")</f>
        <v/>
      </c>
      <c r="O121" s="108" t="str">
        <f>IF(AND('Mapa final'!$AB$51="Media",'Mapa final'!$AD$51="Menor"),CONCATENATE("R16C",'Mapa final'!$R$51),"")</f>
        <v/>
      </c>
      <c r="P121" s="48" t="str">
        <f ca="1">IF(AND('Mapa final'!$AB$49="Media",'Mapa final'!$AD$49="Moderado"),CONCATENATE("R16C",'Mapa final'!$R$49),"")</f>
        <v/>
      </c>
      <c r="Q121" s="49" t="str">
        <f>IF(AND('Mapa final'!$AB$50="Media",'Mapa final'!$AD$50="Moderado"),CONCATENATE("R16C",'Mapa final'!$R$50),"")</f>
        <v/>
      </c>
      <c r="R121" s="108" t="str">
        <f>IF(AND('Mapa final'!$AB$51="Media",'Mapa final'!$AD$51="Moderado"),CONCATENATE("R16C",'Mapa final'!$R$51),"")</f>
        <v/>
      </c>
      <c r="S121" s="102" t="str">
        <f ca="1">IF(AND('Mapa final'!$AB$49="Media",'Mapa final'!$AD$49="Mayor"),CONCATENATE("R16C",'Mapa final'!$R$49),"")</f>
        <v/>
      </c>
      <c r="T121" s="41" t="str">
        <f>IF(AND('Mapa final'!$AB$50="Media",'Mapa final'!$AD$50="Mayor"),CONCATENATE("R16C",'Mapa final'!$R$50),"")</f>
        <v/>
      </c>
      <c r="U121" s="103" t="str">
        <f>IF(AND('Mapa final'!$AB$51="Media",'Mapa final'!$AD$51="Mayor"),CONCATENATE("R16C",'Mapa final'!$R$51),"")</f>
        <v/>
      </c>
      <c r="V121" s="42" t="str">
        <f ca="1">IF(AND('Mapa final'!$AB$49="Media",'Mapa final'!$AD$49="Catastrófico"),CONCATENATE("R16C",'Mapa final'!$R$49),"")</f>
        <v/>
      </c>
      <c r="W121" s="43" t="str">
        <f>IF(AND('Mapa final'!$AB$50="Media",'Mapa final'!$AD$50="Catastrófico"),CONCATENATE("R16C",'Mapa final'!$R$50),"")</f>
        <v/>
      </c>
      <c r="X121" s="97" t="str">
        <f>IF(AND('Mapa final'!$AB$51="Media",'Mapa final'!$AD$51="Catastrófico"),CONCATENATE("R16C",'Mapa final'!$R$51),"")</f>
        <v/>
      </c>
      <c r="Y121" s="55"/>
      <c r="Z121" s="349"/>
      <c r="AA121" s="350"/>
      <c r="AB121" s="350"/>
      <c r="AC121" s="350"/>
      <c r="AD121" s="350"/>
      <c r="AE121" s="351"/>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row>
    <row r="122" spans="1:61" ht="15" customHeight="1" x14ac:dyDescent="0.25">
      <c r="A122" s="55"/>
      <c r="B122" s="338"/>
      <c r="C122" s="338"/>
      <c r="D122" s="339"/>
      <c r="E122" s="328"/>
      <c r="F122" s="327"/>
      <c r="G122" s="327"/>
      <c r="H122" s="327"/>
      <c r="I122" s="327"/>
      <c r="J122" s="48" t="str">
        <f ca="1">IF(AND('Mapa final'!$AB$52="Media",'Mapa final'!$AD$52="Leve"),CONCATENATE("R17C",'Mapa final'!$R$52),"")</f>
        <v/>
      </c>
      <c r="K122" s="49" t="str">
        <f>IF(AND('Mapa final'!$AB$53="Media",'Mapa final'!$AD$53="Leve"),CONCATENATE("R17C",'Mapa final'!$R$53),"")</f>
        <v/>
      </c>
      <c r="L122" s="108" t="str">
        <f>IF(AND('Mapa final'!$AB$54="Media",'Mapa final'!$AD$54="Leve"),CONCATENATE("R17C",'Mapa final'!$R$54),"")</f>
        <v/>
      </c>
      <c r="M122" s="48" t="str">
        <f ca="1">IF(AND('Mapa final'!$AB$52="Media",'Mapa final'!$AD$52="Menor"),CONCATENATE("R17C",'Mapa final'!$R$52),"")</f>
        <v/>
      </c>
      <c r="N122" s="49" t="str">
        <f>IF(AND('Mapa final'!$AB$53="Media",'Mapa final'!$AD$53="Menor"),CONCATENATE("R17C",'Mapa final'!$R$53),"")</f>
        <v/>
      </c>
      <c r="O122" s="108" t="str">
        <f>IF(AND('Mapa final'!$AB$54="Media",'Mapa final'!$AD$54="Menor"),CONCATENATE("R17C",'Mapa final'!$R$54),"")</f>
        <v/>
      </c>
      <c r="P122" s="48" t="str">
        <f ca="1">IF(AND('Mapa final'!$AB$52="Media",'Mapa final'!$AD$52="Moderado"),CONCATENATE("R17C",'Mapa final'!$R$52),"")</f>
        <v/>
      </c>
      <c r="Q122" s="49" t="str">
        <f>IF(AND('Mapa final'!$AB$53="Media",'Mapa final'!$AD$53="Moderado"),CONCATENATE("R17C",'Mapa final'!$R$53),"")</f>
        <v/>
      </c>
      <c r="R122" s="108" t="str">
        <f>IF(AND('Mapa final'!$AB$54="Media",'Mapa final'!$AD$54="Moderado"),CONCATENATE("R17C",'Mapa final'!$R$54),"")</f>
        <v/>
      </c>
      <c r="S122" s="102" t="str">
        <f ca="1">IF(AND('Mapa final'!$AB$52="Media",'Mapa final'!$AD$52="Mayor"),CONCATENATE("R17C",'Mapa final'!$R$52),"")</f>
        <v>R17C1</v>
      </c>
      <c r="T122" s="41" t="str">
        <f>IF(AND('Mapa final'!$AB$53="Media",'Mapa final'!$AD$53="Mayor"),CONCATENATE("R17C",'Mapa final'!$R$53),"")</f>
        <v/>
      </c>
      <c r="U122" s="103" t="str">
        <f>IF(AND('Mapa final'!$AB$54="Media",'Mapa final'!$AD$54="Mayor"),CONCATENATE("R17C",'Mapa final'!$R$54),"")</f>
        <v/>
      </c>
      <c r="V122" s="42" t="str">
        <f ca="1">IF(AND('Mapa final'!$AB$52="Media",'Mapa final'!$AD$52="Catastrófico"),CONCATENATE("R17C",'Mapa final'!$R$52),"")</f>
        <v/>
      </c>
      <c r="W122" s="43" t="str">
        <f>IF(AND('Mapa final'!$AB$53="Media",'Mapa final'!$AD$53="Catastrófico"),CONCATENATE("R17C",'Mapa final'!$R$53),"")</f>
        <v/>
      </c>
      <c r="X122" s="97" t="str">
        <f>IF(AND('Mapa final'!$AB$54="Media",'Mapa final'!$AD$54="Catastrófico"),CONCATENATE("R17C",'Mapa final'!$R$54),"")</f>
        <v/>
      </c>
      <c r="Y122" s="55"/>
      <c r="Z122" s="349"/>
      <c r="AA122" s="350"/>
      <c r="AB122" s="350"/>
      <c r="AC122" s="350"/>
      <c r="AD122" s="350"/>
      <c r="AE122" s="351"/>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row>
    <row r="123" spans="1:61" ht="15" customHeight="1" x14ac:dyDescent="0.25">
      <c r="A123" s="55"/>
      <c r="B123" s="338"/>
      <c r="C123" s="338"/>
      <c r="D123" s="339"/>
      <c r="E123" s="328"/>
      <c r="F123" s="327"/>
      <c r="G123" s="327"/>
      <c r="H123" s="327"/>
      <c r="I123" s="327"/>
      <c r="J123" s="48" t="str">
        <f ca="1">IF(AND('Mapa final'!$AB$55="Media",'Mapa final'!$AD$55="Leve"),CONCATENATE("R18C",'Mapa final'!$R$55),"")</f>
        <v/>
      </c>
      <c r="K123" s="49" t="str">
        <f>IF(AND('Mapa final'!$AB$56="Media",'Mapa final'!$AD$56="Leve"),CONCATENATE("R18C",'Mapa final'!$R$56),"")</f>
        <v/>
      </c>
      <c r="L123" s="108" t="str">
        <f>IF(AND('Mapa final'!$AB$57="Media",'Mapa final'!$AD$57="Leve"),CONCATENATE("R18C",'Mapa final'!$R$57),"")</f>
        <v/>
      </c>
      <c r="M123" s="48" t="str">
        <f ca="1">IF(AND('Mapa final'!$AB$55="Media",'Mapa final'!$AD$55="Menor"),CONCATENATE("R18C",'Mapa final'!$R$55),"")</f>
        <v/>
      </c>
      <c r="N123" s="49" t="str">
        <f>IF(AND('Mapa final'!$AB$56="Media",'Mapa final'!$AD$56="Menor"),CONCATENATE("R18C",'Mapa final'!$R$56),"")</f>
        <v/>
      </c>
      <c r="O123" s="108" t="str">
        <f>IF(AND('Mapa final'!$AB$57="Media",'Mapa final'!$AD$57="Menor"),CONCATENATE("R18C",'Mapa final'!$R$57),"")</f>
        <v/>
      </c>
      <c r="P123" s="48" t="str">
        <f ca="1">IF(AND('Mapa final'!$AB$55="Media",'Mapa final'!$AD$55="Moderado"),CONCATENATE("R18C",'Mapa final'!$R$55),"")</f>
        <v>R18C1</v>
      </c>
      <c r="Q123" s="49" t="str">
        <f>IF(AND('Mapa final'!$AB$56="Media",'Mapa final'!$AD$56="Moderado"),CONCATENATE("R18C",'Mapa final'!$R$56),"")</f>
        <v/>
      </c>
      <c r="R123" s="108" t="str">
        <f>IF(AND('Mapa final'!$AB$57="Media",'Mapa final'!$AD$57="Moderado"),CONCATENATE("R18C",'Mapa final'!$R$57),"")</f>
        <v/>
      </c>
      <c r="S123" s="102" t="str">
        <f ca="1">IF(AND('Mapa final'!$AB$55="Media",'Mapa final'!$AD$55="Mayor"),CONCATENATE("R18C",'Mapa final'!$R$55),"")</f>
        <v/>
      </c>
      <c r="T123" s="41" t="str">
        <f>IF(AND('Mapa final'!$AB$56="Media",'Mapa final'!$AD$56="Mayor"),CONCATENATE("R18C",'Mapa final'!$R$56),"")</f>
        <v/>
      </c>
      <c r="U123" s="103" t="str">
        <f>IF(AND('Mapa final'!$AB$57="Media",'Mapa final'!$AD$57="Mayor"),CONCATENATE("R18C",'Mapa final'!$R$57),"")</f>
        <v/>
      </c>
      <c r="V123" s="42" t="str">
        <f ca="1">IF(AND('Mapa final'!$AB$55="Media",'Mapa final'!$AD$55="Catastrófico"),CONCATENATE("R18C",'Mapa final'!$R$55),"")</f>
        <v/>
      </c>
      <c r="W123" s="43" t="str">
        <f>IF(AND('Mapa final'!$AB$56="Media",'Mapa final'!$AD$56="Catastrófico"),CONCATENATE("R18C",'Mapa final'!$R$56),"")</f>
        <v/>
      </c>
      <c r="X123" s="97" t="str">
        <f>IF(AND('Mapa final'!$AB$57="Media",'Mapa final'!$AD$57="Catastrófico"),CONCATENATE("R18C",'Mapa final'!$R$57),"")</f>
        <v/>
      </c>
      <c r="Y123" s="55"/>
      <c r="Z123" s="349"/>
      <c r="AA123" s="350"/>
      <c r="AB123" s="350"/>
      <c r="AC123" s="350"/>
      <c r="AD123" s="350"/>
      <c r="AE123" s="351"/>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row>
    <row r="124" spans="1:61" ht="15" customHeight="1" x14ac:dyDescent="0.25">
      <c r="A124" s="55"/>
      <c r="B124" s="338"/>
      <c r="C124" s="338"/>
      <c r="D124" s="339"/>
      <c r="E124" s="328"/>
      <c r="F124" s="327"/>
      <c r="G124" s="327"/>
      <c r="H124" s="327"/>
      <c r="I124" s="327"/>
      <c r="J124" s="48" t="str">
        <f ca="1">IF(AND('Mapa final'!$AB$58="Media",'Mapa final'!$AD$58="Leve"),CONCATENATE("R19C",'Mapa final'!$R$58),"")</f>
        <v/>
      </c>
      <c r="K124" s="49" t="str">
        <f>IF(AND('Mapa final'!$AB$59="Media",'Mapa final'!$AD$59="Leve"),CONCATENATE("R19C",'Mapa final'!$R$59),"")</f>
        <v/>
      </c>
      <c r="L124" s="108" t="str">
        <f>IF(AND('Mapa final'!$AB$60="Media",'Mapa final'!$AD$60="Leve"),CONCATENATE("R19C",'Mapa final'!$R$60),"")</f>
        <v/>
      </c>
      <c r="M124" s="48" t="str">
        <f ca="1">IF(AND('Mapa final'!$AB$58="Media",'Mapa final'!$AD$58="Menor"),CONCATENATE("R19C",'Mapa final'!$R$58),"")</f>
        <v/>
      </c>
      <c r="N124" s="49" t="str">
        <f>IF(AND('Mapa final'!$AB$59="Media",'Mapa final'!$AD$59="Menor"),CONCATENATE("R19C",'Mapa final'!$R$59),"")</f>
        <v/>
      </c>
      <c r="O124" s="108" t="str">
        <f>IF(AND('Mapa final'!$AB$60="Media",'Mapa final'!$AD$60="Menor"),CONCATENATE("R19C",'Mapa final'!$R$60),"")</f>
        <v/>
      </c>
      <c r="P124" s="48" t="str">
        <f ca="1">IF(AND('Mapa final'!$AB$58="Media",'Mapa final'!$AD$58="Moderado"),CONCATENATE("R19C",'Mapa final'!$R$58),"")</f>
        <v>R19C1</v>
      </c>
      <c r="Q124" s="49" t="str">
        <f>IF(AND('Mapa final'!$AB$59="Media",'Mapa final'!$AD$59="Moderado"),CONCATENATE("R19C",'Mapa final'!$R$59),"")</f>
        <v/>
      </c>
      <c r="R124" s="108" t="str">
        <f>IF(AND('Mapa final'!$AB$60="Media",'Mapa final'!$AD$60="Moderado"),CONCATENATE("R19C",'Mapa final'!$R$60),"")</f>
        <v/>
      </c>
      <c r="S124" s="102" t="str">
        <f ca="1">IF(AND('Mapa final'!$AB$58="Media",'Mapa final'!$AD$58="Mayor"),CONCATENATE("R19C",'Mapa final'!$R$58),"")</f>
        <v/>
      </c>
      <c r="T124" s="41" t="str">
        <f>IF(AND('Mapa final'!$AB$59="Media",'Mapa final'!$AD$59="Mayor"),CONCATENATE("R19C",'Mapa final'!$R$59),"")</f>
        <v/>
      </c>
      <c r="U124" s="103" t="str">
        <f>IF(AND('Mapa final'!$AB$60="Media",'Mapa final'!$AD$60="Mayor"),CONCATENATE("R19C",'Mapa final'!$R$60),"")</f>
        <v/>
      </c>
      <c r="V124" s="42" t="str">
        <f ca="1">IF(AND('Mapa final'!$AB$58="Media",'Mapa final'!$AD$58="Catastrófico"),CONCATENATE("R19C",'Mapa final'!$R$58),"")</f>
        <v/>
      </c>
      <c r="W124" s="43" t="str">
        <f>IF(AND('Mapa final'!$AB$59="Media",'Mapa final'!$AD$59="Catastrófico"),CONCATENATE("R19C",'Mapa final'!$R$59),"")</f>
        <v/>
      </c>
      <c r="X124" s="97" t="str">
        <f>IF(AND('Mapa final'!$AB$60="Media",'Mapa final'!$AD$60="Catastrófico"),CONCATENATE("R19C",'Mapa final'!$R$60),"")</f>
        <v/>
      </c>
      <c r="Y124" s="55"/>
      <c r="Z124" s="349"/>
      <c r="AA124" s="350"/>
      <c r="AB124" s="350"/>
      <c r="AC124" s="350"/>
      <c r="AD124" s="350"/>
      <c r="AE124" s="351"/>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row>
    <row r="125" spans="1:61" ht="15" customHeight="1" x14ac:dyDescent="0.25">
      <c r="A125" s="55"/>
      <c r="B125" s="338"/>
      <c r="C125" s="338"/>
      <c r="D125" s="339"/>
      <c r="E125" s="328"/>
      <c r="F125" s="327"/>
      <c r="G125" s="327"/>
      <c r="H125" s="327"/>
      <c r="I125" s="327"/>
      <c r="J125" s="48" t="str">
        <f ca="1">IF(AND('Mapa final'!$AB$61="Media",'Mapa final'!$AD$61="Leve"),CONCATENATE("R20C",'Mapa final'!$R$61),"")</f>
        <v/>
      </c>
      <c r="K125" s="49" t="str">
        <f>IF(AND('Mapa final'!$AB$62="Media",'Mapa final'!$AD$62="Leve"),CONCATENATE("R20C",'Mapa final'!$R$62),"")</f>
        <v/>
      </c>
      <c r="L125" s="108" t="str">
        <f>IF(AND('Mapa final'!$AB$63="Media",'Mapa final'!$AD$63="Leve"),CONCATENATE("R20C",'Mapa final'!$R$63),"")</f>
        <v/>
      </c>
      <c r="M125" s="48" t="str">
        <f ca="1">IF(AND('Mapa final'!$AB$61="Media",'Mapa final'!$AD$61="Menor"),CONCATENATE("R20C",'Mapa final'!$R$61),"")</f>
        <v/>
      </c>
      <c r="N125" s="49" t="str">
        <f>IF(AND('Mapa final'!$AB$62="Media",'Mapa final'!$AD$62="Menor"),CONCATENATE("R20C",'Mapa final'!$R$62),"")</f>
        <v/>
      </c>
      <c r="O125" s="108" t="str">
        <f>IF(AND('Mapa final'!$AB$63="Media",'Mapa final'!$AD$63="Menor"),CONCATENATE("R20C",'Mapa final'!$R$63),"")</f>
        <v/>
      </c>
      <c r="P125" s="48" t="str">
        <f ca="1">IF(AND('Mapa final'!$AB$61="Media",'Mapa final'!$AD$61="Moderado"),CONCATENATE("R20C",'Mapa final'!$R$61),"")</f>
        <v/>
      </c>
      <c r="Q125" s="49" t="str">
        <f>IF(AND('Mapa final'!$AB$62="Media",'Mapa final'!$AD$62="Moderado"),CONCATENATE("R20C",'Mapa final'!$R$62),"")</f>
        <v/>
      </c>
      <c r="R125" s="108" t="str">
        <f>IF(AND('Mapa final'!$AB$63="Media",'Mapa final'!$AD$63="Moderado"),CONCATENATE("R20C",'Mapa final'!$R$63),"")</f>
        <v/>
      </c>
      <c r="S125" s="102" t="str">
        <f ca="1">IF(AND('Mapa final'!$AB$61="Media",'Mapa final'!$AD$61="Mayor"),CONCATENATE("R20C",'Mapa final'!$R$61),"")</f>
        <v/>
      </c>
      <c r="T125" s="41" t="str">
        <f>IF(AND('Mapa final'!$AB$62="Media",'Mapa final'!$AD$62="Mayor"),CONCATENATE("R20C",'Mapa final'!$R$62),"")</f>
        <v/>
      </c>
      <c r="U125" s="103" t="str">
        <f>IF(AND('Mapa final'!$AB$63="Media",'Mapa final'!$AD$63="Mayor"),CONCATENATE("R20C",'Mapa final'!$R$63),"")</f>
        <v/>
      </c>
      <c r="V125" s="42" t="str">
        <f ca="1">IF(AND('Mapa final'!$AB$61="Media",'Mapa final'!$AD$61="Catastrófico"),CONCATENATE("R20C",'Mapa final'!$R$61),"")</f>
        <v/>
      </c>
      <c r="W125" s="43" t="str">
        <f>IF(AND('Mapa final'!$AB$62="Media",'Mapa final'!$AD$62="Catastrófico"),CONCATENATE("R20C",'Mapa final'!$R$62),"")</f>
        <v/>
      </c>
      <c r="X125" s="97" t="str">
        <f>IF(AND('Mapa final'!$AB$63="Media",'Mapa final'!$AD$63="Catastrófico"),CONCATENATE("R20C",'Mapa final'!$R$63),"")</f>
        <v/>
      </c>
      <c r="Y125" s="55"/>
      <c r="Z125" s="349"/>
      <c r="AA125" s="350"/>
      <c r="AB125" s="350"/>
      <c r="AC125" s="350"/>
      <c r="AD125" s="350"/>
      <c r="AE125" s="351"/>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row>
    <row r="126" spans="1:61" ht="15" customHeight="1" x14ac:dyDescent="0.25">
      <c r="A126" s="55"/>
      <c r="B126" s="338"/>
      <c r="C126" s="338"/>
      <c r="D126" s="339"/>
      <c r="E126" s="328"/>
      <c r="F126" s="327"/>
      <c r="G126" s="327"/>
      <c r="H126" s="327"/>
      <c r="I126" s="327"/>
      <c r="J126" s="48" t="str">
        <f ca="1">IF(AND('Mapa final'!$AB$64="Media",'Mapa final'!$AD$64="Leve"),CONCATENATE("R21C",'Mapa final'!$R$64),"")</f>
        <v/>
      </c>
      <c r="K126" s="49" t="str">
        <f>IF(AND('Mapa final'!$AB$65="Media",'Mapa final'!$AD$65="Leve"),CONCATENATE("R21C",'Mapa final'!$R$65),"")</f>
        <v/>
      </c>
      <c r="L126" s="108" t="str">
        <f>IF(AND('Mapa final'!$AB$66="Media",'Mapa final'!$AD$66="Leve"),CONCATENATE("R21C",'Mapa final'!$R$66),"")</f>
        <v/>
      </c>
      <c r="M126" s="48" t="str">
        <f ca="1">IF(AND('Mapa final'!$AB$64="Media",'Mapa final'!$AD$64="Menor"),CONCATENATE("R21C",'Mapa final'!$R$64),"")</f>
        <v/>
      </c>
      <c r="N126" s="49" t="str">
        <f>IF(AND('Mapa final'!$AB$65="Media",'Mapa final'!$AD$65="Menor"),CONCATENATE("R21C",'Mapa final'!$R$65),"")</f>
        <v/>
      </c>
      <c r="O126" s="108" t="str">
        <f>IF(AND('Mapa final'!$AB$66="Media",'Mapa final'!$AD$66="Menor"),CONCATENATE("R21C",'Mapa final'!$R$66),"")</f>
        <v/>
      </c>
      <c r="P126" s="48" t="str">
        <f ca="1">IF(AND('Mapa final'!$AB$64="Media",'Mapa final'!$AD$64="Moderado"),CONCATENATE("R21C",'Mapa final'!$R$64),"")</f>
        <v/>
      </c>
      <c r="Q126" s="49" t="str">
        <f>IF(AND('Mapa final'!$AB$65="Media",'Mapa final'!$AD$65="Moderado"),CONCATENATE("R21C",'Mapa final'!$R$65),"")</f>
        <v/>
      </c>
      <c r="R126" s="108" t="str">
        <f>IF(AND('Mapa final'!$AB$66="Media",'Mapa final'!$AD$66="Moderado"),CONCATENATE("R21C",'Mapa final'!$R$66),"")</f>
        <v/>
      </c>
      <c r="S126" s="102" t="str">
        <f ca="1">IF(AND('Mapa final'!$AB$64="Media",'Mapa final'!$AD$64="Mayor"),CONCATENATE("R21C",'Mapa final'!$R$64),"")</f>
        <v/>
      </c>
      <c r="T126" s="41" t="str">
        <f>IF(AND('Mapa final'!$AB$65="Media",'Mapa final'!$AD$65="Mayor"),CONCATENATE("R21C",'Mapa final'!$R$65),"")</f>
        <v/>
      </c>
      <c r="U126" s="103" t="str">
        <f>IF(AND('Mapa final'!$AB$66="Media",'Mapa final'!$AD$66="Mayor"),CONCATENATE("R21C",'Mapa final'!$R$66),"")</f>
        <v/>
      </c>
      <c r="V126" s="42" t="str">
        <f ca="1">IF(AND('Mapa final'!$AB$64="Media",'Mapa final'!$AD$64="Catastrófico"),CONCATENATE("R21C",'Mapa final'!$R$64),"")</f>
        <v/>
      </c>
      <c r="W126" s="43" t="str">
        <f>IF(AND('Mapa final'!$AB$65="Media",'Mapa final'!$AD$65="Catastrófico"),CONCATENATE("R21C",'Mapa final'!$R$65),"")</f>
        <v/>
      </c>
      <c r="X126" s="97" t="str">
        <f>IF(AND('Mapa final'!$AB$66="Media",'Mapa final'!$AD$66="Catastrófico"),CONCATENATE("R21C",'Mapa final'!$R$66),"")</f>
        <v/>
      </c>
      <c r="Y126" s="55"/>
      <c r="Z126" s="349"/>
      <c r="AA126" s="350"/>
      <c r="AB126" s="350"/>
      <c r="AC126" s="350"/>
      <c r="AD126" s="350"/>
      <c r="AE126" s="351"/>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row>
    <row r="127" spans="1:61" ht="15" customHeight="1" x14ac:dyDescent="0.25">
      <c r="A127" s="55"/>
      <c r="B127" s="338"/>
      <c r="C127" s="338"/>
      <c r="D127" s="339"/>
      <c r="E127" s="328"/>
      <c r="F127" s="327"/>
      <c r="G127" s="327"/>
      <c r="H127" s="327"/>
      <c r="I127" s="327"/>
      <c r="J127" s="48" t="str">
        <f ca="1">IF(AND('Mapa final'!$AB$67="Media",'Mapa final'!$AD$67="Leve"),CONCATENATE("R22C",'Mapa final'!$R$67),"")</f>
        <v/>
      </c>
      <c r="K127" s="49" t="str">
        <f>IF(AND('Mapa final'!$AB$68="Media",'Mapa final'!$AD$68="Leve"),CONCATENATE("R22C",'Mapa final'!$R$68),"")</f>
        <v/>
      </c>
      <c r="L127" s="108" t="str">
        <f>IF(AND('Mapa final'!$AB$69="Media",'Mapa final'!$AD$69="Leve"),CONCATENATE("R22C",'Mapa final'!$R$69),"")</f>
        <v/>
      </c>
      <c r="M127" s="48" t="str">
        <f ca="1">IF(AND('Mapa final'!$AB$67="Media",'Mapa final'!$AD$67="Menor"),CONCATENATE("R22C",'Mapa final'!$R$67),"")</f>
        <v/>
      </c>
      <c r="N127" s="49" t="str">
        <f>IF(AND('Mapa final'!$AB$68="Media",'Mapa final'!$AD$68="Menor"),CONCATENATE("R22C",'Mapa final'!$R$68),"")</f>
        <v/>
      </c>
      <c r="O127" s="108" t="str">
        <f>IF(AND('Mapa final'!$AB$69="Media",'Mapa final'!$AD$69="Menor"),CONCATENATE("R22C",'Mapa final'!$R$69),"")</f>
        <v/>
      </c>
      <c r="P127" s="48" t="str">
        <f ca="1">IF(AND('Mapa final'!$AB$67="Media",'Mapa final'!$AD$67="Moderado"),CONCATENATE("R22C",'Mapa final'!$R$67),"")</f>
        <v/>
      </c>
      <c r="Q127" s="49" t="str">
        <f>IF(AND('Mapa final'!$AB$68="Media",'Mapa final'!$AD$68="Moderado"),CONCATENATE("R22C",'Mapa final'!$R$68),"")</f>
        <v/>
      </c>
      <c r="R127" s="108" t="str">
        <f>IF(AND('Mapa final'!$AB$69="Media",'Mapa final'!$AD$69="Moderado"),CONCATENATE("R22C",'Mapa final'!$R$69),"")</f>
        <v/>
      </c>
      <c r="S127" s="102" t="str">
        <f ca="1">IF(AND('Mapa final'!$AB$67="Media",'Mapa final'!$AD$67="Mayor"),CONCATENATE("R22C",'Mapa final'!$R$67),"")</f>
        <v/>
      </c>
      <c r="T127" s="41" t="str">
        <f>IF(AND('Mapa final'!$AB$68="Media",'Mapa final'!$AD$68="Mayor"),CONCATENATE("R22C",'Mapa final'!$R$68),"")</f>
        <v/>
      </c>
      <c r="U127" s="103" t="str">
        <f>IF(AND('Mapa final'!$AB$69="Media",'Mapa final'!$AD$69="Mayor"),CONCATENATE("R22C",'Mapa final'!$R$69),"")</f>
        <v/>
      </c>
      <c r="V127" s="42" t="str">
        <f ca="1">IF(AND('Mapa final'!$AB$67="Media",'Mapa final'!$AD$67="Catastrófico"),CONCATENATE("R22C",'Mapa final'!$R$67),"")</f>
        <v/>
      </c>
      <c r="W127" s="43" t="str">
        <f>IF(AND('Mapa final'!$AB$68="Media",'Mapa final'!$AD$68="Catastrófico"),CONCATENATE("R22C",'Mapa final'!$R$68),"")</f>
        <v/>
      </c>
      <c r="X127" s="97" t="str">
        <f>IF(AND('Mapa final'!$AB$69="Media",'Mapa final'!$AD$69="Catastrófico"),CONCATENATE("R22C",'Mapa final'!$R$69),"")</f>
        <v/>
      </c>
      <c r="Y127" s="55"/>
      <c r="Z127" s="349"/>
      <c r="AA127" s="350"/>
      <c r="AB127" s="350"/>
      <c r="AC127" s="350"/>
      <c r="AD127" s="350"/>
      <c r="AE127" s="351"/>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row>
    <row r="128" spans="1:61" ht="15" customHeight="1" x14ac:dyDescent="0.25">
      <c r="A128" s="55"/>
      <c r="B128" s="338"/>
      <c r="C128" s="338"/>
      <c r="D128" s="339"/>
      <c r="E128" s="328"/>
      <c r="F128" s="327"/>
      <c r="G128" s="327"/>
      <c r="H128" s="327"/>
      <c r="I128" s="327"/>
      <c r="J128" s="48" t="str">
        <f ca="1">IF(AND('Mapa final'!$AB$73="Media",'Mapa final'!$AD$73="Leve"),CONCATENATE("R23C",'Mapa final'!$R$73),"")</f>
        <v/>
      </c>
      <c r="K128" s="49" t="str">
        <f>IF(AND('Mapa final'!$AB$74="Media",'Mapa final'!$AD$74="Leve"),CONCATENATE("R23C",'Mapa final'!$R$74),"")</f>
        <v/>
      </c>
      <c r="L128" s="108" t="str">
        <f>IF(AND('Mapa final'!$AB$75="Media",'Mapa final'!$AD$75="Leve"),CONCATENATE("R23C",'Mapa final'!$R$75),"")</f>
        <v/>
      </c>
      <c r="M128" s="48" t="str">
        <f ca="1">IF(AND('Mapa final'!$AB$73="Media",'Mapa final'!$AD$73="Menor"),CONCATENATE("R23C",'Mapa final'!$R$73),"")</f>
        <v/>
      </c>
      <c r="N128" s="49" t="str">
        <f>IF(AND('Mapa final'!$AB$74="Media",'Mapa final'!$AD$74="Menor"),CONCATENATE("R23C",'Mapa final'!$R$74),"")</f>
        <v/>
      </c>
      <c r="O128" s="108" t="str">
        <f>IF(AND('Mapa final'!$AB$75="Media",'Mapa final'!$AD$75="Menor"),CONCATENATE("R23C",'Mapa final'!$R$75),"")</f>
        <v/>
      </c>
      <c r="P128" s="48" t="str">
        <f ca="1">IF(AND('Mapa final'!$AB$73="Media",'Mapa final'!$AD$73="Moderado"),CONCATENATE("R23C",'Mapa final'!$R$73),"")</f>
        <v/>
      </c>
      <c r="Q128" s="49" t="str">
        <f>IF(AND('Mapa final'!$AB$74="Media",'Mapa final'!$AD$74="Moderado"),CONCATENATE("R23C",'Mapa final'!$R$74),"")</f>
        <v/>
      </c>
      <c r="R128" s="108" t="str">
        <f>IF(AND('Mapa final'!$AB$75="Media",'Mapa final'!$AD$75="Moderado"),CONCATENATE("R23C",'Mapa final'!$R$75),"")</f>
        <v/>
      </c>
      <c r="S128" s="102" t="str">
        <f ca="1">IF(AND('Mapa final'!$AB$73="Media",'Mapa final'!$AD$73="Mayor"),CONCATENATE("R23C",'Mapa final'!$R$73),"")</f>
        <v/>
      </c>
      <c r="T128" s="41" t="str">
        <f>IF(AND('Mapa final'!$AB$74="Media",'Mapa final'!$AD$74="Mayor"),CONCATENATE("R23C",'Mapa final'!$R$74),"")</f>
        <v/>
      </c>
      <c r="U128" s="103" t="str">
        <f>IF(AND('Mapa final'!$AB$75="Media",'Mapa final'!$AD$75="Mayor"),CONCATENATE("R23C",'Mapa final'!$R$75),"")</f>
        <v/>
      </c>
      <c r="V128" s="42" t="str">
        <f ca="1">IF(AND('Mapa final'!$AB$73="Media",'Mapa final'!$AD$73="Catastrófico"),CONCATENATE("R23C",'Mapa final'!$R$73),"")</f>
        <v/>
      </c>
      <c r="W128" s="43" t="str">
        <f>IF(AND('Mapa final'!$AB$74="Media",'Mapa final'!$AD$74="Catastrófico"),CONCATENATE("R23C",'Mapa final'!$R$74),"")</f>
        <v/>
      </c>
      <c r="X128" s="97" t="str">
        <f>IF(AND('Mapa final'!$AB$75="Media",'Mapa final'!$AD$75="Catastrófico"),CONCATENATE("R23C",'Mapa final'!$R$75),"")</f>
        <v/>
      </c>
      <c r="Y128" s="55"/>
      <c r="Z128" s="349"/>
      <c r="AA128" s="350"/>
      <c r="AB128" s="350"/>
      <c r="AC128" s="350"/>
      <c r="AD128" s="350"/>
      <c r="AE128" s="351"/>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row>
    <row r="129" spans="1:61" ht="15" customHeight="1" x14ac:dyDescent="0.25">
      <c r="A129" s="55"/>
      <c r="B129" s="338"/>
      <c r="C129" s="338"/>
      <c r="D129" s="339"/>
      <c r="E129" s="328"/>
      <c r="F129" s="327"/>
      <c r="G129" s="327"/>
      <c r="H129" s="327"/>
      <c r="I129" s="327"/>
      <c r="J129" s="48" t="str">
        <f ca="1">IF(AND('Mapa final'!$AB$76="Media",'Mapa final'!$AD$76="Leve"),CONCATENATE("R24C",'Mapa final'!$R$76),"")</f>
        <v/>
      </c>
      <c r="K129" s="49" t="str">
        <f>IF(AND('Mapa final'!$AB$77="Media",'Mapa final'!$AD$77="Leve"),CONCATENATE("R24C",'Mapa final'!$R$77),"")</f>
        <v/>
      </c>
      <c r="L129" s="108" t="str">
        <f>IF(AND('Mapa final'!$AB$78="Media",'Mapa final'!$AD$78="Leve"),CONCATENATE("R24C",'Mapa final'!$R$78),"")</f>
        <v/>
      </c>
      <c r="M129" s="48" t="str">
        <f ca="1">IF(AND('Mapa final'!$AB$76="Media",'Mapa final'!$AD$76="Menor"),CONCATENATE("R24C",'Mapa final'!$R$76),"")</f>
        <v/>
      </c>
      <c r="N129" s="49" t="str">
        <f>IF(AND('Mapa final'!$AB$77="Media",'Mapa final'!$AD$77="Menor"),CONCATENATE("R24C",'Mapa final'!$R$77),"")</f>
        <v/>
      </c>
      <c r="O129" s="108" t="str">
        <f>IF(AND('Mapa final'!$AB$78="Media",'Mapa final'!$AD$78="Menor"),CONCATENATE("R24C",'Mapa final'!$R$78),"")</f>
        <v/>
      </c>
      <c r="P129" s="48" t="str">
        <f ca="1">IF(AND('Mapa final'!$AB$76="Media",'Mapa final'!$AD$76="Moderado"),CONCATENATE("R24C",'Mapa final'!$R$76),"")</f>
        <v/>
      </c>
      <c r="Q129" s="49" t="str">
        <f>IF(AND('Mapa final'!$AB$77="Media",'Mapa final'!$AD$77="Moderado"),CONCATENATE("R24C",'Mapa final'!$R$77),"")</f>
        <v/>
      </c>
      <c r="R129" s="108" t="str">
        <f>IF(AND('Mapa final'!$AB$78="Media",'Mapa final'!$AD$78="Moderado"),CONCATENATE("R24C",'Mapa final'!$R$78),"")</f>
        <v/>
      </c>
      <c r="S129" s="102" t="str">
        <f ca="1">IF(AND('Mapa final'!$AB$76="Media",'Mapa final'!$AD$76="Mayor"),CONCATENATE("R24C",'Mapa final'!$R$76),"")</f>
        <v/>
      </c>
      <c r="T129" s="41" t="str">
        <f>IF(AND('Mapa final'!$AB$77="Media",'Mapa final'!$AD$77="Mayor"),CONCATENATE("R24C",'Mapa final'!$R$77),"")</f>
        <v/>
      </c>
      <c r="U129" s="103" t="str">
        <f>IF(AND('Mapa final'!$AB$78="Media",'Mapa final'!$AD$78="Mayor"),CONCATENATE("R24C",'Mapa final'!$R$78),"")</f>
        <v/>
      </c>
      <c r="V129" s="42" t="str">
        <f ca="1">IF(AND('Mapa final'!$AB$76="Media",'Mapa final'!$AD$76="Catastrófico"),CONCATENATE("R24C",'Mapa final'!$R$76),"")</f>
        <v/>
      </c>
      <c r="W129" s="43" t="str">
        <f>IF(AND('Mapa final'!$AB$77="Media",'Mapa final'!$AD$77="Catastrófico"),CONCATENATE("R24C",'Mapa final'!$R$77),"")</f>
        <v/>
      </c>
      <c r="X129" s="97" t="str">
        <f>IF(AND('Mapa final'!$AB$78="Media",'Mapa final'!$AD$78="Catastrófico"),CONCATENATE("R24C",'Mapa final'!$R$78),"")</f>
        <v/>
      </c>
      <c r="Y129" s="55"/>
      <c r="Z129" s="349"/>
      <c r="AA129" s="350"/>
      <c r="AB129" s="350"/>
      <c r="AC129" s="350"/>
      <c r="AD129" s="350"/>
      <c r="AE129" s="351"/>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row>
    <row r="130" spans="1:61" ht="15" customHeight="1" x14ac:dyDescent="0.25">
      <c r="A130" s="55"/>
      <c r="B130" s="338"/>
      <c r="C130" s="338"/>
      <c r="D130" s="339"/>
      <c r="E130" s="328"/>
      <c r="F130" s="327"/>
      <c r="G130" s="327"/>
      <c r="H130" s="327"/>
      <c r="I130" s="327"/>
      <c r="J130" s="48" t="str">
        <f ca="1">IF(AND('Mapa final'!$AB$79="Media",'Mapa final'!$AD$79="Leve"),CONCATENATE("R25C",'Mapa final'!$R$79),"")</f>
        <v/>
      </c>
      <c r="K130" s="49" t="str">
        <f>IF(AND('Mapa final'!$AB$80="Media",'Mapa final'!$AD$80="Leve"),CONCATENATE("R25C",'Mapa final'!$R$80),"")</f>
        <v/>
      </c>
      <c r="L130" s="108" t="str">
        <f>IF(AND('Mapa final'!$AB$81="Media",'Mapa final'!$AD$81="Leve"),CONCATENATE("R25C",'Mapa final'!$R$81),"")</f>
        <v/>
      </c>
      <c r="M130" s="48" t="str">
        <f ca="1">IF(AND('Mapa final'!$AB$79="Media",'Mapa final'!$AD$79="Menor"),CONCATENATE("R25C",'Mapa final'!$R$79),"")</f>
        <v/>
      </c>
      <c r="N130" s="49" t="str">
        <f>IF(AND('Mapa final'!$AB$80="Media",'Mapa final'!$AD$80="Menor"),CONCATENATE("R25C",'Mapa final'!$R$80),"")</f>
        <v/>
      </c>
      <c r="O130" s="108" t="str">
        <f>IF(AND('Mapa final'!$AB$81="Media",'Mapa final'!$AD$81="Menor"),CONCATENATE("R25C",'Mapa final'!$R$81),"")</f>
        <v/>
      </c>
      <c r="P130" s="48" t="str">
        <f ca="1">IF(AND('Mapa final'!$AB$79="Media",'Mapa final'!$AD$79="Moderado"),CONCATENATE("R25C",'Mapa final'!$R$79),"")</f>
        <v/>
      </c>
      <c r="Q130" s="49" t="str">
        <f>IF(AND('Mapa final'!$AB$80="Media",'Mapa final'!$AD$80="Moderado"),CONCATENATE("R25C",'Mapa final'!$R$80),"")</f>
        <v/>
      </c>
      <c r="R130" s="108" t="str">
        <f>IF(AND('Mapa final'!$AB$81="Media",'Mapa final'!$AD$81="Moderado"),CONCATENATE("R25C",'Mapa final'!$R$81),"")</f>
        <v/>
      </c>
      <c r="S130" s="102" t="str">
        <f ca="1">IF(AND('Mapa final'!$AB$79="Media",'Mapa final'!$AD$79="Mayor"),CONCATENATE("R25C",'Mapa final'!$R$79),"")</f>
        <v/>
      </c>
      <c r="T130" s="41" t="str">
        <f>IF(AND('Mapa final'!$AB$80="Media",'Mapa final'!$AD$80="Mayor"),CONCATENATE("R25C",'Mapa final'!$R$80),"")</f>
        <v/>
      </c>
      <c r="U130" s="103" t="str">
        <f>IF(AND('Mapa final'!$AB$81="Media",'Mapa final'!$AD$81="Mayor"),CONCATENATE("R25C",'Mapa final'!$R$81),"")</f>
        <v/>
      </c>
      <c r="V130" s="42" t="str">
        <f ca="1">IF(AND('Mapa final'!$AB$79="Media",'Mapa final'!$AD$79="Catastrófico"),CONCATENATE("R25C",'Mapa final'!$R$79),"")</f>
        <v/>
      </c>
      <c r="W130" s="43" t="str">
        <f>IF(AND('Mapa final'!$AB$80="Media",'Mapa final'!$AD$80="Catastrófico"),CONCATENATE("R25C",'Mapa final'!$R$80),"")</f>
        <v/>
      </c>
      <c r="X130" s="97" t="str">
        <f>IF(AND('Mapa final'!$AB$81="Media",'Mapa final'!$AD$81="Catastrófico"),CONCATENATE("R25C",'Mapa final'!$R$81),"")</f>
        <v/>
      </c>
      <c r="Y130" s="55"/>
      <c r="Z130" s="349"/>
      <c r="AA130" s="350"/>
      <c r="AB130" s="350"/>
      <c r="AC130" s="350"/>
      <c r="AD130" s="350"/>
      <c r="AE130" s="351"/>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row>
    <row r="131" spans="1:61" ht="15" customHeight="1" x14ac:dyDescent="0.25">
      <c r="A131" s="55"/>
      <c r="B131" s="338"/>
      <c r="C131" s="338"/>
      <c r="D131" s="339"/>
      <c r="E131" s="328"/>
      <c r="F131" s="327"/>
      <c r="G131" s="327"/>
      <c r="H131" s="327"/>
      <c r="I131" s="327"/>
      <c r="J131" s="48" t="str">
        <f ca="1">IF(AND('Mapa final'!$AB$82="Media",'Mapa final'!$AD$82="Leve"),CONCATENATE("R26C",'Mapa final'!$R$82),"")</f>
        <v/>
      </c>
      <c r="K131" s="49" t="str">
        <f ca="1">IF(AND('Mapa final'!$AB$83="Media",'Mapa final'!$AD$83="Leve"),CONCATENATE("R26C",'Mapa final'!$R$83),"")</f>
        <v/>
      </c>
      <c r="L131" s="108" t="str">
        <f ca="1">IF(AND('Mapa final'!$AB$84="Media",'Mapa final'!$AD$84="Leve"),CONCATENATE("R26C",'Mapa final'!$R$84),"")</f>
        <v/>
      </c>
      <c r="M131" s="48" t="str">
        <f ca="1">IF(AND('Mapa final'!$AB$82="Media",'Mapa final'!$AD$82="Menor"),CONCATENATE("R26C",'Mapa final'!$R$82),"")</f>
        <v/>
      </c>
      <c r="N131" s="49" t="str">
        <f ca="1">IF(AND('Mapa final'!$AB$83="Media",'Mapa final'!$AD$83="Menor"),CONCATENATE("R26C",'Mapa final'!$R$83),"")</f>
        <v/>
      </c>
      <c r="O131" s="108" t="str">
        <f ca="1">IF(AND('Mapa final'!$AB$84="Media",'Mapa final'!$AD$84="Menor"),CONCATENATE("R26C",'Mapa final'!$R$84),"")</f>
        <v/>
      </c>
      <c r="P131" s="48" t="str">
        <f ca="1">IF(AND('Mapa final'!$AB$82="Media",'Mapa final'!$AD$82="Moderado"),CONCATENATE("R26C",'Mapa final'!$R$82),"")</f>
        <v/>
      </c>
      <c r="Q131" s="49" t="str">
        <f ca="1">IF(AND('Mapa final'!$AB$83="Media",'Mapa final'!$AD$83="Moderado"),CONCATENATE("R26C",'Mapa final'!$R$83),"")</f>
        <v/>
      </c>
      <c r="R131" s="108" t="str">
        <f ca="1">IF(AND('Mapa final'!$AB$84="Media",'Mapa final'!$AD$84="Moderado"),CONCATENATE("R26C",'Mapa final'!$R$84),"")</f>
        <v/>
      </c>
      <c r="S131" s="102" t="str">
        <f ca="1">IF(AND('Mapa final'!$AB$82="Media",'Mapa final'!$AD$82="Mayor"),CONCATENATE("R26C",'Mapa final'!$R$82),"")</f>
        <v/>
      </c>
      <c r="T131" s="41" t="str">
        <f ca="1">IF(AND('Mapa final'!$AB$83="Media",'Mapa final'!$AD$83="Mayor"),CONCATENATE("R26C",'Mapa final'!$R$83),"")</f>
        <v/>
      </c>
      <c r="U131" s="103" t="str">
        <f ca="1">IF(AND('Mapa final'!$AB$84="Media",'Mapa final'!$AD$84="Mayor"),CONCATENATE("R26C",'Mapa final'!$R$84),"")</f>
        <v/>
      </c>
      <c r="V131" s="42" t="str">
        <f ca="1">IF(AND('Mapa final'!$AB$82="Media",'Mapa final'!$AD$82="Catastrófico"),CONCATENATE("R26C",'Mapa final'!$R$82),"")</f>
        <v/>
      </c>
      <c r="W131" s="43" t="str">
        <f ca="1">IF(AND('Mapa final'!$AB$83="Media",'Mapa final'!$AD$83="Catastrófico"),CONCATENATE("R26C",'Mapa final'!$R$83),"")</f>
        <v/>
      </c>
      <c r="X131" s="97" t="str">
        <f ca="1">IF(AND('Mapa final'!$AB$84="Media",'Mapa final'!$AD$84="Catastrófico"),CONCATENATE("R26C",'Mapa final'!$R$84),"")</f>
        <v/>
      </c>
      <c r="Y131" s="55"/>
      <c r="Z131" s="349"/>
      <c r="AA131" s="350"/>
      <c r="AB131" s="350"/>
      <c r="AC131" s="350"/>
      <c r="AD131" s="350"/>
      <c r="AE131" s="351"/>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row>
    <row r="132" spans="1:61" ht="15" customHeight="1" x14ac:dyDescent="0.25">
      <c r="A132" s="55"/>
      <c r="B132" s="338"/>
      <c r="C132" s="338"/>
      <c r="D132" s="339"/>
      <c r="E132" s="328"/>
      <c r="F132" s="327"/>
      <c r="G132" s="327"/>
      <c r="H132" s="327"/>
      <c r="I132" s="327"/>
      <c r="J132" s="48" t="str">
        <f ca="1">IF(AND('Mapa final'!$AB$85="Media",'Mapa final'!$AD$85="Leve"),CONCATENATE("R27C",'Mapa final'!$R$85),"")</f>
        <v/>
      </c>
      <c r="K132" s="49" t="str">
        <f>IF(AND('Mapa final'!$AB$86="Media",'Mapa final'!$AD$86="Leve"),CONCATENATE("R27C",'Mapa final'!$R$86),"")</f>
        <v/>
      </c>
      <c r="L132" s="108" t="str">
        <f>IF(AND('Mapa final'!$AB$87="Media",'Mapa final'!$AD$87="Leve"),CONCATENATE("R27C",'Mapa final'!$R$87),"")</f>
        <v/>
      </c>
      <c r="M132" s="48" t="str">
        <f ca="1">IF(AND('Mapa final'!$AB$85="Media",'Mapa final'!$AD$85="Menor"),CONCATENATE("R27C",'Mapa final'!$R$85),"")</f>
        <v/>
      </c>
      <c r="N132" s="49" t="str">
        <f>IF(AND('Mapa final'!$AB$86="Media",'Mapa final'!$AD$86="Menor"),CONCATENATE("R27C",'Mapa final'!$R$86),"")</f>
        <v/>
      </c>
      <c r="O132" s="108" t="str">
        <f>IF(AND('Mapa final'!$AB$87="Media",'Mapa final'!$AD$87="Menor"),CONCATENATE("R27C",'Mapa final'!$R$87),"")</f>
        <v/>
      </c>
      <c r="P132" s="48" t="str">
        <f ca="1">IF(AND('Mapa final'!$AB$85="Media",'Mapa final'!$AD$85="Moderado"),CONCATENATE("R27C",'Mapa final'!$R$85),"")</f>
        <v/>
      </c>
      <c r="Q132" s="49" t="str">
        <f>IF(AND('Mapa final'!$AB$86="Media",'Mapa final'!$AD$86="Moderado"),CONCATENATE("R27C",'Mapa final'!$R$86),"")</f>
        <v/>
      </c>
      <c r="R132" s="108" t="str">
        <f>IF(AND('Mapa final'!$AB$87="Media",'Mapa final'!$AD$87="Moderado"),CONCATENATE("R27C",'Mapa final'!$R$87),"")</f>
        <v/>
      </c>
      <c r="S132" s="102" t="str">
        <f ca="1">IF(AND('Mapa final'!$AB$85="Media",'Mapa final'!$AD$85="Mayor"),CONCATENATE("R27C",'Mapa final'!$R$85),"")</f>
        <v/>
      </c>
      <c r="T132" s="41" t="str">
        <f>IF(AND('Mapa final'!$AB$86="Media",'Mapa final'!$AD$86="Mayor"),CONCATENATE("R27C",'Mapa final'!$R$86),"")</f>
        <v/>
      </c>
      <c r="U132" s="103" t="str">
        <f>IF(AND('Mapa final'!$AB$87="Media",'Mapa final'!$AD$87="Mayor"),CONCATENATE("R27C",'Mapa final'!$R$87),"")</f>
        <v/>
      </c>
      <c r="V132" s="42" t="str">
        <f ca="1">IF(AND('Mapa final'!$AB$85="Media",'Mapa final'!$AD$85="Catastrófico"),CONCATENATE("R27C",'Mapa final'!$R$85),"")</f>
        <v/>
      </c>
      <c r="W132" s="43" t="str">
        <f>IF(AND('Mapa final'!$AB$86="Media",'Mapa final'!$AD$86="Catastrófico"),CONCATENATE("R27C",'Mapa final'!$R$86),"")</f>
        <v/>
      </c>
      <c r="X132" s="97" t="str">
        <f>IF(AND('Mapa final'!$AB$87="Media",'Mapa final'!$AD$87="Catastrófico"),CONCATENATE("R27C",'Mapa final'!$R$87),"")</f>
        <v/>
      </c>
      <c r="Y132" s="55"/>
      <c r="Z132" s="349"/>
      <c r="AA132" s="350"/>
      <c r="AB132" s="350"/>
      <c r="AC132" s="350"/>
      <c r="AD132" s="350"/>
      <c r="AE132" s="351"/>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row>
    <row r="133" spans="1:61" ht="15" customHeight="1" x14ac:dyDescent="0.25">
      <c r="A133" s="55"/>
      <c r="B133" s="338"/>
      <c r="C133" s="338"/>
      <c r="D133" s="339"/>
      <c r="E133" s="328"/>
      <c r="F133" s="327"/>
      <c r="G133" s="327"/>
      <c r="H133" s="327"/>
      <c r="I133" s="327"/>
      <c r="J133" s="48" t="str">
        <f ca="1">IF(AND('Mapa final'!$AB$88="Media",'Mapa final'!$AD$88="Leve"),CONCATENATE("R28C",'Mapa final'!$R$88),"")</f>
        <v/>
      </c>
      <c r="K133" s="49" t="str">
        <f>IF(AND('Mapa final'!$AB$89="Media",'Mapa final'!$AD$89="Leve"),CONCATENATE("R28C",'Mapa final'!$R$89),"")</f>
        <v/>
      </c>
      <c r="L133" s="108" t="str">
        <f>IF(AND('Mapa final'!$AB$90="Media",'Mapa final'!$AD$90="Leve"),CONCATENATE("R28C",'Mapa final'!$R$90),"")</f>
        <v/>
      </c>
      <c r="M133" s="48" t="str">
        <f ca="1">IF(AND('Mapa final'!$AB$88="Media",'Mapa final'!$AD$88="Menor"),CONCATENATE("R28C",'Mapa final'!$R$88),"")</f>
        <v/>
      </c>
      <c r="N133" s="49" t="str">
        <f>IF(AND('Mapa final'!$AB$89="Media",'Mapa final'!$AD$89="Menor"),CONCATENATE("R28C",'Mapa final'!$R$89),"")</f>
        <v/>
      </c>
      <c r="O133" s="108" t="str">
        <f>IF(AND('Mapa final'!$AB$90="Media",'Mapa final'!$AD$90="Menor"),CONCATENATE("R28C",'Mapa final'!$R$90),"")</f>
        <v/>
      </c>
      <c r="P133" s="48" t="str">
        <f ca="1">IF(AND('Mapa final'!$AB$88="Media",'Mapa final'!$AD$88="Moderado"),CONCATENATE("R28C",'Mapa final'!$R$88),"")</f>
        <v/>
      </c>
      <c r="Q133" s="49" t="str">
        <f>IF(AND('Mapa final'!$AB$89="Media",'Mapa final'!$AD$89="Moderado"),CONCATENATE("R28C",'Mapa final'!$R$89),"")</f>
        <v/>
      </c>
      <c r="R133" s="108" t="str">
        <f>IF(AND('Mapa final'!$AB$90="Media",'Mapa final'!$AD$90="Moderado"),CONCATENATE("R28C",'Mapa final'!$R$90),"")</f>
        <v/>
      </c>
      <c r="S133" s="102" t="str">
        <f ca="1">IF(AND('Mapa final'!$AB$88="Media",'Mapa final'!$AD$88="Mayor"),CONCATENATE("R28C",'Mapa final'!$R$88),"")</f>
        <v/>
      </c>
      <c r="T133" s="41" t="str">
        <f>IF(AND('Mapa final'!$AB$89="Media",'Mapa final'!$AD$89="Mayor"),CONCATENATE("R28C",'Mapa final'!$R$89),"")</f>
        <v/>
      </c>
      <c r="U133" s="103" t="str">
        <f>IF(AND('Mapa final'!$AB$90="Media",'Mapa final'!$AD$90="Mayor"),CONCATENATE("R28C",'Mapa final'!$R$90),"")</f>
        <v/>
      </c>
      <c r="V133" s="42" t="str">
        <f ca="1">IF(AND('Mapa final'!$AB$88="Media",'Mapa final'!$AD$88="Catastrófico"),CONCATENATE("R28C",'Mapa final'!$R$88),"")</f>
        <v/>
      </c>
      <c r="W133" s="43" t="str">
        <f>IF(AND('Mapa final'!$AB$89="Media",'Mapa final'!$AD$89="Catastrófico"),CONCATENATE("R28C",'Mapa final'!$R$89),"")</f>
        <v/>
      </c>
      <c r="X133" s="97" t="str">
        <f>IF(AND('Mapa final'!$AB$90="Media",'Mapa final'!$AD$90="Catastrófico"),CONCATENATE("R28C",'Mapa final'!$R$90),"")</f>
        <v/>
      </c>
      <c r="Y133" s="55"/>
      <c r="Z133" s="349"/>
      <c r="AA133" s="350"/>
      <c r="AB133" s="350"/>
      <c r="AC133" s="350"/>
      <c r="AD133" s="350"/>
      <c r="AE133" s="351"/>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row>
    <row r="134" spans="1:61" ht="15" customHeight="1" x14ac:dyDescent="0.25">
      <c r="A134" s="55"/>
      <c r="B134" s="338"/>
      <c r="C134" s="338"/>
      <c r="D134" s="339"/>
      <c r="E134" s="328"/>
      <c r="F134" s="327"/>
      <c r="G134" s="327"/>
      <c r="H134" s="327"/>
      <c r="I134" s="327"/>
      <c r="J134" s="48" t="str">
        <f ca="1">IF(AND('Mapa final'!$AB$91="Media",'Mapa final'!$AD$91="Leve"),CONCATENATE("R29C",'Mapa final'!$R$91),"")</f>
        <v/>
      </c>
      <c r="K134" s="49" t="str">
        <f>IF(AND('Mapa final'!$AB$92="Media",'Mapa final'!$AD$92="Leve"),CONCATENATE("R29C",'Mapa final'!$R$92),"")</f>
        <v/>
      </c>
      <c r="L134" s="108" t="str">
        <f>IF(AND('Mapa final'!$AB$93="Media",'Mapa final'!$AD$93="Leve"),CONCATENATE("R29C",'Mapa final'!$R$93),"")</f>
        <v/>
      </c>
      <c r="M134" s="48" t="str">
        <f ca="1">IF(AND('Mapa final'!$AB$91="Media",'Mapa final'!$AD$91="Menor"),CONCATENATE("R29C",'Mapa final'!$R$91),"")</f>
        <v/>
      </c>
      <c r="N134" s="49" t="str">
        <f>IF(AND('Mapa final'!$AB$92="Media",'Mapa final'!$AD$92="Menor"),CONCATENATE("R29C",'Mapa final'!$R$92),"")</f>
        <v/>
      </c>
      <c r="O134" s="108" t="str">
        <f>IF(AND('Mapa final'!$AB$93="Media",'Mapa final'!$AD$93="Menor"),CONCATENATE("R29C",'Mapa final'!$R$93),"")</f>
        <v/>
      </c>
      <c r="P134" s="48" t="str">
        <f ca="1">IF(AND('Mapa final'!$AB$91="Media",'Mapa final'!$AD$91="Moderado"),CONCATENATE("R29C",'Mapa final'!$R$91),"")</f>
        <v/>
      </c>
      <c r="Q134" s="49" t="str">
        <f>IF(AND('Mapa final'!$AB$92="Media",'Mapa final'!$AD$92="Moderado"),CONCATENATE("R29C",'Mapa final'!$R$92),"")</f>
        <v/>
      </c>
      <c r="R134" s="108" t="str">
        <f>IF(AND('Mapa final'!$AB$93="Media",'Mapa final'!$AD$93="Moderado"),CONCATENATE("R29C",'Mapa final'!$R$93),"")</f>
        <v/>
      </c>
      <c r="S134" s="102" t="str">
        <f ca="1">IF(AND('Mapa final'!$AB$91="Media",'Mapa final'!$AD$91="Mayor"),CONCATENATE("R29C",'Mapa final'!$R$91),"")</f>
        <v/>
      </c>
      <c r="T134" s="41" t="str">
        <f>IF(AND('Mapa final'!$AB$92="Media",'Mapa final'!$AD$92="Mayor"),CONCATENATE("R29C",'Mapa final'!$R$92),"")</f>
        <v/>
      </c>
      <c r="U134" s="103" t="str">
        <f>IF(AND('Mapa final'!$AB$93="Media",'Mapa final'!$AD$93="Mayor"),CONCATENATE("R29C",'Mapa final'!$R$93),"")</f>
        <v/>
      </c>
      <c r="V134" s="42" t="str">
        <f ca="1">IF(AND('Mapa final'!$AB$91="Media",'Mapa final'!$AD$91="Catastrófico"),CONCATENATE("R29C",'Mapa final'!$R$91),"")</f>
        <v/>
      </c>
      <c r="W134" s="43" t="str">
        <f>IF(AND('Mapa final'!$AB$92="Media",'Mapa final'!$AD$92="Catastrófico"),CONCATENATE("R29C",'Mapa final'!$R$92),"")</f>
        <v/>
      </c>
      <c r="X134" s="97" t="str">
        <f>IF(AND('Mapa final'!$AB$93="Media",'Mapa final'!$AD$93="Catastrófico"),CONCATENATE("R29C",'Mapa final'!$R$93),"")</f>
        <v/>
      </c>
      <c r="Y134" s="55"/>
      <c r="Z134" s="349"/>
      <c r="AA134" s="350"/>
      <c r="AB134" s="350"/>
      <c r="AC134" s="350"/>
      <c r="AD134" s="350"/>
      <c r="AE134" s="351"/>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row>
    <row r="135" spans="1:61" ht="15" customHeight="1" x14ac:dyDescent="0.25">
      <c r="A135" s="55"/>
      <c r="B135" s="338"/>
      <c r="C135" s="338"/>
      <c r="D135" s="339"/>
      <c r="E135" s="328"/>
      <c r="F135" s="327"/>
      <c r="G135" s="327"/>
      <c r="H135" s="327"/>
      <c r="I135" s="327"/>
      <c r="J135" s="48" t="str">
        <f ca="1">IF(AND('Mapa final'!$AB$94="Media",'Mapa final'!$AD$94="Leve"),CONCATENATE("R30C",'Mapa final'!$R$94),"")</f>
        <v/>
      </c>
      <c r="K135" s="49" t="str">
        <f>IF(AND('Mapa final'!$AB$95="Media",'Mapa final'!$AD$95="Leve"),CONCATENATE("R30C",'Mapa final'!$R$95),"")</f>
        <v/>
      </c>
      <c r="L135" s="108" t="str">
        <f>IF(AND('Mapa final'!$AB$96="Media",'Mapa final'!$AD$96="Leve"),CONCATENATE("R30C",'Mapa final'!$R$96),"")</f>
        <v/>
      </c>
      <c r="M135" s="48" t="str">
        <f ca="1">IF(AND('Mapa final'!$AB$94="Media",'Mapa final'!$AD$94="Menor"),CONCATENATE("R30C",'Mapa final'!$R$94),"")</f>
        <v/>
      </c>
      <c r="N135" s="49" t="str">
        <f>IF(AND('Mapa final'!$AB$95="Media",'Mapa final'!$AD$95="Menor"),CONCATENATE("R30C",'Mapa final'!$R$95),"")</f>
        <v/>
      </c>
      <c r="O135" s="108" t="str">
        <f>IF(AND('Mapa final'!$AB$96="Media",'Mapa final'!$AD$96="Menor"),CONCATENATE("R30C",'Mapa final'!$R$96),"")</f>
        <v/>
      </c>
      <c r="P135" s="48" t="str">
        <f ca="1">IF(AND('Mapa final'!$AB$94="Media",'Mapa final'!$AD$94="Moderado"),CONCATENATE("R30C",'Mapa final'!$R$94),"")</f>
        <v/>
      </c>
      <c r="Q135" s="49" t="str">
        <f>IF(AND('Mapa final'!$AB$95="Media",'Mapa final'!$AD$95="Moderado"),CONCATENATE("R30C",'Mapa final'!$R$95),"")</f>
        <v/>
      </c>
      <c r="R135" s="108" t="str">
        <f>IF(AND('Mapa final'!$AB$96="Media",'Mapa final'!$AD$96="Moderado"),CONCATENATE("R30C",'Mapa final'!$R$96),"")</f>
        <v/>
      </c>
      <c r="S135" s="102" t="str">
        <f ca="1">IF(AND('Mapa final'!$AB$94="Media",'Mapa final'!$AD$94="Mayor"),CONCATENATE("R30C",'Mapa final'!$R$94),"")</f>
        <v>R30C1</v>
      </c>
      <c r="T135" s="41" t="str">
        <f>IF(AND('Mapa final'!$AB$95="Media",'Mapa final'!$AD$95="Mayor"),CONCATENATE("R30C",'Mapa final'!$R$95),"")</f>
        <v/>
      </c>
      <c r="U135" s="103" t="str">
        <f>IF(AND('Mapa final'!$AB$96="Media",'Mapa final'!$AD$96="Mayor"),CONCATENATE("R30C",'Mapa final'!$R$96),"")</f>
        <v/>
      </c>
      <c r="V135" s="42" t="str">
        <f ca="1">IF(AND('Mapa final'!$AB$94="Media",'Mapa final'!$AD$94="Catastrófico"),CONCATENATE("R30C",'Mapa final'!$R$94),"")</f>
        <v/>
      </c>
      <c r="W135" s="43" t="str">
        <f>IF(AND('Mapa final'!$AB$95="Media",'Mapa final'!$AD$95="Catastrófico"),CONCATENATE("R30C",'Mapa final'!$R$95),"")</f>
        <v/>
      </c>
      <c r="X135" s="97" t="str">
        <f>IF(AND('Mapa final'!$AB$96="Media",'Mapa final'!$AD$96="Catastrófico"),CONCATENATE("R30C",'Mapa final'!$R$96),"")</f>
        <v/>
      </c>
      <c r="Y135" s="55"/>
      <c r="Z135" s="349"/>
      <c r="AA135" s="350"/>
      <c r="AB135" s="350"/>
      <c r="AC135" s="350"/>
      <c r="AD135" s="350"/>
      <c r="AE135" s="351"/>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row>
    <row r="136" spans="1:61" ht="15" customHeight="1" x14ac:dyDescent="0.25">
      <c r="A136" s="55"/>
      <c r="B136" s="338"/>
      <c r="C136" s="338"/>
      <c r="D136" s="339"/>
      <c r="E136" s="328"/>
      <c r="F136" s="327"/>
      <c r="G136" s="327"/>
      <c r="H136" s="327"/>
      <c r="I136" s="327"/>
      <c r="J136" s="48" t="str">
        <f ca="1">IF(AND('Mapa final'!$AB$97="Media",'Mapa final'!$AD$97="Leve"),CONCATENATE("R31C",'Mapa final'!$R$97),"")</f>
        <v/>
      </c>
      <c r="K136" s="49" t="str">
        <f>IF(AND('Mapa final'!$AB$98="Media",'Mapa final'!$AD$98="Leve"),CONCATENATE("R31C",'Mapa final'!$R$98),"")</f>
        <v/>
      </c>
      <c r="L136" s="108" t="str">
        <f>IF(AND('Mapa final'!$AB$99="Media",'Mapa final'!$AD$99="Leve"),CONCATENATE("R31C",'Mapa final'!$R$99),"")</f>
        <v/>
      </c>
      <c r="M136" s="48" t="str">
        <f ca="1">IF(AND('Mapa final'!$AB$97="Media",'Mapa final'!$AD$97="Menor"),CONCATENATE("R31C",'Mapa final'!$R$97),"")</f>
        <v/>
      </c>
      <c r="N136" s="49" t="str">
        <f>IF(AND('Mapa final'!$AB$98="Media",'Mapa final'!$AD$98="Menor"),CONCATENATE("R31C",'Mapa final'!$R$98),"")</f>
        <v/>
      </c>
      <c r="O136" s="108" t="str">
        <f>IF(AND('Mapa final'!$AB$99="Media",'Mapa final'!$AD$99="Menor"),CONCATENATE("R31C",'Mapa final'!$R$99),"")</f>
        <v/>
      </c>
      <c r="P136" s="48" t="str">
        <f ca="1">IF(AND('Mapa final'!$AB$97="Media",'Mapa final'!$AD$97="Moderado"),CONCATENATE("R31C",'Mapa final'!$R$97),"")</f>
        <v/>
      </c>
      <c r="Q136" s="49" t="str">
        <f>IF(AND('Mapa final'!$AB$98="Media",'Mapa final'!$AD$98="Moderado"),CONCATENATE("R31C",'Mapa final'!$R$98),"")</f>
        <v/>
      </c>
      <c r="R136" s="108" t="str">
        <f>IF(AND('Mapa final'!$AB$99="Media",'Mapa final'!$AD$99="Moderado"),CONCATENATE("R31C",'Mapa final'!$R$99),"")</f>
        <v/>
      </c>
      <c r="S136" s="102" t="str">
        <f ca="1">IF(AND('Mapa final'!$AB$97="Media",'Mapa final'!$AD$97="Mayor"),CONCATENATE("R31C",'Mapa final'!$R$97),"")</f>
        <v/>
      </c>
      <c r="T136" s="41" t="str">
        <f>IF(AND('Mapa final'!$AB$98="Media",'Mapa final'!$AD$98="Mayor"),CONCATENATE("R31C",'Mapa final'!$R$98),"")</f>
        <v/>
      </c>
      <c r="U136" s="103" t="str">
        <f>IF(AND('Mapa final'!$AB$99="Media",'Mapa final'!$AD$99="Mayor"),CONCATENATE("R31C",'Mapa final'!$R$99),"")</f>
        <v/>
      </c>
      <c r="V136" s="42" t="str">
        <f ca="1">IF(AND('Mapa final'!$AB$97="Media",'Mapa final'!$AD$97="Catastrófico"),CONCATENATE("R31C",'Mapa final'!$R$97),"")</f>
        <v/>
      </c>
      <c r="W136" s="43" t="str">
        <f>IF(AND('Mapa final'!$AB$98="Media",'Mapa final'!$AD$98="Catastrófico"),CONCATENATE("R31C",'Mapa final'!$R$98),"")</f>
        <v/>
      </c>
      <c r="X136" s="97" t="str">
        <f>IF(AND('Mapa final'!$AB$99="Media",'Mapa final'!$AD$99="Catastrófico"),CONCATENATE("R31C",'Mapa final'!$R$99),"")</f>
        <v/>
      </c>
      <c r="Y136" s="55"/>
      <c r="Z136" s="349"/>
      <c r="AA136" s="350"/>
      <c r="AB136" s="350"/>
      <c r="AC136" s="350"/>
      <c r="AD136" s="350"/>
      <c r="AE136" s="351"/>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row>
    <row r="137" spans="1:61" ht="15" customHeight="1" x14ac:dyDescent="0.25">
      <c r="A137" s="55"/>
      <c r="B137" s="338"/>
      <c r="C137" s="338"/>
      <c r="D137" s="339"/>
      <c r="E137" s="328"/>
      <c r="F137" s="327"/>
      <c r="G137" s="327"/>
      <c r="H137" s="327"/>
      <c r="I137" s="327"/>
      <c r="J137" s="48" t="str">
        <f ca="1">IF(AND('Mapa final'!$AB$100="Media",'Mapa final'!$AD$100="Leve"),CONCATENATE("R32C",'Mapa final'!$R$100),"")</f>
        <v/>
      </c>
      <c r="K137" s="49" t="str">
        <f>IF(AND('Mapa final'!$AB$101="Media",'Mapa final'!$AD$101="Leve"),CONCATENATE("R32C",'Mapa final'!$R$101),"")</f>
        <v/>
      </c>
      <c r="L137" s="108" t="str">
        <f>IF(AND('Mapa final'!$AB$102="Media",'Mapa final'!$AD$102="Leve"),CONCATENATE("R32C",'Mapa final'!$R$102),"")</f>
        <v/>
      </c>
      <c r="M137" s="48" t="str">
        <f ca="1">IF(AND('Mapa final'!$AB$100="Media",'Mapa final'!$AD$100="Menor"),CONCATENATE("R32C",'Mapa final'!$R$100),"")</f>
        <v/>
      </c>
      <c r="N137" s="49" t="str">
        <f>IF(AND('Mapa final'!$AB$101="Media",'Mapa final'!$AD$101="Menor"),CONCATENATE("R32C",'Mapa final'!$R$101),"")</f>
        <v/>
      </c>
      <c r="O137" s="108" t="str">
        <f>IF(AND('Mapa final'!$AB$102="Media",'Mapa final'!$AD$102="Menor"),CONCATENATE("R32C",'Mapa final'!$R$102),"")</f>
        <v/>
      </c>
      <c r="P137" s="48" t="str">
        <f ca="1">IF(AND('Mapa final'!$AB$100="Media",'Mapa final'!$AD$100="Moderado"),CONCATENATE("R32C",'Mapa final'!$R$100),"")</f>
        <v>R32C1</v>
      </c>
      <c r="Q137" s="49" t="str">
        <f>IF(AND('Mapa final'!$AB$101="Media",'Mapa final'!$AD$101="Moderado"),CONCATENATE("R32C",'Mapa final'!$R$101),"")</f>
        <v/>
      </c>
      <c r="R137" s="108" t="str">
        <f>IF(AND('Mapa final'!$AB$102="Media",'Mapa final'!$AD$102="Moderado"),CONCATENATE("R32C",'Mapa final'!$R$102),"")</f>
        <v/>
      </c>
      <c r="S137" s="102" t="str">
        <f ca="1">IF(AND('Mapa final'!$AB$100="Media",'Mapa final'!$AD$100="Mayor"),CONCATENATE("R32C",'Mapa final'!$R$100),"")</f>
        <v/>
      </c>
      <c r="T137" s="41" t="str">
        <f>IF(AND('Mapa final'!$AB$101="Media",'Mapa final'!$AD$101="Mayor"),CONCATENATE("R32C",'Mapa final'!$R$101),"")</f>
        <v/>
      </c>
      <c r="U137" s="103" t="str">
        <f>IF(AND('Mapa final'!$AB$102="Media",'Mapa final'!$AD$102="Mayor"),CONCATENATE("R32C",'Mapa final'!$R$102),"")</f>
        <v/>
      </c>
      <c r="V137" s="42" t="str">
        <f ca="1">IF(AND('Mapa final'!$AB$100="Media",'Mapa final'!$AD$100="Catastrófico"),CONCATENATE("R32C",'Mapa final'!$R$100),"")</f>
        <v/>
      </c>
      <c r="W137" s="43" t="str">
        <f>IF(AND('Mapa final'!$AB$101="Media",'Mapa final'!$AD$101="Catastrófico"),CONCATENATE("R32C",'Mapa final'!$R$101),"")</f>
        <v/>
      </c>
      <c r="X137" s="97" t="str">
        <f>IF(AND('Mapa final'!$AB$102="Media",'Mapa final'!$AD$102="Catastrófico"),CONCATENATE("R32C",'Mapa final'!$R$102),"")</f>
        <v/>
      </c>
      <c r="Y137" s="55"/>
      <c r="Z137" s="349"/>
      <c r="AA137" s="350"/>
      <c r="AB137" s="350"/>
      <c r="AC137" s="350"/>
      <c r="AD137" s="350"/>
      <c r="AE137" s="351"/>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row>
    <row r="138" spans="1:61" ht="15" customHeight="1" x14ac:dyDescent="0.25">
      <c r="A138" s="55"/>
      <c r="B138" s="338"/>
      <c r="C138" s="338"/>
      <c r="D138" s="339"/>
      <c r="E138" s="328"/>
      <c r="F138" s="327"/>
      <c r="G138" s="327"/>
      <c r="H138" s="327"/>
      <c r="I138" s="327"/>
      <c r="J138" s="48" t="str">
        <f>IF(AND('Mapa final'!$AB$103="Media",'Mapa final'!$AD$103="Leve"),CONCATENATE("R33C",'Mapa final'!$R$103),"")</f>
        <v/>
      </c>
      <c r="K138" s="49" t="str">
        <f>IF(AND('Mapa final'!$AB$104="Media",'Mapa final'!$AD$104="Leve"),CONCATENATE("R33C",'Mapa final'!$R$104),"")</f>
        <v/>
      </c>
      <c r="L138" s="108" t="str">
        <f>IF(AND('Mapa final'!$AB$105="Media",'Mapa final'!$AD$105="Leve"),CONCATENATE("R33C",'Mapa final'!$R$105),"")</f>
        <v/>
      </c>
      <c r="M138" s="48" t="str">
        <f>IF(AND('Mapa final'!$AB$103="Media",'Mapa final'!$AD$103="Menor"),CONCATENATE("R33C",'Mapa final'!$R$103),"")</f>
        <v/>
      </c>
      <c r="N138" s="49" t="str">
        <f>IF(AND('Mapa final'!$AB$104="Media",'Mapa final'!$AD$104="Menor"),CONCATENATE("R33C",'Mapa final'!$R$104),"")</f>
        <v/>
      </c>
      <c r="O138" s="108" t="str">
        <f>IF(AND('Mapa final'!$AB$105="Media",'Mapa final'!$AD$105="Menor"),CONCATENATE("R33C",'Mapa final'!$R$105),"")</f>
        <v/>
      </c>
      <c r="P138" s="48" t="str">
        <f>IF(AND('Mapa final'!$AB$103="Media",'Mapa final'!$AD$103="Moderado"),CONCATENATE("R33C",'Mapa final'!$R$103),"")</f>
        <v>R33C1</v>
      </c>
      <c r="Q138" s="49" t="str">
        <f>IF(AND('Mapa final'!$AB$104="Media",'Mapa final'!$AD$104="Moderado"),CONCATENATE("R33C",'Mapa final'!$R$104),"")</f>
        <v/>
      </c>
      <c r="R138" s="108" t="str">
        <f>IF(AND('Mapa final'!$AB$105="Media",'Mapa final'!$AD$105="Moderado"),CONCATENATE("R33C",'Mapa final'!$R$105),"")</f>
        <v/>
      </c>
      <c r="S138" s="102" t="str">
        <f>IF(AND('Mapa final'!$AB$103="Media",'Mapa final'!$AD$103="Mayor"),CONCATENATE("R33C",'Mapa final'!$R$103),"")</f>
        <v/>
      </c>
      <c r="T138" s="41" t="str">
        <f>IF(AND('Mapa final'!$AB$104="Media",'Mapa final'!$AD$104="Mayor"),CONCATENATE("R33C",'Mapa final'!$R$104),"")</f>
        <v/>
      </c>
      <c r="U138" s="103" t="str">
        <f>IF(AND('Mapa final'!$AB$105="Media",'Mapa final'!$AD$105="Mayor"),CONCATENATE("R33C",'Mapa final'!$R$105),"")</f>
        <v/>
      </c>
      <c r="V138" s="42" t="str">
        <f>IF(AND('Mapa final'!$AB$103="Media",'Mapa final'!$AD$103="Catastrófico"),CONCATENATE("R33C",'Mapa final'!$R$103),"")</f>
        <v/>
      </c>
      <c r="W138" s="43" t="str">
        <f>IF(AND('Mapa final'!$AB$104="Media",'Mapa final'!$AD$104="Catastrófico"),CONCATENATE("R33C",'Mapa final'!$R$104),"")</f>
        <v/>
      </c>
      <c r="X138" s="97" t="str">
        <f>IF(AND('Mapa final'!$AB$105="Media",'Mapa final'!$AD$105="Catastrófico"),CONCATENATE("R33C",'Mapa final'!$R$105),"")</f>
        <v/>
      </c>
      <c r="Y138" s="55"/>
      <c r="Z138" s="349"/>
      <c r="AA138" s="350"/>
      <c r="AB138" s="350"/>
      <c r="AC138" s="350"/>
      <c r="AD138" s="350"/>
      <c r="AE138" s="351"/>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row>
    <row r="139" spans="1:61" ht="15" customHeight="1" x14ac:dyDescent="0.25">
      <c r="A139" s="55"/>
      <c r="B139" s="338"/>
      <c r="C139" s="338"/>
      <c r="D139" s="339"/>
      <c r="E139" s="328"/>
      <c r="F139" s="327"/>
      <c r="G139" s="327"/>
      <c r="H139" s="327"/>
      <c r="I139" s="327"/>
      <c r="J139" s="48" t="str">
        <f ca="1">IF(AND('Mapa final'!$AB$106="Media",'Mapa final'!$AD$106="Leve"),CONCATENATE("R34C",'Mapa final'!$R$106),"")</f>
        <v/>
      </c>
      <c r="K139" s="49" t="str">
        <f>IF(AND('Mapa final'!$AB$107="Media",'Mapa final'!$AD$107="Leve"),CONCATENATE("R34C",'Mapa final'!$R$107),"")</f>
        <v/>
      </c>
      <c r="L139" s="108" t="str">
        <f>IF(AND('Mapa final'!$AB$108="Media",'Mapa final'!$AD$108="Leve"),CONCATENATE("R34C",'Mapa final'!$R$108),"")</f>
        <v/>
      </c>
      <c r="M139" s="48" t="str">
        <f ca="1">IF(AND('Mapa final'!$AB$106="Media",'Mapa final'!$AD$106="Menor"),CONCATENATE("R34C",'Mapa final'!$R$106),"")</f>
        <v/>
      </c>
      <c r="N139" s="49" t="str">
        <f>IF(AND('Mapa final'!$AB$107="Media",'Mapa final'!$AD$107="Menor"),CONCATENATE("R34C",'Mapa final'!$R$107),"")</f>
        <v/>
      </c>
      <c r="O139" s="108" t="str">
        <f>IF(AND('Mapa final'!$AB$108="Media",'Mapa final'!$AD$108="Menor"),CONCATENATE("R34C",'Mapa final'!$R$108),"")</f>
        <v/>
      </c>
      <c r="P139" s="48" t="str">
        <f ca="1">IF(AND('Mapa final'!$AB$106="Media",'Mapa final'!$AD$106="Moderado"),CONCATENATE("R34C",'Mapa final'!$R$106),"")</f>
        <v>R34C1</v>
      </c>
      <c r="Q139" s="49" t="str">
        <f>IF(AND('Mapa final'!$AB$107="Media",'Mapa final'!$AD$107="Moderado"),CONCATENATE("R34C",'Mapa final'!$R$107),"")</f>
        <v/>
      </c>
      <c r="R139" s="108" t="str">
        <f>IF(AND('Mapa final'!$AB$108="Media",'Mapa final'!$AD$108="Moderado"),CONCATENATE("R34C",'Mapa final'!$R$108),"")</f>
        <v/>
      </c>
      <c r="S139" s="102" t="str">
        <f ca="1">IF(AND('Mapa final'!$AB$106="Media",'Mapa final'!$AD$106="Mayor"),CONCATENATE("R34C",'Mapa final'!$R$106),"")</f>
        <v/>
      </c>
      <c r="T139" s="41" t="str">
        <f>IF(AND('Mapa final'!$AB$107="Media",'Mapa final'!$AD$107="Mayor"),CONCATENATE("R34C",'Mapa final'!$R$107),"")</f>
        <v/>
      </c>
      <c r="U139" s="103" t="str">
        <f>IF(AND('Mapa final'!$AB$108="Media",'Mapa final'!$AD$108="Mayor"),CONCATENATE("R34C",'Mapa final'!$R$108),"")</f>
        <v/>
      </c>
      <c r="V139" s="42" t="str">
        <f ca="1">IF(AND('Mapa final'!$AB$106="Media",'Mapa final'!$AD$106="Catastrófico"),CONCATENATE("R34C",'Mapa final'!$R$106),"")</f>
        <v/>
      </c>
      <c r="W139" s="43" t="str">
        <f>IF(AND('Mapa final'!$AB$107="Media",'Mapa final'!$AD$107="Catastrófico"),CONCATENATE("R34C",'Mapa final'!$R$107),"")</f>
        <v/>
      </c>
      <c r="X139" s="97" t="str">
        <f>IF(AND('Mapa final'!$AB$108="Media",'Mapa final'!$AD$108="Catastrófico"),CONCATENATE("R34C",'Mapa final'!$R$108),"")</f>
        <v/>
      </c>
      <c r="Y139" s="55"/>
      <c r="Z139" s="349"/>
      <c r="AA139" s="350"/>
      <c r="AB139" s="350"/>
      <c r="AC139" s="350"/>
      <c r="AD139" s="350"/>
      <c r="AE139" s="351"/>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row>
    <row r="140" spans="1:61" ht="15" customHeight="1" x14ac:dyDescent="0.25">
      <c r="A140" s="55"/>
      <c r="B140" s="338"/>
      <c r="C140" s="338"/>
      <c r="D140" s="339"/>
      <c r="E140" s="328"/>
      <c r="F140" s="327"/>
      <c r="G140" s="327"/>
      <c r="H140" s="327"/>
      <c r="I140" s="327"/>
      <c r="J140" s="48" t="str">
        <f ca="1">IF(AND('Mapa final'!$AB$109="Media",'Mapa final'!$AD$109="Leve"),CONCATENATE("R35C",'Mapa final'!$R$109),"")</f>
        <v/>
      </c>
      <c r="K140" s="49" t="str">
        <f>IF(AND('Mapa final'!$AB$110="Media",'Mapa final'!$AD$110="Leve"),CONCATENATE("R35C",'Mapa final'!$R$110),"")</f>
        <v/>
      </c>
      <c r="L140" s="108" t="str">
        <f>IF(AND('Mapa final'!$AB$111="Media",'Mapa final'!$AD$111="Leve"),CONCATENATE("R35C",'Mapa final'!$R$111),"")</f>
        <v/>
      </c>
      <c r="M140" s="48" t="str">
        <f ca="1">IF(AND('Mapa final'!$AB$109="Media",'Mapa final'!$AD$109="Menor"),CONCATENATE("R35C",'Mapa final'!$R$109),"")</f>
        <v/>
      </c>
      <c r="N140" s="49" t="str">
        <f>IF(AND('Mapa final'!$AB$110="Media",'Mapa final'!$AD$110="Menor"),CONCATENATE("R35C",'Mapa final'!$R$110),"")</f>
        <v/>
      </c>
      <c r="O140" s="108" t="str">
        <f>IF(AND('Mapa final'!$AB$111="Media",'Mapa final'!$AD$111="Menor"),CONCATENATE("R35C",'Mapa final'!$R$111),"")</f>
        <v/>
      </c>
      <c r="P140" s="48" t="str">
        <f ca="1">IF(AND('Mapa final'!$AB$109="Media",'Mapa final'!$AD$109="Moderado"),CONCATENATE("R35C",'Mapa final'!$R$109),"")</f>
        <v/>
      </c>
      <c r="Q140" s="49" t="str">
        <f>IF(AND('Mapa final'!$AB$110="Media",'Mapa final'!$AD$110="Moderado"),CONCATENATE("R35C",'Mapa final'!$R$110),"")</f>
        <v/>
      </c>
      <c r="R140" s="108" t="str">
        <f>IF(AND('Mapa final'!$AB$111="Media",'Mapa final'!$AD$111="Moderado"),CONCATENATE("R35C",'Mapa final'!$R$111),"")</f>
        <v/>
      </c>
      <c r="S140" s="102" t="str">
        <f ca="1">IF(AND('Mapa final'!$AB$109="Media",'Mapa final'!$AD$109="Mayor"),CONCATENATE("R35C",'Mapa final'!$R$109),"")</f>
        <v/>
      </c>
      <c r="T140" s="41" t="str">
        <f>IF(AND('Mapa final'!$AB$110="Media",'Mapa final'!$AD$110="Mayor"),CONCATENATE("R35C",'Mapa final'!$R$110),"")</f>
        <v/>
      </c>
      <c r="U140" s="103" t="str">
        <f>IF(AND('Mapa final'!$AB$111="Media",'Mapa final'!$AD$111="Mayor"),CONCATENATE("R35C",'Mapa final'!$R$111),"")</f>
        <v/>
      </c>
      <c r="V140" s="42" t="str">
        <f ca="1">IF(AND('Mapa final'!$AB$109="Media",'Mapa final'!$AD$109="Catastrófico"),CONCATENATE("R35C",'Mapa final'!$R$109),"")</f>
        <v/>
      </c>
      <c r="W140" s="43" t="str">
        <f>IF(AND('Mapa final'!$AB$110="Media",'Mapa final'!$AD$110="Catastrófico"),CONCATENATE("R35C",'Mapa final'!$R$110),"")</f>
        <v/>
      </c>
      <c r="X140" s="97" t="str">
        <f>IF(AND('Mapa final'!$AB$111="Media",'Mapa final'!$AD$111="Catastrófico"),CONCATENATE("R35C",'Mapa final'!$R$111),"")</f>
        <v/>
      </c>
      <c r="Y140" s="55"/>
      <c r="Z140" s="349"/>
      <c r="AA140" s="350"/>
      <c r="AB140" s="350"/>
      <c r="AC140" s="350"/>
      <c r="AD140" s="350"/>
      <c r="AE140" s="351"/>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row>
    <row r="141" spans="1:61" ht="15" customHeight="1" x14ac:dyDescent="0.25">
      <c r="A141" s="55"/>
      <c r="B141" s="338"/>
      <c r="C141" s="338"/>
      <c r="D141" s="339"/>
      <c r="E141" s="328"/>
      <c r="F141" s="327"/>
      <c r="G141" s="327"/>
      <c r="H141" s="327"/>
      <c r="I141" s="327"/>
      <c r="J141" s="48" t="str">
        <f ca="1">IF(AND('Mapa final'!$AB$112="Media",'Mapa final'!$AD$112="Leve"),CONCATENATE("R36C",'Mapa final'!$R$112),"")</f>
        <v/>
      </c>
      <c r="K141" s="49" t="str">
        <f>IF(AND('Mapa final'!$AB$113="Media",'Mapa final'!$AD$113="Leve"),CONCATENATE("R36C",'Mapa final'!$R$113),"")</f>
        <v/>
      </c>
      <c r="L141" s="108" t="str">
        <f>IF(AND('Mapa final'!$AB$114="Media",'Mapa final'!$AD$114="Leve"),CONCATENATE("R36C",'Mapa final'!$R$114),"")</f>
        <v/>
      </c>
      <c r="M141" s="48" t="str">
        <f ca="1">IF(AND('Mapa final'!$AB$112="Media",'Mapa final'!$AD$112="Menor"),CONCATENATE("R36C",'Mapa final'!$R$112),"")</f>
        <v/>
      </c>
      <c r="N141" s="49" t="str">
        <f>IF(AND('Mapa final'!$AB$113="Media",'Mapa final'!$AD$113="Menor"),CONCATENATE("R36C",'Mapa final'!$R$113),"")</f>
        <v/>
      </c>
      <c r="O141" s="108" t="str">
        <f>IF(AND('Mapa final'!$AB$114="Media",'Mapa final'!$AD$114="Menor"),CONCATENATE("R36C",'Mapa final'!$R$114),"")</f>
        <v/>
      </c>
      <c r="P141" s="48" t="str">
        <f ca="1">IF(AND('Mapa final'!$AB$112="Media",'Mapa final'!$AD$112="Moderado"),CONCATENATE("R36C",'Mapa final'!$R$112),"")</f>
        <v/>
      </c>
      <c r="Q141" s="49" t="str">
        <f>IF(AND('Mapa final'!$AB$113="Media",'Mapa final'!$AD$113="Moderado"),CONCATENATE("R36C",'Mapa final'!$R$113),"")</f>
        <v/>
      </c>
      <c r="R141" s="108" t="str">
        <f>IF(AND('Mapa final'!$AB$114="Media",'Mapa final'!$AD$114="Moderado"),CONCATENATE("R36C",'Mapa final'!$R$114),"")</f>
        <v/>
      </c>
      <c r="S141" s="102" t="str">
        <f ca="1">IF(AND('Mapa final'!$AB$112="Media",'Mapa final'!$AD$112="Mayor"),CONCATENATE("R36C",'Mapa final'!$R$112),"")</f>
        <v/>
      </c>
      <c r="T141" s="41" t="str">
        <f>IF(AND('Mapa final'!$AB$113="Media",'Mapa final'!$AD$113="Mayor"),CONCATENATE("R36C",'Mapa final'!$R$113),"")</f>
        <v/>
      </c>
      <c r="U141" s="103" t="str">
        <f>IF(AND('Mapa final'!$AB$114="Media",'Mapa final'!$AD$114="Mayor"),CONCATENATE("R36C",'Mapa final'!$R$114),"")</f>
        <v/>
      </c>
      <c r="V141" s="42" t="str">
        <f ca="1">IF(AND('Mapa final'!$AB$112="Media",'Mapa final'!$AD$112="Catastrófico"),CONCATENATE("R36C",'Mapa final'!$R$112),"")</f>
        <v/>
      </c>
      <c r="W141" s="43" t="str">
        <f>IF(AND('Mapa final'!$AB$113="Media",'Mapa final'!$AD$113="Catastrófico"),CONCATENATE("R36C",'Mapa final'!$R$113),"")</f>
        <v/>
      </c>
      <c r="X141" s="97" t="str">
        <f>IF(AND('Mapa final'!$AB$114="Media",'Mapa final'!$AD$114="Catastrófico"),CONCATENATE("R36C",'Mapa final'!$R$114),"")</f>
        <v/>
      </c>
      <c r="Y141" s="55"/>
      <c r="Z141" s="349"/>
      <c r="AA141" s="350"/>
      <c r="AB141" s="350"/>
      <c r="AC141" s="350"/>
      <c r="AD141" s="350"/>
      <c r="AE141" s="351"/>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row>
    <row r="142" spans="1:61" ht="15" customHeight="1" x14ac:dyDescent="0.25">
      <c r="A142" s="55"/>
      <c r="B142" s="338"/>
      <c r="C142" s="338"/>
      <c r="D142" s="339"/>
      <c r="E142" s="328"/>
      <c r="F142" s="327"/>
      <c r="G142" s="327"/>
      <c r="H142" s="327"/>
      <c r="I142" s="327"/>
      <c r="J142" s="48" t="str">
        <f ca="1">IF(AND('Mapa final'!$AB$115="Media",'Mapa final'!$AD$115="Leve"),CONCATENATE("R37C",'Mapa final'!$R$115),"")</f>
        <v/>
      </c>
      <c r="K142" s="49" t="str">
        <f>IF(AND('Mapa final'!$AB$116="Media",'Mapa final'!$AD$116="Leve"),CONCATENATE("R37C",'Mapa final'!$R$116),"")</f>
        <v/>
      </c>
      <c r="L142" s="108" t="str">
        <f>IF(AND('Mapa final'!$AB$117="Media",'Mapa final'!$AD$117="Leve"),CONCATENATE("R37C",'Mapa final'!$R$117),"")</f>
        <v/>
      </c>
      <c r="M142" s="48" t="str">
        <f ca="1">IF(AND('Mapa final'!$AB$115="Media",'Mapa final'!$AD$115="Menor"),CONCATENATE("R37C",'Mapa final'!$R$115),"")</f>
        <v/>
      </c>
      <c r="N142" s="49" t="str">
        <f>IF(AND('Mapa final'!$AB$116="Media",'Mapa final'!$AD$116="Menor"),CONCATENATE("R37C",'Mapa final'!$R$116),"")</f>
        <v/>
      </c>
      <c r="O142" s="108" t="str">
        <f>IF(AND('Mapa final'!$AB$117="Media",'Mapa final'!$AD$117="Menor"),CONCATENATE("R37C",'Mapa final'!$R$117),"")</f>
        <v/>
      </c>
      <c r="P142" s="48" t="str">
        <f ca="1">IF(AND('Mapa final'!$AB$115="Media",'Mapa final'!$AD$115="Moderado"),CONCATENATE("R37C",'Mapa final'!$R$115),"")</f>
        <v/>
      </c>
      <c r="Q142" s="49" t="str">
        <f>IF(AND('Mapa final'!$AB$116="Media",'Mapa final'!$AD$116="Moderado"),CONCATENATE("R37C",'Mapa final'!$R$116),"")</f>
        <v/>
      </c>
      <c r="R142" s="108" t="str">
        <f>IF(AND('Mapa final'!$AB$117="Media",'Mapa final'!$AD$117="Moderado"),CONCATENATE("R37C",'Mapa final'!$R$117),"")</f>
        <v/>
      </c>
      <c r="S142" s="102" t="str">
        <f ca="1">IF(AND('Mapa final'!$AB$115="Media",'Mapa final'!$AD$115="Mayor"),CONCATENATE("R37C",'Mapa final'!$R$115),"")</f>
        <v/>
      </c>
      <c r="T142" s="41" t="str">
        <f>IF(AND('Mapa final'!$AB$116="Media",'Mapa final'!$AD$116="Mayor"),CONCATENATE("R37C",'Mapa final'!$R$116),"")</f>
        <v/>
      </c>
      <c r="U142" s="103" t="str">
        <f>IF(AND('Mapa final'!$AB$117="Media",'Mapa final'!$AD$117="Mayor"),CONCATENATE("R37C",'Mapa final'!$R$117),"")</f>
        <v/>
      </c>
      <c r="V142" s="42" t="str">
        <f ca="1">IF(AND('Mapa final'!$AB$115="Media",'Mapa final'!$AD$115="Catastrófico"),CONCATENATE("R37C",'Mapa final'!$R$115),"")</f>
        <v/>
      </c>
      <c r="W142" s="43" t="str">
        <f>IF(AND('Mapa final'!$AB$116="Media",'Mapa final'!$AD$116="Catastrófico"),CONCATENATE("R37C",'Mapa final'!$R$116),"")</f>
        <v/>
      </c>
      <c r="X142" s="97" t="str">
        <f>IF(AND('Mapa final'!$AB$117="Media",'Mapa final'!$AD$117="Catastrófico"),CONCATENATE("R37C",'Mapa final'!$R$117),"")</f>
        <v/>
      </c>
      <c r="Y142" s="55"/>
      <c r="Z142" s="349"/>
      <c r="AA142" s="350"/>
      <c r="AB142" s="350"/>
      <c r="AC142" s="350"/>
      <c r="AD142" s="350"/>
      <c r="AE142" s="351"/>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row>
    <row r="143" spans="1:61" ht="15" customHeight="1" x14ac:dyDescent="0.25">
      <c r="A143" s="55"/>
      <c r="B143" s="338"/>
      <c r="C143" s="338"/>
      <c r="D143" s="339"/>
      <c r="E143" s="328"/>
      <c r="F143" s="327"/>
      <c r="G143" s="327"/>
      <c r="H143" s="327"/>
      <c r="I143" s="327"/>
      <c r="J143" s="48" t="str">
        <f ca="1">IF(AND('Mapa final'!$AB$118="Media",'Mapa final'!$AD$118="Leve"),CONCATENATE("R38C",'Mapa final'!$R$118),"")</f>
        <v/>
      </c>
      <c r="K143" s="49" t="str">
        <f>IF(AND('Mapa final'!$AB$119="Media",'Mapa final'!$AD$119="Leve"),CONCATENATE("R38C",'Mapa final'!$R$119),"")</f>
        <v/>
      </c>
      <c r="L143" s="108" t="str">
        <f>IF(AND('Mapa final'!$AB$120="Media",'Mapa final'!$AD$120="Leve"),CONCATENATE("R38C",'Mapa final'!$R$120),"")</f>
        <v/>
      </c>
      <c r="M143" s="48" t="str">
        <f ca="1">IF(AND('Mapa final'!$AB$118="Media",'Mapa final'!$AD$118="Menor"),CONCATENATE("R38C",'Mapa final'!$R$118),"")</f>
        <v/>
      </c>
      <c r="N143" s="49" t="str">
        <f>IF(AND('Mapa final'!$AB$119="Media",'Mapa final'!$AD$119="Menor"),CONCATENATE("R38C",'Mapa final'!$R$119),"")</f>
        <v/>
      </c>
      <c r="O143" s="108" t="str">
        <f>IF(AND('Mapa final'!$AB$120="Media",'Mapa final'!$AD$120="Menor"),CONCATENATE("R38C",'Mapa final'!$R$120),"")</f>
        <v/>
      </c>
      <c r="P143" s="48" t="str">
        <f ca="1">IF(AND('Mapa final'!$AB$118="Media",'Mapa final'!$AD$118="Moderado"),CONCATENATE("R38C",'Mapa final'!$R$118),"")</f>
        <v/>
      </c>
      <c r="Q143" s="49" t="str">
        <f>IF(AND('Mapa final'!$AB$119="Media",'Mapa final'!$AD$119="Moderado"),CONCATENATE("R38C",'Mapa final'!$R$119),"")</f>
        <v/>
      </c>
      <c r="R143" s="108" t="str">
        <f>IF(AND('Mapa final'!$AB$120="Media",'Mapa final'!$AD$120="Moderado"),CONCATENATE("R38C",'Mapa final'!$R$120),"")</f>
        <v/>
      </c>
      <c r="S143" s="102" t="str">
        <f ca="1">IF(AND('Mapa final'!$AB$118="Media",'Mapa final'!$AD$118="Mayor"),CONCATENATE("R38C",'Mapa final'!$R$118),"")</f>
        <v/>
      </c>
      <c r="T143" s="41" t="str">
        <f>IF(AND('Mapa final'!$AB$119="Media",'Mapa final'!$AD$119="Mayor"),CONCATENATE("R38C",'Mapa final'!$R$119),"")</f>
        <v/>
      </c>
      <c r="U143" s="103" t="str">
        <f>IF(AND('Mapa final'!$AB$120="Media",'Mapa final'!$AD$120="Mayor"),CONCATENATE("R38C",'Mapa final'!$R$120),"")</f>
        <v/>
      </c>
      <c r="V143" s="42" t="str">
        <f ca="1">IF(AND('Mapa final'!$AB$118="Media",'Mapa final'!$AD$118="Catastrófico"),CONCATENATE("R38C",'Mapa final'!$R$118),"")</f>
        <v/>
      </c>
      <c r="W143" s="43" t="str">
        <f>IF(AND('Mapa final'!$AB$119="Media",'Mapa final'!$AD$119="Catastrófico"),CONCATENATE("R38C",'Mapa final'!$R$119),"")</f>
        <v/>
      </c>
      <c r="X143" s="97" t="str">
        <f>IF(AND('Mapa final'!$AB$120="Media",'Mapa final'!$AD$120="Catastrófico"),CONCATENATE("R38C",'Mapa final'!$R$120),"")</f>
        <v/>
      </c>
      <c r="Y143" s="55"/>
      <c r="Z143" s="349"/>
      <c r="AA143" s="350"/>
      <c r="AB143" s="350"/>
      <c r="AC143" s="350"/>
      <c r="AD143" s="350"/>
      <c r="AE143" s="351"/>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row>
    <row r="144" spans="1:61" ht="15" customHeight="1" x14ac:dyDescent="0.25">
      <c r="A144" s="55"/>
      <c r="B144" s="338"/>
      <c r="C144" s="338"/>
      <c r="D144" s="339"/>
      <c r="E144" s="328"/>
      <c r="F144" s="327"/>
      <c r="G144" s="327"/>
      <c r="H144" s="327"/>
      <c r="I144" s="327"/>
      <c r="J144" s="48" t="str">
        <f ca="1">IF(AND('Mapa final'!$AB$121="Media",'Mapa final'!$AD$121="Leve"),CONCATENATE("R39C",'Mapa final'!$R$121),"")</f>
        <v/>
      </c>
      <c r="K144" s="49" t="str">
        <f>IF(AND('Mapa final'!$AB$122="Media",'Mapa final'!$AD$122="Leve"),CONCATENATE("R39C",'Mapa final'!$R$122),"")</f>
        <v/>
      </c>
      <c r="L144" s="108" t="str">
        <f>IF(AND('Mapa final'!$AB$123="Media",'Mapa final'!$AD$123="Leve"),CONCATENATE("R39C",'Mapa final'!$R$123),"")</f>
        <v/>
      </c>
      <c r="M144" s="48" t="str">
        <f ca="1">IF(AND('Mapa final'!$AB$121="Media",'Mapa final'!$AD$121="Menor"),CONCATENATE("R39C",'Mapa final'!$R$121),"")</f>
        <v/>
      </c>
      <c r="N144" s="49" t="str">
        <f>IF(AND('Mapa final'!$AB$122="Media",'Mapa final'!$AD$122="Menor"),CONCATENATE("R39C",'Mapa final'!$R$122),"")</f>
        <v/>
      </c>
      <c r="O144" s="108" t="str">
        <f>IF(AND('Mapa final'!$AB$123="Media",'Mapa final'!$AD$123="Menor"),CONCATENATE("R39C",'Mapa final'!$R$123),"")</f>
        <v/>
      </c>
      <c r="P144" s="48" t="str">
        <f ca="1">IF(AND('Mapa final'!$AB$121="Media",'Mapa final'!$AD$121="Moderado"),CONCATENATE("R39C",'Mapa final'!$R$121),"")</f>
        <v>R39C1</v>
      </c>
      <c r="Q144" s="49" t="str">
        <f>IF(AND('Mapa final'!$AB$122="Media",'Mapa final'!$AD$122="Moderado"),CONCATENATE("R39C",'Mapa final'!$R$122),"")</f>
        <v/>
      </c>
      <c r="R144" s="108" t="str">
        <f>IF(AND('Mapa final'!$AB$123="Media",'Mapa final'!$AD$123="Moderado"),CONCATENATE("R39C",'Mapa final'!$R$123),"")</f>
        <v/>
      </c>
      <c r="S144" s="102" t="str">
        <f ca="1">IF(AND('Mapa final'!$AB$121="Media",'Mapa final'!$AD$121="Mayor"),CONCATENATE("R39C",'Mapa final'!$R$121),"")</f>
        <v/>
      </c>
      <c r="T144" s="41" t="str">
        <f>IF(AND('Mapa final'!$AB$122="Media",'Mapa final'!$AD$122="Mayor"),CONCATENATE("R39C",'Mapa final'!$R$122),"")</f>
        <v/>
      </c>
      <c r="U144" s="103" t="str">
        <f>IF(AND('Mapa final'!$AB$123="Media",'Mapa final'!$AD$123="Mayor"),CONCATENATE("R39C",'Mapa final'!$R$123),"")</f>
        <v/>
      </c>
      <c r="V144" s="42" t="str">
        <f ca="1">IF(AND('Mapa final'!$AB$121="Media",'Mapa final'!$AD$121="Catastrófico"),CONCATENATE("R39C",'Mapa final'!$R$121),"")</f>
        <v/>
      </c>
      <c r="W144" s="43" t="str">
        <f>IF(AND('Mapa final'!$AB$122="Media",'Mapa final'!$AD$122="Catastrófico"),CONCATENATE("R39C",'Mapa final'!$R$122),"")</f>
        <v/>
      </c>
      <c r="X144" s="97" t="str">
        <f>IF(AND('Mapa final'!$AB$123="Media",'Mapa final'!$AD$123="Catastrófico"),CONCATENATE("R39C",'Mapa final'!$R$123),"")</f>
        <v/>
      </c>
      <c r="Y144" s="55"/>
      <c r="Z144" s="349"/>
      <c r="AA144" s="350"/>
      <c r="AB144" s="350"/>
      <c r="AC144" s="350"/>
      <c r="AD144" s="350"/>
      <c r="AE144" s="351"/>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row>
    <row r="145" spans="1:61" ht="15" customHeight="1" x14ac:dyDescent="0.25">
      <c r="A145" s="55"/>
      <c r="B145" s="338"/>
      <c r="C145" s="338"/>
      <c r="D145" s="339"/>
      <c r="E145" s="328"/>
      <c r="F145" s="327"/>
      <c r="G145" s="327"/>
      <c r="H145" s="327"/>
      <c r="I145" s="327"/>
      <c r="J145" s="48" t="str">
        <f ca="1">IF(AND('Mapa final'!$AB$124="Media",'Mapa final'!$AD$124="Leve"),CONCATENATE("R40C",'Mapa final'!$R$124),"")</f>
        <v/>
      </c>
      <c r="K145" s="49" t="str">
        <f>IF(AND('Mapa final'!$AB$125="Media",'Mapa final'!$AD$125="Leve"),CONCATENATE("R40C",'Mapa final'!$R$125),"")</f>
        <v/>
      </c>
      <c r="L145" s="108" t="str">
        <f>IF(AND('Mapa final'!$AB$126="Media",'Mapa final'!$AD$126="Leve"),CONCATENATE("R40C",'Mapa final'!$R$126),"")</f>
        <v/>
      </c>
      <c r="M145" s="48" t="str">
        <f ca="1">IF(AND('Mapa final'!$AB$124="Media",'Mapa final'!$AD$124="Menor"),CONCATENATE("R40C",'Mapa final'!$R$124),"")</f>
        <v/>
      </c>
      <c r="N145" s="49" t="str">
        <f>IF(AND('Mapa final'!$AB$125="Media",'Mapa final'!$AD$125="Menor"),CONCATENATE("R40C",'Mapa final'!$R$125),"")</f>
        <v/>
      </c>
      <c r="O145" s="108" t="str">
        <f>IF(AND('Mapa final'!$AB$126="Media",'Mapa final'!$AD$126="Menor"),CONCATENATE("R40C",'Mapa final'!$R$126),"")</f>
        <v/>
      </c>
      <c r="P145" s="48" t="str">
        <f ca="1">IF(AND('Mapa final'!$AB$124="Media",'Mapa final'!$AD$124="Moderado"),CONCATENATE("R40C",'Mapa final'!$R$124),"")</f>
        <v/>
      </c>
      <c r="Q145" s="49" t="str">
        <f>IF(AND('Mapa final'!$AB$125="Media",'Mapa final'!$AD$125="Moderado"),CONCATENATE("R40C",'Mapa final'!$R$125),"")</f>
        <v/>
      </c>
      <c r="R145" s="108" t="str">
        <f>IF(AND('Mapa final'!$AB$126="Media",'Mapa final'!$AD$126="Moderado"),CONCATENATE("R40C",'Mapa final'!$R$126),"")</f>
        <v/>
      </c>
      <c r="S145" s="102" t="str">
        <f ca="1">IF(AND('Mapa final'!$AB$124="Media",'Mapa final'!$AD$124="Mayor"),CONCATENATE("R40C",'Mapa final'!$R$124),"")</f>
        <v/>
      </c>
      <c r="T145" s="41" t="str">
        <f>IF(AND('Mapa final'!$AB$125="Media",'Mapa final'!$AD$125="Mayor"),CONCATENATE("R40C",'Mapa final'!$R$125),"")</f>
        <v/>
      </c>
      <c r="U145" s="103" t="str">
        <f>IF(AND('Mapa final'!$AB$126="Media",'Mapa final'!$AD$126="Mayor"),CONCATENATE("R40C",'Mapa final'!$R$126),"")</f>
        <v/>
      </c>
      <c r="V145" s="42" t="str">
        <f ca="1">IF(AND('Mapa final'!$AB$124="Media",'Mapa final'!$AD$124="Catastrófico"),CONCATENATE("R40C",'Mapa final'!$R$124),"")</f>
        <v/>
      </c>
      <c r="W145" s="43" t="str">
        <f>IF(AND('Mapa final'!$AB$125="Media",'Mapa final'!$AD$125="Catastrófico"),CONCATENATE("R40C",'Mapa final'!$R$125),"")</f>
        <v/>
      </c>
      <c r="X145" s="97" t="str">
        <f>IF(AND('Mapa final'!$AB$126="Media",'Mapa final'!$AD$126="Catastrófico"),CONCATENATE("R40C",'Mapa final'!$R$126),"")</f>
        <v/>
      </c>
      <c r="Y145" s="55"/>
      <c r="Z145" s="349"/>
      <c r="AA145" s="350"/>
      <c r="AB145" s="350"/>
      <c r="AC145" s="350"/>
      <c r="AD145" s="350"/>
      <c r="AE145" s="351"/>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row>
    <row r="146" spans="1:61" ht="15" customHeight="1" x14ac:dyDescent="0.25">
      <c r="A146" s="55"/>
      <c r="B146" s="338"/>
      <c r="C146" s="338"/>
      <c r="D146" s="339"/>
      <c r="E146" s="328"/>
      <c r="F146" s="327"/>
      <c r="G146" s="327"/>
      <c r="H146" s="327"/>
      <c r="I146" s="327"/>
      <c r="J146" s="48" t="str">
        <f ca="1">IF(AND('Mapa final'!$AB$127="Media",'Mapa final'!$AD$127="Leve"),CONCATENATE("R41C",'Mapa final'!$R$127),"")</f>
        <v/>
      </c>
      <c r="K146" s="49" t="str">
        <f>IF(AND('Mapa final'!$AB$128="Media",'Mapa final'!$AD$128="Leve"),CONCATENATE("R41C",'Mapa final'!$R$128),"")</f>
        <v/>
      </c>
      <c r="L146" s="108" t="str">
        <f>IF(AND('Mapa final'!$AB$129="Media",'Mapa final'!$AD$129="Leve"),CONCATENATE("R41C",'Mapa final'!$R$129),"")</f>
        <v/>
      </c>
      <c r="M146" s="48" t="str">
        <f ca="1">IF(AND('Mapa final'!$AB$127="Media",'Mapa final'!$AD$127="Menor"),CONCATENATE("R41C",'Mapa final'!$R$127),"")</f>
        <v/>
      </c>
      <c r="N146" s="49" t="str">
        <f>IF(AND('Mapa final'!$AB$128="Media",'Mapa final'!$AD$128="Menor"),CONCATENATE("R41C",'Mapa final'!$R$128),"")</f>
        <v/>
      </c>
      <c r="O146" s="108" t="str">
        <f>IF(AND('Mapa final'!$AB$129="Media",'Mapa final'!$AD$129="Menor"),CONCATENATE("R41C",'Mapa final'!$R$129),"")</f>
        <v/>
      </c>
      <c r="P146" s="48" t="str">
        <f ca="1">IF(AND('Mapa final'!$AB$127="Media",'Mapa final'!$AD$127="Moderado"),CONCATENATE("R41C",'Mapa final'!$R$127),"")</f>
        <v>R41C1</v>
      </c>
      <c r="Q146" s="49" t="str">
        <f>IF(AND('Mapa final'!$AB$128="Media",'Mapa final'!$AD$128="Moderado"),CONCATENATE("R41C",'Mapa final'!$R$128),"")</f>
        <v/>
      </c>
      <c r="R146" s="108" t="str">
        <f>IF(AND('Mapa final'!$AB$129="Media",'Mapa final'!$AD$129="Moderado"),CONCATENATE("R41C",'Mapa final'!$R$129),"")</f>
        <v/>
      </c>
      <c r="S146" s="102" t="str">
        <f ca="1">IF(AND('Mapa final'!$AB$127="Media",'Mapa final'!$AD$127="Mayor"),CONCATENATE("R41C",'Mapa final'!$R$127),"")</f>
        <v/>
      </c>
      <c r="T146" s="41" t="str">
        <f>IF(AND('Mapa final'!$AB$128="Media",'Mapa final'!$AD$128="Mayor"),CONCATENATE("R41C",'Mapa final'!$R$128),"")</f>
        <v/>
      </c>
      <c r="U146" s="103" t="str">
        <f>IF(AND('Mapa final'!$AB$129="Media",'Mapa final'!$AD$129="Mayor"),CONCATENATE("R41C",'Mapa final'!$R$129),"")</f>
        <v/>
      </c>
      <c r="V146" s="42" t="str">
        <f ca="1">IF(AND('Mapa final'!$AB$127="Media",'Mapa final'!$AD$127="Catastrófico"),CONCATENATE("R41C",'Mapa final'!$R$127),"")</f>
        <v/>
      </c>
      <c r="W146" s="43" t="str">
        <f>IF(AND('Mapa final'!$AB$128="Media",'Mapa final'!$AD$128="Catastrófico"),CONCATENATE("R41C",'Mapa final'!$R$128),"")</f>
        <v/>
      </c>
      <c r="X146" s="97" t="str">
        <f>IF(AND('Mapa final'!$AB$129="Media",'Mapa final'!$AD$129="Catastrófico"),CONCATENATE("R41C",'Mapa final'!$R$129),"")</f>
        <v/>
      </c>
      <c r="Y146" s="55"/>
      <c r="Z146" s="349"/>
      <c r="AA146" s="350"/>
      <c r="AB146" s="350"/>
      <c r="AC146" s="350"/>
      <c r="AD146" s="350"/>
      <c r="AE146" s="351"/>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row>
    <row r="147" spans="1:61" ht="15" customHeight="1" x14ac:dyDescent="0.25">
      <c r="A147" s="55"/>
      <c r="B147" s="338"/>
      <c r="C147" s="338"/>
      <c r="D147" s="339"/>
      <c r="E147" s="328"/>
      <c r="F147" s="327"/>
      <c r="G147" s="327"/>
      <c r="H147" s="327"/>
      <c r="I147" s="327"/>
      <c r="J147" s="48" t="str">
        <f ca="1">IF(AND('Mapa final'!$AB$130="Media",'Mapa final'!$AD$130="Leve"),CONCATENATE("R42C",'Mapa final'!$R$130),"")</f>
        <v/>
      </c>
      <c r="K147" s="49" t="str">
        <f>IF(AND('Mapa final'!$AB$131="Media",'Mapa final'!$AD$131="Leve"),CONCATENATE("R42C",'Mapa final'!$R$131),"")</f>
        <v/>
      </c>
      <c r="L147" s="108" t="str">
        <f>IF(AND('Mapa final'!$AB$132="Media",'Mapa final'!$AD$132="Leve"),CONCATENATE("R42C",'Mapa final'!$R$132),"")</f>
        <v/>
      </c>
      <c r="M147" s="48" t="str">
        <f ca="1">IF(AND('Mapa final'!$AB$130="Media",'Mapa final'!$AD$130="Menor"),CONCATENATE("R42C",'Mapa final'!$R$130),"")</f>
        <v/>
      </c>
      <c r="N147" s="49" t="str">
        <f>IF(AND('Mapa final'!$AB$131="Media",'Mapa final'!$AD$131="Menor"),CONCATENATE("R42C",'Mapa final'!$R$131),"")</f>
        <v/>
      </c>
      <c r="O147" s="108" t="str">
        <f>IF(AND('Mapa final'!$AB$132="Media",'Mapa final'!$AD$132="Menor"),CONCATENATE("R42C",'Mapa final'!$R$132),"")</f>
        <v/>
      </c>
      <c r="P147" s="48" t="str">
        <f ca="1">IF(AND('Mapa final'!$AB$130="Media",'Mapa final'!$AD$130="Moderado"),CONCATENATE("R42C",'Mapa final'!$R$130),"")</f>
        <v/>
      </c>
      <c r="Q147" s="49" t="str">
        <f>IF(AND('Mapa final'!$AB$131="Media",'Mapa final'!$AD$131="Moderado"),CONCATENATE("R42C",'Mapa final'!$R$131),"")</f>
        <v/>
      </c>
      <c r="R147" s="108" t="str">
        <f>IF(AND('Mapa final'!$AB$132="Media",'Mapa final'!$AD$132="Moderado"),CONCATENATE("R42C",'Mapa final'!$R$132),"")</f>
        <v/>
      </c>
      <c r="S147" s="102" t="str">
        <f ca="1">IF(AND('Mapa final'!$AB$130="Media",'Mapa final'!$AD$130="Mayor"),CONCATENATE("R42C",'Mapa final'!$R$130),"")</f>
        <v/>
      </c>
      <c r="T147" s="41" t="str">
        <f>IF(AND('Mapa final'!$AB$131="Media",'Mapa final'!$AD$131="Mayor"),CONCATENATE("R42C",'Mapa final'!$R$131),"")</f>
        <v/>
      </c>
      <c r="U147" s="103" t="str">
        <f>IF(AND('Mapa final'!$AB$132="Media",'Mapa final'!$AD$132="Mayor"),CONCATENATE("R42C",'Mapa final'!$R$132),"")</f>
        <v/>
      </c>
      <c r="V147" s="42" t="str">
        <f ca="1">IF(AND('Mapa final'!$AB$130="Media",'Mapa final'!$AD$130="Catastrófico"),CONCATENATE("R42C",'Mapa final'!$R$130),"")</f>
        <v/>
      </c>
      <c r="W147" s="43" t="str">
        <f>IF(AND('Mapa final'!$AB$131="Media",'Mapa final'!$AD$131="Catastrófico"),CONCATENATE("R42C",'Mapa final'!$R$131),"")</f>
        <v/>
      </c>
      <c r="X147" s="97" t="str">
        <f>IF(AND('Mapa final'!$AB$132="Media",'Mapa final'!$AD$132="Catastrófico"),CONCATENATE("R42C",'Mapa final'!$R$132),"")</f>
        <v/>
      </c>
      <c r="Y147" s="55"/>
      <c r="Z147" s="349"/>
      <c r="AA147" s="350"/>
      <c r="AB147" s="350"/>
      <c r="AC147" s="350"/>
      <c r="AD147" s="350"/>
      <c r="AE147" s="351"/>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row>
    <row r="148" spans="1:61" ht="15" customHeight="1" x14ac:dyDescent="0.25">
      <c r="A148" s="55"/>
      <c r="B148" s="338"/>
      <c r="C148" s="338"/>
      <c r="D148" s="339"/>
      <c r="E148" s="328"/>
      <c r="F148" s="327"/>
      <c r="G148" s="327"/>
      <c r="H148" s="327"/>
      <c r="I148" s="327"/>
      <c r="J148" s="48" t="str">
        <f ca="1">IF(AND('Mapa final'!$AB$133="Media",'Mapa final'!$AD$133="Leve"),CONCATENATE("R43C",'Mapa final'!$R$133),"")</f>
        <v/>
      </c>
      <c r="K148" s="49" t="str">
        <f>IF(AND('Mapa final'!$AB$134="Media",'Mapa final'!$AD$134="Leve"),CONCATENATE("R43C",'Mapa final'!$R$134),"")</f>
        <v/>
      </c>
      <c r="L148" s="108" t="str">
        <f>IF(AND('Mapa final'!$AB$135="Media",'Mapa final'!$AD$135="Leve"),CONCATENATE("R43C",'Mapa final'!$R$135),"")</f>
        <v/>
      </c>
      <c r="M148" s="48" t="str">
        <f ca="1">IF(AND('Mapa final'!$AB$133="Media",'Mapa final'!$AD$133="Menor"),CONCATENATE("R43C",'Mapa final'!$R$133),"")</f>
        <v/>
      </c>
      <c r="N148" s="49" t="str">
        <f>IF(AND('Mapa final'!$AB$134="Media",'Mapa final'!$AD$134="Menor"),CONCATENATE("R43C",'Mapa final'!$R$134),"")</f>
        <v/>
      </c>
      <c r="O148" s="108" t="str">
        <f>IF(AND('Mapa final'!$AB$135="Media",'Mapa final'!$AD$135="Menor"),CONCATENATE("R43C",'Mapa final'!$R$135),"")</f>
        <v/>
      </c>
      <c r="P148" s="48" t="str">
        <f ca="1">IF(AND('Mapa final'!$AB$133="Media",'Mapa final'!$AD$133="Moderado"),CONCATENATE("R43C",'Mapa final'!$R$133),"")</f>
        <v/>
      </c>
      <c r="Q148" s="49" t="str">
        <f>IF(AND('Mapa final'!$AB$134="Media",'Mapa final'!$AD$134="Moderado"),CONCATENATE("R43C",'Mapa final'!$R$134),"")</f>
        <v/>
      </c>
      <c r="R148" s="108" t="str">
        <f>IF(AND('Mapa final'!$AB$135="Media",'Mapa final'!$AD$135="Moderado"),CONCATENATE("R43C",'Mapa final'!$R$135),"")</f>
        <v/>
      </c>
      <c r="S148" s="102" t="str">
        <f ca="1">IF(AND('Mapa final'!$AB$133="Media",'Mapa final'!$AD$133="Mayor"),CONCATENATE("R43C",'Mapa final'!$R$133),"")</f>
        <v>R43C1</v>
      </c>
      <c r="T148" s="41" t="str">
        <f>IF(AND('Mapa final'!$AB$134="Media",'Mapa final'!$AD$134="Mayor"),CONCATENATE("R43C",'Mapa final'!$R$134),"")</f>
        <v/>
      </c>
      <c r="U148" s="103" t="str">
        <f>IF(AND('Mapa final'!$AB$135="Media",'Mapa final'!$AD$135="Mayor"),CONCATENATE("R43C",'Mapa final'!$R$135),"")</f>
        <v/>
      </c>
      <c r="V148" s="42" t="str">
        <f ca="1">IF(AND('Mapa final'!$AB$133="Media",'Mapa final'!$AD$133="Catastrófico"),CONCATENATE("R43C",'Mapa final'!$R$133),"")</f>
        <v/>
      </c>
      <c r="W148" s="43" t="str">
        <f>IF(AND('Mapa final'!$AB$134="Media",'Mapa final'!$AD$134="Catastrófico"),CONCATENATE("R43C",'Mapa final'!$R$134),"")</f>
        <v/>
      </c>
      <c r="X148" s="97" t="str">
        <f>IF(AND('Mapa final'!$AB$135="Media",'Mapa final'!$AD$135="Catastrófico"),CONCATENATE("R43C",'Mapa final'!$R$135),"")</f>
        <v/>
      </c>
      <c r="Y148" s="55"/>
      <c r="Z148" s="349"/>
      <c r="AA148" s="350"/>
      <c r="AB148" s="350"/>
      <c r="AC148" s="350"/>
      <c r="AD148" s="350"/>
      <c r="AE148" s="351"/>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row>
    <row r="149" spans="1:61" ht="15" customHeight="1" x14ac:dyDescent="0.25">
      <c r="A149" s="55"/>
      <c r="B149" s="338"/>
      <c r="C149" s="338"/>
      <c r="D149" s="339"/>
      <c r="E149" s="328"/>
      <c r="F149" s="327"/>
      <c r="G149" s="327"/>
      <c r="H149" s="327"/>
      <c r="I149" s="327"/>
      <c r="J149" s="48" t="str">
        <f ca="1">IF(AND('Mapa final'!$AB$136="Media",'Mapa final'!$AD$136="Leve"),CONCATENATE("R44C",'Mapa final'!$R$136),"")</f>
        <v/>
      </c>
      <c r="K149" s="49" t="str">
        <f>IF(AND('Mapa final'!$AB$137="Media",'Mapa final'!$AD$137="Leve"),CONCATENATE("R44C",'Mapa final'!$R$137),"")</f>
        <v/>
      </c>
      <c r="L149" s="108" t="str">
        <f>IF(AND('Mapa final'!$AB$138="Media",'Mapa final'!$AD$138="Leve"),CONCATENATE("R44C",'Mapa final'!$R$138),"")</f>
        <v/>
      </c>
      <c r="M149" s="48" t="str">
        <f ca="1">IF(AND('Mapa final'!$AB$136="Media",'Mapa final'!$AD$136="Menor"),CONCATENATE("R44C",'Mapa final'!$R$136),"")</f>
        <v/>
      </c>
      <c r="N149" s="49" t="str">
        <f>IF(AND('Mapa final'!$AB$137="Media",'Mapa final'!$AD$137="Menor"),CONCATENATE("R44C",'Mapa final'!$R$137),"")</f>
        <v/>
      </c>
      <c r="O149" s="108" t="str">
        <f>IF(AND('Mapa final'!$AB$138="Media",'Mapa final'!$AD$138="Menor"),CONCATENATE("R44C",'Mapa final'!$R$138),"")</f>
        <v/>
      </c>
      <c r="P149" s="48" t="str">
        <f ca="1">IF(AND('Mapa final'!$AB$136="Media",'Mapa final'!$AD$136="Moderado"),CONCATENATE("R44C",'Mapa final'!$R$136),"")</f>
        <v>R44C1</v>
      </c>
      <c r="Q149" s="49" t="str">
        <f>IF(AND('Mapa final'!$AB$137="Media",'Mapa final'!$AD$137="Moderado"),CONCATENATE("R44C",'Mapa final'!$R$137),"")</f>
        <v/>
      </c>
      <c r="R149" s="108" t="str">
        <f>IF(AND('Mapa final'!$AB$138="Media",'Mapa final'!$AD$138="Moderado"),CONCATENATE("R44C",'Mapa final'!$R$138),"")</f>
        <v/>
      </c>
      <c r="S149" s="102" t="str">
        <f ca="1">IF(AND('Mapa final'!$AB$136="Media",'Mapa final'!$AD$136="Mayor"),CONCATENATE("R44C",'Mapa final'!$R$136),"")</f>
        <v/>
      </c>
      <c r="T149" s="41" t="str">
        <f>IF(AND('Mapa final'!$AB$137="Media",'Mapa final'!$AD$137="Mayor"),CONCATENATE("R44C",'Mapa final'!$R$137),"")</f>
        <v/>
      </c>
      <c r="U149" s="103" t="str">
        <f>IF(AND('Mapa final'!$AB$138="Media",'Mapa final'!$AD$138="Mayor"),CONCATENATE("R44C",'Mapa final'!$R$138),"")</f>
        <v/>
      </c>
      <c r="V149" s="42" t="str">
        <f ca="1">IF(AND('Mapa final'!$AB$136="Media",'Mapa final'!$AD$136="Catastrófico"),CONCATENATE("R44C",'Mapa final'!$R$136),"")</f>
        <v/>
      </c>
      <c r="W149" s="43" t="str">
        <f>IF(AND('Mapa final'!$AB$137="Media",'Mapa final'!$AD$137="Catastrófico"),CONCATENATE("R44C",'Mapa final'!$R$137),"")</f>
        <v/>
      </c>
      <c r="X149" s="97" t="str">
        <f>IF(AND('Mapa final'!$AB$138="Media",'Mapa final'!$AD$138="Catastrófico"),CONCATENATE("R44C",'Mapa final'!$R$138),"")</f>
        <v/>
      </c>
      <c r="Y149" s="55"/>
      <c r="Z149" s="349"/>
      <c r="AA149" s="350"/>
      <c r="AB149" s="350"/>
      <c r="AC149" s="350"/>
      <c r="AD149" s="350"/>
      <c r="AE149" s="351"/>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row>
    <row r="150" spans="1:61" ht="15" customHeight="1" x14ac:dyDescent="0.25">
      <c r="A150" s="55"/>
      <c r="B150" s="338"/>
      <c r="C150" s="338"/>
      <c r="D150" s="339"/>
      <c r="E150" s="328"/>
      <c r="F150" s="327"/>
      <c r="G150" s="327"/>
      <c r="H150" s="327"/>
      <c r="I150" s="327"/>
      <c r="J150" s="48" t="str">
        <f ca="1">IF(AND('Mapa final'!$AB$139="Media",'Mapa final'!$AD$139="Leve"),CONCATENATE("R45C",'Mapa final'!$R$139),"")</f>
        <v/>
      </c>
      <c r="K150" s="49" t="str">
        <f>IF(AND('Mapa final'!$AB$140="Media",'Mapa final'!$AD$140="Leve"),CONCATENATE("R45C",'Mapa final'!$R$140),"")</f>
        <v/>
      </c>
      <c r="L150" s="108" t="str">
        <f>IF(AND('Mapa final'!$AB$141="Media",'Mapa final'!$AD$141="Leve"),CONCATENATE("R45C",'Mapa final'!$R$141),"")</f>
        <v/>
      </c>
      <c r="M150" s="48" t="str">
        <f ca="1">IF(AND('Mapa final'!$AB$139="Media",'Mapa final'!$AD$139="Menor"),CONCATENATE("R45C",'Mapa final'!$R$139),"")</f>
        <v/>
      </c>
      <c r="N150" s="49" t="str">
        <f>IF(AND('Mapa final'!$AB$140="Media",'Mapa final'!$AD$140="Menor"),CONCATENATE("R45C",'Mapa final'!$R$140),"")</f>
        <v/>
      </c>
      <c r="O150" s="108" t="str">
        <f>IF(AND('Mapa final'!$AB$141="Media",'Mapa final'!$AD$141="Menor"),CONCATENATE("R45C",'Mapa final'!$R$141),"")</f>
        <v/>
      </c>
      <c r="P150" s="48" t="str">
        <f ca="1">IF(AND('Mapa final'!$AB$139="Media",'Mapa final'!$AD$139="Moderado"),CONCATENATE("R45C",'Mapa final'!$R$139),"")</f>
        <v/>
      </c>
      <c r="Q150" s="49" t="str">
        <f>IF(AND('Mapa final'!$AB$140="Media",'Mapa final'!$AD$140="Moderado"),CONCATENATE("R45C",'Mapa final'!$R$140),"")</f>
        <v/>
      </c>
      <c r="R150" s="108" t="str">
        <f>IF(AND('Mapa final'!$AB$141="Media",'Mapa final'!$AD$141="Moderado"),CONCATENATE("R45C",'Mapa final'!$R$141),"")</f>
        <v/>
      </c>
      <c r="S150" s="102" t="str">
        <f ca="1">IF(AND('Mapa final'!$AB$139="Media",'Mapa final'!$AD$139="Mayor"),CONCATENATE("R45C",'Mapa final'!$R$139),"")</f>
        <v>R45C1</v>
      </c>
      <c r="T150" s="41" t="str">
        <f>IF(AND('Mapa final'!$AB$140="Media",'Mapa final'!$AD$140="Mayor"),CONCATENATE("R45C",'Mapa final'!$R$140),"")</f>
        <v/>
      </c>
      <c r="U150" s="103" t="str">
        <f>IF(AND('Mapa final'!$AB$141="Media",'Mapa final'!$AD$141="Mayor"),CONCATENATE("R45C",'Mapa final'!$R$141),"")</f>
        <v/>
      </c>
      <c r="V150" s="42" t="str">
        <f ca="1">IF(AND('Mapa final'!$AB$139="Media",'Mapa final'!$AD$139="Catastrófico"),CONCATENATE("R45C",'Mapa final'!$R$139),"")</f>
        <v/>
      </c>
      <c r="W150" s="43" t="str">
        <f>IF(AND('Mapa final'!$AB$140="Media",'Mapa final'!$AD$140="Catastrófico"),CONCATENATE("R45C",'Mapa final'!$R$140),"")</f>
        <v/>
      </c>
      <c r="X150" s="97" t="str">
        <f>IF(AND('Mapa final'!$AB$141="Media",'Mapa final'!$AD$141="Catastrófico"),CONCATENATE("R45C",'Mapa final'!$R$141),"")</f>
        <v/>
      </c>
      <c r="Y150" s="55"/>
      <c r="Z150" s="349"/>
      <c r="AA150" s="350"/>
      <c r="AB150" s="350"/>
      <c r="AC150" s="350"/>
      <c r="AD150" s="350"/>
      <c r="AE150" s="351"/>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row>
    <row r="151" spans="1:61" ht="15" customHeight="1" x14ac:dyDescent="0.25">
      <c r="A151" s="55"/>
      <c r="B151" s="338"/>
      <c r="C151" s="338"/>
      <c r="D151" s="339"/>
      <c r="E151" s="328"/>
      <c r="F151" s="327"/>
      <c r="G151" s="327"/>
      <c r="H151" s="327"/>
      <c r="I151" s="327"/>
      <c r="J151" s="48" t="str">
        <f>IF(AND('Mapa final'!$AB$142="Media",'Mapa final'!$AD$142="Leve"),CONCATENATE("R46C",'Mapa final'!$R$142),"")</f>
        <v/>
      </c>
      <c r="K151" s="49" t="str">
        <f>IF(AND('Mapa final'!$AB$143="Media",'Mapa final'!$AD$143="Leve"),CONCATENATE("R46C",'Mapa final'!$R$143),"")</f>
        <v/>
      </c>
      <c r="L151" s="108" t="str">
        <f>IF(AND('Mapa final'!$AB$144="Media",'Mapa final'!$AD$144="Leve"),CONCATENATE("R46C",'Mapa final'!$R$144),"")</f>
        <v/>
      </c>
      <c r="M151" s="48" t="str">
        <f>IF(AND('Mapa final'!$AB$142="Media",'Mapa final'!$AD$142="Menor"),CONCATENATE("R46C",'Mapa final'!$R$142),"")</f>
        <v/>
      </c>
      <c r="N151" s="49" t="str">
        <f>IF(AND('Mapa final'!$AB$143="Media",'Mapa final'!$AD$143="Menor"),CONCATENATE("R46C",'Mapa final'!$R$143),"")</f>
        <v/>
      </c>
      <c r="O151" s="108" t="str">
        <f>IF(AND('Mapa final'!$AB$144="Media",'Mapa final'!$AD$144="Menor"),CONCATENATE("R46C",'Mapa final'!$R$144),"")</f>
        <v/>
      </c>
      <c r="P151" s="48" t="str">
        <f>IF(AND('Mapa final'!$AB$142="Media",'Mapa final'!$AD$142="Moderado"),CONCATENATE("R46C",'Mapa final'!$R$142),"")</f>
        <v/>
      </c>
      <c r="Q151" s="49" t="str">
        <f>IF(AND('Mapa final'!$AB$143="Media",'Mapa final'!$AD$143="Moderado"),CONCATENATE("R46C",'Mapa final'!$R$143),"")</f>
        <v/>
      </c>
      <c r="R151" s="108" t="str">
        <f>IF(AND('Mapa final'!$AB$144="Media",'Mapa final'!$AD$144="Moderado"),CONCATENATE("R46C",'Mapa final'!$R$144),"")</f>
        <v/>
      </c>
      <c r="S151" s="102" t="str">
        <f>IF(AND('Mapa final'!$AB$142="Media",'Mapa final'!$AD$142="Mayor"),CONCATENATE("R46C",'Mapa final'!$R$142),"")</f>
        <v/>
      </c>
      <c r="T151" s="41" t="str">
        <f>IF(AND('Mapa final'!$AB$143="Media",'Mapa final'!$AD$143="Mayor"),CONCATENATE("R46C",'Mapa final'!$R$143),"")</f>
        <v/>
      </c>
      <c r="U151" s="103" t="str">
        <f>IF(AND('Mapa final'!$AB$144="Media",'Mapa final'!$AD$144="Mayor"),CONCATENATE("R46C",'Mapa final'!$R$144),"")</f>
        <v/>
      </c>
      <c r="V151" s="42" t="str">
        <f>IF(AND('Mapa final'!$AB$142="Media",'Mapa final'!$AD$142="Catastrófico"),CONCATENATE("R46C",'Mapa final'!$R$142),"")</f>
        <v/>
      </c>
      <c r="W151" s="43" t="str">
        <f>IF(AND('Mapa final'!$AB$143="Media",'Mapa final'!$AD$143="Catastrófico"),CONCATENATE("R46C",'Mapa final'!$R$143),"")</f>
        <v/>
      </c>
      <c r="X151" s="97" t="str">
        <f>IF(AND('Mapa final'!$AB$144="Media",'Mapa final'!$AD$144="Catastrófico"),CONCATENATE("R46C",'Mapa final'!$R$144),"")</f>
        <v/>
      </c>
      <c r="Y151" s="55"/>
      <c r="Z151" s="349"/>
      <c r="AA151" s="350"/>
      <c r="AB151" s="350"/>
      <c r="AC151" s="350"/>
      <c r="AD151" s="350"/>
      <c r="AE151" s="351"/>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row>
    <row r="152" spans="1:61" ht="15" customHeight="1" x14ac:dyDescent="0.25">
      <c r="A152" s="55"/>
      <c r="B152" s="338"/>
      <c r="C152" s="338"/>
      <c r="D152" s="339"/>
      <c r="E152" s="328"/>
      <c r="F152" s="327"/>
      <c r="G152" s="327"/>
      <c r="H152" s="327"/>
      <c r="I152" s="327"/>
      <c r="J152" s="48" t="str">
        <f>IF(AND('Mapa final'!$AB$145="Media",'Mapa final'!$AD$145="Leve"),CONCATENATE("R47C",'Mapa final'!$R$145),"")</f>
        <v/>
      </c>
      <c r="K152" s="49" t="str">
        <f>IF(AND('Mapa final'!$AB$146="Media",'Mapa final'!$AD$146="Leve"),CONCATENATE("R47C",'Mapa final'!$R$146),"")</f>
        <v/>
      </c>
      <c r="L152" s="108" t="str">
        <f>IF(AND('Mapa final'!$AB$147="Media",'Mapa final'!$AD$147="Leve"),CONCATENATE("R47C",'Mapa final'!$R$147),"")</f>
        <v/>
      </c>
      <c r="M152" s="48" t="str">
        <f>IF(AND('Mapa final'!$AB$145="Media",'Mapa final'!$AD$145="Menor"),CONCATENATE("R47C",'Mapa final'!$R$145),"")</f>
        <v/>
      </c>
      <c r="N152" s="49" t="str">
        <f>IF(AND('Mapa final'!$AB$146="Media",'Mapa final'!$AD$146="Menor"),CONCATENATE("R47C",'Mapa final'!$R$146),"")</f>
        <v/>
      </c>
      <c r="O152" s="108" t="str">
        <f>IF(AND('Mapa final'!$AB$147="Media",'Mapa final'!$AD$147="Menor"),CONCATENATE("R47C",'Mapa final'!$R$147),"")</f>
        <v/>
      </c>
      <c r="P152" s="48" t="str">
        <f>IF(AND('Mapa final'!$AB$145="Media",'Mapa final'!$AD$145="Moderado"),CONCATENATE("R47C",'Mapa final'!$R$145),"")</f>
        <v/>
      </c>
      <c r="Q152" s="49" t="str">
        <f>IF(AND('Mapa final'!$AB$146="Media",'Mapa final'!$AD$146="Moderado"),CONCATENATE("R47C",'Mapa final'!$R$146),"")</f>
        <v/>
      </c>
      <c r="R152" s="108" t="str">
        <f>IF(AND('Mapa final'!$AB$147="Media",'Mapa final'!$AD$147="Moderado"),CONCATENATE("R47C",'Mapa final'!$R$147),"")</f>
        <v/>
      </c>
      <c r="S152" s="102" t="str">
        <f>IF(AND('Mapa final'!$AB$145="Media",'Mapa final'!$AD$145="Mayor"),CONCATENATE("R47C",'Mapa final'!$R$145),"")</f>
        <v/>
      </c>
      <c r="T152" s="41" t="str">
        <f>IF(AND('Mapa final'!$AB$146="Media",'Mapa final'!$AD$146="Mayor"),CONCATENATE("R47C",'Mapa final'!$R$146),"")</f>
        <v/>
      </c>
      <c r="U152" s="103" t="str">
        <f>IF(AND('Mapa final'!$AB$147="Media",'Mapa final'!$AD$147="Mayor"),CONCATENATE("R47C",'Mapa final'!$R$147),"")</f>
        <v/>
      </c>
      <c r="V152" s="42" t="str">
        <f>IF(AND('Mapa final'!$AB$145="Media",'Mapa final'!$AD$145="Catastrófico"),CONCATENATE("R47C",'Mapa final'!$R$145),"")</f>
        <v/>
      </c>
      <c r="W152" s="43" t="str">
        <f>IF(AND('Mapa final'!$AB$146="Media",'Mapa final'!$AD$146="Catastrófico"),CONCATENATE("R47C",'Mapa final'!$R$146),"")</f>
        <v/>
      </c>
      <c r="X152" s="97" t="str">
        <f>IF(AND('Mapa final'!$AB$147="Media",'Mapa final'!$AD$147="Catastrófico"),CONCATENATE("R47C",'Mapa final'!$R$147),"")</f>
        <v/>
      </c>
      <c r="Y152" s="55"/>
      <c r="Z152" s="349"/>
      <c r="AA152" s="350"/>
      <c r="AB152" s="350"/>
      <c r="AC152" s="350"/>
      <c r="AD152" s="350"/>
      <c r="AE152" s="351"/>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row>
    <row r="153" spans="1:61" ht="15" customHeight="1" x14ac:dyDescent="0.25">
      <c r="A153" s="55"/>
      <c r="B153" s="338"/>
      <c r="C153" s="338"/>
      <c r="D153" s="339"/>
      <c r="E153" s="328"/>
      <c r="F153" s="327"/>
      <c r="G153" s="327"/>
      <c r="H153" s="327"/>
      <c r="I153" s="327"/>
      <c r="J153" s="48" t="str">
        <f>IF(AND('Mapa final'!$AB$148="Media",'Mapa final'!$AD$148="Leve"),CONCATENATE("R48C",'Mapa final'!$R$148),"")</f>
        <v/>
      </c>
      <c r="K153" s="49" t="str">
        <f>IF(AND('Mapa final'!$AB$149="Media",'Mapa final'!$AD$149="Leve"),CONCATENATE("R48C",'Mapa final'!$R$149),"")</f>
        <v/>
      </c>
      <c r="L153" s="108" t="str">
        <f>IF(AND('Mapa final'!$AB$150="Media",'Mapa final'!$AD$150="Leve"),CONCATENATE("R48C",'Mapa final'!$R$150),"")</f>
        <v/>
      </c>
      <c r="M153" s="48" t="str">
        <f>IF(AND('Mapa final'!$AB$148="Media",'Mapa final'!$AD$148="Menor"),CONCATENATE("R48C",'Mapa final'!$R$148),"")</f>
        <v/>
      </c>
      <c r="N153" s="49" t="str">
        <f>IF(AND('Mapa final'!$AB$149="Media",'Mapa final'!$AD$149="Menor"),CONCATENATE("R48C",'Mapa final'!$R$149),"")</f>
        <v/>
      </c>
      <c r="O153" s="108" t="str">
        <f>IF(AND('Mapa final'!$AB$150="Media",'Mapa final'!$AD$150="Menor"),CONCATENATE("R48C",'Mapa final'!$R$150),"")</f>
        <v/>
      </c>
      <c r="P153" s="48" t="str">
        <f>IF(AND('Mapa final'!$AB$148="Media",'Mapa final'!$AD$148="Moderado"),CONCATENATE("R48C",'Mapa final'!$R$148),"")</f>
        <v/>
      </c>
      <c r="Q153" s="49" t="str">
        <f>IF(AND('Mapa final'!$AB$149="Media",'Mapa final'!$AD$149="Moderado"),CONCATENATE("R48C",'Mapa final'!$R$149),"")</f>
        <v/>
      </c>
      <c r="R153" s="108" t="str">
        <f>IF(AND('Mapa final'!$AB$150="Media",'Mapa final'!$AD$150="Moderado"),CONCATENATE("R48C",'Mapa final'!$R$150),"")</f>
        <v/>
      </c>
      <c r="S153" s="102" t="str">
        <f>IF(AND('Mapa final'!$AB$148="Media",'Mapa final'!$AD$148="Mayor"),CONCATENATE("R48C",'Mapa final'!$R$148),"")</f>
        <v/>
      </c>
      <c r="T153" s="41" t="str">
        <f>IF(AND('Mapa final'!$AB$149="Media",'Mapa final'!$AD$149="Mayor"),CONCATENATE("R48C",'Mapa final'!$R$149),"")</f>
        <v/>
      </c>
      <c r="U153" s="103" t="str">
        <f>IF(AND('Mapa final'!$AB$150="Media",'Mapa final'!$AD$150="Mayor"),CONCATENATE("R48C",'Mapa final'!$R$150),"")</f>
        <v/>
      </c>
      <c r="V153" s="42" t="str">
        <f>IF(AND('Mapa final'!$AB$148="Media",'Mapa final'!$AD$148="Catastrófico"),CONCATENATE("R48C",'Mapa final'!$R$148),"")</f>
        <v/>
      </c>
      <c r="W153" s="43" t="str">
        <f>IF(AND('Mapa final'!$AB$149="Media",'Mapa final'!$AD$149="Catastrófico"),CONCATENATE("R48C",'Mapa final'!$R$149),"")</f>
        <v/>
      </c>
      <c r="X153" s="97" t="str">
        <f>IF(AND('Mapa final'!$AB$150="Media",'Mapa final'!$AD$150="Catastrófico"),CONCATENATE("R48C",'Mapa final'!$R$150),"")</f>
        <v/>
      </c>
      <c r="Y153" s="55"/>
      <c r="Z153" s="349"/>
      <c r="AA153" s="350"/>
      <c r="AB153" s="350"/>
      <c r="AC153" s="350"/>
      <c r="AD153" s="350"/>
      <c r="AE153" s="351"/>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row>
    <row r="154" spans="1:61" ht="15" customHeight="1" x14ac:dyDescent="0.25">
      <c r="A154" s="55"/>
      <c r="B154" s="338"/>
      <c r="C154" s="338"/>
      <c r="D154" s="339"/>
      <c r="E154" s="328"/>
      <c r="F154" s="327"/>
      <c r="G154" s="327"/>
      <c r="H154" s="327"/>
      <c r="I154" s="327"/>
      <c r="J154" s="48" t="str">
        <f>IF(AND('Mapa final'!$AB$151="Media",'Mapa final'!$AD$151="Leve"),CONCATENATE("R49C",'Mapa final'!$R$151),"")</f>
        <v/>
      </c>
      <c r="K154" s="49" t="str">
        <f>IF(AND('Mapa final'!$AB$152="Media",'Mapa final'!$AD$152="Leve"),CONCATENATE("R49C",'Mapa final'!$R$152),"")</f>
        <v/>
      </c>
      <c r="L154" s="108" t="str">
        <f>IF(AND('Mapa final'!$AB$153="Media",'Mapa final'!$AD$153="Leve"),CONCATENATE("R49C",'Mapa final'!$R$153),"")</f>
        <v/>
      </c>
      <c r="M154" s="48" t="str">
        <f>IF(AND('Mapa final'!$AB$151="Media",'Mapa final'!$AD$151="Menor"),CONCATENATE("R49C",'Mapa final'!$R$151),"")</f>
        <v/>
      </c>
      <c r="N154" s="49" t="str">
        <f>IF(AND('Mapa final'!$AB$152="Media",'Mapa final'!$AD$152="Menor"),CONCATENATE("R49C",'Mapa final'!$R$152),"")</f>
        <v/>
      </c>
      <c r="O154" s="108" t="str">
        <f>IF(AND('Mapa final'!$AB$153="Media",'Mapa final'!$AD$153="Menor"),CONCATENATE("R49C",'Mapa final'!$R$153),"")</f>
        <v/>
      </c>
      <c r="P154" s="48" t="str">
        <f>IF(AND('Mapa final'!$AB$151="Media",'Mapa final'!$AD$151="Moderado"),CONCATENATE("R49C",'Mapa final'!$R$151),"")</f>
        <v/>
      </c>
      <c r="Q154" s="49" t="str">
        <f>IF(AND('Mapa final'!$AB$152="Media",'Mapa final'!$AD$152="Moderado"),CONCATENATE("R49C",'Mapa final'!$R$152),"")</f>
        <v/>
      </c>
      <c r="R154" s="108" t="str">
        <f>IF(AND('Mapa final'!$AB$153="Media",'Mapa final'!$AD$153="Moderado"),CONCATENATE("R49C",'Mapa final'!$R$153),"")</f>
        <v/>
      </c>
      <c r="S154" s="102" t="str">
        <f>IF(AND('Mapa final'!$AB$151="Media",'Mapa final'!$AD$151="Mayor"),CONCATENATE("R49C",'Mapa final'!$R$151),"")</f>
        <v/>
      </c>
      <c r="T154" s="41" t="str">
        <f>IF(AND('Mapa final'!$AB$152="Media",'Mapa final'!$AD$152="Mayor"),CONCATENATE("R49C",'Mapa final'!$R$152),"")</f>
        <v/>
      </c>
      <c r="U154" s="103" t="str">
        <f>IF(AND('Mapa final'!$AB$153="Media",'Mapa final'!$AD$153="Mayor"),CONCATENATE("R49C",'Mapa final'!$R$153),"")</f>
        <v/>
      </c>
      <c r="V154" s="42" t="str">
        <f>IF(AND('Mapa final'!$AB$151="Media",'Mapa final'!$AD$151="Catastrófico"),CONCATENATE("R49C",'Mapa final'!$R$151),"")</f>
        <v/>
      </c>
      <c r="W154" s="43" t="str">
        <f>IF(AND('Mapa final'!$AB$152="Media",'Mapa final'!$AD$152="Catastrófico"),CONCATENATE("R49C",'Mapa final'!$R$152),"")</f>
        <v/>
      </c>
      <c r="X154" s="97" t="str">
        <f>IF(AND('Mapa final'!$AB$153="Media",'Mapa final'!$AD$153="Catastrófico"),CONCATENATE("R49C",'Mapa final'!$R$153),"")</f>
        <v/>
      </c>
      <c r="Y154" s="55"/>
      <c r="Z154" s="349"/>
      <c r="AA154" s="350"/>
      <c r="AB154" s="350"/>
      <c r="AC154" s="350"/>
      <c r="AD154" s="350"/>
      <c r="AE154" s="351"/>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row>
    <row r="155" spans="1:61" ht="15" customHeight="1" thickBot="1" x14ac:dyDescent="0.3">
      <c r="A155" s="55"/>
      <c r="B155" s="338"/>
      <c r="C155" s="338"/>
      <c r="D155" s="339"/>
      <c r="E155" s="328"/>
      <c r="F155" s="327"/>
      <c r="G155" s="327"/>
      <c r="H155" s="327"/>
      <c r="I155" s="327"/>
      <c r="J155" s="50" t="str">
        <f>IF(AND('Mapa final'!$AB$154="Media",'Mapa final'!$AD$154="Leve"),CONCATENATE("R50C",'Mapa final'!$R$154),"")</f>
        <v/>
      </c>
      <c r="K155" s="51" t="str">
        <f>IF(AND('Mapa final'!$AB$155="Media",'Mapa final'!$AD$155="Leve"),CONCATENATE("R50C",'Mapa final'!$R$155),"")</f>
        <v/>
      </c>
      <c r="L155" s="109" t="str">
        <f>IF(AND('Mapa final'!$AB$156="Media",'Mapa final'!$AD$156="Leve"),CONCATENATE("R50C",'Mapa final'!$R$156),"")</f>
        <v/>
      </c>
      <c r="M155" s="50" t="str">
        <f>IF(AND('Mapa final'!$AB$154="Media",'Mapa final'!$AD$154="Menor"),CONCATENATE("R50C",'Mapa final'!$R$154),"")</f>
        <v/>
      </c>
      <c r="N155" s="51" t="str">
        <f>IF(AND('Mapa final'!$AB$155="Media",'Mapa final'!$AD$155="Menor"),CONCATENATE("R50C",'Mapa final'!$R$155),"")</f>
        <v/>
      </c>
      <c r="O155" s="109" t="str">
        <f>IF(AND('Mapa final'!$AB$156="Media",'Mapa final'!$AD$156="Menor"),CONCATENATE("R50C",'Mapa final'!$R$156),"")</f>
        <v/>
      </c>
      <c r="P155" s="50" t="str">
        <f>IF(AND('Mapa final'!$AB$154="Media",'Mapa final'!$AD$154="Moderado"),CONCATENATE("R50C",'Mapa final'!$R$154),"")</f>
        <v/>
      </c>
      <c r="Q155" s="51" t="str">
        <f>IF(AND('Mapa final'!$AB$155="Media",'Mapa final'!$AD$155="Moderado"),CONCATENATE("R50C",'Mapa final'!$R$155),"")</f>
        <v/>
      </c>
      <c r="R155" s="109" t="str">
        <f>IF(AND('Mapa final'!$AB$156="Media",'Mapa final'!$AD$156="Moderado"),CONCATENATE("R50C",'Mapa final'!$R$156),"")</f>
        <v/>
      </c>
      <c r="S155" s="104" t="str">
        <f>IF(AND('Mapa final'!$AB$154="Media",'Mapa final'!$AD$154="Mayor"),CONCATENATE("R50C",'Mapa final'!$R$154),"")</f>
        <v/>
      </c>
      <c r="T155" s="105" t="str">
        <f>IF(AND('Mapa final'!$AB$155="Media",'Mapa final'!$AD$155="Mayor"),CONCATENATE("R50C",'Mapa final'!$R$155),"")</f>
        <v/>
      </c>
      <c r="U155" s="106" t="str">
        <f>IF(AND('Mapa final'!$AB$156="Media",'Mapa final'!$AD$156="Mayor"),CONCATENATE("R50C",'Mapa final'!$R$156),"")</f>
        <v/>
      </c>
      <c r="V155" s="44" t="str">
        <f>IF(AND('Mapa final'!$AB$154="Media",'Mapa final'!$AD$154="Catastrófico"),CONCATENATE("R50C",'Mapa final'!$R$154),"")</f>
        <v/>
      </c>
      <c r="W155" s="45" t="str">
        <f>IF(AND('Mapa final'!$AB$155="Media",'Mapa final'!$AD$155="Catastrófico"),CONCATENATE("R50C",'Mapa final'!$R$155),"")</f>
        <v/>
      </c>
      <c r="X155" s="98" t="str">
        <f>IF(AND('Mapa final'!$AB$156="Media",'Mapa final'!$AD$156="Catastrófico"),CONCATENATE("R50C",'Mapa final'!$R$156),"")</f>
        <v/>
      </c>
      <c r="Y155" s="55"/>
      <c r="Z155" s="349"/>
      <c r="AA155" s="350"/>
      <c r="AB155" s="350"/>
      <c r="AC155" s="350"/>
      <c r="AD155" s="350"/>
      <c r="AE155" s="351"/>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row>
    <row r="156" spans="1:61" ht="15" customHeight="1" x14ac:dyDescent="0.25">
      <c r="A156" s="55"/>
      <c r="B156" s="338"/>
      <c r="C156" s="338"/>
      <c r="D156" s="339"/>
      <c r="E156" s="324" t="s">
        <v>105</v>
      </c>
      <c r="F156" s="325"/>
      <c r="G156" s="325"/>
      <c r="H156" s="325"/>
      <c r="I156" s="325"/>
      <c r="J156" s="110" t="str">
        <f ca="1">IF(AND('Mapa final'!$AB$7="Baja",'Mapa final'!$AD$7="Leve"),CONCATENATE("R1C",'Mapa final'!$R$7),"")</f>
        <v/>
      </c>
      <c r="K156" s="52" t="str">
        <f>IF(AND('Mapa final'!$AB$8="Baja",'Mapa final'!$AD$8="Leve"),CONCATENATE("R1C",'Mapa final'!$R$8),"")</f>
        <v/>
      </c>
      <c r="L156" s="111" t="str">
        <f>IF(AND('Mapa final'!$AB$9="Baja",'Mapa final'!$AD$9="Leve"),CONCATENATE("R1C",'Mapa final'!$R$9),"")</f>
        <v/>
      </c>
      <c r="M156" s="46" t="str">
        <f ca="1">IF(AND('Mapa final'!$AB$7="Baja",'Mapa final'!$AD$7="Menor"),CONCATENATE("R1C",'Mapa final'!$R$7),"")</f>
        <v/>
      </c>
      <c r="N156" s="47" t="str">
        <f>IF(AND('Mapa final'!$AB$8="Baja",'Mapa final'!$AD$8="Menor"),CONCATENATE("R1C",'Mapa final'!$R$8),"")</f>
        <v/>
      </c>
      <c r="O156" s="107" t="str">
        <f>IF(AND('Mapa final'!$AB$9="Baja",'Mapa final'!$AD$9="Menor"),CONCATENATE("R1C",'Mapa final'!$R$9),"")</f>
        <v/>
      </c>
      <c r="P156" s="46" t="str">
        <f ca="1">IF(AND('Mapa final'!$AB$7="Baja",'Mapa final'!$AD$7="Moderado"),CONCATENATE("R1C",'Mapa final'!$R$7),"")</f>
        <v>R1C1</v>
      </c>
      <c r="Q156" s="47" t="str">
        <f>IF(AND('Mapa final'!$AB$8="Baja",'Mapa final'!$AD$8="Moderado"),CONCATENATE("R1C",'Mapa final'!$R$8),"")</f>
        <v/>
      </c>
      <c r="R156" s="107" t="str">
        <f>IF(AND('Mapa final'!$AB$9="Baja",'Mapa final'!$AD$9="Moderado"),CONCATENATE("R1C",'Mapa final'!$R$9),"")</f>
        <v/>
      </c>
      <c r="S156" s="99" t="str">
        <f ca="1">IF(AND('Mapa final'!$AB$7="Baja",'Mapa final'!$AD$7="Mayor"),CONCATENATE("R1C",'Mapa final'!$R$7),"")</f>
        <v/>
      </c>
      <c r="T156" s="100" t="str">
        <f>IF(AND('Mapa final'!$AB$8="Baja",'Mapa final'!$AD$8="Mayor"),CONCATENATE("R1C",'Mapa final'!$R$8),"")</f>
        <v/>
      </c>
      <c r="U156" s="101" t="str">
        <f>IF(AND('Mapa final'!$AB$9="Baja",'Mapa final'!$AD$9="Mayor"),CONCATENATE("R1C",'Mapa final'!$R$9),"")</f>
        <v/>
      </c>
      <c r="V156" s="39" t="str">
        <f ca="1">IF(AND('Mapa final'!$AB$7="Baja",'Mapa final'!$AD$7="Catastrófico"),CONCATENATE("R1C",'Mapa final'!$R$7),"")</f>
        <v/>
      </c>
      <c r="W156" s="40" t="str">
        <f>IF(AND('Mapa final'!$AB$8="Baja",'Mapa final'!$AD$8="Catastrófico"),CONCATENATE("R1C",'Mapa final'!$R$8),"")</f>
        <v/>
      </c>
      <c r="X156" s="96" t="str">
        <f>IF(AND('Mapa final'!$AB$9="Baja",'Mapa final'!$AD$9="Catastrófico"),CONCATENATE("R1C",'Mapa final'!$R$9),"")</f>
        <v/>
      </c>
      <c r="Y156" s="55"/>
      <c r="Z156" s="340" t="s">
        <v>76</v>
      </c>
      <c r="AA156" s="341"/>
      <c r="AB156" s="341"/>
      <c r="AC156" s="341"/>
      <c r="AD156" s="341"/>
      <c r="AE156" s="342"/>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row>
    <row r="157" spans="1:61" ht="15" customHeight="1" x14ac:dyDescent="0.25">
      <c r="A157" s="55"/>
      <c r="B157" s="338"/>
      <c r="C157" s="338"/>
      <c r="D157" s="339"/>
      <c r="E157" s="326"/>
      <c r="F157" s="327"/>
      <c r="G157" s="327"/>
      <c r="H157" s="327"/>
      <c r="I157" s="327"/>
      <c r="J157" s="112" t="str">
        <f ca="1">IF(AND('Mapa final'!$AB$10="Baja",'Mapa final'!$AD$10="Leve"),CONCATENATE("R2C",'Mapa final'!$R$10),"")</f>
        <v/>
      </c>
      <c r="K157" s="53" t="str">
        <f>IF(AND('Mapa final'!$AB$11="Baja",'Mapa final'!$AD$11="Leve"),CONCATENATE("R2C",'Mapa final'!$R$11),"")</f>
        <v/>
      </c>
      <c r="L157" s="113" t="str">
        <f>IF(AND('Mapa final'!$AB$12="Baja",'Mapa final'!$AD$12="Leve"),CONCATENATE("R2C",'Mapa final'!$R$12),"")</f>
        <v/>
      </c>
      <c r="M157" s="48" t="str">
        <f ca="1">IF(AND('Mapa final'!$AB$10="Baja",'Mapa final'!$AD$10="Menor"),CONCATENATE("R2C",'Mapa final'!$R$10),"")</f>
        <v/>
      </c>
      <c r="N157" s="49" t="str">
        <f>IF(AND('Mapa final'!$AB$11="Baja",'Mapa final'!$AD$11="Menor"),CONCATENATE("R2C",'Mapa final'!$R$11),"")</f>
        <v/>
      </c>
      <c r="O157" s="108" t="str">
        <f>IF(AND('Mapa final'!$AB$12="Baja",'Mapa final'!$AD$12="Menor"),CONCATENATE("R2C",'Mapa final'!$R$12),"")</f>
        <v/>
      </c>
      <c r="P157" s="48" t="str">
        <f ca="1">IF(AND('Mapa final'!$AB$10="Baja",'Mapa final'!$AD$10="Moderado"),CONCATENATE("R2C",'Mapa final'!$R$10),"")</f>
        <v>R2C1</v>
      </c>
      <c r="Q157" s="49" t="str">
        <f>IF(AND('Mapa final'!$AB$11="Baja",'Mapa final'!$AD$11="Moderado"),CONCATENATE("R2C",'Mapa final'!$R$11),"")</f>
        <v/>
      </c>
      <c r="R157" s="108" t="str">
        <f>IF(AND('Mapa final'!$AB$12="Baja",'Mapa final'!$AD$12="Moderado"),CONCATENATE("R2C",'Mapa final'!$R$12),"")</f>
        <v/>
      </c>
      <c r="S157" s="102" t="str">
        <f ca="1">IF(AND('Mapa final'!$AB$10="Baja",'Mapa final'!$AD$10="Mayor"),CONCATENATE("R2C",'Mapa final'!$R$10),"")</f>
        <v/>
      </c>
      <c r="T157" s="41" t="str">
        <f>IF(AND('Mapa final'!$AB$11="Baja",'Mapa final'!$AD$11="Mayor"),CONCATENATE("R2C",'Mapa final'!$R$11),"")</f>
        <v/>
      </c>
      <c r="U157" s="103" t="str">
        <f>IF(AND('Mapa final'!$AB$12="Baja",'Mapa final'!$AD$12="Mayor"),CONCATENATE("R2C",'Mapa final'!$R$12),"")</f>
        <v/>
      </c>
      <c r="V157" s="42" t="str">
        <f ca="1">IF(AND('Mapa final'!$AB$10="Baja",'Mapa final'!$AD$10="Catastrófico"),CONCATENATE("R2C",'Mapa final'!$R$10),"")</f>
        <v/>
      </c>
      <c r="W157" s="43" t="str">
        <f>IF(AND('Mapa final'!$AB$11="Baja",'Mapa final'!$AD$11="Catastrófico"),CONCATENATE("R2C",'Mapa final'!$R$11),"")</f>
        <v/>
      </c>
      <c r="X157" s="97" t="str">
        <f>IF(AND('Mapa final'!$AB$12="Baja",'Mapa final'!$AD$12="Catastrófico"),CONCATENATE("R2C",'Mapa final'!$R$12),"")</f>
        <v/>
      </c>
      <c r="Y157" s="55"/>
      <c r="Z157" s="343"/>
      <c r="AA157" s="344"/>
      <c r="AB157" s="344"/>
      <c r="AC157" s="344"/>
      <c r="AD157" s="344"/>
      <c r="AE157" s="34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row>
    <row r="158" spans="1:61" ht="15" customHeight="1" x14ac:dyDescent="0.25">
      <c r="A158" s="55"/>
      <c r="B158" s="338"/>
      <c r="C158" s="338"/>
      <c r="D158" s="339"/>
      <c r="E158" s="326"/>
      <c r="F158" s="327"/>
      <c r="G158" s="327"/>
      <c r="H158" s="327"/>
      <c r="I158" s="327"/>
      <c r="J158" s="112" t="str">
        <f ca="1">IF(AND('Mapa final'!$AB$13="Baja",'Mapa final'!$AD$13="Leve"),CONCATENATE("R3C",'Mapa final'!$R$13),"")</f>
        <v/>
      </c>
      <c r="K158" s="53" t="str">
        <f>IF(AND('Mapa final'!$AB$14="Baja",'Mapa final'!$AD$14="Leve"),CONCATENATE("R3C",'Mapa final'!$R$14),"")</f>
        <v/>
      </c>
      <c r="L158" s="113" t="str">
        <f>IF(AND('Mapa final'!$AB$15="Baja",'Mapa final'!$AD$15="Leve"),CONCATENATE("R3C",'Mapa final'!$R$15),"")</f>
        <v/>
      </c>
      <c r="M158" s="48" t="str">
        <f ca="1">IF(AND('Mapa final'!$AB$13="Baja",'Mapa final'!$AD$13="Menor"),CONCATENATE("R3C",'Mapa final'!$R$13),"")</f>
        <v/>
      </c>
      <c r="N158" s="49" t="str">
        <f>IF(AND('Mapa final'!$AB$14="Baja",'Mapa final'!$AD$14="Menor"),CONCATENATE("R3C",'Mapa final'!$R$14),"")</f>
        <v/>
      </c>
      <c r="O158" s="108" t="str">
        <f>IF(AND('Mapa final'!$AB$15="Baja",'Mapa final'!$AD$15="Menor"),CONCATENATE("R3C",'Mapa final'!$R$15),"")</f>
        <v/>
      </c>
      <c r="P158" s="48" t="str">
        <f ca="1">IF(AND('Mapa final'!$AB$13="Baja",'Mapa final'!$AD$13="Moderado"),CONCATENATE("R3C",'Mapa final'!$R$13),"")</f>
        <v/>
      </c>
      <c r="Q158" s="49" t="str">
        <f>IF(AND('Mapa final'!$AB$14="Baja",'Mapa final'!$AD$14="Moderado"),CONCATENATE("R3C",'Mapa final'!$R$14),"")</f>
        <v/>
      </c>
      <c r="R158" s="108" t="str">
        <f>IF(AND('Mapa final'!$AB$15="Baja",'Mapa final'!$AD$15="Moderado"),CONCATENATE("R3C",'Mapa final'!$R$15),"")</f>
        <v/>
      </c>
      <c r="S158" s="102" t="str">
        <f ca="1">IF(AND('Mapa final'!$AB$13="Baja",'Mapa final'!$AD$13="Mayor"),CONCATENATE("R3C",'Mapa final'!$R$13),"")</f>
        <v/>
      </c>
      <c r="T158" s="41" t="str">
        <f>IF(AND('Mapa final'!$AB$14="Baja",'Mapa final'!$AD$14="Mayor"),CONCATENATE("R3C",'Mapa final'!$R$14),"")</f>
        <v/>
      </c>
      <c r="U158" s="103" t="str">
        <f>IF(AND('Mapa final'!$AB$15="Baja",'Mapa final'!$AD$15="Mayor"),CONCATENATE("R3C",'Mapa final'!$R$15),"")</f>
        <v/>
      </c>
      <c r="V158" s="42" t="str">
        <f ca="1">IF(AND('Mapa final'!$AB$13="Baja",'Mapa final'!$AD$13="Catastrófico"),CONCATENATE("R3C",'Mapa final'!$R$13),"")</f>
        <v/>
      </c>
      <c r="W158" s="43" t="str">
        <f>IF(AND('Mapa final'!$AB$14="Baja",'Mapa final'!$AD$14="Catastrófico"),CONCATENATE("R3C",'Mapa final'!$R$14),"")</f>
        <v/>
      </c>
      <c r="X158" s="97" t="str">
        <f>IF(AND('Mapa final'!$AB$15="Baja",'Mapa final'!$AD$15="Catastrófico"),CONCATENATE("R3C",'Mapa final'!$R$15),"")</f>
        <v/>
      </c>
      <c r="Y158" s="55"/>
      <c r="Z158" s="343"/>
      <c r="AA158" s="344"/>
      <c r="AB158" s="344"/>
      <c r="AC158" s="344"/>
      <c r="AD158" s="344"/>
      <c r="AE158" s="34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row>
    <row r="159" spans="1:61" ht="15" customHeight="1" x14ac:dyDescent="0.25">
      <c r="A159" s="55"/>
      <c r="B159" s="338"/>
      <c r="C159" s="338"/>
      <c r="D159" s="339"/>
      <c r="E159" s="326"/>
      <c r="F159" s="327"/>
      <c r="G159" s="327"/>
      <c r="H159" s="327"/>
      <c r="I159" s="327"/>
      <c r="J159" s="112" t="e">
        <f>IF(AND('Mapa final'!#REF!="Baja",'Mapa final'!#REF!="Leve"),CONCATENATE("R4C",'Mapa final'!#REF!),"")</f>
        <v>#REF!</v>
      </c>
      <c r="K159" s="53" t="e">
        <f>IF(AND('Mapa final'!#REF!="Baja",'Mapa final'!#REF!="Leve"),CONCATENATE("R4C",'Mapa final'!#REF!),"")</f>
        <v>#REF!</v>
      </c>
      <c r="L159" s="113" t="e">
        <f>IF(AND('Mapa final'!#REF!="Baja",'Mapa final'!#REF!="Leve"),CONCATENATE("R4C",'Mapa final'!#REF!),"")</f>
        <v>#REF!</v>
      </c>
      <c r="M159" s="48" t="e">
        <f>IF(AND('Mapa final'!#REF!="Baja",'Mapa final'!#REF!="Menor"),CONCATENATE("R4C",'Mapa final'!#REF!),"")</f>
        <v>#REF!</v>
      </c>
      <c r="N159" s="49" t="e">
        <f>IF(AND('Mapa final'!#REF!="Baja",'Mapa final'!#REF!="Menor"),CONCATENATE("R4C",'Mapa final'!#REF!),"")</f>
        <v>#REF!</v>
      </c>
      <c r="O159" s="108" t="e">
        <f>IF(AND('Mapa final'!#REF!="Baja",'Mapa final'!#REF!="Menor"),CONCATENATE("R4C",'Mapa final'!#REF!),"")</f>
        <v>#REF!</v>
      </c>
      <c r="P159" s="48" t="e">
        <f>IF(AND('Mapa final'!#REF!="Baja",'Mapa final'!#REF!="Moderado"),CONCATENATE("R4C",'Mapa final'!#REF!),"")</f>
        <v>#REF!</v>
      </c>
      <c r="Q159" s="49" t="e">
        <f>IF(AND('Mapa final'!#REF!="Baja",'Mapa final'!#REF!="Moderado"),CONCATENATE("R4C",'Mapa final'!#REF!),"")</f>
        <v>#REF!</v>
      </c>
      <c r="R159" s="108" t="e">
        <f>IF(AND('Mapa final'!#REF!="Baja",'Mapa final'!#REF!="Moderado"),CONCATENATE("R4C",'Mapa final'!#REF!),"")</f>
        <v>#REF!</v>
      </c>
      <c r="S159" s="102" t="e">
        <f>IF(AND('Mapa final'!#REF!="Baja",'Mapa final'!#REF!="Mayor"),CONCATENATE("R4C",'Mapa final'!#REF!),"")</f>
        <v>#REF!</v>
      </c>
      <c r="T159" s="41" t="e">
        <f>IF(AND('Mapa final'!#REF!="Baja",'Mapa final'!#REF!="Mayor"),CONCATENATE("R4C",'Mapa final'!#REF!),"")</f>
        <v>#REF!</v>
      </c>
      <c r="U159" s="103" t="e">
        <f>IF(AND('Mapa final'!#REF!="Baja",'Mapa final'!#REF!="Mayor"),CONCATENATE("R4C",'Mapa final'!#REF!),"")</f>
        <v>#REF!</v>
      </c>
      <c r="V159" s="42" t="e">
        <f>IF(AND('Mapa final'!#REF!="Baja",'Mapa final'!#REF!="Catastrófico"),CONCATENATE("R4C",'Mapa final'!#REF!),"")</f>
        <v>#REF!</v>
      </c>
      <c r="W159" s="43" t="e">
        <f>IF(AND('Mapa final'!#REF!="Baja",'Mapa final'!#REF!="Catastrófico"),CONCATENATE("R4C",'Mapa final'!#REF!),"")</f>
        <v>#REF!</v>
      </c>
      <c r="X159" s="97" t="e">
        <f>IF(AND('Mapa final'!#REF!="Baja",'Mapa final'!#REF!="Catastrófico"),CONCATENATE("R4C",'Mapa final'!#REF!),"")</f>
        <v>#REF!</v>
      </c>
      <c r="Y159" s="55"/>
      <c r="Z159" s="343"/>
      <c r="AA159" s="344"/>
      <c r="AB159" s="344"/>
      <c r="AC159" s="344"/>
      <c r="AD159" s="344"/>
      <c r="AE159" s="34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row>
    <row r="160" spans="1:61" ht="15" customHeight="1" x14ac:dyDescent="0.25">
      <c r="A160" s="55"/>
      <c r="B160" s="338"/>
      <c r="C160" s="338"/>
      <c r="D160" s="339"/>
      <c r="E160" s="326"/>
      <c r="F160" s="327"/>
      <c r="G160" s="327"/>
      <c r="H160" s="327"/>
      <c r="I160" s="327"/>
      <c r="J160" s="112" t="str">
        <f ca="1">IF(AND('Mapa final'!$AB$16="Baja",'Mapa final'!$AD$16="Leve"),CONCATENATE("R5C",'Mapa final'!$R$16),"")</f>
        <v/>
      </c>
      <c r="K160" s="53" t="str">
        <f>IF(AND('Mapa final'!$AB$17="Baja",'Mapa final'!$AD$17="Leve"),CONCATENATE("R5C",'Mapa final'!$R$17),"")</f>
        <v/>
      </c>
      <c r="L160" s="113" t="str">
        <f>IF(AND('Mapa final'!$AB$18="Baja",'Mapa final'!$AD$18="Leve"),CONCATENATE("R5C",'Mapa final'!$R$18),"")</f>
        <v/>
      </c>
      <c r="M160" s="48" t="str">
        <f ca="1">IF(AND('Mapa final'!$AB$16="Baja",'Mapa final'!$AD$16="Menor"),CONCATENATE("R5C",'Mapa final'!$R$16),"")</f>
        <v/>
      </c>
      <c r="N160" s="49" t="str">
        <f>IF(AND('Mapa final'!$AB$17="Baja",'Mapa final'!$AD$17="Menor"),CONCATENATE("R5C",'Mapa final'!$R$17),"")</f>
        <v/>
      </c>
      <c r="O160" s="108" t="str">
        <f>IF(AND('Mapa final'!$AB$18="Baja",'Mapa final'!$AD$18="Menor"),CONCATENATE("R5C",'Mapa final'!$R$18),"")</f>
        <v/>
      </c>
      <c r="P160" s="48" t="str">
        <f ca="1">IF(AND('Mapa final'!$AB$16="Baja",'Mapa final'!$AD$16="Moderado"),CONCATENATE("R5C",'Mapa final'!$R$16),"")</f>
        <v/>
      </c>
      <c r="Q160" s="49" t="str">
        <f>IF(AND('Mapa final'!$AB$17="Baja",'Mapa final'!$AD$17="Moderado"),CONCATENATE("R5C",'Mapa final'!$R$17),"")</f>
        <v/>
      </c>
      <c r="R160" s="108" t="str">
        <f>IF(AND('Mapa final'!$AB$18="Baja",'Mapa final'!$AD$18="Moderado"),CONCATENATE("R5C",'Mapa final'!$R$18),"")</f>
        <v/>
      </c>
      <c r="S160" s="102" t="str">
        <f ca="1">IF(AND('Mapa final'!$AB$16="Baja",'Mapa final'!$AD$16="Mayor"),CONCATENATE("R5C",'Mapa final'!$R$16),"")</f>
        <v/>
      </c>
      <c r="T160" s="41" t="str">
        <f>IF(AND('Mapa final'!$AB$17="Baja",'Mapa final'!$AD$17="Mayor"),CONCATENATE("R5C",'Mapa final'!$R$17),"")</f>
        <v/>
      </c>
      <c r="U160" s="103" t="str">
        <f>IF(AND('Mapa final'!$AB$18="Baja",'Mapa final'!$AD$18="Mayor"),CONCATENATE("R5C",'Mapa final'!$R$18),"")</f>
        <v/>
      </c>
      <c r="V160" s="42" t="str">
        <f ca="1">IF(AND('Mapa final'!$AB$16="Baja",'Mapa final'!$AD$16="Catastrófico"),CONCATENATE("R5C",'Mapa final'!$R$16),"")</f>
        <v/>
      </c>
      <c r="W160" s="43" t="str">
        <f>IF(AND('Mapa final'!$AB$17="Baja",'Mapa final'!$AD$17="Catastrófico"),CONCATENATE("R5C",'Mapa final'!$R$17),"")</f>
        <v/>
      </c>
      <c r="X160" s="97" t="str">
        <f>IF(AND('Mapa final'!$AB$18="Baja",'Mapa final'!$AD$18="Catastrófico"),CONCATENATE("R5C",'Mapa final'!$R$18),"")</f>
        <v/>
      </c>
      <c r="Y160" s="55"/>
      <c r="Z160" s="343"/>
      <c r="AA160" s="344"/>
      <c r="AB160" s="344"/>
      <c r="AC160" s="344"/>
      <c r="AD160" s="344"/>
      <c r="AE160" s="34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row>
    <row r="161" spans="1:61" ht="15" customHeight="1" x14ac:dyDescent="0.25">
      <c r="A161" s="55"/>
      <c r="B161" s="338"/>
      <c r="C161" s="338"/>
      <c r="D161" s="339"/>
      <c r="E161" s="326"/>
      <c r="F161" s="327"/>
      <c r="G161" s="327"/>
      <c r="H161" s="327"/>
      <c r="I161" s="327"/>
      <c r="J161" s="112" t="str">
        <f ca="1">IF(AND('Mapa final'!$AB$19="Baja",'Mapa final'!$AD$19="Leve"),CONCATENATE("R6C",'Mapa final'!$R$19),"")</f>
        <v/>
      </c>
      <c r="K161" s="53" t="str">
        <f>IF(AND('Mapa final'!$AB$20="Baja",'Mapa final'!$AD$20="Leve"),CONCATENATE("R6C",'Mapa final'!$R$20),"")</f>
        <v/>
      </c>
      <c r="L161" s="113" t="str">
        <f>IF(AND('Mapa final'!$AB$21="Baja",'Mapa final'!$AD$21="Leve"),CONCATENATE("R6C",'Mapa final'!$R$21),"")</f>
        <v/>
      </c>
      <c r="M161" s="48" t="str">
        <f ca="1">IF(AND('Mapa final'!$AB$19="Baja",'Mapa final'!$AD$19="Menor"),CONCATENATE("R6C",'Mapa final'!$R$19),"")</f>
        <v/>
      </c>
      <c r="N161" s="49" t="str">
        <f>IF(AND('Mapa final'!$AB$20="Baja",'Mapa final'!$AD$20="Menor"),CONCATENATE("R6C",'Mapa final'!$R$20),"")</f>
        <v/>
      </c>
      <c r="O161" s="108" t="str">
        <f>IF(AND('Mapa final'!$AB$21="Baja",'Mapa final'!$AD$21="Menor"),CONCATENATE("R6C",'Mapa final'!$R$21),"")</f>
        <v/>
      </c>
      <c r="P161" s="48" t="str">
        <f ca="1">IF(AND('Mapa final'!$AB$19="Baja",'Mapa final'!$AD$19="Moderado"),CONCATENATE("R6C",'Mapa final'!$R$19),"")</f>
        <v/>
      </c>
      <c r="Q161" s="49" t="str">
        <f>IF(AND('Mapa final'!$AB$20="Baja",'Mapa final'!$AD$20="Moderado"),CONCATENATE("R6C",'Mapa final'!$R$20),"")</f>
        <v/>
      </c>
      <c r="R161" s="108" t="str">
        <f>IF(AND('Mapa final'!$AB$21="Baja",'Mapa final'!$AD$21="Moderado"),CONCATENATE("R6C",'Mapa final'!$R$21),"")</f>
        <v/>
      </c>
      <c r="S161" s="102" t="str">
        <f ca="1">IF(AND('Mapa final'!$AB$19="Baja",'Mapa final'!$AD$19="Mayor"),CONCATENATE("R6C",'Mapa final'!$R$19),"")</f>
        <v/>
      </c>
      <c r="T161" s="41" t="str">
        <f>IF(AND('Mapa final'!$AB$20="Baja",'Mapa final'!$AD$20="Mayor"),CONCATENATE("R6C",'Mapa final'!$R$20),"")</f>
        <v/>
      </c>
      <c r="U161" s="103" t="str">
        <f>IF(AND('Mapa final'!$AB$21="Baja",'Mapa final'!$AD$21="Mayor"),CONCATENATE("R6C",'Mapa final'!$R$21),"")</f>
        <v/>
      </c>
      <c r="V161" s="42" t="str">
        <f ca="1">IF(AND('Mapa final'!$AB$19="Baja",'Mapa final'!$AD$19="Catastrófico"),CONCATENATE("R6C",'Mapa final'!$R$19),"")</f>
        <v/>
      </c>
      <c r="W161" s="43" t="str">
        <f>IF(AND('Mapa final'!$AB$20="Baja",'Mapa final'!$AD$20="Catastrófico"),CONCATENATE("R6C",'Mapa final'!$R$20),"")</f>
        <v/>
      </c>
      <c r="X161" s="97" t="str">
        <f>IF(AND('Mapa final'!$AB$21="Baja",'Mapa final'!$AD$21="Catastrófico"),CONCATENATE("R6C",'Mapa final'!$R$21),"")</f>
        <v/>
      </c>
      <c r="Y161" s="55"/>
      <c r="Z161" s="343"/>
      <c r="AA161" s="344"/>
      <c r="AB161" s="344"/>
      <c r="AC161" s="344"/>
      <c r="AD161" s="344"/>
      <c r="AE161" s="34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row>
    <row r="162" spans="1:61" ht="15" customHeight="1" x14ac:dyDescent="0.25">
      <c r="A162" s="55"/>
      <c r="B162" s="338"/>
      <c r="C162" s="338"/>
      <c r="D162" s="339"/>
      <c r="E162" s="326"/>
      <c r="F162" s="327"/>
      <c r="G162" s="327"/>
      <c r="H162" s="327"/>
      <c r="I162" s="327"/>
      <c r="J162" s="112" t="str">
        <f ca="1">IF(AND('Mapa final'!$AB$22="Baja",'Mapa final'!$AD$22="Leve"),CONCATENATE("R7C",'Mapa final'!$R$22),"")</f>
        <v/>
      </c>
      <c r="K162" s="53" t="str">
        <f>IF(AND('Mapa final'!$AB$23="Baja",'Mapa final'!$AD$23="Leve"),CONCATENATE("R7C",'Mapa final'!$R$23),"")</f>
        <v/>
      </c>
      <c r="L162" s="113" t="str">
        <f>IF(AND('Mapa final'!$AB$24="Baja",'Mapa final'!$AD$24="Leve"),CONCATENATE("R7C",'Mapa final'!$R$24),"")</f>
        <v/>
      </c>
      <c r="M162" s="48" t="str">
        <f ca="1">IF(AND('Mapa final'!$AB$22="Baja",'Mapa final'!$AD$22="Menor"),CONCATENATE("R7C",'Mapa final'!$R$22),"")</f>
        <v/>
      </c>
      <c r="N162" s="49" t="str">
        <f>IF(AND('Mapa final'!$AB$23="Baja",'Mapa final'!$AD$23="Menor"),CONCATENATE("R7C",'Mapa final'!$R$23),"")</f>
        <v/>
      </c>
      <c r="O162" s="108" t="str">
        <f>IF(AND('Mapa final'!$AB$24="Baja",'Mapa final'!$AD$24="Menor"),CONCATENATE("R7C",'Mapa final'!$R$24),"")</f>
        <v/>
      </c>
      <c r="P162" s="48" t="str">
        <f ca="1">IF(AND('Mapa final'!$AB$22="Baja",'Mapa final'!$AD$22="Moderado"),CONCATENATE("R7C",'Mapa final'!$R$22),"")</f>
        <v/>
      </c>
      <c r="Q162" s="49" t="str">
        <f>IF(AND('Mapa final'!$AB$23="Baja",'Mapa final'!$AD$23="Moderado"),CONCATENATE("R7C",'Mapa final'!$R$23),"")</f>
        <v/>
      </c>
      <c r="R162" s="108" t="str">
        <f>IF(AND('Mapa final'!$AB$24="Baja",'Mapa final'!$AD$24="Moderado"),CONCATENATE("R7C",'Mapa final'!$R$24),"")</f>
        <v/>
      </c>
      <c r="S162" s="102" t="str">
        <f ca="1">IF(AND('Mapa final'!$AB$22="Baja",'Mapa final'!$AD$22="Mayor"),CONCATENATE("R7C",'Mapa final'!$R$22),"")</f>
        <v/>
      </c>
      <c r="T162" s="41" t="str">
        <f>IF(AND('Mapa final'!$AB$23="Baja",'Mapa final'!$AD$23="Mayor"),CONCATENATE("R7C",'Mapa final'!$R$23),"")</f>
        <v/>
      </c>
      <c r="U162" s="103" t="str">
        <f>IF(AND('Mapa final'!$AB$24="Baja",'Mapa final'!$AD$24="Mayor"),CONCATENATE("R7C",'Mapa final'!$R$24),"")</f>
        <v/>
      </c>
      <c r="V162" s="42" t="str">
        <f ca="1">IF(AND('Mapa final'!$AB$22="Baja",'Mapa final'!$AD$22="Catastrófico"),CONCATENATE("R7C",'Mapa final'!$R$22),"")</f>
        <v/>
      </c>
      <c r="W162" s="43" t="str">
        <f>IF(AND('Mapa final'!$AB$23="Baja",'Mapa final'!$AD$23="Catastrófico"),CONCATENATE("R7C",'Mapa final'!$R$23),"")</f>
        <v/>
      </c>
      <c r="X162" s="97" t="str">
        <f>IF(AND('Mapa final'!$AB$24="Baja",'Mapa final'!$AD$24="Catastrófico"),CONCATENATE("R7C",'Mapa final'!$R$24),"")</f>
        <v/>
      </c>
      <c r="Y162" s="55"/>
      <c r="Z162" s="343"/>
      <c r="AA162" s="344"/>
      <c r="AB162" s="344"/>
      <c r="AC162" s="344"/>
      <c r="AD162" s="344"/>
      <c r="AE162" s="34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row>
    <row r="163" spans="1:61" ht="15" customHeight="1" x14ac:dyDescent="0.25">
      <c r="A163" s="55"/>
      <c r="B163" s="338"/>
      <c r="C163" s="338"/>
      <c r="D163" s="339"/>
      <c r="E163" s="326"/>
      <c r="F163" s="327"/>
      <c r="G163" s="327"/>
      <c r="H163" s="327"/>
      <c r="I163" s="327"/>
      <c r="J163" s="112" t="str">
        <f ca="1">IF(AND('Mapa final'!$AB$25="Baja",'Mapa final'!$AD$25="Leve"),CONCATENATE("R8C",'Mapa final'!$R$25),"")</f>
        <v/>
      </c>
      <c r="K163" s="53" t="str">
        <f>IF(AND('Mapa final'!$AB$26="Baja",'Mapa final'!$AD$26="Leve"),CONCATENATE("R8C",'Mapa final'!$R$26),"")</f>
        <v/>
      </c>
      <c r="L163" s="113" t="str">
        <f>IF(AND('Mapa final'!$AB$27="Baja",'Mapa final'!$AD$27="Leve"),CONCATENATE("R8C",'Mapa final'!$R$27),"")</f>
        <v/>
      </c>
      <c r="M163" s="48" t="str">
        <f ca="1">IF(AND('Mapa final'!$AB$25="Baja",'Mapa final'!$AD$25="Menor"),CONCATENATE("R8C",'Mapa final'!$R$25),"")</f>
        <v/>
      </c>
      <c r="N163" s="49" t="str">
        <f>IF(AND('Mapa final'!$AB$26="Baja",'Mapa final'!$AD$26="Menor"),CONCATENATE("R8C",'Mapa final'!$R$26),"")</f>
        <v/>
      </c>
      <c r="O163" s="108" t="str">
        <f>IF(AND('Mapa final'!$AB$27="Baja",'Mapa final'!$AD$27="Menor"),CONCATENATE("R8C",'Mapa final'!$R$27),"")</f>
        <v/>
      </c>
      <c r="P163" s="48" t="str">
        <f ca="1">IF(AND('Mapa final'!$AB$25="Baja",'Mapa final'!$AD$25="Moderado"),CONCATENATE("R8C",'Mapa final'!$R$25),"")</f>
        <v/>
      </c>
      <c r="Q163" s="49" t="str">
        <f>IF(AND('Mapa final'!$AB$26="Baja",'Mapa final'!$AD$26="Moderado"),CONCATENATE("R8C",'Mapa final'!$R$26),"")</f>
        <v/>
      </c>
      <c r="R163" s="108" t="str">
        <f>IF(AND('Mapa final'!$AB$27="Baja",'Mapa final'!$AD$27="Moderado"),CONCATENATE("R8C",'Mapa final'!$R$27),"")</f>
        <v/>
      </c>
      <c r="S163" s="102" t="str">
        <f ca="1">IF(AND('Mapa final'!$AB$25="Baja",'Mapa final'!$AD$25="Mayor"),CONCATENATE("R8C",'Mapa final'!$R$25),"")</f>
        <v/>
      </c>
      <c r="T163" s="41" t="str">
        <f>IF(AND('Mapa final'!$AB$26="Baja",'Mapa final'!$AD$26="Mayor"),CONCATENATE("R8C",'Mapa final'!$R$26),"")</f>
        <v/>
      </c>
      <c r="U163" s="103" t="str">
        <f>IF(AND('Mapa final'!$AB$27="Baja",'Mapa final'!$AD$27="Mayor"),CONCATENATE("R8C",'Mapa final'!$R$27),"")</f>
        <v/>
      </c>
      <c r="V163" s="42" t="str">
        <f ca="1">IF(AND('Mapa final'!$AB$25="Baja",'Mapa final'!$AD$25="Catastrófico"),CONCATENATE("R8C",'Mapa final'!$R$25),"")</f>
        <v/>
      </c>
      <c r="W163" s="43" t="str">
        <f>IF(AND('Mapa final'!$AB$26="Baja",'Mapa final'!$AD$26="Catastrófico"),CONCATENATE("R8C",'Mapa final'!$R$26),"")</f>
        <v/>
      </c>
      <c r="X163" s="97" t="str">
        <f>IF(AND('Mapa final'!$AB$27="Baja",'Mapa final'!$AD$27="Catastrófico"),CONCATENATE("R8C",'Mapa final'!$R$27),"")</f>
        <v/>
      </c>
      <c r="Y163" s="55"/>
      <c r="Z163" s="343"/>
      <c r="AA163" s="344"/>
      <c r="AB163" s="344"/>
      <c r="AC163" s="344"/>
      <c r="AD163" s="344"/>
      <c r="AE163" s="34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row>
    <row r="164" spans="1:61" ht="15" customHeight="1" x14ac:dyDescent="0.25">
      <c r="A164" s="55"/>
      <c r="B164" s="338"/>
      <c r="C164" s="338"/>
      <c r="D164" s="339"/>
      <c r="E164" s="326"/>
      <c r="F164" s="327"/>
      <c r="G164" s="327"/>
      <c r="H164" s="327"/>
      <c r="I164" s="327"/>
      <c r="J164" s="112" t="str">
        <f>IF(AND('Mapa final'!$AB$28="Baja",'Mapa final'!$AD$28="Leve"),CONCATENATE("R9C",'Mapa final'!$R$28),"")</f>
        <v/>
      </c>
      <c r="K164" s="53" t="str">
        <f>IF(AND('Mapa final'!$AB$29="Baja",'Mapa final'!$AD$29="Leve"),CONCATENATE("R9C",'Mapa final'!$R$29),"")</f>
        <v/>
      </c>
      <c r="L164" s="113" t="str">
        <f>IF(AND('Mapa final'!$AB$30="Baja",'Mapa final'!$AD$30="Leve"),CONCATENATE("R9C",'Mapa final'!$R$30),"")</f>
        <v/>
      </c>
      <c r="M164" s="48" t="str">
        <f>IF(AND('Mapa final'!$AB$28="Baja",'Mapa final'!$AD$28="Menor"),CONCATENATE("R9C",'Mapa final'!$R$28),"")</f>
        <v/>
      </c>
      <c r="N164" s="49" t="str">
        <f>IF(AND('Mapa final'!$AB$29="Baja",'Mapa final'!$AD$29="Menor"),CONCATENATE("R9C",'Mapa final'!$R$29),"")</f>
        <v/>
      </c>
      <c r="O164" s="108" t="str">
        <f>IF(AND('Mapa final'!$AB$30="Baja",'Mapa final'!$AD$30="Menor"),CONCATENATE("R9C",'Mapa final'!$R$30),"")</f>
        <v/>
      </c>
      <c r="P164" s="48" t="str">
        <f>IF(AND('Mapa final'!$AB$28="Baja",'Mapa final'!$AD$28="Moderado"),CONCATENATE("R9C",'Mapa final'!$R$28),"")</f>
        <v/>
      </c>
      <c r="Q164" s="49" t="str">
        <f>IF(AND('Mapa final'!$AB$29="Baja",'Mapa final'!$AD$29="Moderado"),CONCATENATE("R9C",'Mapa final'!$R$29),"")</f>
        <v/>
      </c>
      <c r="R164" s="108" t="str">
        <f>IF(AND('Mapa final'!$AB$30="Baja",'Mapa final'!$AD$30="Moderado"),CONCATENATE("R9C",'Mapa final'!$R$30),"")</f>
        <v/>
      </c>
      <c r="S164" s="102" t="str">
        <f>IF(AND('Mapa final'!$AB$28="Baja",'Mapa final'!$AD$28="Mayor"),CONCATENATE("R9C",'Mapa final'!$R$28),"")</f>
        <v/>
      </c>
      <c r="T164" s="41" t="str">
        <f>IF(AND('Mapa final'!$AB$29="Baja",'Mapa final'!$AD$29="Mayor"),CONCATENATE("R9C",'Mapa final'!$R$29),"")</f>
        <v>R9C2</v>
      </c>
      <c r="U164" s="103" t="str">
        <f>IF(AND('Mapa final'!$AB$30="Baja",'Mapa final'!$AD$30="Mayor"),CONCATENATE("R9C",'Mapa final'!$R$30),"")</f>
        <v/>
      </c>
      <c r="V164" s="42" t="str">
        <f>IF(AND('Mapa final'!$AB$28="Baja",'Mapa final'!$AD$28="Catastrófico"),CONCATENATE("R9C",'Mapa final'!$R$28),"")</f>
        <v/>
      </c>
      <c r="W164" s="43" t="str">
        <f>IF(AND('Mapa final'!$AB$29="Baja",'Mapa final'!$AD$29="Catastrófico"),CONCATENATE("R9C",'Mapa final'!$R$29),"")</f>
        <v/>
      </c>
      <c r="X164" s="97" t="str">
        <f>IF(AND('Mapa final'!$AB$30="Baja",'Mapa final'!$AD$30="Catastrófico"),CONCATENATE("R9C",'Mapa final'!$R$30),"")</f>
        <v/>
      </c>
      <c r="Y164" s="55"/>
      <c r="Z164" s="343"/>
      <c r="AA164" s="344"/>
      <c r="AB164" s="344"/>
      <c r="AC164" s="344"/>
      <c r="AD164" s="344"/>
      <c r="AE164" s="34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row>
    <row r="165" spans="1:61" ht="15" customHeight="1" x14ac:dyDescent="0.25">
      <c r="A165" s="55"/>
      <c r="B165" s="338"/>
      <c r="C165" s="338"/>
      <c r="D165" s="339"/>
      <c r="E165" s="326"/>
      <c r="F165" s="327"/>
      <c r="G165" s="327"/>
      <c r="H165" s="327"/>
      <c r="I165" s="327"/>
      <c r="J165" s="112" t="str">
        <f ca="1">IF(AND('Mapa final'!$AB$31="Baja",'Mapa final'!$AD$31="Leve"),CONCATENATE("R10C",'Mapa final'!$R$31),"")</f>
        <v/>
      </c>
      <c r="K165" s="53" t="str">
        <f>IF(AND('Mapa final'!$AB$32="Baja",'Mapa final'!$AD$32="Leve"),CONCATENATE("R10C",'Mapa final'!$R$32),"")</f>
        <v/>
      </c>
      <c r="L165" s="113" t="str">
        <f>IF(AND('Mapa final'!$AB$33="Baja",'Mapa final'!$AD$33="Leve"),CONCATENATE("R10C",'Mapa final'!$R$33),"")</f>
        <v/>
      </c>
      <c r="M165" s="48" t="str">
        <f ca="1">IF(AND('Mapa final'!$AB$31="Baja",'Mapa final'!$AD$31="Menor"),CONCATENATE("R10C",'Mapa final'!$R$31),"")</f>
        <v/>
      </c>
      <c r="N165" s="49" t="str">
        <f>IF(AND('Mapa final'!$AB$32="Baja",'Mapa final'!$AD$32="Menor"),CONCATENATE("R10C",'Mapa final'!$R$32),"")</f>
        <v/>
      </c>
      <c r="O165" s="108" t="str">
        <f>IF(AND('Mapa final'!$AB$33="Baja",'Mapa final'!$AD$33="Menor"),CONCATENATE("R10C",'Mapa final'!$R$33),"")</f>
        <v/>
      </c>
      <c r="P165" s="48" t="str">
        <f ca="1">IF(AND('Mapa final'!$AB$31="Baja",'Mapa final'!$AD$31="Moderado"),CONCATENATE("R10C",'Mapa final'!$R$31),"")</f>
        <v/>
      </c>
      <c r="Q165" s="49" t="str">
        <f>IF(AND('Mapa final'!$AB$32="Baja",'Mapa final'!$AD$32="Moderado"),CONCATENATE("R10C",'Mapa final'!$R$32),"")</f>
        <v>R10C2</v>
      </c>
      <c r="R165" s="108" t="str">
        <f>IF(AND('Mapa final'!$AB$33="Baja",'Mapa final'!$AD$33="Moderado"),CONCATENATE("R10C",'Mapa final'!$R$33),"")</f>
        <v>R10C3</v>
      </c>
      <c r="S165" s="102" t="str">
        <f ca="1">IF(AND('Mapa final'!$AB$31="Baja",'Mapa final'!$AD$31="Mayor"),CONCATENATE("R10C",'Mapa final'!$R$31),"")</f>
        <v/>
      </c>
      <c r="T165" s="41" t="str">
        <f>IF(AND('Mapa final'!$AB$32="Baja",'Mapa final'!$AD$32="Mayor"),CONCATENATE("R10C",'Mapa final'!$R$32),"")</f>
        <v/>
      </c>
      <c r="U165" s="103" t="str">
        <f>IF(AND('Mapa final'!$AB$33="Baja",'Mapa final'!$AD$33="Mayor"),CONCATENATE("R10C",'Mapa final'!$R$33),"")</f>
        <v/>
      </c>
      <c r="V165" s="42" t="str">
        <f ca="1">IF(AND('Mapa final'!$AB$31="Baja",'Mapa final'!$AD$31="Catastrófico"),CONCATENATE("R10C",'Mapa final'!$R$31),"")</f>
        <v/>
      </c>
      <c r="W165" s="43" t="str">
        <f>IF(AND('Mapa final'!$AB$32="Baja",'Mapa final'!$AD$32="Catastrófico"),CONCATENATE("R10C",'Mapa final'!$R$32),"")</f>
        <v/>
      </c>
      <c r="X165" s="97" t="str">
        <f>IF(AND('Mapa final'!$AB$33="Baja",'Mapa final'!$AD$33="Catastrófico"),CONCATENATE("R10C",'Mapa final'!$R$33),"")</f>
        <v/>
      </c>
      <c r="Y165" s="55"/>
      <c r="Z165" s="343"/>
      <c r="AA165" s="344"/>
      <c r="AB165" s="344"/>
      <c r="AC165" s="344"/>
      <c r="AD165" s="344"/>
      <c r="AE165" s="34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row>
    <row r="166" spans="1:61" ht="15" customHeight="1" x14ac:dyDescent="0.25">
      <c r="A166" s="55"/>
      <c r="B166" s="338"/>
      <c r="C166" s="338"/>
      <c r="D166" s="339"/>
      <c r="E166" s="326"/>
      <c r="F166" s="327"/>
      <c r="G166" s="327"/>
      <c r="H166" s="327"/>
      <c r="I166" s="327"/>
      <c r="J166" s="112" t="str">
        <f ca="1">IF(AND('Mapa final'!$AB$34="Baja",'Mapa final'!$AD$34="Leve"),CONCATENATE("R11C",'Mapa final'!$R$34),"")</f>
        <v/>
      </c>
      <c r="K166" s="53" t="str">
        <f>IF(AND('Mapa final'!$AB$35="Baja",'Mapa final'!$AD$35="Leve"),CONCATENATE("R11C",'Mapa final'!$R$35),"")</f>
        <v/>
      </c>
      <c r="L166" s="113" t="str">
        <f>IF(AND('Mapa final'!$AB$36="Baja",'Mapa final'!$AD$36="Leve"),CONCATENATE("R11C",'Mapa final'!$R$36),"")</f>
        <v/>
      </c>
      <c r="M166" s="48" t="str">
        <f ca="1">IF(AND('Mapa final'!$AB$34="Baja",'Mapa final'!$AD$34="Menor"),CONCATENATE("R11C",'Mapa final'!$R$34),"")</f>
        <v/>
      </c>
      <c r="N166" s="49" t="str">
        <f>IF(AND('Mapa final'!$AB$35="Baja",'Mapa final'!$AD$35="Menor"),CONCATENATE("R11C",'Mapa final'!$R$35),"")</f>
        <v/>
      </c>
      <c r="O166" s="108" t="str">
        <f>IF(AND('Mapa final'!$AB$36="Baja",'Mapa final'!$AD$36="Menor"),CONCATENATE("R11C",'Mapa final'!$R$36),"")</f>
        <v/>
      </c>
      <c r="P166" s="48" t="str">
        <f ca="1">IF(AND('Mapa final'!$AB$34="Baja",'Mapa final'!$AD$34="Moderado"),CONCATENATE("R11C",'Mapa final'!$R$34),"")</f>
        <v/>
      </c>
      <c r="Q166" s="49" t="str">
        <f>IF(AND('Mapa final'!$AB$35="Baja",'Mapa final'!$AD$35="Moderado"),CONCATENATE("R11C",'Mapa final'!$R$35),"")</f>
        <v/>
      </c>
      <c r="R166" s="108" t="str">
        <f>IF(AND('Mapa final'!$AB$36="Baja",'Mapa final'!$AD$36="Moderado"),CONCATENATE("R11C",'Mapa final'!$R$36),"")</f>
        <v/>
      </c>
      <c r="S166" s="102" t="str">
        <f ca="1">IF(AND('Mapa final'!$AB$34="Baja",'Mapa final'!$AD$34="Mayor"),CONCATENATE("R11C",'Mapa final'!$R$34),"")</f>
        <v>R11C1</v>
      </c>
      <c r="T166" s="41" t="str">
        <f>IF(AND('Mapa final'!$AB$35="Baja",'Mapa final'!$AD$35="Mayor"),CONCATENATE("R11C",'Mapa final'!$R$35),"")</f>
        <v/>
      </c>
      <c r="U166" s="103" t="str">
        <f>IF(AND('Mapa final'!$AB$36="Baja",'Mapa final'!$AD$36="Mayor"),CONCATENATE("R11C",'Mapa final'!$R$36),"")</f>
        <v/>
      </c>
      <c r="V166" s="42" t="str">
        <f ca="1">IF(AND('Mapa final'!$AB$34="Baja",'Mapa final'!$AD$34="Catastrófico"),CONCATENATE("R11C",'Mapa final'!$R$34),"")</f>
        <v/>
      </c>
      <c r="W166" s="43" t="str">
        <f>IF(AND('Mapa final'!$AB$35="Baja",'Mapa final'!$AD$35="Catastrófico"),CONCATENATE("R11C",'Mapa final'!$R$35),"")</f>
        <v/>
      </c>
      <c r="X166" s="97" t="str">
        <f>IF(AND('Mapa final'!$AB$36="Baja",'Mapa final'!$AD$36="Catastrófico"),CONCATENATE("R11C",'Mapa final'!$R$36),"")</f>
        <v/>
      </c>
      <c r="Y166" s="55"/>
      <c r="Z166" s="343"/>
      <c r="AA166" s="344"/>
      <c r="AB166" s="344"/>
      <c r="AC166" s="344"/>
      <c r="AD166" s="344"/>
      <c r="AE166" s="34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row>
    <row r="167" spans="1:61" ht="15" customHeight="1" x14ac:dyDescent="0.25">
      <c r="A167" s="55"/>
      <c r="B167" s="338"/>
      <c r="C167" s="338"/>
      <c r="D167" s="339"/>
      <c r="E167" s="326"/>
      <c r="F167" s="327"/>
      <c r="G167" s="327"/>
      <c r="H167" s="327"/>
      <c r="I167" s="327"/>
      <c r="J167" s="112" t="str">
        <f ca="1">IF(AND('Mapa final'!$AB$37="Baja",'Mapa final'!$AD$37="Leve"),CONCATENATE("R12C",'Mapa final'!$R$37),"")</f>
        <v/>
      </c>
      <c r="K167" s="53" t="str">
        <f>IF(AND('Mapa final'!$AB$38="Baja",'Mapa final'!$AD$38="Leve"),CONCATENATE("R12C",'Mapa final'!$R$38),"")</f>
        <v/>
      </c>
      <c r="L167" s="113" t="str">
        <f>IF(AND('Mapa final'!$AB$39="Baja",'Mapa final'!$AD$39="Leve"),CONCATENATE("R12C",'Mapa final'!$R$39),"")</f>
        <v/>
      </c>
      <c r="M167" s="48" t="str">
        <f ca="1">IF(AND('Mapa final'!$AB$37="Baja",'Mapa final'!$AD$37="Menor"),CONCATENATE("R12C",'Mapa final'!$R$37),"")</f>
        <v/>
      </c>
      <c r="N167" s="49" t="str">
        <f>IF(AND('Mapa final'!$AB$38="Baja",'Mapa final'!$AD$38="Menor"),CONCATENATE("R12C",'Mapa final'!$R$38),"")</f>
        <v/>
      </c>
      <c r="O167" s="108" t="str">
        <f>IF(AND('Mapa final'!$AB$39="Baja",'Mapa final'!$AD$39="Menor"),CONCATENATE("R12C",'Mapa final'!$R$39),"")</f>
        <v/>
      </c>
      <c r="P167" s="48" t="str">
        <f ca="1">IF(AND('Mapa final'!$AB$37="Baja",'Mapa final'!$AD$37="Moderado"),CONCATENATE("R12C",'Mapa final'!$R$37),"")</f>
        <v>R12C1</v>
      </c>
      <c r="Q167" s="49" t="str">
        <f>IF(AND('Mapa final'!$AB$38="Baja",'Mapa final'!$AD$38="Moderado"),CONCATENATE("R12C",'Mapa final'!$R$38),"")</f>
        <v/>
      </c>
      <c r="R167" s="108" t="str">
        <f>IF(AND('Mapa final'!$AB$39="Baja",'Mapa final'!$AD$39="Moderado"),CONCATENATE("R12C",'Mapa final'!$R$39),"")</f>
        <v/>
      </c>
      <c r="S167" s="102" t="str">
        <f ca="1">IF(AND('Mapa final'!$AB$37="Baja",'Mapa final'!$AD$37="Mayor"),CONCATENATE("R12C",'Mapa final'!$R$37),"")</f>
        <v/>
      </c>
      <c r="T167" s="41" t="str">
        <f>IF(AND('Mapa final'!$AB$38="Baja",'Mapa final'!$AD$38="Mayor"),CONCATENATE("R12C",'Mapa final'!$R$38),"")</f>
        <v/>
      </c>
      <c r="U167" s="103" t="str">
        <f>IF(AND('Mapa final'!$AB$39="Baja",'Mapa final'!$AD$39="Mayor"),CONCATENATE("R12C",'Mapa final'!$R$39),"")</f>
        <v/>
      </c>
      <c r="V167" s="42" t="str">
        <f ca="1">IF(AND('Mapa final'!$AB$37="Baja",'Mapa final'!$AD$37="Catastrófico"),CONCATENATE("R12C",'Mapa final'!$R$37),"")</f>
        <v/>
      </c>
      <c r="W167" s="43" t="str">
        <f>IF(AND('Mapa final'!$AB$38="Baja",'Mapa final'!$AD$38="Catastrófico"),CONCATENATE("R12C",'Mapa final'!$R$38),"")</f>
        <v/>
      </c>
      <c r="X167" s="97" t="str">
        <f>IF(AND('Mapa final'!$AB$39="Baja",'Mapa final'!$AD$39="Catastrófico"),CONCATENATE("R12C",'Mapa final'!$R$39),"")</f>
        <v/>
      </c>
      <c r="Y167" s="55"/>
      <c r="Z167" s="343"/>
      <c r="AA167" s="344"/>
      <c r="AB167" s="344"/>
      <c r="AC167" s="344"/>
      <c r="AD167" s="344"/>
      <c r="AE167" s="34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row>
    <row r="168" spans="1:61" ht="15" customHeight="1" x14ac:dyDescent="0.25">
      <c r="A168" s="55"/>
      <c r="B168" s="338"/>
      <c r="C168" s="338"/>
      <c r="D168" s="339"/>
      <c r="E168" s="326"/>
      <c r="F168" s="327"/>
      <c r="G168" s="327"/>
      <c r="H168" s="327"/>
      <c r="I168" s="327"/>
      <c r="J168" s="112" t="str">
        <f ca="1">IF(AND('Mapa final'!$AB$40="Baja",'Mapa final'!$AD$40="Leve"),CONCATENATE("R13C",'Mapa final'!$R$40),"")</f>
        <v/>
      </c>
      <c r="K168" s="53" t="str">
        <f>IF(AND('Mapa final'!$AB$41="Baja",'Mapa final'!$AD$41="Leve"),CONCATENATE("R13C",'Mapa final'!$R$41),"")</f>
        <v/>
      </c>
      <c r="L168" s="113" t="str">
        <f>IF(AND('Mapa final'!$AB$42="Baja",'Mapa final'!$AD$42="Leve"),CONCATENATE("R13C",'Mapa final'!$R$42),"")</f>
        <v/>
      </c>
      <c r="M168" s="48" t="str">
        <f ca="1">IF(AND('Mapa final'!$AB$40="Baja",'Mapa final'!$AD$40="Menor"),CONCATENATE("R13C",'Mapa final'!$R$40),"")</f>
        <v/>
      </c>
      <c r="N168" s="49" t="str">
        <f>IF(AND('Mapa final'!$AB$41="Baja",'Mapa final'!$AD$41="Menor"),CONCATENATE("R13C",'Mapa final'!$R$41),"")</f>
        <v/>
      </c>
      <c r="O168" s="108" t="str">
        <f>IF(AND('Mapa final'!$AB$42="Baja",'Mapa final'!$AD$42="Menor"),CONCATENATE("R13C",'Mapa final'!$R$42),"")</f>
        <v/>
      </c>
      <c r="P168" s="48" t="str">
        <f ca="1">IF(AND('Mapa final'!$AB$40="Baja",'Mapa final'!$AD$40="Moderado"),CONCATENATE("R13C",'Mapa final'!$R$40),"")</f>
        <v/>
      </c>
      <c r="Q168" s="49" t="str">
        <f>IF(AND('Mapa final'!$AB$41="Baja",'Mapa final'!$AD$41="Moderado"),CONCATENATE("R13C",'Mapa final'!$R$41),"")</f>
        <v/>
      </c>
      <c r="R168" s="108" t="str">
        <f>IF(AND('Mapa final'!$AB$42="Baja",'Mapa final'!$AD$42="Moderado"),CONCATENATE("R13C",'Mapa final'!$R$42),"")</f>
        <v/>
      </c>
      <c r="S168" s="102" t="str">
        <f ca="1">IF(AND('Mapa final'!$AB$40="Baja",'Mapa final'!$AD$40="Mayor"),CONCATENATE("R13C",'Mapa final'!$R$40),"")</f>
        <v/>
      </c>
      <c r="T168" s="41" t="str">
        <f>IF(AND('Mapa final'!$AB$41="Baja",'Mapa final'!$AD$41="Mayor"),CONCATENATE("R13C",'Mapa final'!$R$41),"")</f>
        <v/>
      </c>
      <c r="U168" s="103" t="str">
        <f>IF(AND('Mapa final'!$AB$42="Baja",'Mapa final'!$AD$42="Mayor"),CONCATENATE("R13C",'Mapa final'!$R$42),"")</f>
        <v/>
      </c>
      <c r="V168" s="42" t="str">
        <f ca="1">IF(AND('Mapa final'!$AB$40="Baja",'Mapa final'!$AD$40="Catastrófico"),CONCATENATE("R13C",'Mapa final'!$R$40),"")</f>
        <v/>
      </c>
      <c r="W168" s="43" t="str">
        <f>IF(AND('Mapa final'!$AB$41="Baja",'Mapa final'!$AD$41="Catastrófico"),CONCATENATE("R13C",'Mapa final'!$R$41),"")</f>
        <v/>
      </c>
      <c r="X168" s="97" t="str">
        <f>IF(AND('Mapa final'!$AB$42="Baja",'Mapa final'!$AD$42="Catastrófico"),CONCATENATE("R13C",'Mapa final'!$R$42),"")</f>
        <v/>
      </c>
      <c r="Y168" s="55"/>
      <c r="Z168" s="343"/>
      <c r="AA168" s="344"/>
      <c r="AB168" s="344"/>
      <c r="AC168" s="344"/>
      <c r="AD168" s="344"/>
      <c r="AE168" s="34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row>
    <row r="169" spans="1:61" ht="15" customHeight="1" x14ac:dyDescent="0.25">
      <c r="A169" s="55"/>
      <c r="B169" s="338"/>
      <c r="C169" s="338"/>
      <c r="D169" s="339"/>
      <c r="E169" s="326"/>
      <c r="F169" s="327"/>
      <c r="G169" s="327"/>
      <c r="H169" s="327"/>
      <c r="I169" s="327"/>
      <c r="J169" s="112" t="str">
        <f ca="1">IF(AND('Mapa final'!$AB$43="Baja",'Mapa final'!$AD$43="Leve"),CONCATENATE("R14C",'Mapa final'!$R$43),"")</f>
        <v/>
      </c>
      <c r="K169" s="53" t="str">
        <f>IF(AND('Mapa final'!$AB$44="Baja",'Mapa final'!$AD$44="Leve"),CONCATENATE("R14C",'Mapa final'!$R$44),"")</f>
        <v/>
      </c>
      <c r="L169" s="113" t="str">
        <f>IF(AND('Mapa final'!$AB$45="Baja",'Mapa final'!$AD$45="Leve"),CONCATENATE("R14C",'Mapa final'!$R$45),"")</f>
        <v/>
      </c>
      <c r="M169" s="48" t="str">
        <f ca="1">IF(AND('Mapa final'!$AB$43="Baja",'Mapa final'!$AD$43="Menor"),CONCATENATE("R14C",'Mapa final'!$R$43),"")</f>
        <v/>
      </c>
      <c r="N169" s="49" t="str">
        <f>IF(AND('Mapa final'!$AB$44="Baja",'Mapa final'!$AD$44="Menor"),CONCATENATE("R14C",'Mapa final'!$R$44),"")</f>
        <v/>
      </c>
      <c r="O169" s="108" t="str">
        <f>IF(AND('Mapa final'!$AB$45="Baja",'Mapa final'!$AD$45="Menor"),CONCATENATE("R14C",'Mapa final'!$R$45),"")</f>
        <v/>
      </c>
      <c r="P169" s="48" t="str">
        <f ca="1">IF(AND('Mapa final'!$AB$43="Baja",'Mapa final'!$AD$43="Moderado"),CONCATENATE("R14C",'Mapa final'!$R$43),"")</f>
        <v>R14C1</v>
      </c>
      <c r="Q169" s="49" t="str">
        <f>IF(AND('Mapa final'!$AB$44="Baja",'Mapa final'!$AD$44="Moderado"),CONCATENATE("R14C",'Mapa final'!$R$44),"")</f>
        <v/>
      </c>
      <c r="R169" s="108" t="str">
        <f>IF(AND('Mapa final'!$AB$45="Baja",'Mapa final'!$AD$45="Moderado"),CONCATENATE("R14C",'Mapa final'!$R$45),"")</f>
        <v/>
      </c>
      <c r="S169" s="102" t="str">
        <f ca="1">IF(AND('Mapa final'!$AB$43="Baja",'Mapa final'!$AD$43="Mayor"),CONCATENATE("R14C",'Mapa final'!$R$43),"")</f>
        <v/>
      </c>
      <c r="T169" s="41" t="str">
        <f>IF(AND('Mapa final'!$AB$44="Baja",'Mapa final'!$AD$44="Mayor"),CONCATENATE("R14C",'Mapa final'!$R$44),"")</f>
        <v/>
      </c>
      <c r="U169" s="103" t="str">
        <f>IF(AND('Mapa final'!$AB$45="Baja",'Mapa final'!$AD$45="Mayor"),CONCATENATE("R14C",'Mapa final'!$R$45),"")</f>
        <v/>
      </c>
      <c r="V169" s="42" t="str">
        <f ca="1">IF(AND('Mapa final'!$AB$43="Baja",'Mapa final'!$AD$43="Catastrófico"),CONCATENATE("R14C",'Mapa final'!$R$43),"")</f>
        <v/>
      </c>
      <c r="W169" s="43" t="str">
        <f>IF(AND('Mapa final'!$AB$44="Baja",'Mapa final'!$AD$44="Catastrófico"),CONCATENATE("R14C",'Mapa final'!$R$44),"")</f>
        <v/>
      </c>
      <c r="X169" s="97" t="str">
        <f>IF(AND('Mapa final'!$AB$45="Baja",'Mapa final'!$AD$45="Catastrófico"),CONCATENATE("R14C",'Mapa final'!$R$45),"")</f>
        <v/>
      </c>
      <c r="Y169" s="55"/>
      <c r="Z169" s="343"/>
      <c r="AA169" s="344"/>
      <c r="AB169" s="344"/>
      <c r="AC169" s="344"/>
      <c r="AD169" s="344"/>
      <c r="AE169" s="34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row>
    <row r="170" spans="1:61" ht="15" customHeight="1" x14ac:dyDescent="0.25">
      <c r="A170" s="55"/>
      <c r="B170" s="338"/>
      <c r="C170" s="338"/>
      <c r="D170" s="339"/>
      <c r="E170" s="326"/>
      <c r="F170" s="327"/>
      <c r="G170" s="327"/>
      <c r="H170" s="327"/>
      <c r="I170" s="327"/>
      <c r="J170" s="112" t="str">
        <f ca="1">IF(AND('Mapa final'!$AB$46="Baja",'Mapa final'!$AD$46="Leve"),CONCATENATE("R15C",'Mapa final'!$R$46),"")</f>
        <v/>
      </c>
      <c r="K170" s="53" t="str">
        <f>IF(AND('Mapa final'!$AB$47="Baja",'Mapa final'!$AD$47="Leve"),CONCATENATE("R15C",'Mapa final'!$R$47),"")</f>
        <v/>
      </c>
      <c r="L170" s="113" t="str">
        <f>IF(AND('Mapa final'!$AB$48="Baja",'Mapa final'!$AD$48="Leve"),CONCATENATE("R15C",'Mapa final'!$R$48),"")</f>
        <v/>
      </c>
      <c r="M170" s="48" t="str">
        <f ca="1">IF(AND('Mapa final'!$AB$46="Baja",'Mapa final'!$AD$46="Menor"),CONCATENATE("R15C",'Mapa final'!$R$46),"")</f>
        <v/>
      </c>
      <c r="N170" s="49" t="str">
        <f>IF(AND('Mapa final'!$AB$47="Baja",'Mapa final'!$AD$47="Menor"),CONCATENATE("R15C",'Mapa final'!$R$47),"")</f>
        <v/>
      </c>
      <c r="O170" s="108" t="str">
        <f>IF(AND('Mapa final'!$AB$48="Baja",'Mapa final'!$AD$48="Menor"),CONCATENATE("R15C",'Mapa final'!$R$48),"")</f>
        <v/>
      </c>
      <c r="P170" s="48" t="str">
        <f ca="1">IF(AND('Mapa final'!$AB$46="Baja",'Mapa final'!$AD$46="Moderado"),CONCATENATE("R15C",'Mapa final'!$R$46),"")</f>
        <v/>
      </c>
      <c r="Q170" s="49" t="str">
        <f>IF(AND('Mapa final'!$AB$47="Baja",'Mapa final'!$AD$47="Moderado"),CONCATENATE("R15C",'Mapa final'!$R$47),"")</f>
        <v/>
      </c>
      <c r="R170" s="108" t="str">
        <f>IF(AND('Mapa final'!$AB$48="Baja",'Mapa final'!$AD$48="Moderado"),CONCATENATE("R15C",'Mapa final'!$R$48),"")</f>
        <v/>
      </c>
      <c r="S170" s="102" t="str">
        <f ca="1">IF(AND('Mapa final'!$AB$46="Baja",'Mapa final'!$AD$46="Mayor"),CONCATENATE("R15C",'Mapa final'!$R$46),"")</f>
        <v/>
      </c>
      <c r="T170" s="41" t="str">
        <f>IF(AND('Mapa final'!$AB$47="Baja",'Mapa final'!$AD$47="Mayor"),CONCATENATE("R15C",'Mapa final'!$R$47),"")</f>
        <v/>
      </c>
      <c r="U170" s="103" t="str">
        <f>IF(AND('Mapa final'!$AB$48="Baja",'Mapa final'!$AD$48="Mayor"),CONCATENATE("R15C",'Mapa final'!$R$48),"")</f>
        <v/>
      </c>
      <c r="V170" s="42" t="str">
        <f ca="1">IF(AND('Mapa final'!$AB$46="Baja",'Mapa final'!$AD$46="Catastrófico"),CONCATENATE("R15C",'Mapa final'!$R$46),"")</f>
        <v/>
      </c>
      <c r="W170" s="43" t="str">
        <f>IF(AND('Mapa final'!$AB$47="Baja",'Mapa final'!$AD$47="Catastrófico"),CONCATENATE("R15C",'Mapa final'!$R$47),"")</f>
        <v/>
      </c>
      <c r="X170" s="97" t="str">
        <f>IF(AND('Mapa final'!$AB$48="Baja",'Mapa final'!$AD$48="Catastrófico"),CONCATENATE("R15C",'Mapa final'!$R$48),"")</f>
        <v/>
      </c>
      <c r="Y170" s="55"/>
      <c r="Z170" s="343"/>
      <c r="AA170" s="344"/>
      <c r="AB170" s="344"/>
      <c r="AC170" s="344"/>
      <c r="AD170" s="344"/>
      <c r="AE170" s="34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row>
    <row r="171" spans="1:61" ht="15" customHeight="1" x14ac:dyDescent="0.25">
      <c r="A171" s="55"/>
      <c r="B171" s="338"/>
      <c r="C171" s="338"/>
      <c r="D171" s="339"/>
      <c r="E171" s="326"/>
      <c r="F171" s="327"/>
      <c r="G171" s="327"/>
      <c r="H171" s="327"/>
      <c r="I171" s="327"/>
      <c r="J171" s="112" t="str">
        <f ca="1">IF(AND('Mapa final'!$AB$49="Baja",'Mapa final'!$AD$49="Leve"),CONCATENATE("R16C",'Mapa final'!$R$49),"")</f>
        <v/>
      </c>
      <c r="K171" s="53" t="str">
        <f>IF(AND('Mapa final'!$AB$50="Baja",'Mapa final'!$AD$50="Leve"),CONCATENATE("R16C",'Mapa final'!$R$50),"")</f>
        <v/>
      </c>
      <c r="L171" s="113" t="str">
        <f>IF(AND('Mapa final'!$AB$51="Baja",'Mapa final'!$AD$51="Leve"),CONCATENATE("R16C",'Mapa final'!$R$51),"")</f>
        <v/>
      </c>
      <c r="M171" s="48" t="str">
        <f ca="1">IF(AND('Mapa final'!$AB$49="Baja",'Mapa final'!$AD$49="Menor"),CONCATENATE("R16C",'Mapa final'!$R$49),"")</f>
        <v/>
      </c>
      <c r="N171" s="49" t="str">
        <f>IF(AND('Mapa final'!$AB$50="Baja",'Mapa final'!$AD$50="Menor"),CONCATENATE("R16C",'Mapa final'!$R$50),"")</f>
        <v/>
      </c>
      <c r="O171" s="108" t="str">
        <f>IF(AND('Mapa final'!$AB$51="Baja",'Mapa final'!$AD$51="Menor"),CONCATENATE("R16C",'Mapa final'!$R$51),"")</f>
        <v/>
      </c>
      <c r="P171" s="48" t="str">
        <f ca="1">IF(AND('Mapa final'!$AB$49="Baja",'Mapa final'!$AD$49="Moderado"),CONCATENATE("R16C",'Mapa final'!$R$49),"")</f>
        <v>R16C1</v>
      </c>
      <c r="Q171" s="49" t="str">
        <f>IF(AND('Mapa final'!$AB$50="Baja",'Mapa final'!$AD$50="Moderado"),CONCATENATE("R16C",'Mapa final'!$R$50),"")</f>
        <v/>
      </c>
      <c r="R171" s="108" t="str">
        <f>IF(AND('Mapa final'!$AB$51="Baja",'Mapa final'!$AD$51="Moderado"),CONCATENATE("R16C",'Mapa final'!$R$51),"")</f>
        <v/>
      </c>
      <c r="S171" s="102" t="str">
        <f ca="1">IF(AND('Mapa final'!$AB$49="Baja",'Mapa final'!$AD$49="Mayor"),CONCATENATE("R16C",'Mapa final'!$R$49),"")</f>
        <v/>
      </c>
      <c r="T171" s="41" t="str">
        <f>IF(AND('Mapa final'!$AB$50="Baja",'Mapa final'!$AD$50="Mayor"),CONCATENATE("R16C",'Mapa final'!$R$50),"")</f>
        <v/>
      </c>
      <c r="U171" s="103" t="str">
        <f>IF(AND('Mapa final'!$AB$51="Baja",'Mapa final'!$AD$51="Mayor"),CONCATENATE("R16C",'Mapa final'!$R$51),"")</f>
        <v/>
      </c>
      <c r="V171" s="42" t="str">
        <f ca="1">IF(AND('Mapa final'!$AB$49="Baja",'Mapa final'!$AD$49="Catastrófico"),CONCATENATE("R16C",'Mapa final'!$R$49),"")</f>
        <v/>
      </c>
      <c r="W171" s="43" t="str">
        <f>IF(AND('Mapa final'!$AB$50="Baja",'Mapa final'!$AD$50="Catastrófico"),CONCATENATE("R16C",'Mapa final'!$R$50),"")</f>
        <v/>
      </c>
      <c r="X171" s="97" t="str">
        <f>IF(AND('Mapa final'!$AB$51="Baja",'Mapa final'!$AD$51="Catastrófico"),CONCATENATE("R16C",'Mapa final'!$R$51),"")</f>
        <v/>
      </c>
      <c r="Y171" s="55"/>
      <c r="Z171" s="343"/>
      <c r="AA171" s="344"/>
      <c r="AB171" s="344"/>
      <c r="AC171" s="344"/>
      <c r="AD171" s="344"/>
      <c r="AE171" s="34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row>
    <row r="172" spans="1:61" ht="15" customHeight="1" x14ac:dyDescent="0.25">
      <c r="A172" s="55"/>
      <c r="B172" s="338"/>
      <c r="C172" s="338"/>
      <c r="D172" s="339"/>
      <c r="E172" s="326"/>
      <c r="F172" s="327"/>
      <c r="G172" s="327"/>
      <c r="H172" s="327"/>
      <c r="I172" s="327"/>
      <c r="J172" s="112" t="str">
        <f ca="1">IF(AND('Mapa final'!$AB$52="Baja",'Mapa final'!$AD$52="Leve"),CONCATENATE("R17C",'Mapa final'!$R$52),"")</f>
        <v/>
      </c>
      <c r="K172" s="53" t="str">
        <f>IF(AND('Mapa final'!$AB$53="Baja",'Mapa final'!$AD$53="Leve"),CONCATENATE("R17C",'Mapa final'!$R$53),"")</f>
        <v/>
      </c>
      <c r="L172" s="113" t="str">
        <f>IF(AND('Mapa final'!$AB$54="Baja",'Mapa final'!$AD$54="Leve"),CONCATENATE("R17C",'Mapa final'!$R$54),"")</f>
        <v/>
      </c>
      <c r="M172" s="48" t="str">
        <f ca="1">IF(AND('Mapa final'!$AB$52="Baja",'Mapa final'!$AD$52="Menor"),CONCATENATE("R17C",'Mapa final'!$R$52),"")</f>
        <v/>
      </c>
      <c r="N172" s="49" t="str">
        <f>IF(AND('Mapa final'!$AB$53="Baja",'Mapa final'!$AD$53="Menor"),CONCATENATE("R17C",'Mapa final'!$R$53),"")</f>
        <v/>
      </c>
      <c r="O172" s="108" t="str">
        <f>IF(AND('Mapa final'!$AB$54="Baja",'Mapa final'!$AD$54="Menor"),CONCATENATE("R17C",'Mapa final'!$R$54),"")</f>
        <v/>
      </c>
      <c r="P172" s="48" t="str">
        <f ca="1">IF(AND('Mapa final'!$AB$52="Baja",'Mapa final'!$AD$52="Moderado"),CONCATENATE("R17C",'Mapa final'!$R$52),"")</f>
        <v/>
      </c>
      <c r="Q172" s="49" t="str">
        <f>IF(AND('Mapa final'!$AB$53="Baja",'Mapa final'!$AD$53="Moderado"),CONCATENATE("R17C",'Mapa final'!$R$53),"")</f>
        <v/>
      </c>
      <c r="R172" s="108" t="str">
        <f>IF(AND('Mapa final'!$AB$54="Baja",'Mapa final'!$AD$54="Moderado"),CONCATENATE("R17C",'Mapa final'!$R$54),"")</f>
        <v/>
      </c>
      <c r="S172" s="102" t="str">
        <f ca="1">IF(AND('Mapa final'!$AB$52="Baja",'Mapa final'!$AD$52="Mayor"),CONCATENATE("R17C",'Mapa final'!$R$52),"")</f>
        <v/>
      </c>
      <c r="T172" s="41" t="str">
        <f>IF(AND('Mapa final'!$AB$53="Baja",'Mapa final'!$AD$53="Mayor"),CONCATENATE("R17C",'Mapa final'!$R$53),"")</f>
        <v/>
      </c>
      <c r="U172" s="103" t="str">
        <f>IF(AND('Mapa final'!$AB$54="Baja",'Mapa final'!$AD$54="Mayor"),CONCATENATE("R17C",'Mapa final'!$R$54),"")</f>
        <v/>
      </c>
      <c r="V172" s="42" t="str">
        <f ca="1">IF(AND('Mapa final'!$AB$52="Baja",'Mapa final'!$AD$52="Catastrófico"),CONCATENATE("R17C",'Mapa final'!$R$52),"")</f>
        <v/>
      </c>
      <c r="W172" s="43" t="str">
        <f>IF(AND('Mapa final'!$AB$53="Baja",'Mapa final'!$AD$53="Catastrófico"),CONCATENATE("R17C",'Mapa final'!$R$53),"")</f>
        <v/>
      </c>
      <c r="X172" s="97" t="str">
        <f>IF(AND('Mapa final'!$AB$54="Baja",'Mapa final'!$AD$54="Catastrófico"),CONCATENATE("R17C",'Mapa final'!$R$54),"")</f>
        <v/>
      </c>
      <c r="Y172" s="55"/>
      <c r="Z172" s="343"/>
      <c r="AA172" s="344"/>
      <c r="AB172" s="344"/>
      <c r="AC172" s="344"/>
      <c r="AD172" s="344"/>
      <c r="AE172" s="34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row>
    <row r="173" spans="1:61" ht="15" customHeight="1" x14ac:dyDescent="0.25">
      <c r="A173" s="55"/>
      <c r="B173" s="338"/>
      <c r="C173" s="338"/>
      <c r="D173" s="339"/>
      <c r="E173" s="326"/>
      <c r="F173" s="327"/>
      <c r="G173" s="327"/>
      <c r="H173" s="327"/>
      <c r="I173" s="327"/>
      <c r="J173" s="112" t="str">
        <f ca="1">IF(AND('Mapa final'!$AB$55="Baja",'Mapa final'!$AD$55="Leve"),CONCATENATE("R18C",'Mapa final'!$R$55),"")</f>
        <v/>
      </c>
      <c r="K173" s="53" t="str">
        <f>IF(AND('Mapa final'!$AB$56="Baja",'Mapa final'!$AD$56="Leve"),CONCATENATE("R18C",'Mapa final'!$R$56),"")</f>
        <v/>
      </c>
      <c r="L173" s="113" t="str">
        <f>IF(AND('Mapa final'!$AB$57="Baja",'Mapa final'!$AD$57="Leve"),CONCATENATE("R18C",'Mapa final'!$R$57),"")</f>
        <v/>
      </c>
      <c r="M173" s="48" t="str">
        <f ca="1">IF(AND('Mapa final'!$AB$55="Baja",'Mapa final'!$AD$55="Menor"),CONCATENATE("R18C",'Mapa final'!$R$55),"")</f>
        <v/>
      </c>
      <c r="N173" s="49" t="str">
        <f>IF(AND('Mapa final'!$AB$56="Baja",'Mapa final'!$AD$56="Menor"),CONCATENATE("R18C",'Mapa final'!$R$56),"")</f>
        <v/>
      </c>
      <c r="O173" s="108" t="str">
        <f>IF(AND('Mapa final'!$AB$57="Baja",'Mapa final'!$AD$57="Menor"),CONCATENATE("R18C",'Mapa final'!$R$57),"")</f>
        <v/>
      </c>
      <c r="P173" s="48" t="str">
        <f ca="1">IF(AND('Mapa final'!$AB$55="Baja",'Mapa final'!$AD$55="Moderado"),CONCATENATE("R18C",'Mapa final'!$R$55),"")</f>
        <v/>
      </c>
      <c r="Q173" s="49" t="str">
        <f>IF(AND('Mapa final'!$AB$56="Baja",'Mapa final'!$AD$56="Moderado"),CONCATENATE("R18C",'Mapa final'!$R$56),"")</f>
        <v>R18C2</v>
      </c>
      <c r="R173" s="108" t="str">
        <f>IF(AND('Mapa final'!$AB$57="Baja",'Mapa final'!$AD$57="Moderado"),CONCATENATE("R18C",'Mapa final'!$R$57),"")</f>
        <v/>
      </c>
      <c r="S173" s="102" t="str">
        <f ca="1">IF(AND('Mapa final'!$AB$55="Baja",'Mapa final'!$AD$55="Mayor"),CONCATENATE("R18C",'Mapa final'!$R$55),"")</f>
        <v/>
      </c>
      <c r="T173" s="41" t="str">
        <f>IF(AND('Mapa final'!$AB$56="Baja",'Mapa final'!$AD$56="Mayor"),CONCATENATE("R18C",'Mapa final'!$R$56),"")</f>
        <v/>
      </c>
      <c r="U173" s="103" t="str">
        <f>IF(AND('Mapa final'!$AB$57="Baja",'Mapa final'!$AD$57="Mayor"),CONCATENATE("R18C",'Mapa final'!$R$57),"")</f>
        <v/>
      </c>
      <c r="V173" s="42" t="str">
        <f ca="1">IF(AND('Mapa final'!$AB$55="Baja",'Mapa final'!$AD$55="Catastrófico"),CONCATENATE("R18C",'Mapa final'!$R$55),"")</f>
        <v/>
      </c>
      <c r="W173" s="43" t="str">
        <f>IF(AND('Mapa final'!$AB$56="Baja",'Mapa final'!$AD$56="Catastrófico"),CONCATENATE("R18C",'Mapa final'!$R$56),"")</f>
        <v/>
      </c>
      <c r="X173" s="97" t="str">
        <f>IF(AND('Mapa final'!$AB$57="Baja",'Mapa final'!$AD$57="Catastrófico"),CONCATENATE("R18C",'Mapa final'!$R$57),"")</f>
        <v/>
      </c>
      <c r="Y173" s="55"/>
      <c r="Z173" s="343"/>
      <c r="AA173" s="344"/>
      <c r="AB173" s="344"/>
      <c r="AC173" s="344"/>
      <c r="AD173" s="344"/>
      <c r="AE173" s="34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row>
    <row r="174" spans="1:61" ht="15" customHeight="1" x14ac:dyDescent="0.25">
      <c r="A174" s="55"/>
      <c r="B174" s="338"/>
      <c r="C174" s="338"/>
      <c r="D174" s="339"/>
      <c r="E174" s="326"/>
      <c r="F174" s="327"/>
      <c r="G174" s="327"/>
      <c r="H174" s="327"/>
      <c r="I174" s="327"/>
      <c r="J174" s="112" t="str">
        <f ca="1">IF(AND('Mapa final'!$AB$58="Baja",'Mapa final'!$AD$58="Leve"),CONCATENATE("R19C",'Mapa final'!$R$58),"")</f>
        <v/>
      </c>
      <c r="K174" s="53" t="str">
        <f>IF(AND('Mapa final'!$AB$59="Baja",'Mapa final'!$AD$59="Leve"),CONCATENATE("R19C",'Mapa final'!$R$59),"")</f>
        <v/>
      </c>
      <c r="L174" s="113" t="str">
        <f>IF(AND('Mapa final'!$AB$60="Baja",'Mapa final'!$AD$60="Leve"),CONCATENATE("R19C",'Mapa final'!$R$60),"")</f>
        <v/>
      </c>
      <c r="M174" s="48" t="str">
        <f ca="1">IF(AND('Mapa final'!$AB$58="Baja",'Mapa final'!$AD$58="Menor"),CONCATENATE("R19C",'Mapa final'!$R$58),"")</f>
        <v/>
      </c>
      <c r="N174" s="49" t="str">
        <f>IF(AND('Mapa final'!$AB$59="Baja",'Mapa final'!$AD$59="Menor"),CONCATENATE("R19C",'Mapa final'!$R$59),"")</f>
        <v/>
      </c>
      <c r="O174" s="108" t="str">
        <f>IF(AND('Mapa final'!$AB$60="Baja",'Mapa final'!$AD$60="Menor"),CONCATENATE("R19C",'Mapa final'!$R$60),"")</f>
        <v/>
      </c>
      <c r="P174" s="48" t="str">
        <f ca="1">IF(AND('Mapa final'!$AB$58="Baja",'Mapa final'!$AD$58="Moderado"),CONCATENATE("R19C",'Mapa final'!$R$58),"")</f>
        <v/>
      </c>
      <c r="Q174" s="49" t="str">
        <f>IF(AND('Mapa final'!$AB$59="Baja",'Mapa final'!$AD$59="Moderado"),CONCATENATE("R19C",'Mapa final'!$R$59),"")</f>
        <v/>
      </c>
      <c r="R174" s="108" t="str">
        <f>IF(AND('Mapa final'!$AB$60="Baja",'Mapa final'!$AD$60="Moderado"),CONCATENATE("R19C",'Mapa final'!$R$60),"")</f>
        <v/>
      </c>
      <c r="S174" s="102" t="str">
        <f ca="1">IF(AND('Mapa final'!$AB$58="Baja",'Mapa final'!$AD$58="Mayor"),CONCATENATE("R19C",'Mapa final'!$R$58),"")</f>
        <v/>
      </c>
      <c r="T174" s="41" t="str">
        <f>IF(AND('Mapa final'!$AB$59="Baja",'Mapa final'!$AD$59="Mayor"),CONCATENATE("R19C",'Mapa final'!$R$59),"")</f>
        <v/>
      </c>
      <c r="U174" s="103" t="str">
        <f>IF(AND('Mapa final'!$AB$60="Baja",'Mapa final'!$AD$60="Mayor"),CONCATENATE("R19C",'Mapa final'!$R$60),"")</f>
        <v/>
      </c>
      <c r="V174" s="42" t="str">
        <f ca="1">IF(AND('Mapa final'!$AB$58="Baja",'Mapa final'!$AD$58="Catastrófico"),CONCATENATE("R19C",'Mapa final'!$R$58),"")</f>
        <v/>
      </c>
      <c r="W174" s="43" t="str">
        <f>IF(AND('Mapa final'!$AB$59="Baja",'Mapa final'!$AD$59="Catastrófico"),CONCATENATE("R19C",'Mapa final'!$R$59),"")</f>
        <v/>
      </c>
      <c r="X174" s="97" t="str">
        <f>IF(AND('Mapa final'!$AB$60="Baja",'Mapa final'!$AD$60="Catastrófico"),CONCATENATE("R19C",'Mapa final'!$R$60),"")</f>
        <v/>
      </c>
      <c r="Y174" s="55"/>
      <c r="Z174" s="343"/>
      <c r="AA174" s="344"/>
      <c r="AB174" s="344"/>
      <c r="AC174" s="344"/>
      <c r="AD174" s="344"/>
      <c r="AE174" s="34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row>
    <row r="175" spans="1:61" ht="15" customHeight="1" x14ac:dyDescent="0.25">
      <c r="A175" s="55"/>
      <c r="B175" s="338"/>
      <c r="C175" s="338"/>
      <c r="D175" s="339"/>
      <c r="E175" s="326"/>
      <c r="F175" s="327"/>
      <c r="G175" s="327"/>
      <c r="H175" s="327"/>
      <c r="I175" s="327"/>
      <c r="J175" s="112" t="str">
        <f ca="1">IF(AND('Mapa final'!$AB$61="Baja",'Mapa final'!$AD$61="Leve"),CONCATENATE("R20C",'Mapa final'!$R$61),"")</f>
        <v/>
      </c>
      <c r="K175" s="53" t="str">
        <f>IF(AND('Mapa final'!$AB$62="Baja",'Mapa final'!$AD$62="Leve"),CONCATENATE("R20C",'Mapa final'!$R$62),"")</f>
        <v/>
      </c>
      <c r="L175" s="113" t="str">
        <f>IF(AND('Mapa final'!$AB$63="Baja",'Mapa final'!$AD$63="Leve"),CONCATENATE("R20C",'Mapa final'!$R$63),"")</f>
        <v/>
      </c>
      <c r="M175" s="48" t="str">
        <f ca="1">IF(AND('Mapa final'!$AB$61="Baja",'Mapa final'!$AD$61="Menor"),CONCATENATE("R20C",'Mapa final'!$R$61),"")</f>
        <v/>
      </c>
      <c r="N175" s="49" t="str">
        <f>IF(AND('Mapa final'!$AB$62="Baja",'Mapa final'!$AD$62="Menor"),CONCATENATE("R20C",'Mapa final'!$R$62),"")</f>
        <v/>
      </c>
      <c r="O175" s="108" t="str">
        <f>IF(AND('Mapa final'!$AB$63="Baja",'Mapa final'!$AD$63="Menor"),CONCATENATE("R20C",'Mapa final'!$R$63),"")</f>
        <v/>
      </c>
      <c r="P175" s="48" t="str">
        <f ca="1">IF(AND('Mapa final'!$AB$61="Baja",'Mapa final'!$AD$61="Moderado"),CONCATENATE("R20C",'Mapa final'!$R$61),"")</f>
        <v/>
      </c>
      <c r="Q175" s="49" t="str">
        <f>IF(AND('Mapa final'!$AB$62="Baja",'Mapa final'!$AD$62="Moderado"),CONCATENATE("R20C",'Mapa final'!$R$62),"")</f>
        <v/>
      </c>
      <c r="R175" s="108" t="str">
        <f>IF(AND('Mapa final'!$AB$63="Baja",'Mapa final'!$AD$63="Moderado"),CONCATENATE("R20C",'Mapa final'!$R$63),"")</f>
        <v/>
      </c>
      <c r="S175" s="102" t="str">
        <f ca="1">IF(AND('Mapa final'!$AB$61="Baja",'Mapa final'!$AD$61="Mayor"),CONCATENATE("R20C",'Mapa final'!$R$61),"")</f>
        <v>R20C1</v>
      </c>
      <c r="T175" s="41" t="str">
        <f>IF(AND('Mapa final'!$AB$62="Baja",'Mapa final'!$AD$62="Mayor"),CONCATENATE("R20C",'Mapa final'!$R$62),"")</f>
        <v/>
      </c>
      <c r="U175" s="103" t="str">
        <f>IF(AND('Mapa final'!$AB$63="Baja",'Mapa final'!$AD$63="Mayor"),CONCATENATE("R20C",'Mapa final'!$R$63),"")</f>
        <v/>
      </c>
      <c r="V175" s="42" t="str">
        <f ca="1">IF(AND('Mapa final'!$AB$61="Baja",'Mapa final'!$AD$61="Catastrófico"),CONCATENATE("R20C",'Mapa final'!$R$61),"")</f>
        <v/>
      </c>
      <c r="W175" s="43" t="str">
        <f>IF(AND('Mapa final'!$AB$62="Baja",'Mapa final'!$AD$62="Catastrófico"),CONCATENATE("R20C",'Mapa final'!$R$62),"")</f>
        <v/>
      </c>
      <c r="X175" s="97" t="str">
        <f>IF(AND('Mapa final'!$AB$63="Baja",'Mapa final'!$AD$63="Catastrófico"),CONCATENATE("R20C",'Mapa final'!$R$63),"")</f>
        <v/>
      </c>
      <c r="Y175" s="55"/>
      <c r="Z175" s="343"/>
      <c r="AA175" s="344"/>
      <c r="AB175" s="344"/>
      <c r="AC175" s="344"/>
      <c r="AD175" s="344"/>
      <c r="AE175" s="34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row>
    <row r="176" spans="1:61" ht="15" customHeight="1" x14ac:dyDescent="0.25">
      <c r="A176" s="55"/>
      <c r="B176" s="338"/>
      <c r="C176" s="338"/>
      <c r="D176" s="339"/>
      <c r="E176" s="326"/>
      <c r="F176" s="327"/>
      <c r="G176" s="327"/>
      <c r="H176" s="327"/>
      <c r="I176" s="327"/>
      <c r="J176" s="112" t="str">
        <f ca="1">IF(AND('Mapa final'!$AB$64="Baja",'Mapa final'!$AD$64="Leve"),CONCATENATE("R21C",'Mapa final'!$R$64),"")</f>
        <v>R21C1</v>
      </c>
      <c r="K176" s="53" t="str">
        <f>IF(AND('Mapa final'!$AB$65="Baja",'Mapa final'!$AD$65="Leve"),CONCATENATE("R21C",'Mapa final'!$R$65),"")</f>
        <v/>
      </c>
      <c r="L176" s="113" t="str">
        <f>IF(AND('Mapa final'!$AB$66="Baja",'Mapa final'!$AD$66="Leve"),CONCATENATE("R21C",'Mapa final'!$R$66),"")</f>
        <v/>
      </c>
      <c r="M176" s="48" t="str">
        <f ca="1">IF(AND('Mapa final'!$AB$64="Baja",'Mapa final'!$AD$64="Menor"),CONCATENATE("R21C",'Mapa final'!$R$64),"")</f>
        <v/>
      </c>
      <c r="N176" s="49" t="str">
        <f>IF(AND('Mapa final'!$AB$65="Baja",'Mapa final'!$AD$65="Menor"),CONCATENATE("R21C",'Mapa final'!$R$65),"")</f>
        <v/>
      </c>
      <c r="O176" s="108" t="str">
        <f>IF(AND('Mapa final'!$AB$66="Baja",'Mapa final'!$AD$66="Menor"),CONCATENATE("R21C",'Mapa final'!$R$66),"")</f>
        <v/>
      </c>
      <c r="P176" s="48" t="str">
        <f ca="1">IF(AND('Mapa final'!$AB$64="Baja",'Mapa final'!$AD$64="Moderado"),CONCATENATE("R21C",'Mapa final'!$R$64),"")</f>
        <v/>
      </c>
      <c r="Q176" s="49" t="str">
        <f>IF(AND('Mapa final'!$AB$65="Baja",'Mapa final'!$AD$65="Moderado"),CONCATENATE("R21C",'Mapa final'!$R$65),"")</f>
        <v/>
      </c>
      <c r="R176" s="108" t="str">
        <f>IF(AND('Mapa final'!$AB$66="Baja",'Mapa final'!$AD$66="Moderado"),CONCATENATE("R21C",'Mapa final'!$R$66),"")</f>
        <v/>
      </c>
      <c r="S176" s="102" t="str">
        <f ca="1">IF(AND('Mapa final'!$AB$64="Baja",'Mapa final'!$AD$64="Mayor"),CONCATENATE("R21C",'Mapa final'!$R$64),"")</f>
        <v/>
      </c>
      <c r="T176" s="41" t="str">
        <f>IF(AND('Mapa final'!$AB$65="Baja",'Mapa final'!$AD$65="Mayor"),CONCATENATE("R21C",'Mapa final'!$R$65),"")</f>
        <v/>
      </c>
      <c r="U176" s="103" t="str">
        <f>IF(AND('Mapa final'!$AB$66="Baja",'Mapa final'!$AD$66="Mayor"),CONCATENATE("R21C",'Mapa final'!$R$66),"")</f>
        <v/>
      </c>
      <c r="V176" s="42" t="str">
        <f ca="1">IF(AND('Mapa final'!$AB$64="Baja",'Mapa final'!$AD$64="Catastrófico"),CONCATENATE("R21C",'Mapa final'!$R$64),"")</f>
        <v/>
      </c>
      <c r="W176" s="43" t="str">
        <f>IF(AND('Mapa final'!$AB$65="Baja",'Mapa final'!$AD$65="Catastrófico"),CONCATENATE("R21C",'Mapa final'!$R$65),"")</f>
        <v/>
      </c>
      <c r="X176" s="97" t="str">
        <f>IF(AND('Mapa final'!$AB$66="Baja",'Mapa final'!$AD$66="Catastrófico"),CONCATENATE("R21C",'Mapa final'!$R$66),"")</f>
        <v/>
      </c>
      <c r="Y176" s="55"/>
      <c r="Z176" s="343"/>
      <c r="AA176" s="344"/>
      <c r="AB176" s="344"/>
      <c r="AC176" s="344"/>
      <c r="AD176" s="344"/>
      <c r="AE176" s="34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row>
    <row r="177" spans="1:61" ht="15" customHeight="1" x14ac:dyDescent="0.25">
      <c r="A177" s="55"/>
      <c r="B177" s="338"/>
      <c r="C177" s="338"/>
      <c r="D177" s="339"/>
      <c r="E177" s="326"/>
      <c r="F177" s="327"/>
      <c r="G177" s="327"/>
      <c r="H177" s="327"/>
      <c r="I177" s="327"/>
      <c r="J177" s="112" t="str">
        <f ca="1">IF(AND('Mapa final'!$AB$67="Baja",'Mapa final'!$AD$67="Leve"),CONCATENATE("R22C",'Mapa final'!$R$67),"")</f>
        <v/>
      </c>
      <c r="K177" s="53" t="str">
        <f>IF(AND('Mapa final'!$AB$68="Baja",'Mapa final'!$AD$68="Leve"),CONCATENATE("R22C",'Mapa final'!$R$68),"")</f>
        <v/>
      </c>
      <c r="L177" s="113" t="str">
        <f>IF(AND('Mapa final'!$AB$69="Baja",'Mapa final'!$AD$69="Leve"),CONCATENATE("R22C",'Mapa final'!$R$69),"")</f>
        <v/>
      </c>
      <c r="M177" s="48" t="str">
        <f ca="1">IF(AND('Mapa final'!$AB$67="Baja",'Mapa final'!$AD$67="Menor"),CONCATENATE("R22C",'Mapa final'!$R$67),"")</f>
        <v>R22C1</v>
      </c>
      <c r="N177" s="49" t="str">
        <f>IF(AND('Mapa final'!$AB$68="Baja",'Mapa final'!$AD$68="Menor"),CONCATENATE("R22C",'Mapa final'!$R$68),"")</f>
        <v/>
      </c>
      <c r="O177" s="108" t="str">
        <f>IF(AND('Mapa final'!$AB$69="Baja",'Mapa final'!$AD$69="Menor"),CONCATENATE("R22C",'Mapa final'!$R$69),"")</f>
        <v/>
      </c>
      <c r="P177" s="48" t="str">
        <f ca="1">IF(AND('Mapa final'!$AB$67="Baja",'Mapa final'!$AD$67="Moderado"),CONCATENATE("R22C",'Mapa final'!$R$67),"")</f>
        <v/>
      </c>
      <c r="Q177" s="49" t="str">
        <f>IF(AND('Mapa final'!$AB$68="Baja",'Mapa final'!$AD$68="Moderado"),CONCATENATE("R22C",'Mapa final'!$R$68),"")</f>
        <v/>
      </c>
      <c r="R177" s="108" t="str">
        <f>IF(AND('Mapa final'!$AB$69="Baja",'Mapa final'!$AD$69="Moderado"),CONCATENATE("R22C",'Mapa final'!$R$69),"")</f>
        <v/>
      </c>
      <c r="S177" s="102" t="str">
        <f ca="1">IF(AND('Mapa final'!$AB$67="Baja",'Mapa final'!$AD$67="Mayor"),CONCATENATE("R22C",'Mapa final'!$R$67),"")</f>
        <v/>
      </c>
      <c r="T177" s="41" t="str">
        <f>IF(AND('Mapa final'!$AB$68="Baja",'Mapa final'!$AD$68="Mayor"),CONCATENATE("R22C",'Mapa final'!$R$68),"")</f>
        <v/>
      </c>
      <c r="U177" s="103" t="str">
        <f>IF(AND('Mapa final'!$AB$69="Baja",'Mapa final'!$AD$69="Mayor"),CONCATENATE("R22C",'Mapa final'!$R$69),"")</f>
        <v/>
      </c>
      <c r="V177" s="42" t="str">
        <f ca="1">IF(AND('Mapa final'!$AB$67="Baja",'Mapa final'!$AD$67="Catastrófico"),CONCATENATE("R22C",'Mapa final'!$R$67),"")</f>
        <v/>
      </c>
      <c r="W177" s="43" t="str">
        <f>IF(AND('Mapa final'!$AB$68="Baja",'Mapa final'!$AD$68="Catastrófico"),CONCATENATE("R22C",'Mapa final'!$R$68),"")</f>
        <v/>
      </c>
      <c r="X177" s="97" t="str">
        <f>IF(AND('Mapa final'!$AB$69="Baja",'Mapa final'!$AD$69="Catastrófico"),CONCATENATE("R22C",'Mapa final'!$R$69),"")</f>
        <v/>
      </c>
      <c r="Y177" s="55"/>
      <c r="Z177" s="343"/>
      <c r="AA177" s="344"/>
      <c r="AB177" s="344"/>
      <c r="AC177" s="344"/>
      <c r="AD177" s="344"/>
      <c r="AE177" s="34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row>
    <row r="178" spans="1:61" ht="15" customHeight="1" x14ac:dyDescent="0.25">
      <c r="A178" s="55"/>
      <c r="B178" s="338"/>
      <c r="C178" s="338"/>
      <c r="D178" s="339"/>
      <c r="E178" s="326"/>
      <c r="F178" s="327"/>
      <c r="G178" s="327"/>
      <c r="H178" s="327"/>
      <c r="I178" s="327"/>
      <c r="J178" s="112" t="str">
        <f ca="1">IF(AND('Mapa final'!$AB$73="Baja",'Mapa final'!$AD$73="Leve"),CONCATENATE("R23C",'Mapa final'!$R$73),"")</f>
        <v/>
      </c>
      <c r="K178" s="53" t="str">
        <f>IF(AND('Mapa final'!$AB$74="Baja",'Mapa final'!$AD$74="Leve"),CONCATENATE("R23C",'Mapa final'!$R$74),"")</f>
        <v/>
      </c>
      <c r="L178" s="113" t="str">
        <f>IF(AND('Mapa final'!$AB$75="Baja",'Mapa final'!$AD$75="Leve"),CONCATENATE("R23C",'Mapa final'!$R$75),"")</f>
        <v/>
      </c>
      <c r="M178" s="48" t="str">
        <f ca="1">IF(AND('Mapa final'!$AB$73="Baja",'Mapa final'!$AD$73="Menor"),CONCATENATE("R23C",'Mapa final'!$R$73),"")</f>
        <v/>
      </c>
      <c r="N178" s="49" t="str">
        <f>IF(AND('Mapa final'!$AB$74="Baja",'Mapa final'!$AD$74="Menor"),CONCATENATE("R23C",'Mapa final'!$R$74),"")</f>
        <v/>
      </c>
      <c r="O178" s="108" t="str">
        <f>IF(AND('Mapa final'!$AB$75="Baja",'Mapa final'!$AD$75="Menor"),CONCATENATE("R23C",'Mapa final'!$R$75),"")</f>
        <v/>
      </c>
      <c r="P178" s="48" t="str">
        <f ca="1">IF(AND('Mapa final'!$AB$73="Baja",'Mapa final'!$AD$73="Moderado"),CONCATENATE("R23C",'Mapa final'!$R$73),"")</f>
        <v/>
      </c>
      <c r="Q178" s="49" t="str">
        <f>IF(AND('Mapa final'!$AB$74="Baja",'Mapa final'!$AD$74="Moderado"),CONCATENATE("R23C",'Mapa final'!$R$74),"")</f>
        <v/>
      </c>
      <c r="R178" s="108" t="str">
        <f>IF(AND('Mapa final'!$AB$75="Baja",'Mapa final'!$AD$75="Moderado"),CONCATENATE("R23C",'Mapa final'!$R$75),"")</f>
        <v/>
      </c>
      <c r="S178" s="102" t="str">
        <f ca="1">IF(AND('Mapa final'!$AB$73="Baja",'Mapa final'!$AD$73="Mayor"),CONCATENATE("R23C",'Mapa final'!$R$73),"")</f>
        <v>R23C1</v>
      </c>
      <c r="T178" s="41" t="str">
        <f>IF(AND('Mapa final'!$AB$74="Baja",'Mapa final'!$AD$74="Mayor"),CONCATENATE("R23C",'Mapa final'!$R$74),"")</f>
        <v>R23C2</v>
      </c>
      <c r="U178" s="103" t="str">
        <f>IF(AND('Mapa final'!$AB$75="Baja",'Mapa final'!$AD$75="Mayor"),CONCATENATE("R23C",'Mapa final'!$R$75),"")</f>
        <v/>
      </c>
      <c r="V178" s="42" t="str">
        <f ca="1">IF(AND('Mapa final'!$AB$73="Baja",'Mapa final'!$AD$73="Catastrófico"),CONCATENATE("R23C",'Mapa final'!$R$73),"")</f>
        <v/>
      </c>
      <c r="W178" s="43" t="str">
        <f>IF(AND('Mapa final'!$AB$74="Baja",'Mapa final'!$AD$74="Catastrófico"),CONCATENATE("R23C",'Mapa final'!$R$74),"")</f>
        <v/>
      </c>
      <c r="X178" s="97" t="str">
        <f>IF(AND('Mapa final'!$AB$75="Baja",'Mapa final'!$AD$75="Catastrófico"),CONCATENATE("R23C",'Mapa final'!$R$75),"")</f>
        <v/>
      </c>
      <c r="Y178" s="55"/>
      <c r="Z178" s="343"/>
      <c r="AA178" s="344"/>
      <c r="AB178" s="344"/>
      <c r="AC178" s="344"/>
      <c r="AD178" s="344"/>
      <c r="AE178" s="34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row>
    <row r="179" spans="1:61" ht="15" customHeight="1" x14ac:dyDescent="0.25">
      <c r="A179" s="55"/>
      <c r="B179" s="338"/>
      <c r="C179" s="338"/>
      <c r="D179" s="339"/>
      <c r="E179" s="326"/>
      <c r="F179" s="327"/>
      <c r="G179" s="327"/>
      <c r="H179" s="327"/>
      <c r="I179" s="327"/>
      <c r="J179" s="112" t="str">
        <f ca="1">IF(AND('Mapa final'!$AB$76="Baja",'Mapa final'!$AD$76="Leve"),CONCATENATE("R24C",'Mapa final'!$R$76),"")</f>
        <v/>
      </c>
      <c r="K179" s="53" t="str">
        <f>IF(AND('Mapa final'!$AB$77="Baja",'Mapa final'!$AD$77="Leve"),CONCATENATE("R24C",'Mapa final'!$R$77),"")</f>
        <v/>
      </c>
      <c r="L179" s="113" t="str">
        <f>IF(AND('Mapa final'!$AB$78="Baja",'Mapa final'!$AD$78="Leve"),CONCATENATE("R24C",'Mapa final'!$R$78),"")</f>
        <v/>
      </c>
      <c r="M179" s="48" t="str">
        <f ca="1">IF(AND('Mapa final'!$AB$76="Baja",'Mapa final'!$AD$76="Menor"),CONCATENATE("R24C",'Mapa final'!$R$76),"")</f>
        <v/>
      </c>
      <c r="N179" s="49" t="str">
        <f>IF(AND('Mapa final'!$AB$77="Baja",'Mapa final'!$AD$77="Menor"),CONCATENATE("R24C",'Mapa final'!$R$77),"")</f>
        <v/>
      </c>
      <c r="O179" s="108" t="str">
        <f>IF(AND('Mapa final'!$AB$78="Baja",'Mapa final'!$AD$78="Menor"),CONCATENATE("R24C",'Mapa final'!$R$78),"")</f>
        <v/>
      </c>
      <c r="P179" s="48" t="str">
        <f ca="1">IF(AND('Mapa final'!$AB$76="Baja",'Mapa final'!$AD$76="Moderado"),CONCATENATE("R24C",'Mapa final'!$R$76),"")</f>
        <v>R24C1</v>
      </c>
      <c r="Q179" s="49" t="str">
        <f>IF(AND('Mapa final'!$AB$77="Baja",'Mapa final'!$AD$77="Moderado"),CONCATENATE("R24C",'Mapa final'!$R$77),"")</f>
        <v/>
      </c>
      <c r="R179" s="108" t="str">
        <f>IF(AND('Mapa final'!$AB$78="Baja",'Mapa final'!$AD$78="Moderado"),CONCATENATE("R24C",'Mapa final'!$R$78),"")</f>
        <v/>
      </c>
      <c r="S179" s="102" t="str">
        <f ca="1">IF(AND('Mapa final'!$AB$76="Baja",'Mapa final'!$AD$76="Mayor"),CONCATENATE("R24C",'Mapa final'!$R$76),"")</f>
        <v/>
      </c>
      <c r="T179" s="41" t="str">
        <f>IF(AND('Mapa final'!$AB$77="Baja",'Mapa final'!$AD$77="Mayor"),CONCATENATE("R24C",'Mapa final'!$R$77),"")</f>
        <v/>
      </c>
      <c r="U179" s="103" t="str">
        <f>IF(AND('Mapa final'!$AB$78="Baja",'Mapa final'!$AD$78="Mayor"),CONCATENATE("R24C",'Mapa final'!$R$78),"")</f>
        <v/>
      </c>
      <c r="V179" s="42" t="str">
        <f ca="1">IF(AND('Mapa final'!$AB$76="Baja",'Mapa final'!$AD$76="Catastrófico"),CONCATENATE("R24C",'Mapa final'!$R$76),"")</f>
        <v/>
      </c>
      <c r="W179" s="43" t="str">
        <f>IF(AND('Mapa final'!$AB$77="Baja",'Mapa final'!$AD$77="Catastrófico"),CONCATENATE("R24C",'Mapa final'!$R$77),"")</f>
        <v/>
      </c>
      <c r="X179" s="97" t="str">
        <f>IF(AND('Mapa final'!$AB$78="Baja",'Mapa final'!$AD$78="Catastrófico"),CONCATENATE("R24C",'Mapa final'!$R$78),"")</f>
        <v/>
      </c>
      <c r="Y179" s="55"/>
      <c r="Z179" s="343"/>
      <c r="AA179" s="344"/>
      <c r="AB179" s="344"/>
      <c r="AC179" s="344"/>
      <c r="AD179" s="344"/>
      <c r="AE179" s="34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row>
    <row r="180" spans="1:61" ht="15" customHeight="1" x14ac:dyDescent="0.25">
      <c r="A180" s="55"/>
      <c r="B180" s="338"/>
      <c r="C180" s="338"/>
      <c r="D180" s="339"/>
      <c r="E180" s="326"/>
      <c r="F180" s="327"/>
      <c r="G180" s="327"/>
      <c r="H180" s="327"/>
      <c r="I180" s="327"/>
      <c r="J180" s="112" t="str">
        <f ca="1">IF(AND('Mapa final'!$AB$79="Baja",'Mapa final'!$AD$79="Leve"),CONCATENATE("R25C",'Mapa final'!$R$79),"")</f>
        <v/>
      </c>
      <c r="K180" s="53" t="str">
        <f>IF(AND('Mapa final'!$AB$80="Baja",'Mapa final'!$AD$80="Leve"),CONCATENATE("R25C",'Mapa final'!$R$80),"")</f>
        <v/>
      </c>
      <c r="L180" s="113" t="str">
        <f>IF(AND('Mapa final'!$AB$81="Baja",'Mapa final'!$AD$81="Leve"),CONCATENATE("R25C",'Mapa final'!$R$81),"")</f>
        <v/>
      </c>
      <c r="M180" s="48" t="str">
        <f ca="1">IF(AND('Mapa final'!$AB$79="Baja",'Mapa final'!$AD$79="Menor"),CONCATENATE("R25C",'Mapa final'!$R$79),"")</f>
        <v/>
      </c>
      <c r="N180" s="49" t="str">
        <f>IF(AND('Mapa final'!$AB$80="Baja",'Mapa final'!$AD$80="Menor"),CONCATENATE("R25C",'Mapa final'!$R$80),"")</f>
        <v/>
      </c>
      <c r="O180" s="108" t="str">
        <f>IF(AND('Mapa final'!$AB$81="Baja",'Mapa final'!$AD$81="Menor"),CONCATENATE("R25C",'Mapa final'!$R$81),"")</f>
        <v/>
      </c>
      <c r="P180" s="48" t="str">
        <f ca="1">IF(AND('Mapa final'!$AB$79="Baja",'Mapa final'!$AD$79="Moderado"),CONCATENATE("R25C",'Mapa final'!$R$79),"")</f>
        <v>R25C1</v>
      </c>
      <c r="Q180" s="49" t="str">
        <f>IF(AND('Mapa final'!$AB$80="Baja",'Mapa final'!$AD$80="Moderado"),CONCATENATE("R25C",'Mapa final'!$R$80),"")</f>
        <v/>
      </c>
      <c r="R180" s="108" t="str">
        <f>IF(AND('Mapa final'!$AB$81="Baja",'Mapa final'!$AD$81="Moderado"),CONCATENATE("R25C",'Mapa final'!$R$81),"")</f>
        <v/>
      </c>
      <c r="S180" s="102" t="str">
        <f ca="1">IF(AND('Mapa final'!$AB$79="Baja",'Mapa final'!$AD$79="Mayor"),CONCATENATE("R25C",'Mapa final'!$R$79),"")</f>
        <v/>
      </c>
      <c r="T180" s="41" t="str">
        <f>IF(AND('Mapa final'!$AB$80="Baja",'Mapa final'!$AD$80="Mayor"),CONCATENATE("R25C",'Mapa final'!$R$80),"")</f>
        <v/>
      </c>
      <c r="U180" s="103" t="str">
        <f>IF(AND('Mapa final'!$AB$81="Baja",'Mapa final'!$AD$81="Mayor"),CONCATENATE("R25C",'Mapa final'!$R$81),"")</f>
        <v/>
      </c>
      <c r="V180" s="42" t="str">
        <f ca="1">IF(AND('Mapa final'!$AB$79="Baja",'Mapa final'!$AD$79="Catastrófico"),CONCATENATE("R25C",'Mapa final'!$R$79),"")</f>
        <v/>
      </c>
      <c r="W180" s="43" t="str">
        <f>IF(AND('Mapa final'!$AB$80="Baja",'Mapa final'!$AD$80="Catastrófico"),CONCATENATE("R25C",'Mapa final'!$R$80),"")</f>
        <v/>
      </c>
      <c r="X180" s="97" t="str">
        <f>IF(AND('Mapa final'!$AB$81="Baja",'Mapa final'!$AD$81="Catastrófico"),CONCATENATE("R25C",'Mapa final'!$R$81),"")</f>
        <v/>
      </c>
      <c r="Y180" s="55"/>
      <c r="Z180" s="343"/>
      <c r="AA180" s="344"/>
      <c r="AB180" s="344"/>
      <c r="AC180" s="344"/>
      <c r="AD180" s="344"/>
      <c r="AE180" s="34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row>
    <row r="181" spans="1:61" ht="15" customHeight="1" x14ac:dyDescent="0.25">
      <c r="A181" s="55"/>
      <c r="B181" s="338"/>
      <c r="C181" s="338"/>
      <c r="D181" s="339"/>
      <c r="E181" s="326"/>
      <c r="F181" s="327"/>
      <c r="G181" s="327"/>
      <c r="H181" s="327"/>
      <c r="I181" s="327"/>
      <c r="J181" s="112" t="str">
        <f ca="1">IF(AND('Mapa final'!$AB$82="Baja",'Mapa final'!$AD$82="Leve"),CONCATENATE("R26C",'Mapa final'!$R$82),"")</f>
        <v/>
      </c>
      <c r="K181" s="53" t="str">
        <f ca="1">IF(AND('Mapa final'!$AB$83="Baja",'Mapa final'!$AD$83="Leve"),CONCATENATE("R26C",'Mapa final'!$R$83),"")</f>
        <v/>
      </c>
      <c r="L181" s="113" t="str">
        <f ca="1">IF(AND('Mapa final'!$AB$84="Baja",'Mapa final'!$AD$84="Leve"),CONCATENATE("R26C",'Mapa final'!$R$84),"")</f>
        <v/>
      </c>
      <c r="M181" s="48" t="str">
        <f ca="1">IF(AND('Mapa final'!$AB$82="Baja",'Mapa final'!$AD$82="Menor"),CONCATENATE("R26C",'Mapa final'!$R$82),"")</f>
        <v/>
      </c>
      <c r="N181" s="49" t="str">
        <f ca="1">IF(AND('Mapa final'!$AB$83="Baja",'Mapa final'!$AD$83="Menor"),CONCATENATE("R26C",'Mapa final'!$R$83),"")</f>
        <v/>
      </c>
      <c r="O181" s="108" t="str">
        <f ca="1">IF(AND('Mapa final'!$AB$84="Baja",'Mapa final'!$AD$84="Menor"),CONCATENATE("R26C",'Mapa final'!$R$84),"")</f>
        <v/>
      </c>
      <c r="P181" s="48" t="str">
        <f ca="1">IF(AND('Mapa final'!$AB$82="Baja",'Mapa final'!$AD$82="Moderado"),CONCATENATE("R26C",'Mapa final'!$R$82),"")</f>
        <v/>
      </c>
      <c r="Q181" s="49" t="str">
        <f ca="1">IF(AND('Mapa final'!$AB$83="Baja",'Mapa final'!$AD$83="Moderado"),CONCATENATE("R26C",'Mapa final'!$R$83),"")</f>
        <v/>
      </c>
      <c r="R181" s="108" t="str">
        <f ca="1">IF(AND('Mapa final'!$AB$84="Baja",'Mapa final'!$AD$84="Moderado"),CONCATENATE("R26C",'Mapa final'!$R$84),"")</f>
        <v/>
      </c>
      <c r="S181" s="102" t="str">
        <f ca="1">IF(AND('Mapa final'!$AB$82="Baja",'Mapa final'!$AD$82="Mayor"),CONCATENATE("R26C",'Mapa final'!$R$82),"")</f>
        <v/>
      </c>
      <c r="T181" s="41" t="str">
        <f ca="1">IF(AND('Mapa final'!$AB$83="Baja",'Mapa final'!$AD$83="Mayor"),CONCATENATE("R26C",'Mapa final'!$R$83),"")</f>
        <v/>
      </c>
      <c r="U181" s="103" t="str">
        <f ca="1">IF(AND('Mapa final'!$AB$84="Baja",'Mapa final'!$AD$84="Mayor"),CONCATENATE("R26C",'Mapa final'!$R$84),"")</f>
        <v/>
      </c>
      <c r="V181" s="42" t="str">
        <f ca="1">IF(AND('Mapa final'!$AB$82="Baja",'Mapa final'!$AD$82="Catastrófico"),CONCATENATE("R26C",'Mapa final'!$R$82),"")</f>
        <v/>
      </c>
      <c r="W181" s="43" t="str">
        <f ca="1">IF(AND('Mapa final'!$AB$83="Baja",'Mapa final'!$AD$83="Catastrófico"),CONCATENATE("R26C",'Mapa final'!$R$83),"")</f>
        <v/>
      </c>
      <c r="X181" s="97" t="str">
        <f ca="1">IF(AND('Mapa final'!$AB$84="Baja",'Mapa final'!$AD$84="Catastrófico"),CONCATENATE("R26C",'Mapa final'!$R$84),"")</f>
        <v/>
      </c>
      <c r="Y181" s="55"/>
      <c r="Z181" s="343"/>
      <c r="AA181" s="344"/>
      <c r="AB181" s="344"/>
      <c r="AC181" s="344"/>
      <c r="AD181" s="344"/>
      <c r="AE181" s="34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row>
    <row r="182" spans="1:61" ht="15" customHeight="1" x14ac:dyDescent="0.25">
      <c r="A182" s="55"/>
      <c r="B182" s="338"/>
      <c r="C182" s="338"/>
      <c r="D182" s="339"/>
      <c r="E182" s="326"/>
      <c r="F182" s="327"/>
      <c r="G182" s="327"/>
      <c r="H182" s="327"/>
      <c r="I182" s="327"/>
      <c r="J182" s="112" t="str">
        <f ca="1">IF(AND('Mapa final'!$AB$85="Baja",'Mapa final'!$AD$85="Leve"),CONCATENATE("R27C",'Mapa final'!$R$85),"")</f>
        <v/>
      </c>
      <c r="K182" s="53" t="str">
        <f>IF(AND('Mapa final'!$AB$86="Baja",'Mapa final'!$AD$86="Leve"),CONCATENATE("R27C",'Mapa final'!$R$86),"")</f>
        <v/>
      </c>
      <c r="L182" s="113" t="str">
        <f>IF(AND('Mapa final'!$AB$87="Baja",'Mapa final'!$AD$87="Leve"),CONCATENATE("R27C",'Mapa final'!$R$87),"")</f>
        <v/>
      </c>
      <c r="M182" s="48" t="str">
        <f ca="1">IF(AND('Mapa final'!$AB$85="Baja",'Mapa final'!$AD$85="Menor"),CONCATENATE("R27C",'Mapa final'!$R$85),"")</f>
        <v/>
      </c>
      <c r="N182" s="49" t="str">
        <f>IF(AND('Mapa final'!$AB$86="Baja",'Mapa final'!$AD$86="Menor"),CONCATENATE("R27C",'Mapa final'!$R$86),"")</f>
        <v/>
      </c>
      <c r="O182" s="108" t="str">
        <f>IF(AND('Mapa final'!$AB$87="Baja",'Mapa final'!$AD$87="Menor"),CONCATENATE("R27C",'Mapa final'!$R$87),"")</f>
        <v/>
      </c>
      <c r="P182" s="48" t="str">
        <f ca="1">IF(AND('Mapa final'!$AB$85="Baja",'Mapa final'!$AD$85="Moderado"),CONCATENATE("R27C",'Mapa final'!$R$85),"")</f>
        <v>R27C1</v>
      </c>
      <c r="Q182" s="49" t="str">
        <f>IF(AND('Mapa final'!$AB$86="Baja",'Mapa final'!$AD$86="Moderado"),CONCATENATE("R27C",'Mapa final'!$R$86),"")</f>
        <v/>
      </c>
      <c r="R182" s="108" t="str">
        <f>IF(AND('Mapa final'!$AB$87="Baja",'Mapa final'!$AD$87="Moderado"),CONCATENATE("R27C",'Mapa final'!$R$87),"")</f>
        <v/>
      </c>
      <c r="S182" s="102" t="str">
        <f ca="1">IF(AND('Mapa final'!$AB$85="Baja",'Mapa final'!$AD$85="Mayor"),CONCATENATE("R27C",'Mapa final'!$R$85),"")</f>
        <v/>
      </c>
      <c r="T182" s="41" t="str">
        <f>IF(AND('Mapa final'!$AB$86="Baja",'Mapa final'!$AD$86="Mayor"),CONCATENATE("R27C",'Mapa final'!$R$86),"")</f>
        <v/>
      </c>
      <c r="U182" s="103" t="str">
        <f>IF(AND('Mapa final'!$AB$87="Baja",'Mapa final'!$AD$87="Mayor"),CONCATENATE("R27C",'Mapa final'!$R$87),"")</f>
        <v/>
      </c>
      <c r="V182" s="42" t="str">
        <f ca="1">IF(AND('Mapa final'!$AB$85="Baja",'Mapa final'!$AD$85="Catastrófico"),CONCATENATE("R27C",'Mapa final'!$R$85),"")</f>
        <v/>
      </c>
      <c r="W182" s="43" t="str">
        <f>IF(AND('Mapa final'!$AB$86="Baja",'Mapa final'!$AD$86="Catastrófico"),CONCATENATE("R27C",'Mapa final'!$R$86),"")</f>
        <v/>
      </c>
      <c r="X182" s="97" t="str">
        <f>IF(AND('Mapa final'!$AB$87="Baja",'Mapa final'!$AD$87="Catastrófico"),CONCATENATE("R27C",'Mapa final'!$R$87),"")</f>
        <v/>
      </c>
      <c r="Y182" s="55"/>
      <c r="Z182" s="343"/>
      <c r="AA182" s="344"/>
      <c r="AB182" s="344"/>
      <c r="AC182" s="344"/>
      <c r="AD182" s="344"/>
      <c r="AE182" s="34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row>
    <row r="183" spans="1:61" ht="15" customHeight="1" x14ac:dyDescent="0.25">
      <c r="A183" s="55"/>
      <c r="B183" s="338"/>
      <c r="C183" s="338"/>
      <c r="D183" s="339"/>
      <c r="E183" s="326"/>
      <c r="F183" s="327"/>
      <c r="G183" s="327"/>
      <c r="H183" s="327"/>
      <c r="I183" s="327"/>
      <c r="J183" s="112" t="str">
        <f ca="1">IF(AND('Mapa final'!$AB$88="Baja",'Mapa final'!$AD$88="Leve"),CONCATENATE("R28C",'Mapa final'!$R$88),"")</f>
        <v/>
      </c>
      <c r="K183" s="53" t="str">
        <f>IF(AND('Mapa final'!$AB$89="Baja",'Mapa final'!$AD$89="Leve"),CONCATENATE("R28C",'Mapa final'!$R$89),"")</f>
        <v/>
      </c>
      <c r="L183" s="113" t="str">
        <f>IF(AND('Mapa final'!$AB$90="Baja",'Mapa final'!$AD$90="Leve"),CONCATENATE("R28C",'Mapa final'!$R$90),"")</f>
        <v/>
      </c>
      <c r="M183" s="48" t="str">
        <f ca="1">IF(AND('Mapa final'!$AB$88="Baja",'Mapa final'!$AD$88="Menor"),CONCATENATE("R28C",'Mapa final'!$R$88),"")</f>
        <v/>
      </c>
      <c r="N183" s="49" t="str">
        <f>IF(AND('Mapa final'!$AB$89="Baja",'Mapa final'!$AD$89="Menor"),CONCATENATE("R28C",'Mapa final'!$R$89),"")</f>
        <v/>
      </c>
      <c r="O183" s="108" t="str">
        <f>IF(AND('Mapa final'!$AB$90="Baja",'Mapa final'!$AD$90="Menor"),CONCATENATE("R28C",'Mapa final'!$R$90),"")</f>
        <v/>
      </c>
      <c r="P183" s="48" t="str">
        <f ca="1">IF(AND('Mapa final'!$AB$88="Baja",'Mapa final'!$AD$88="Moderado"),CONCATENATE("R28C",'Mapa final'!$R$88),"")</f>
        <v/>
      </c>
      <c r="Q183" s="49" t="str">
        <f>IF(AND('Mapa final'!$AB$89="Baja",'Mapa final'!$AD$89="Moderado"),CONCATENATE("R28C",'Mapa final'!$R$89),"")</f>
        <v/>
      </c>
      <c r="R183" s="108" t="str">
        <f>IF(AND('Mapa final'!$AB$90="Baja",'Mapa final'!$AD$90="Moderado"),CONCATENATE("R28C",'Mapa final'!$R$90),"")</f>
        <v/>
      </c>
      <c r="S183" s="102" t="str">
        <f ca="1">IF(AND('Mapa final'!$AB$88="Baja",'Mapa final'!$AD$88="Mayor"),CONCATENATE("R28C",'Mapa final'!$R$88),"")</f>
        <v>R28C1</v>
      </c>
      <c r="T183" s="41" t="str">
        <f>IF(AND('Mapa final'!$AB$89="Baja",'Mapa final'!$AD$89="Mayor"),CONCATENATE("R28C",'Mapa final'!$R$89),"")</f>
        <v/>
      </c>
      <c r="U183" s="103" t="str">
        <f>IF(AND('Mapa final'!$AB$90="Baja",'Mapa final'!$AD$90="Mayor"),CONCATENATE("R28C",'Mapa final'!$R$90),"")</f>
        <v/>
      </c>
      <c r="V183" s="42" t="str">
        <f ca="1">IF(AND('Mapa final'!$AB$88="Baja",'Mapa final'!$AD$88="Catastrófico"),CONCATENATE("R28C",'Mapa final'!$R$88),"")</f>
        <v/>
      </c>
      <c r="W183" s="43" t="str">
        <f>IF(AND('Mapa final'!$AB$89="Baja",'Mapa final'!$AD$89="Catastrófico"),CONCATENATE("R28C",'Mapa final'!$R$89),"")</f>
        <v/>
      </c>
      <c r="X183" s="97" t="str">
        <f>IF(AND('Mapa final'!$AB$90="Baja",'Mapa final'!$AD$90="Catastrófico"),CONCATENATE("R28C",'Mapa final'!$R$90),"")</f>
        <v/>
      </c>
      <c r="Y183" s="55"/>
      <c r="Z183" s="343"/>
      <c r="AA183" s="344"/>
      <c r="AB183" s="344"/>
      <c r="AC183" s="344"/>
      <c r="AD183" s="344"/>
      <c r="AE183" s="34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row>
    <row r="184" spans="1:61" ht="15" customHeight="1" x14ac:dyDescent="0.25">
      <c r="A184" s="55"/>
      <c r="B184" s="338"/>
      <c r="C184" s="338"/>
      <c r="D184" s="339"/>
      <c r="E184" s="328"/>
      <c r="F184" s="327"/>
      <c r="G184" s="327"/>
      <c r="H184" s="327"/>
      <c r="I184" s="327"/>
      <c r="J184" s="112" t="str">
        <f ca="1">IF(AND('Mapa final'!$AB$91="Baja",'Mapa final'!$AD$91="Leve"),CONCATENATE("R29C",'Mapa final'!$R$91),"")</f>
        <v/>
      </c>
      <c r="K184" s="53" t="str">
        <f>IF(AND('Mapa final'!$AB$92="Baja",'Mapa final'!$AD$92="Leve"),CONCATENATE("R29C",'Mapa final'!$R$92),"")</f>
        <v/>
      </c>
      <c r="L184" s="113" t="str">
        <f>IF(AND('Mapa final'!$AB$93="Baja",'Mapa final'!$AD$93="Leve"),CONCATENATE("R29C",'Mapa final'!$R$93),"")</f>
        <v/>
      </c>
      <c r="M184" s="48" t="str">
        <f ca="1">IF(AND('Mapa final'!$AB$91="Baja",'Mapa final'!$AD$91="Menor"),CONCATENATE("R29C",'Mapa final'!$R$91),"")</f>
        <v/>
      </c>
      <c r="N184" s="49" t="str">
        <f>IF(AND('Mapa final'!$AB$92="Baja",'Mapa final'!$AD$92="Menor"),CONCATENATE("R29C",'Mapa final'!$R$92),"")</f>
        <v/>
      </c>
      <c r="O184" s="108" t="str">
        <f>IF(AND('Mapa final'!$AB$93="Baja",'Mapa final'!$AD$93="Menor"),CONCATENATE("R29C",'Mapa final'!$R$93),"")</f>
        <v/>
      </c>
      <c r="P184" s="48" t="str">
        <f ca="1">IF(AND('Mapa final'!$AB$91="Baja",'Mapa final'!$AD$91="Moderado"),CONCATENATE("R29C",'Mapa final'!$R$91),"")</f>
        <v/>
      </c>
      <c r="Q184" s="49" t="str">
        <f>IF(AND('Mapa final'!$AB$92="Baja",'Mapa final'!$AD$92="Moderado"),CONCATENATE("R29C",'Mapa final'!$R$92),"")</f>
        <v/>
      </c>
      <c r="R184" s="108" t="str">
        <f>IF(AND('Mapa final'!$AB$93="Baja",'Mapa final'!$AD$93="Moderado"),CONCATENATE("R29C",'Mapa final'!$R$93),"")</f>
        <v/>
      </c>
      <c r="S184" s="102" t="str">
        <f ca="1">IF(AND('Mapa final'!$AB$91="Baja",'Mapa final'!$AD$91="Mayor"),CONCATENATE("R29C",'Mapa final'!$R$91),"")</f>
        <v>R29C1</v>
      </c>
      <c r="T184" s="41" t="str">
        <f>IF(AND('Mapa final'!$AB$92="Baja",'Mapa final'!$AD$92="Mayor"),CONCATENATE("R29C",'Mapa final'!$R$92),"")</f>
        <v/>
      </c>
      <c r="U184" s="103" t="str">
        <f>IF(AND('Mapa final'!$AB$93="Baja",'Mapa final'!$AD$93="Mayor"),CONCATENATE("R29C",'Mapa final'!$R$93),"")</f>
        <v/>
      </c>
      <c r="V184" s="42" t="str">
        <f ca="1">IF(AND('Mapa final'!$AB$91="Baja",'Mapa final'!$AD$91="Catastrófico"),CONCATENATE("R29C",'Mapa final'!$R$91),"")</f>
        <v/>
      </c>
      <c r="W184" s="43" t="str">
        <f>IF(AND('Mapa final'!$AB$92="Baja",'Mapa final'!$AD$92="Catastrófico"),CONCATENATE("R29C",'Mapa final'!$R$92),"")</f>
        <v/>
      </c>
      <c r="X184" s="97" t="str">
        <f>IF(AND('Mapa final'!$AB$93="Baja",'Mapa final'!$AD$93="Catastrófico"),CONCATENATE("R29C",'Mapa final'!$R$93),"")</f>
        <v/>
      </c>
      <c r="Y184" s="55"/>
      <c r="Z184" s="343"/>
      <c r="AA184" s="344"/>
      <c r="AB184" s="344"/>
      <c r="AC184" s="344"/>
      <c r="AD184" s="344"/>
      <c r="AE184" s="34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row>
    <row r="185" spans="1:61" ht="15" customHeight="1" x14ac:dyDescent="0.25">
      <c r="A185" s="55"/>
      <c r="B185" s="338"/>
      <c r="C185" s="338"/>
      <c r="D185" s="339"/>
      <c r="E185" s="328"/>
      <c r="F185" s="327"/>
      <c r="G185" s="327"/>
      <c r="H185" s="327"/>
      <c r="I185" s="327"/>
      <c r="J185" s="112" t="str">
        <f ca="1">IF(AND('Mapa final'!$AB$94="Baja",'Mapa final'!$AD$94="Leve"),CONCATENATE("R30C",'Mapa final'!$R$94),"")</f>
        <v/>
      </c>
      <c r="K185" s="53" t="str">
        <f>IF(AND('Mapa final'!$AB$95="Baja",'Mapa final'!$AD$95="Leve"),CONCATENATE("R30C",'Mapa final'!$R$95),"")</f>
        <v/>
      </c>
      <c r="L185" s="113" t="str">
        <f>IF(AND('Mapa final'!$AB$96="Baja",'Mapa final'!$AD$96="Leve"),CONCATENATE("R30C",'Mapa final'!$R$96),"")</f>
        <v/>
      </c>
      <c r="M185" s="48" t="str">
        <f ca="1">IF(AND('Mapa final'!$AB$94="Baja",'Mapa final'!$AD$94="Menor"),CONCATENATE("R30C",'Mapa final'!$R$94),"")</f>
        <v/>
      </c>
      <c r="N185" s="49" t="str">
        <f>IF(AND('Mapa final'!$AB$95="Baja",'Mapa final'!$AD$95="Menor"),CONCATENATE("R30C",'Mapa final'!$R$95),"")</f>
        <v/>
      </c>
      <c r="O185" s="108" t="str">
        <f>IF(AND('Mapa final'!$AB$96="Baja",'Mapa final'!$AD$96="Menor"),CONCATENATE("R30C",'Mapa final'!$R$96),"")</f>
        <v/>
      </c>
      <c r="P185" s="48" t="str">
        <f ca="1">IF(AND('Mapa final'!$AB$94="Baja",'Mapa final'!$AD$94="Moderado"),CONCATENATE("R30C",'Mapa final'!$R$94),"")</f>
        <v/>
      </c>
      <c r="Q185" s="49" t="str">
        <f>IF(AND('Mapa final'!$AB$95="Baja",'Mapa final'!$AD$95="Moderado"),CONCATENATE("R30C",'Mapa final'!$R$95),"")</f>
        <v/>
      </c>
      <c r="R185" s="108" t="str">
        <f>IF(AND('Mapa final'!$AB$96="Baja",'Mapa final'!$AD$96="Moderado"),CONCATENATE("R30C",'Mapa final'!$R$96),"")</f>
        <v/>
      </c>
      <c r="S185" s="102" t="str">
        <f ca="1">IF(AND('Mapa final'!$AB$94="Baja",'Mapa final'!$AD$94="Mayor"),CONCATENATE("R30C",'Mapa final'!$R$94),"")</f>
        <v/>
      </c>
      <c r="T185" s="41" t="str">
        <f>IF(AND('Mapa final'!$AB$95="Baja",'Mapa final'!$AD$95="Mayor"),CONCATENATE("R30C",'Mapa final'!$R$95),"")</f>
        <v>R30C2</v>
      </c>
      <c r="U185" s="103" t="str">
        <f>IF(AND('Mapa final'!$AB$96="Baja",'Mapa final'!$AD$96="Mayor"),CONCATENATE("R30C",'Mapa final'!$R$96),"")</f>
        <v/>
      </c>
      <c r="V185" s="42" t="str">
        <f ca="1">IF(AND('Mapa final'!$AB$94="Baja",'Mapa final'!$AD$94="Catastrófico"),CONCATENATE("R30C",'Mapa final'!$R$94),"")</f>
        <v/>
      </c>
      <c r="W185" s="43" t="str">
        <f>IF(AND('Mapa final'!$AB$95="Baja",'Mapa final'!$AD$95="Catastrófico"),CONCATENATE("R30C",'Mapa final'!$R$95),"")</f>
        <v/>
      </c>
      <c r="X185" s="97" t="str">
        <f>IF(AND('Mapa final'!$AB$96="Baja",'Mapa final'!$AD$96="Catastrófico"),CONCATENATE("R30C",'Mapa final'!$R$96),"")</f>
        <v/>
      </c>
      <c r="Y185" s="55"/>
      <c r="Z185" s="343"/>
      <c r="AA185" s="344"/>
      <c r="AB185" s="344"/>
      <c r="AC185" s="344"/>
      <c r="AD185" s="344"/>
      <c r="AE185" s="34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row>
    <row r="186" spans="1:61" ht="15" customHeight="1" x14ac:dyDescent="0.25">
      <c r="A186" s="55"/>
      <c r="B186" s="338"/>
      <c r="C186" s="338"/>
      <c r="D186" s="339"/>
      <c r="E186" s="328"/>
      <c r="F186" s="327"/>
      <c r="G186" s="327"/>
      <c r="H186" s="327"/>
      <c r="I186" s="327"/>
      <c r="J186" s="112" t="str">
        <f ca="1">IF(AND('Mapa final'!$AB$97="Baja",'Mapa final'!$AD$97="Leve"),CONCATENATE("R31C",'Mapa final'!$R$97),"")</f>
        <v/>
      </c>
      <c r="K186" s="53" t="str">
        <f>IF(AND('Mapa final'!$AB$98="Baja",'Mapa final'!$AD$98="Leve"),CONCATENATE("R31C",'Mapa final'!$R$98),"")</f>
        <v/>
      </c>
      <c r="L186" s="113" t="str">
        <f>IF(AND('Mapa final'!$AB$99="Baja",'Mapa final'!$AD$99="Leve"),CONCATENATE("R31C",'Mapa final'!$R$99),"")</f>
        <v/>
      </c>
      <c r="M186" s="48" t="str">
        <f ca="1">IF(AND('Mapa final'!$AB$97="Baja",'Mapa final'!$AD$97="Menor"),CONCATENATE("R31C",'Mapa final'!$R$97),"")</f>
        <v/>
      </c>
      <c r="N186" s="49" t="str">
        <f>IF(AND('Mapa final'!$AB$98="Baja",'Mapa final'!$AD$98="Menor"),CONCATENATE("R31C",'Mapa final'!$R$98),"")</f>
        <v/>
      </c>
      <c r="O186" s="108" t="str">
        <f>IF(AND('Mapa final'!$AB$99="Baja",'Mapa final'!$AD$99="Menor"),CONCATENATE("R31C",'Mapa final'!$R$99),"")</f>
        <v/>
      </c>
      <c r="P186" s="48" t="str">
        <f ca="1">IF(AND('Mapa final'!$AB$97="Baja",'Mapa final'!$AD$97="Moderado"),CONCATENATE("R31C",'Mapa final'!$R$97),"")</f>
        <v>R31C1</v>
      </c>
      <c r="Q186" s="49" t="str">
        <f>IF(AND('Mapa final'!$AB$98="Baja",'Mapa final'!$AD$98="Moderado"),CONCATENATE("R31C",'Mapa final'!$R$98),"")</f>
        <v/>
      </c>
      <c r="R186" s="108" t="str">
        <f>IF(AND('Mapa final'!$AB$99="Baja",'Mapa final'!$AD$99="Moderado"),CONCATENATE("R31C",'Mapa final'!$R$99),"")</f>
        <v/>
      </c>
      <c r="S186" s="102" t="str">
        <f ca="1">IF(AND('Mapa final'!$AB$97="Baja",'Mapa final'!$AD$97="Mayor"),CONCATENATE("R31C",'Mapa final'!$R$97),"")</f>
        <v/>
      </c>
      <c r="T186" s="41" t="str">
        <f>IF(AND('Mapa final'!$AB$98="Baja",'Mapa final'!$AD$98="Mayor"),CONCATENATE("R31C",'Mapa final'!$R$98),"")</f>
        <v/>
      </c>
      <c r="U186" s="103" t="str">
        <f>IF(AND('Mapa final'!$AB$99="Baja",'Mapa final'!$AD$99="Mayor"),CONCATENATE("R31C",'Mapa final'!$R$99),"")</f>
        <v/>
      </c>
      <c r="V186" s="42" t="str">
        <f ca="1">IF(AND('Mapa final'!$AB$97="Baja",'Mapa final'!$AD$97="Catastrófico"),CONCATENATE("R31C",'Mapa final'!$R$97),"")</f>
        <v/>
      </c>
      <c r="W186" s="43" t="str">
        <f>IF(AND('Mapa final'!$AB$98="Baja",'Mapa final'!$AD$98="Catastrófico"),CONCATENATE("R31C",'Mapa final'!$R$98),"")</f>
        <v/>
      </c>
      <c r="X186" s="97" t="str">
        <f>IF(AND('Mapa final'!$AB$99="Baja",'Mapa final'!$AD$99="Catastrófico"),CONCATENATE("R31C",'Mapa final'!$R$99),"")</f>
        <v/>
      </c>
      <c r="Y186" s="55"/>
      <c r="Z186" s="343"/>
      <c r="AA186" s="344"/>
      <c r="AB186" s="344"/>
      <c r="AC186" s="344"/>
      <c r="AD186" s="344"/>
      <c r="AE186" s="34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row>
    <row r="187" spans="1:61" ht="15" customHeight="1" x14ac:dyDescent="0.25">
      <c r="A187" s="55"/>
      <c r="B187" s="338"/>
      <c r="C187" s="338"/>
      <c r="D187" s="339"/>
      <c r="E187" s="328"/>
      <c r="F187" s="327"/>
      <c r="G187" s="327"/>
      <c r="H187" s="327"/>
      <c r="I187" s="327"/>
      <c r="J187" s="112" t="str">
        <f ca="1">IF(AND('Mapa final'!$AB$100="Baja",'Mapa final'!$AD$100="Leve"),CONCATENATE("R32C",'Mapa final'!$R$100),"")</f>
        <v/>
      </c>
      <c r="K187" s="53" t="str">
        <f>IF(AND('Mapa final'!$AB$101="Baja",'Mapa final'!$AD$101="Leve"),CONCATENATE("R32C",'Mapa final'!$R$101),"")</f>
        <v/>
      </c>
      <c r="L187" s="113" t="str">
        <f>IF(AND('Mapa final'!$AB$102="Baja",'Mapa final'!$AD$102="Leve"),CONCATENATE("R32C",'Mapa final'!$R$102),"")</f>
        <v/>
      </c>
      <c r="M187" s="48" t="str">
        <f ca="1">IF(AND('Mapa final'!$AB$100="Baja",'Mapa final'!$AD$100="Menor"),CONCATENATE("R32C",'Mapa final'!$R$100),"")</f>
        <v/>
      </c>
      <c r="N187" s="49" t="str">
        <f>IF(AND('Mapa final'!$AB$101="Baja",'Mapa final'!$AD$101="Menor"),CONCATENATE("R32C",'Mapa final'!$R$101),"")</f>
        <v/>
      </c>
      <c r="O187" s="108" t="str">
        <f>IF(AND('Mapa final'!$AB$102="Baja",'Mapa final'!$AD$102="Menor"),CONCATENATE("R32C",'Mapa final'!$R$102),"")</f>
        <v/>
      </c>
      <c r="P187" s="48" t="str">
        <f ca="1">IF(AND('Mapa final'!$AB$100="Baja",'Mapa final'!$AD$100="Moderado"),CONCATENATE("R32C",'Mapa final'!$R$100),"")</f>
        <v/>
      </c>
      <c r="Q187" s="49" t="str">
        <f>IF(AND('Mapa final'!$AB$101="Baja",'Mapa final'!$AD$101="Moderado"),CONCATENATE("R32C",'Mapa final'!$R$101),"")</f>
        <v/>
      </c>
      <c r="R187" s="108" t="str">
        <f>IF(AND('Mapa final'!$AB$102="Baja",'Mapa final'!$AD$102="Moderado"),CONCATENATE("R32C",'Mapa final'!$R$102),"")</f>
        <v/>
      </c>
      <c r="S187" s="102" t="str">
        <f ca="1">IF(AND('Mapa final'!$AB$100="Baja",'Mapa final'!$AD$100="Mayor"),CONCATENATE("R32C",'Mapa final'!$R$100),"")</f>
        <v/>
      </c>
      <c r="T187" s="41" t="str">
        <f>IF(AND('Mapa final'!$AB$101="Baja",'Mapa final'!$AD$101="Mayor"),CONCATENATE("R32C",'Mapa final'!$R$101),"")</f>
        <v/>
      </c>
      <c r="U187" s="103" t="str">
        <f>IF(AND('Mapa final'!$AB$102="Baja",'Mapa final'!$AD$102="Mayor"),CONCATENATE("R32C",'Mapa final'!$R$102),"")</f>
        <v/>
      </c>
      <c r="V187" s="42" t="str">
        <f ca="1">IF(AND('Mapa final'!$AB$100="Baja",'Mapa final'!$AD$100="Catastrófico"),CONCATENATE("R32C",'Mapa final'!$R$100),"")</f>
        <v/>
      </c>
      <c r="W187" s="43" t="str">
        <f>IF(AND('Mapa final'!$AB$101="Baja",'Mapa final'!$AD$101="Catastrófico"),CONCATENATE("R32C",'Mapa final'!$R$101),"")</f>
        <v/>
      </c>
      <c r="X187" s="97" t="str">
        <f>IF(AND('Mapa final'!$AB$102="Baja",'Mapa final'!$AD$102="Catastrófico"),CONCATENATE("R32C",'Mapa final'!$R$102),"")</f>
        <v/>
      </c>
      <c r="Y187" s="55"/>
      <c r="Z187" s="343"/>
      <c r="AA187" s="344"/>
      <c r="AB187" s="344"/>
      <c r="AC187" s="344"/>
      <c r="AD187" s="344"/>
      <c r="AE187" s="34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row>
    <row r="188" spans="1:61" ht="15" customHeight="1" x14ac:dyDescent="0.25">
      <c r="A188" s="55"/>
      <c r="B188" s="338"/>
      <c r="C188" s="338"/>
      <c r="D188" s="339"/>
      <c r="E188" s="328"/>
      <c r="F188" s="327"/>
      <c r="G188" s="327"/>
      <c r="H188" s="327"/>
      <c r="I188" s="327"/>
      <c r="J188" s="112" t="str">
        <f>IF(AND('Mapa final'!$AB$103="Baja",'Mapa final'!$AD$103="Leve"),CONCATENATE("R33C",'Mapa final'!$R$103),"")</f>
        <v/>
      </c>
      <c r="K188" s="53" t="str">
        <f>IF(AND('Mapa final'!$AB$104="Baja",'Mapa final'!$AD$104="Leve"),CONCATENATE("R33C",'Mapa final'!$R$104),"")</f>
        <v/>
      </c>
      <c r="L188" s="113" t="str">
        <f>IF(AND('Mapa final'!$AB$105="Baja",'Mapa final'!$AD$105="Leve"),CONCATENATE("R33C",'Mapa final'!$R$105),"")</f>
        <v/>
      </c>
      <c r="M188" s="48" t="str">
        <f>IF(AND('Mapa final'!$AB$103="Baja",'Mapa final'!$AD$103="Menor"),CONCATENATE("R33C",'Mapa final'!$R$103),"")</f>
        <v/>
      </c>
      <c r="N188" s="49" t="str">
        <f>IF(AND('Mapa final'!$AB$104="Baja",'Mapa final'!$AD$104="Menor"),CONCATENATE("R33C",'Mapa final'!$R$104),"")</f>
        <v/>
      </c>
      <c r="O188" s="108" t="str">
        <f>IF(AND('Mapa final'!$AB$105="Baja",'Mapa final'!$AD$105="Menor"),CONCATENATE("R33C",'Mapa final'!$R$105),"")</f>
        <v/>
      </c>
      <c r="P188" s="48" t="str">
        <f>IF(AND('Mapa final'!$AB$103="Baja",'Mapa final'!$AD$103="Moderado"),CONCATENATE("R33C",'Mapa final'!$R$103),"")</f>
        <v/>
      </c>
      <c r="Q188" s="49" t="str">
        <f>IF(AND('Mapa final'!$AB$104="Baja",'Mapa final'!$AD$104="Moderado"),CONCATENATE("R33C",'Mapa final'!$R$104),"")</f>
        <v/>
      </c>
      <c r="R188" s="108" t="str">
        <f>IF(AND('Mapa final'!$AB$105="Baja",'Mapa final'!$AD$105="Moderado"),CONCATENATE("R33C",'Mapa final'!$R$105),"")</f>
        <v/>
      </c>
      <c r="S188" s="102" t="str">
        <f>IF(AND('Mapa final'!$AB$103="Baja",'Mapa final'!$AD$103="Mayor"),CONCATENATE("R33C",'Mapa final'!$R$103),"")</f>
        <v/>
      </c>
      <c r="T188" s="41" t="str">
        <f>IF(AND('Mapa final'!$AB$104="Baja",'Mapa final'!$AD$104="Mayor"),CONCATENATE("R33C",'Mapa final'!$R$104),"")</f>
        <v/>
      </c>
      <c r="U188" s="103" t="str">
        <f>IF(AND('Mapa final'!$AB$105="Baja",'Mapa final'!$AD$105="Mayor"),CONCATENATE("R33C",'Mapa final'!$R$105),"")</f>
        <v/>
      </c>
      <c r="V188" s="42" t="str">
        <f>IF(AND('Mapa final'!$AB$103="Baja",'Mapa final'!$AD$103="Catastrófico"),CONCATENATE("R33C",'Mapa final'!$R$103),"")</f>
        <v/>
      </c>
      <c r="W188" s="43" t="str">
        <f>IF(AND('Mapa final'!$AB$104="Baja",'Mapa final'!$AD$104="Catastrófico"),CONCATENATE("R33C",'Mapa final'!$R$104),"")</f>
        <v/>
      </c>
      <c r="X188" s="97" t="str">
        <f>IF(AND('Mapa final'!$AB$105="Baja",'Mapa final'!$AD$105="Catastrófico"),CONCATENATE("R33C",'Mapa final'!$R$105),"")</f>
        <v/>
      </c>
      <c r="Y188" s="55"/>
      <c r="Z188" s="343"/>
      <c r="AA188" s="344"/>
      <c r="AB188" s="344"/>
      <c r="AC188" s="344"/>
      <c r="AD188" s="344"/>
      <c r="AE188" s="34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row>
    <row r="189" spans="1:61" ht="15" customHeight="1" x14ac:dyDescent="0.25">
      <c r="A189" s="55"/>
      <c r="B189" s="338"/>
      <c r="C189" s="338"/>
      <c r="D189" s="339"/>
      <c r="E189" s="328"/>
      <c r="F189" s="327"/>
      <c r="G189" s="327"/>
      <c r="H189" s="327"/>
      <c r="I189" s="327"/>
      <c r="J189" s="112" t="str">
        <f ca="1">IF(AND('Mapa final'!$AB$106="Baja",'Mapa final'!$AD$106="Leve"),CONCATENATE("R34C",'Mapa final'!$R$106),"")</f>
        <v/>
      </c>
      <c r="K189" s="53" t="str">
        <f>IF(AND('Mapa final'!$AB$107="Baja",'Mapa final'!$AD$107="Leve"),CONCATENATE("R34C",'Mapa final'!$R$107),"")</f>
        <v/>
      </c>
      <c r="L189" s="113" t="str">
        <f>IF(AND('Mapa final'!$AB$108="Baja",'Mapa final'!$AD$108="Leve"),CONCATENATE("R34C",'Mapa final'!$R$108),"")</f>
        <v/>
      </c>
      <c r="M189" s="48" t="str">
        <f ca="1">IF(AND('Mapa final'!$AB$106="Baja",'Mapa final'!$AD$106="Menor"),CONCATENATE("R34C",'Mapa final'!$R$106),"")</f>
        <v/>
      </c>
      <c r="N189" s="49" t="str">
        <f>IF(AND('Mapa final'!$AB$107="Baja",'Mapa final'!$AD$107="Menor"),CONCATENATE("R34C",'Mapa final'!$R$107),"")</f>
        <v/>
      </c>
      <c r="O189" s="108" t="str">
        <f>IF(AND('Mapa final'!$AB$108="Baja",'Mapa final'!$AD$108="Menor"),CONCATENATE("R34C",'Mapa final'!$R$108),"")</f>
        <v/>
      </c>
      <c r="P189" s="48" t="str">
        <f ca="1">IF(AND('Mapa final'!$AB$106="Baja",'Mapa final'!$AD$106="Moderado"),CONCATENATE("R34C",'Mapa final'!$R$106),"")</f>
        <v/>
      </c>
      <c r="Q189" s="49" t="str">
        <f>IF(AND('Mapa final'!$AB$107="Baja",'Mapa final'!$AD$107="Moderado"),CONCATENATE("R34C",'Mapa final'!$R$107),"")</f>
        <v>R34C2</v>
      </c>
      <c r="R189" s="108" t="str">
        <f>IF(AND('Mapa final'!$AB$108="Baja",'Mapa final'!$AD$108="Moderado"),CONCATENATE("R34C",'Mapa final'!$R$108),"")</f>
        <v/>
      </c>
      <c r="S189" s="102" t="str">
        <f ca="1">IF(AND('Mapa final'!$AB$106="Baja",'Mapa final'!$AD$106="Mayor"),CONCATENATE("R34C",'Mapa final'!$R$106),"")</f>
        <v/>
      </c>
      <c r="T189" s="41" t="str">
        <f>IF(AND('Mapa final'!$AB$107="Baja",'Mapa final'!$AD$107="Mayor"),CONCATENATE("R34C",'Mapa final'!$R$107),"")</f>
        <v/>
      </c>
      <c r="U189" s="103" t="str">
        <f>IF(AND('Mapa final'!$AB$108="Baja",'Mapa final'!$AD$108="Mayor"),CONCATENATE("R34C",'Mapa final'!$R$108),"")</f>
        <v/>
      </c>
      <c r="V189" s="42" t="str">
        <f ca="1">IF(AND('Mapa final'!$AB$106="Baja",'Mapa final'!$AD$106="Catastrófico"),CONCATENATE("R34C",'Mapa final'!$R$106),"")</f>
        <v/>
      </c>
      <c r="W189" s="43" t="str">
        <f>IF(AND('Mapa final'!$AB$107="Baja",'Mapa final'!$AD$107="Catastrófico"),CONCATENATE("R34C",'Mapa final'!$R$107),"")</f>
        <v/>
      </c>
      <c r="X189" s="97" t="str">
        <f>IF(AND('Mapa final'!$AB$108="Baja",'Mapa final'!$AD$108="Catastrófico"),CONCATENATE("R34C",'Mapa final'!$R$108),"")</f>
        <v/>
      </c>
      <c r="Y189" s="55"/>
      <c r="Z189" s="343"/>
      <c r="AA189" s="344"/>
      <c r="AB189" s="344"/>
      <c r="AC189" s="344"/>
      <c r="AD189" s="344"/>
      <c r="AE189" s="34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row>
    <row r="190" spans="1:61" ht="15" customHeight="1" x14ac:dyDescent="0.25">
      <c r="A190" s="55"/>
      <c r="B190" s="338"/>
      <c r="C190" s="338"/>
      <c r="D190" s="339"/>
      <c r="E190" s="328"/>
      <c r="F190" s="327"/>
      <c r="G190" s="327"/>
      <c r="H190" s="327"/>
      <c r="I190" s="327"/>
      <c r="J190" s="112" t="str">
        <f ca="1">IF(AND('Mapa final'!$AB$109="Baja",'Mapa final'!$AD$109="Leve"),CONCATENATE("R35C",'Mapa final'!$R$109),"")</f>
        <v/>
      </c>
      <c r="K190" s="53" t="str">
        <f>IF(AND('Mapa final'!$AB$110="Baja",'Mapa final'!$AD$110="Leve"),CONCATENATE("R35C",'Mapa final'!$R$110),"")</f>
        <v/>
      </c>
      <c r="L190" s="113" t="str">
        <f>IF(AND('Mapa final'!$AB$111="Baja",'Mapa final'!$AD$111="Leve"),CONCATENATE("R35C",'Mapa final'!$R$111),"")</f>
        <v/>
      </c>
      <c r="M190" s="48" t="str">
        <f ca="1">IF(AND('Mapa final'!$AB$109="Baja",'Mapa final'!$AD$109="Menor"),CONCATENATE("R35C",'Mapa final'!$R$109),"")</f>
        <v/>
      </c>
      <c r="N190" s="49" t="str">
        <f>IF(AND('Mapa final'!$AB$110="Baja",'Mapa final'!$AD$110="Menor"),CONCATENATE("R35C",'Mapa final'!$R$110),"")</f>
        <v/>
      </c>
      <c r="O190" s="108" t="str">
        <f>IF(AND('Mapa final'!$AB$111="Baja",'Mapa final'!$AD$111="Menor"),CONCATENATE("R35C",'Mapa final'!$R$111),"")</f>
        <v/>
      </c>
      <c r="P190" s="48" t="str">
        <f ca="1">IF(AND('Mapa final'!$AB$109="Baja",'Mapa final'!$AD$109="Moderado"),CONCATENATE("R35C",'Mapa final'!$R$109),"")</f>
        <v>R35C1</v>
      </c>
      <c r="Q190" s="49" t="str">
        <f>IF(AND('Mapa final'!$AB$110="Baja",'Mapa final'!$AD$110="Moderado"),CONCATENATE("R35C",'Mapa final'!$R$110),"")</f>
        <v>R35C2</v>
      </c>
      <c r="R190" s="108" t="str">
        <f>IF(AND('Mapa final'!$AB$111="Baja",'Mapa final'!$AD$111="Moderado"),CONCATENATE("R35C",'Mapa final'!$R$111),"")</f>
        <v/>
      </c>
      <c r="S190" s="102" t="str">
        <f ca="1">IF(AND('Mapa final'!$AB$109="Baja",'Mapa final'!$AD$109="Mayor"),CONCATENATE("R35C",'Mapa final'!$R$109),"")</f>
        <v/>
      </c>
      <c r="T190" s="41" t="str">
        <f>IF(AND('Mapa final'!$AB$110="Baja",'Mapa final'!$AD$110="Mayor"),CONCATENATE("R35C",'Mapa final'!$R$110),"")</f>
        <v/>
      </c>
      <c r="U190" s="103" t="str">
        <f>IF(AND('Mapa final'!$AB$111="Baja",'Mapa final'!$AD$111="Mayor"),CONCATENATE("R35C",'Mapa final'!$R$111),"")</f>
        <v/>
      </c>
      <c r="V190" s="42" t="str">
        <f ca="1">IF(AND('Mapa final'!$AB$109="Baja",'Mapa final'!$AD$109="Catastrófico"),CONCATENATE("R35C",'Mapa final'!$R$109),"")</f>
        <v/>
      </c>
      <c r="W190" s="43" t="str">
        <f>IF(AND('Mapa final'!$AB$110="Baja",'Mapa final'!$AD$110="Catastrófico"),CONCATENATE("R35C",'Mapa final'!$R$110),"")</f>
        <v/>
      </c>
      <c r="X190" s="97" t="str">
        <f>IF(AND('Mapa final'!$AB$111="Baja",'Mapa final'!$AD$111="Catastrófico"),CONCATENATE("R35C",'Mapa final'!$R$111),"")</f>
        <v/>
      </c>
      <c r="Y190" s="55"/>
      <c r="Z190" s="343"/>
      <c r="AA190" s="344"/>
      <c r="AB190" s="344"/>
      <c r="AC190" s="344"/>
      <c r="AD190" s="344"/>
      <c r="AE190" s="34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row>
    <row r="191" spans="1:61" ht="15" customHeight="1" x14ac:dyDescent="0.25">
      <c r="A191" s="55"/>
      <c r="B191" s="338"/>
      <c r="C191" s="338"/>
      <c r="D191" s="339"/>
      <c r="E191" s="328"/>
      <c r="F191" s="327"/>
      <c r="G191" s="327"/>
      <c r="H191" s="327"/>
      <c r="I191" s="327"/>
      <c r="J191" s="112" t="str">
        <f ca="1">IF(AND('Mapa final'!$AB$112="Baja",'Mapa final'!$AD$112="Leve"),CONCATENATE("R36C",'Mapa final'!$R$112),"")</f>
        <v/>
      </c>
      <c r="K191" s="53" t="str">
        <f>IF(AND('Mapa final'!$AB$113="Baja",'Mapa final'!$AD$113="Leve"),CONCATENATE("R36C",'Mapa final'!$R$113),"")</f>
        <v/>
      </c>
      <c r="L191" s="113" t="str">
        <f>IF(AND('Mapa final'!$AB$114="Baja",'Mapa final'!$AD$114="Leve"),CONCATENATE("R36C",'Mapa final'!$R$114),"")</f>
        <v/>
      </c>
      <c r="M191" s="48" t="str">
        <f ca="1">IF(AND('Mapa final'!$AB$112="Baja",'Mapa final'!$AD$112="Menor"),CONCATENATE("R36C",'Mapa final'!$R$112),"")</f>
        <v/>
      </c>
      <c r="N191" s="49" t="str">
        <f>IF(AND('Mapa final'!$AB$113="Baja",'Mapa final'!$AD$113="Menor"),CONCATENATE("R36C",'Mapa final'!$R$113),"")</f>
        <v/>
      </c>
      <c r="O191" s="108" t="str">
        <f>IF(AND('Mapa final'!$AB$114="Baja",'Mapa final'!$AD$114="Menor"),CONCATENATE("R36C",'Mapa final'!$R$114),"")</f>
        <v/>
      </c>
      <c r="P191" s="48" t="str">
        <f ca="1">IF(AND('Mapa final'!$AB$112="Baja",'Mapa final'!$AD$112="Moderado"),CONCATENATE("R36C",'Mapa final'!$R$112),"")</f>
        <v/>
      </c>
      <c r="Q191" s="49" t="str">
        <f>IF(AND('Mapa final'!$AB$113="Baja",'Mapa final'!$AD$113="Moderado"),CONCATENATE("R36C",'Mapa final'!$R$113),"")</f>
        <v/>
      </c>
      <c r="R191" s="108" t="str">
        <f>IF(AND('Mapa final'!$AB$114="Baja",'Mapa final'!$AD$114="Moderado"),CONCATENATE("R36C",'Mapa final'!$R$114),"")</f>
        <v/>
      </c>
      <c r="S191" s="102" t="str">
        <f ca="1">IF(AND('Mapa final'!$AB$112="Baja",'Mapa final'!$AD$112="Mayor"),CONCATENATE("R36C",'Mapa final'!$R$112),"")</f>
        <v>R36C1</v>
      </c>
      <c r="T191" s="41" t="str">
        <f>IF(AND('Mapa final'!$AB$113="Baja",'Mapa final'!$AD$113="Mayor"),CONCATENATE("R36C",'Mapa final'!$R$113),"")</f>
        <v>R36C2</v>
      </c>
      <c r="U191" s="103" t="str">
        <f>IF(AND('Mapa final'!$AB$114="Baja",'Mapa final'!$AD$114="Mayor"),CONCATENATE("R36C",'Mapa final'!$R$114),"")</f>
        <v/>
      </c>
      <c r="V191" s="42" t="str">
        <f ca="1">IF(AND('Mapa final'!$AB$112="Baja",'Mapa final'!$AD$112="Catastrófico"),CONCATENATE("R36C",'Mapa final'!$R$112),"")</f>
        <v/>
      </c>
      <c r="W191" s="43" t="str">
        <f>IF(AND('Mapa final'!$AB$113="Baja",'Mapa final'!$AD$113="Catastrófico"),CONCATENATE("R36C",'Mapa final'!$R$113),"")</f>
        <v/>
      </c>
      <c r="X191" s="97" t="str">
        <f>IF(AND('Mapa final'!$AB$114="Baja",'Mapa final'!$AD$114="Catastrófico"),CONCATENATE("R36C",'Mapa final'!$R$114),"")</f>
        <v/>
      </c>
      <c r="Y191" s="55"/>
      <c r="Z191" s="343"/>
      <c r="AA191" s="344"/>
      <c r="AB191" s="344"/>
      <c r="AC191" s="344"/>
      <c r="AD191" s="344"/>
      <c r="AE191" s="34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row>
    <row r="192" spans="1:61" ht="15" customHeight="1" x14ac:dyDescent="0.25">
      <c r="A192" s="55"/>
      <c r="B192" s="338"/>
      <c r="C192" s="338"/>
      <c r="D192" s="339"/>
      <c r="E192" s="328"/>
      <c r="F192" s="327"/>
      <c r="G192" s="327"/>
      <c r="H192" s="327"/>
      <c r="I192" s="327"/>
      <c r="J192" s="112" t="str">
        <f ca="1">IF(AND('Mapa final'!$AB$115="Baja",'Mapa final'!$AD$115="Leve"),CONCATENATE("R37C",'Mapa final'!$R$115),"")</f>
        <v/>
      </c>
      <c r="K192" s="53" t="str">
        <f>IF(AND('Mapa final'!$AB$116="Baja",'Mapa final'!$AD$116="Leve"),CONCATENATE("R37C",'Mapa final'!$R$116),"")</f>
        <v/>
      </c>
      <c r="L192" s="113" t="str">
        <f>IF(AND('Mapa final'!$AB$117="Baja",'Mapa final'!$AD$117="Leve"),CONCATENATE("R37C",'Mapa final'!$R$117),"")</f>
        <v/>
      </c>
      <c r="M192" s="48" t="str">
        <f ca="1">IF(AND('Mapa final'!$AB$115="Baja",'Mapa final'!$AD$115="Menor"),CONCATENATE("R37C",'Mapa final'!$R$115),"")</f>
        <v>R37C1</v>
      </c>
      <c r="N192" s="49" t="str">
        <f>IF(AND('Mapa final'!$AB$116="Baja",'Mapa final'!$AD$116="Menor"),CONCATENATE("R37C",'Mapa final'!$R$116),"")</f>
        <v>R37C2</v>
      </c>
      <c r="O192" s="108" t="str">
        <f>IF(AND('Mapa final'!$AB$117="Baja",'Mapa final'!$AD$117="Menor"),CONCATENATE("R37C",'Mapa final'!$R$117),"")</f>
        <v/>
      </c>
      <c r="P192" s="48" t="str">
        <f ca="1">IF(AND('Mapa final'!$AB$115="Baja",'Mapa final'!$AD$115="Moderado"),CONCATENATE("R37C",'Mapa final'!$R$115),"")</f>
        <v/>
      </c>
      <c r="Q192" s="49" t="str">
        <f>IF(AND('Mapa final'!$AB$116="Baja",'Mapa final'!$AD$116="Moderado"),CONCATENATE("R37C",'Mapa final'!$R$116),"")</f>
        <v/>
      </c>
      <c r="R192" s="108" t="str">
        <f>IF(AND('Mapa final'!$AB$117="Baja",'Mapa final'!$AD$117="Moderado"),CONCATENATE("R37C",'Mapa final'!$R$117),"")</f>
        <v/>
      </c>
      <c r="S192" s="102" t="str">
        <f ca="1">IF(AND('Mapa final'!$AB$115="Baja",'Mapa final'!$AD$115="Mayor"),CONCATENATE("R37C",'Mapa final'!$R$115),"")</f>
        <v/>
      </c>
      <c r="T192" s="41" t="str">
        <f>IF(AND('Mapa final'!$AB$116="Baja",'Mapa final'!$AD$116="Mayor"),CONCATENATE("R37C",'Mapa final'!$R$116),"")</f>
        <v/>
      </c>
      <c r="U192" s="103" t="str">
        <f>IF(AND('Mapa final'!$AB$117="Baja",'Mapa final'!$AD$117="Mayor"),CONCATENATE("R37C",'Mapa final'!$R$117),"")</f>
        <v/>
      </c>
      <c r="V192" s="42" t="str">
        <f ca="1">IF(AND('Mapa final'!$AB$115="Baja",'Mapa final'!$AD$115="Catastrófico"),CONCATENATE("R37C",'Mapa final'!$R$115),"")</f>
        <v/>
      </c>
      <c r="W192" s="43" t="str">
        <f>IF(AND('Mapa final'!$AB$116="Baja",'Mapa final'!$AD$116="Catastrófico"),CONCATENATE("R37C",'Mapa final'!$R$116),"")</f>
        <v/>
      </c>
      <c r="X192" s="97" t="str">
        <f>IF(AND('Mapa final'!$AB$117="Baja",'Mapa final'!$AD$117="Catastrófico"),CONCATENATE("R37C",'Mapa final'!$R$117),"")</f>
        <v/>
      </c>
      <c r="Y192" s="55"/>
      <c r="Z192" s="343"/>
      <c r="AA192" s="344"/>
      <c r="AB192" s="344"/>
      <c r="AC192" s="344"/>
      <c r="AD192" s="344"/>
      <c r="AE192" s="34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row>
    <row r="193" spans="1:65" ht="15" customHeight="1" x14ac:dyDescent="0.25">
      <c r="A193" s="55"/>
      <c r="B193" s="338"/>
      <c r="C193" s="338"/>
      <c r="D193" s="339"/>
      <c r="E193" s="328"/>
      <c r="F193" s="327"/>
      <c r="G193" s="327"/>
      <c r="H193" s="327"/>
      <c r="I193" s="327"/>
      <c r="J193" s="112" t="str">
        <f ca="1">IF(AND('Mapa final'!$AB$118="Baja",'Mapa final'!$AD$118="Leve"),CONCATENATE("R38C",'Mapa final'!$R$118),"")</f>
        <v/>
      </c>
      <c r="K193" s="53" t="str">
        <f>IF(AND('Mapa final'!$AB$119="Baja",'Mapa final'!$AD$119="Leve"),CONCATENATE("R38C",'Mapa final'!$R$119),"")</f>
        <v/>
      </c>
      <c r="L193" s="113" t="str">
        <f>IF(AND('Mapa final'!$AB$120="Baja",'Mapa final'!$AD$120="Leve"),CONCATENATE("R38C",'Mapa final'!$R$120),"")</f>
        <v/>
      </c>
      <c r="M193" s="48" t="str">
        <f ca="1">IF(AND('Mapa final'!$AB$118="Baja",'Mapa final'!$AD$118="Menor"),CONCATENATE("R38C",'Mapa final'!$R$118),"")</f>
        <v>R38C1</v>
      </c>
      <c r="N193" s="49" t="str">
        <f>IF(AND('Mapa final'!$AB$119="Baja",'Mapa final'!$AD$119="Menor"),CONCATENATE("R38C",'Mapa final'!$R$119),"")</f>
        <v/>
      </c>
      <c r="O193" s="108" t="str">
        <f>IF(AND('Mapa final'!$AB$120="Baja",'Mapa final'!$AD$120="Menor"),CONCATENATE("R38C",'Mapa final'!$R$120),"")</f>
        <v/>
      </c>
      <c r="P193" s="48" t="str">
        <f ca="1">IF(AND('Mapa final'!$AB$118="Baja",'Mapa final'!$AD$118="Moderado"),CONCATENATE("R38C",'Mapa final'!$R$118),"")</f>
        <v/>
      </c>
      <c r="Q193" s="49" t="str">
        <f>IF(AND('Mapa final'!$AB$119="Baja",'Mapa final'!$AD$119="Moderado"),CONCATENATE("R38C",'Mapa final'!$R$119),"")</f>
        <v/>
      </c>
      <c r="R193" s="108" t="str">
        <f>IF(AND('Mapa final'!$AB$120="Baja",'Mapa final'!$AD$120="Moderado"),CONCATENATE("R38C",'Mapa final'!$R$120),"")</f>
        <v/>
      </c>
      <c r="S193" s="102" t="str">
        <f ca="1">IF(AND('Mapa final'!$AB$118="Baja",'Mapa final'!$AD$118="Mayor"),CONCATENATE("R38C",'Mapa final'!$R$118),"")</f>
        <v/>
      </c>
      <c r="T193" s="41" t="str">
        <f>IF(AND('Mapa final'!$AB$119="Baja",'Mapa final'!$AD$119="Mayor"),CONCATENATE("R38C",'Mapa final'!$R$119),"")</f>
        <v/>
      </c>
      <c r="U193" s="103" t="str">
        <f>IF(AND('Mapa final'!$AB$120="Baja",'Mapa final'!$AD$120="Mayor"),CONCATENATE("R38C",'Mapa final'!$R$120),"")</f>
        <v/>
      </c>
      <c r="V193" s="42" t="str">
        <f ca="1">IF(AND('Mapa final'!$AB$118="Baja",'Mapa final'!$AD$118="Catastrófico"),CONCATENATE("R38C",'Mapa final'!$R$118),"")</f>
        <v/>
      </c>
      <c r="W193" s="43" t="str">
        <f>IF(AND('Mapa final'!$AB$119="Baja",'Mapa final'!$AD$119="Catastrófico"),CONCATENATE("R38C",'Mapa final'!$R$119),"")</f>
        <v/>
      </c>
      <c r="X193" s="97" t="str">
        <f>IF(AND('Mapa final'!$AB$120="Baja",'Mapa final'!$AD$120="Catastrófico"),CONCATENATE("R38C",'Mapa final'!$R$120),"")</f>
        <v/>
      </c>
      <c r="Y193" s="55"/>
      <c r="Z193" s="343"/>
      <c r="AA193" s="344"/>
      <c r="AB193" s="344"/>
      <c r="AC193" s="344"/>
      <c r="AD193" s="344"/>
      <c r="AE193" s="34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row>
    <row r="194" spans="1:65" ht="15" customHeight="1" x14ac:dyDescent="0.25">
      <c r="A194" s="55"/>
      <c r="B194" s="338"/>
      <c r="C194" s="338"/>
      <c r="D194" s="339"/>
      <c r="E194" s="328"/>
      <c r="F194" s="327"/>
      <c r="G194" s="327"/>
      <c r="H194" s="327"/>
      <c r="I194" s="327"/>
      <c r="J194" s="112" t="str">
        <f ca="1">IF(AND('Mapa final'!$AB$121="Baja",'Mapa final'!$AD$121="Leve"),CONCATENATE("R39C",'Mapa final'!$R$121),"")</f>
        <v/>
      </c>
      <c r="K194" s="53" t="str">
        <f>IF(AND('Mapa final'!$AB$122="Baja",'Mapa final'!$AD$122="Leve"),CONCATENATE("R39C",'Mapa final'!$R$122),"")</f>
        <v/>
      </c>
      <c r="L194" s="113" t="str">
        <f>IF(AND('Mapa final'!$AB$123="Baja",'Mapa final'!$AD$123="Leve"),CONCATENATE("R39C",'Mapa final'!$R$123),"")</f>
        <v/>
      </c>
      <c r="M194" s="48" t="str">
        <f ca="1">IF(AND('Mapa final'!$AB$121="Baja",'Mapa final'!$AD$121="Menor"),CONCATENATE("R39C",'Mapa final'!$R$121),"")</f>
        <v/>
      </c>
      <c r="N194" s="49" t="str">
        <f>IF(AND('Mapa final'!$AB$122="Baja",'Mapa final'!$AD$122="Menor"),CONCATENATE("R39C",'Mapa final'!$R$122),"")</f>
        <v>R39C2</v>
      </c>
      <c r="O194" s="108" t="str">
        <f>IF(AND('Mapa final'!$AB$123="Baja",'Mapa final'!$AD$123="Menor"),CONCATENATE("R39C",'Mapa final'!$R$123),"")</f>
        <v>R39C3</v>
      </c>
      <c r="P194" s="48" t="str">
        <f ca="1">IF(AND('Mapa final'!$AB$121="Baja",'Mapa final'!$AD$121="Moderado"),CONCATENATE("R39C",'Mapa final'!$R$121),"")</f>
        <v/>
      </c>
      <c r="Q194" s="49" t="str">
        <f>IF(AND('Mapa final'!$AB$122="Baja",'Mapa final'!$AD$122="Moderado"),CONCATENATE("R39C",'Mapa final'!$R$122),"")</f>
        <v/>
      </c>
      <c r="R194" s="108" t="str">
        <f>IF(AND('Mapa final'!$AB$123="Baja",'Mapa final'!$AD$123="Moderado"),CONCATENATE("R39C",'Mapa final'!$R$123),"")</f>
        <v/>
      </c>
      <c r="S194" s="102" t="str">
        <f ca="1">IF(AND('Mapa final'!$AB$121="Baja",'Mapa final'!$AD$121="Mayor"),CONCATENATE("R39C",'Mapa final'!$R$121),"")</f>
        <v/>
      </c>
      <c r="T194" s="41" t="str">
        <f>IF(AND('Mapa final'!$AB$122="Baja",'Mapa final'!$AD$122="Mayor"),CONCATENATE("R39C",'Mapa final'!$R$122),"")</f>
        <v/>
      </c>
      <c r="U194" s="103" t="str">
        <f>IF(AND('Mapa final'!$AB$123="Baja",'Mapa final'!$AD$123="Mayor"),CONCATENATE("R39C",'Mapa final'!$R$123),"")</f>
        <v/>
      </c>
      <c r="V194" s="42" t="str">
        <f ca="1">IF(AND('Mapa final'!$AB$121="Baja",'Mapa final'!$AD$121="Catastrófico"),CONCATENATE("R39C",'Mapa final'!$R$121),"")</f>
        <v/>
      </c>
      <c r="W194" s="43" t="str">
        <f>IF(AND('Mapa final'!$AB$122="Baja",'Mapa final'!$AD$122="Catastrófico"),CONCATENATE("R39C",'Mapa final'!$R$122),"")</f>
        <v/>
      </c>
      <c r="X194" s="97" t="str">
        <f>IF(AND('Mapa final'!$AB$123="Baja",'Mapa final'!$AD$123="Catastrófico"),CONCATENATE("R39C",'Mapa final'!$R$123),"")</f>
        <v/>
      </c>
      <c r="Y194" s="55"/>
      <c r="Z194" s="343"/>
      <c r="AA194" s="344"/>
      <c r="AB194" s="344"/>
      <c r="AC194" s="344"/>
      <c r="AD194" s="344"/>
      <c r="AE194" s="34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row>
    <row r="195" spans="1:65" ht="15" customHeight="1" x14ac:dyDescent="0.25">
      <c r="A195" s="55"/>
      <c r="B195" s="338"/>
      <c r="C195" s="338"/>
      <c r="D195" s="339"/>
      <c r="E195" s="328"/>
      <c r="F195" s="327"/>
      <c r="G195" s="327"/>
      <c r="H195" s="327"/>
      <c r="I195" s="327"/>
      <c r="J195" s="112" t="str">
        <f ca="1">IF(AND('Mapa final'!$AB$124="Baja",'Mapa final'!$AD$124="Leve"),CONCATENATE("R40C",'Mapa final'!$R$124),"")</f>
        <v/>
      </c>
      <c r="K195" s="53" t="str">
        <f>IF(AND('Mapa final'!$AB$125="Baja",'Mapa final'!$AD$125="Leve"),CONCATENATE("R40C",'Mapa final'!$R$125),"")</f>
        <v>R40C2</v>
      </c>
      <c r="L195" s="113" t="str">
        <f>IF(AND('Mapa final'!$AB$126="Baja",'Mapa final'!$AD$126="Leve"),CONCATENATE("R40C",'Mapa final'!$R$126),"")</f>
        <v/>
      </c>
      <c r="M195" s="48" t="str">
        <f ca="1">IF(AND('Mapa final'!$AB$124="Baja",'Mapa final'!$AD$124="Menor"),CONCATENATE("R40C",'Mapa final'!$R$124),"")</f>
        <v/>
      </c>
      <c r="N195" s="49" t="str">
        <f>IF(AND('Mapa final'!$AB$125="Baja",'Mapa final'!$AD$125="Menor"),CONCATENATE("R40C",'Mapa final'!$R$125),"")</f>
        <v/>
      </c>
      <c r="O195" s="108" t="str">
        <f>IF(AND('Mapa final'!$AB$126="Baja",'Mapa final'!$AD$126="Menor"),CONCATENATE("R40C",'Mapa final'!$R$126),"")</f>
        <v/>
      </c>
      <c r="P195" s="48" t="str">
        <f ca="1">IF(AND('Mapa final'!$AB$124="Baja",'Mapa final'!$AD$124="Moderado"),CONCATENATE("R40C",'Mapa final'!$R$124),"")</f>
        <v>R40C1</v>
      </c>
      <c r="Q195" s="49" t="str">
        <f>IF(AND('Mapa final'!$AB$125="Baja",'Mapa final'!$AD$125="Moderado"),CONCATENATE("R40C",'Mapa final'!$R$125),"")</f>
        <v/>
      </c>
      <c r="R195" s="108" t="str">
        <f>IF(AND('Mapa final'!$AB$126="Baja",'Mapa final'!$AD$126="Moderado"),CONCATENATE("R40C",'Mapa final'!$R$126),"")</f>
        <v/>
      </c>
      <c r="S195" s="102" t="str">
        <f ca="1">IF(AND('Mapa final'!$AB$124="Baja",'Mapa final'!$AD$124="Mayor"),CONCATENATE("R40C",'Mapa final'!$R$124),"")</f>
        <v/>
      </c>
      <c r="T195" s="41" t="str">
        <f>IF(AND('Mapa final'!$AB$125="Baja",'Mapa final'!$AD$125="Mayor"),CONCATENATE("R40C",'Mapa final'!$R$125),"")</f>
        <v/>
      </c>
      <c r="U195" s="103" t="str">
        <f>IF(AND('Mapa final'!$AB$126="Baja",'Mapa final'!$AD$126="Mayor"),CONCATENATE("R40C",'Mapa final'!$R$126),"")</f>
        <v/>
      </c>
      <c r="V195" s="42" t="str">
        <f ca="1">IF(AND('Mapa final'!$AB$124="Baja",'Mapa final'!$AD$124="Catastrófico"),CONCATENATE("R40C",'Mapa final'!$R$124),"")</f>
        <v/>
      </c>
      <c r="W195" s="43" t="str">
        <f>IF(AND('Mapa final'!$AB$125="Baja",'Mapa final'!$AD$125="Catastrófico"),CONCATENATE("R40C",'Mapa final'!$R$125),"")</f>
        <v/>
      </c>
      <c r="X195" s="97" t="str">
        <f>IF(AND('Mapa final'!$AB$126="Baja",'Mapa final'!$AD$126="Catastrófico"),CONCATENATE("R40C",'Mapa final'!$R$126),"")</f>
        <v/>
      </c>
      <c r="Y195" s="55"/>
      <c r="Z195" s="343"/>
      <c r="AA195" s="344"/>
      <c r="AB195" s="344"/>
      <c r="AC195" s="344"/>
      <c r="AD195" s="344"/>
      <c r="AE195" s="34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row>
    <row r="196" spans="1:65" ht="15" customHeight="1" x14ac:dyDescent="0.25">
      <c r="A196" s="55"/>
      <c r="B196" s="338"/>
      <c r="C196" s="338"/>
      <c r="D196" s="339"/>
      <c r="E196" s="328"/>
      <c r="F196" s="327"/>
      <c r="G196" s="327"/>
      <c r="H196" s="327"/>
      <c r="I196" s="327"/>
      <c r="J196" s="112" t="str">
        <f ca="1">IF(AND('Mapa final'!$AB$127="Baja",'Mapa final'!$AD$127="Leve"),CONCATENATE("R41C",'Mapa final'!$R$127),"")</f>
        <v/>
      </c>
      <c r="K196" s="53" t="str">
        <f>IF(AND('Mapa final'!$AB$128="Baja",'Mapa final'!$AD$128="Leve"),CONCATENATE("R41C",'Mapa final'!$R$128),"")</f>
        <v/>
      </c>
      <c r="L196" s="113" t="str">
        <f>IF(AND('Mapa final'!$AB$129="Baja",'Mapa final'!$AD$129="Leve"),CONCATENATE("R41C",'Mapa final'!$R$129),"")</f>
        <v/>
      </c>
      <c r="M196" s="48" t="str">
        <f ca="1">IF(AND('Mapa final'!$AB$127="Baja",'Mapa final'!$AD$127="Menor"),CONCATENATE("R41C",'Mapa final'!$R$127),"")</f>
        <v/>
      </c>
      <c r="N196" s="49" t="str">
        <f>IF(AND('Mapa final'!$AB$128="Baja",'Mapa final'!$AD$128="Menor"),CONCATENATE("R41C",'Mapa final'!$R$128),"")</f>
        <v/>
      </c>
      <c r="O196" s="108" t="str">
        <f>IF(AND('Mapa final'!$AB$129="Baja",'Mapa final'!$AD$129="Menor"),CONCATENATE("R41C",'Mapa final'!$R$129),"")</f>
        <v/>
      </c>
      <c r="P196" s="48" t="str">
        <f ca="1">IF(AND('Mapa final'!$AB$127="Baja",'Mapa final'!$AD$127="Moderado"),CONCATENATE("R41C",'Mapa final'!$R$127),"")</f>
        <v/>
      </c>
      <c r="Q196" s="49" t="str">
        <f>IF(AND('Mapa final'!$AB$128="Baja",'Mapa final'!$AD$128="Moderado"),CONCATENATE("R41C",'Mapa final'!$R$128),"")</f>
        <v/>
      </c>
      <c r="R196" s="108" t="str">
        <f>IF(AND('Mapa final'!$AB$129="Baja",'Mapa final'!$AD$129="Moderado"),CONCATENATE("R41C",'Mapa final'!$R$129),"")</f>
        <v/>
      </c>
      <c r="S196" s="102" t="str">
        <f ca="1">IF(AND('Mapa final'!$AB$127="Baja",'Mapa final'!$AD$127="Mayor"),CONCATENATE("R41C",'Mapa final'!$R$127),"")</f>
        <v/>
      </c>
      <c r="T196" s="41" t="str">
        <f>IF(AND('Mapa final'!$AB$128="Baja",'Mapa final'!$AD$128="Mayor"),CONCATENATE("R41C",'Mapa final'!$R$128),"")</f>
        <v/>
      </c>
      <c r="U196" s="103" t="str">
        <f>IF(AND('Mapa final'!$AB$129="Baja",'Mapa final'!$AD$129="Mayor"),CONCATENATE("R41C",'Mapa final'!$R$129),"")</f>
        <v/>
      </c>
      <c r="V196" s="42" t="str">
        <f ca="1">IF(AND('Mapa final'!$AB$127="Baja",'Mapa final'!$AD$127="Catastrófico"),CONCATENATE("R41C",'Mapa final'!$R$127),"")</f>
        <v/>
      </c>
      <c r="W196" s="43" t="str">
        <f>IF(AND('Mapa final'!$AB$128="Baja",'Mapa final'!$AD$128="Catastrófico"),CONCATENATE("R41C",'Mapa final'!$R$128),"")</f>
        <v/>
      </c>
      <c r="X196" s="97" t="str">
        <f>IF(AND('Mapa final'!$AB$129="Baja",'Mapa final'!$AD$129="Catastrófico"),CONCATENATE("R41C",'Mapa final'!$R$129),"")</f>
        <v/>
      </c>
      <c r="Y196" s="55"/>
      <c r="Z196" s="343"/>
      <c r="AA196" s="344"/>
      <c r="AB196" s="344"/>
      <c r="AC196" s="344"/>
      <c r="AD196" s="344"/>
      <c r="AE196" s="34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row>
    <row r="197" spans="1:65" ht="15" customHeight="1" x14ac:dyDescent="0.25">
      <c r="A197" s="55"/>
      <c r="B197" s="338"/>
      <c r="C197" s="338"/>
      <c r="D197" s="339"/>
      <c r="E197" s="328"/>
      <c r="F197" s="327"/>
      <c r="G197" s="327"/>
      <c r="H197" s="327"/>
      <c r="I197" s="327"/>
      <c r="J197" s="112" t="str">
        <f ca="1">IF(AND('Mapa final'!$AB$130="Baja",'Mapa final'!$AD$130="Leve"),CONCATENATE("R42C",'Mapa final'!$R$130),"")</f>
        <v/>
      </c>
      <c r="K197" s="53" t="str">
        <f>IF(AND('Mapa final'!$AB$131="Baja",'Mapa final'!$AD$131="Leve"),CONCATENATE("R42C",'Mapa final'!$R$131),"")</f>
        <v/>
      </c>
      <c r="L197" s="113" t="str">
        <f>IF(AND('Mapa final'!$AB$132="Baja",'Mapa final'!$AD$132="Leve"),CONCATENATE("R42C",'Mapa final'!$R$132),"")</f>
        <v/>
      </c>
      <c r="M197" s="48" t="str">
        <f ca="1">IF(AND('Mapa final'!$AB$130="Baja",'Mapa final'!$AD$130="Menor"),CONCATENATE("R42C",'Mapa final'!$R$130),"")</f>
        <v/>
      </c>
      <c r="N197" s="49" t="str">
        <f>IF(AND('Mapa final'!$AB$131="Baja",'Mapa final'!$AD$131="Menor"),CONCATENATE("R42C",'Mapa final'!$R$131),"")</f>
        <v/>
      </c>
      <c r="O197" s="108" t="str">
        <f>IF(AND('Mapa final'!$AB$132="Baja",'Mapa final'!$AD$132="Menor"),CONCATENATE("R42C",'Mapa final'!$R$132),"")</f>
        <v/>
      </c>
      <c r="P197" s="48" t="str">
        <f ca="1">IF(AND('Mapa final'!$AB$130="Baja",'Mapa final'!$AD$130="Moderado"),CONCATENATE("R42C",'Mapa final'!$R$130),"")</f>
        <v>R42C1</v>
      </c>
      <c r="Q197" s="49" t="str">
        <f>IF(AND('Mapa final'!$AB$131="Baja",'Mapa final'!$AD$131="Moderado"),CONCATENATE("R42C",'Mapa final'!$R$131),"")</f>
        <v/>
      </c>
      <c r="R197" s="108" t="str">
        <f>IF(AND('Mapa final'!$AB$132="Baja",'Mapa final'!$AD$132="Moderado"),CONCATENATE("R42C",'Mapa final'!$R$132),"")</f>
        <v/>
      </c>
      <c r="S197" s="102" t="str">
        <f ca="1">IF(AND('Mapa final'!$AB$130="Baja",'Mapa final'!$AD$130="Mayor"),CONCATENATE("R42C",'Mapa final'!$R$130),"")</f>
        <v/>
      </c>
      <c r="T197" s="41" t="str">
        <f>IF(AND('Mapa final'!$AB$131="Baja",'Mapa final'!$AD$131="Mayor"),CONCATENATE("R42C",'Mapa final'!$R$131),"")</f>
        <v/>
      </c>
      <c r="U197" s="103" t="str">
        <f>IF(AND('Mapa final'!$AB$132="Baja",'Mapa final'!$AD$132="Mayor"),CONCATENATE("R42C",'Mapa final'!$R$132),"")</f>
        <v/>
      </c>
      <c r="V197" s="42" t="str">
        <f ca="1">IF(AND('Mapa final'!$AB$130="Baja",'Mapa final'!$AD$130="Catastrófico"),CONCATENATE("R42C",'Mapa final'!$R$130),"")</f>
        <v/>
      </c>
      <c r="W197" s="43" t="str">
        <f>IF(AND('Mapa final'!$AB$131="Baja",'Mapa final'!$AD$131="Catastrófico"),CONCATENATE("R42C",'Mapa final'!$R$131),"")</f>
        <v/>
      </c>
      <c r="X197" s="97" t="str">
        <f>IF(AND('Mapa final'!$AB$132="Baja",'Mapa final'!$AD$132="Catastrófico"),CONCATENATE("R42C",'Mapa final'!$R$132),"")</f>
        <v/>
      </c>
      <c r="Y197" s="55"/>
      <c r="Z197" s="343"/>
      <c r="AA197" s="344"/>
      <c r="AB197" s="344"/>
      <c r="AC197" s="344"/>
      <c r="AD197" s="344"/>
      <c r="AE197" s="34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row>
    <row r="198" spans="1:65" ht="15" customHeight="1" x14ac:dyDescent="0.25">
      <c r="A198" s="55"/>
      <c r="B198" s="338"/>
      <c r="C198" s="338"/>
      <c r="D198" s="339"/>
      <c r="E198" s="328"/>
      <c r="F198" s="327"/>
      <c r="G198" s="327"/>
      <c r="H198" s="327"/>
      <c r="I198" s="327"/>
      <c r="J198" s="112" t="str">
        <f ca="1">IF(AND('Mapa final'!$AB$133="Baja",'Mapa final'!$AD$133="Leve"),CONCATENATE("R43C",'Mapa final'!$R$133),"")</f>
        <v/>
      </c>
      <c r="K198" s="53" t="str">
        <f>IF(AND('Mapa final'!$AB$134="Baja",'Mapa final'!$AD$134="Leve"),CONCATENATE("R43C",'Mapa final'!$R$134),"")</f>
        <v/>
      </c>
      <c r="L198" s="113" t="str">
        <f>IF(AND('Mapa final'!$AB$135="Baja",'Mapa final'!$AD$135="Leve"),CONCATENATE("R43C",'Mapa final'!$R$135),"")</f>
        <v/>
      </c>
      <c r="M198" s="48" t="str">
        <f ca="1">IF(AND('Mapa final'!$AB$133="Baja",'Mapa final'!$AD$133="Menor"),CONCATENATE("R43C",'Mapa final'!$R$133),"")</f>
        <v/>
      </c>
      <c r="N198" s="49" t="str">
        <f>IF(AND('Mapa final'!$AB$134="Baja",'Mapa final'!$AD$134="Menor"),CONCATENATE("R43C",'Mapa final'!$R$134),"")</f>
        <v/>
      </c>
      <c r="O198" s="108" t="str">
        <f>IF(AND('Mapa final'!$AB$135="Baja",'Mapa final'!$AD$135="Menor"),CONCATENATE("R43C",'Mapa final'!$R$135),"")</f>
        <v/>
      </c>
      <c r="P198" s="48" t="str">
        <f ca="1">IF(AND('Mapa final'!$AB$133="Baja",'Mapa final'!$AD$133="Moderado"),CONCATENATE("R43C",'Mapa final'!$R$133),"")</f>
        <v/>
      </c>
      <c r="Q198" s="49" t="str">
        <f>IF(AND('Mapa final'!$AB$134="Baja",'Mapa final'!$AD$134="Moderado"),CONCATENATE("R43C",'Mapa final'!$R$134),"")</f>
        <v/>
      </c>
      <c r="R198" s="108" t="str">
        <f>IF(AND('Mapa final'!$AB$135="Baja",'Mapa final'!$AD$135="Moderado"),CONCATENATE("R43C",'Mapa final'!$R$135),"")</f>
        <v/>
      </c>
      <c r="S198" s="102" t="str">
        <f ca="1">IF(AND('Mapa final'!$AB$133="Baja",'Mapa final'!$AD$133="Mayor"),CONCATENATE("R43C",'Mapa final'!$R$133),"")</f>
        <v/>
      </c>
      <c r="T198" s="41" t="str">
        <f>IF(AND('Mapa final'!$AB$134="Baja",'Mapa final'!$AD$134="Mayor"),CONCATENATE("R43C",'Mapa final'!$R$134),"")</f>
        <v>R43C2</v>
      </c>
      <c r="U198" s="103" t="str">
        <f>IF(AND('Mapa final'!$AB$135="Baja",'Mapa final'!$AD$135="Mayor"),CONCATENATE("R43C",'Mapa final'!$R$135),"")</f>
        <v/>
      </c>
      <c r="V198" s="42" t="str">
        <f ca="1">IF(AND('Mapa final'!$AB$133="Baja",'Mapa final'!$AD$133="Catastrófico"),CONCATENATE("R43C",'Mapa final'!$R$133),"")</f>
        <v/>
      </c>
      <c r="W198" s="43" t="str">
        <f>IF(AND('Mapa final'!$AB$134="Baja",'Mapa final'!$AD$134="Catastrófico"),CONCATENATE("R43C",'Mapa final'!$R$134),"")</f>
        <v/>
      </c>
      <c r="X198" s="97" t="str">
        <f>IF(AND('Mapa final'!$AB$135="Baja",'Mapa final'!$AD$135="Catastrófico"),CONCATENATE("R43C",'Mapa final'!$R$135),"")</f>
        <v/>
      </c>
      <c r="Y198" s="55"/>
      <c r="Z198" s="343"/>
      <c r="AA198" s="344"/>
      <c r="AB198" s="344"/>
      <c r="AC198" s="344"/>
      <c r="AD198" s="344"/>
      <c r="AE198" s="34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row>
    <row r="199" spans="1:65" ht="15" customHeight="1" x14ac:dyDescent="0.25">
      <c r="A199" s="55"/>
      <c r="B199" s="338"/>
      <c r="C199" s="338"/>
      <c r="D199" s="339"/>
      <c r="E199" s="328"/>
      <c r="F199" s="327"/>
      <c r="G199" s="327"/>
      <c r="H199" s="327"/>
      <c r="I199" s="327"/>
      <c r="J199" s="112" t="str">
        <f ca="1">IF(AND('Mapa final'!$AB$136="Baja",'Mapa final'!$AD$136="Leve"),CONCATENATE("R44C",'Mapa final'!$R$136),"")</f>
        <v/>
      </c>
      <c r="K199" s="53" t="str">
        <f>IF(AND('Mapa final'!$AB$137="Baja",'Mapa final'!$AD$137="Leve"),CONCATENATE("R44C",'Mapa final'!$R$137),"")</f>
        <v/>
      </c>
      <c r="L199" s="113" t="str">
        <f>IF(AND('Mapa final'!$AB$138="Baja",'Mapa final'!$AD$138="Leve"),CONCATENATE("R44C",'Mapa final'!$R$138),"")</f>
        <v/>
      </c>
      <c r="M199" s="48" t="str">
        <f ca="1">IF(AND('Mapa final'!$AB$136="Baja",'Mapa final'!$AD$136="Menor"),CONCATENATE("R44C",'Mapa final'!$R$136),"")</f>
        <v/>
      </c>
      <c r="N199" s="49" t="str">
        <f>IF(AND('Mapa final'!$AB$137="Baja",'Mapa final'!$AD$137="Menor"),CONCATENATE("R44C",'Mapa final'!$R$137),"")</f>
        <v/>
      </c>
      <c r="O199" s="108" t="str">
        <f>IF(AND('Mapa final'!$AB$138="Baja",'Mapa final'!$AD$138="Menor"),CONCATENATE("R44C",'Mapa final'!$R$138),"")</f>
        <v/>
      </c>
      <c r="P199" s="48" t="str">
        <f ca="1">IF(AND('Mapa final'!$AB$136="Baja",'Mapa final'!$AD$136="Moderado"),CONCATENATE("R44C",'Mapa final'!$R$136),"")</f>
        <v/>
      </c>
      <c r="Q199" s="49" t="str">
        <f>IF(AND('Mapa final'!$AB$137="Baja",'Mapa final'!$AD$137="Moderado"),CONCATENATE("R44C",'Mapa final'!$R$137),"")</f>
        <v>R44C2</v>
      </c>
      <c r="R199" s="108" t="str">
        <f>IF(AND('Mapa final'!$AB$138="Baja",'Mapa final'!$AD$138="Moderado"),CONCATENATE("R44C",'Mapa final'!$R$138),"")</f>
        <v>R44C3</v>
      </c>
      <c r="S199" s="102" t="str">
        <f ca="1">IF(AND('Mapa final'!$AB$136="Baja",'Mapa final'!$AD$136="Mayor"),CONCATENATE("R44C",'Mapa final'!$R$136),"")</f>
        <v/>
      </c>
      <c r="T199" s="41" t="str">
        <f>IF(AND('Mapa final'!$AB$137="Baja",'Mapa final'!$AD$137="Mayor"),CONCATENATE("R44C",'Mapa final'!$R$137),"")</f>
        <v/>
      </c>
      <c r="U199" s="103" t="str">
        <f>IF(AND('Mapa final'!$AB$138="Baja",'Mapa final'!$AD$138="Mayor"),CONCATENATE("R44C",'Mapa final'!$R$138),"")</f>
        <v/>
      </c>
      <c r="V199" s="42" t="str">
        <f ca="1">IF(AND('Mapa final'!$AB$136="Baja",'Mapa final'!$AD$136="Catastrófico"),CONCATENATE("R44C",'Mapa final'!$R$136),"")</f>
        <v/>
      </c>
      <c r="W199" s="43" t="str">
        <f>IF(AND('Mapa final'!$AB$137="Baja",'Mapa final'!$AD$137="Catastrófico"),CONCATENATE("R44C",'Mapa final'!$R$137),"")</f>
        <v/>
      </c>
      <c r="X199" s="97" t="str">
        <f>IF(AND('Mapa final'!$AB$138="Baja",'Mapa final'!$AD$138="Catastrófico"),CONCATENATE("R44C",'Mapa final'!$R$138),"")</f>
        <v/>
      </c>
      <c r="Y199" s="55"/>
      <c r="Z199" s="343"/>
      <c r="AA199" s="344"/>
      <c r="AB199" s="344"/>
      <c r="AC199" s="344"/>
      <c r="AD199" s="344"/>
      <c r="AE199" s="34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row>
    <row r="200" spans="1:65" ht="15" customHeight="1" x14ac:dyDescent="0.25">
      <c r="A200" s="55"/>
      <c r="B200" s="338"/>
      <c r="C200" s="338"/>
      <c r="D200" s="339"/>
      <c r="E200" s="328"/>
      <c r="F200" s="327"/>
      <c r="G200" s="327"/>
      <c r="H200" s="327"/>
      <c r="I200" s="327"/>
      <c r="J200" s="112" t="str">
        <f ca="1">IF(AND('Mapa final'!$AB$139="Baja",'Mapa final'!$AD$139="Leve"),CONCATENATE("R45C",'Mapa final'!$R$139),"")</f>
        <v/>
      </c>
      <c r="K200" s="53" t="str">
        <f>IF(AND('Mapa final'!$AB$140="Baja",'Mapa final'!$AD$140="Leve"),CONCATENATE("R45C",'Mapa final'!$R$140),"")</f>
        <v/>
      </c>
      <c r="L200" s="113" t="str">
        <f>IF(AND('Mapa final'!$AB$141="Baja",'Mapa final'!$AD$141="Leve"),CONCATENATE("R45C",'Mapa final'!$R$141),"")</f>
        <v/>
      </c>
      <c r="M200" s="48" t="str">
        <f ca="1">IF(AND('Mapa final'!$AB$139="Baja",'Mapa final'!$AD$139="Menor"),CONCATENATE("R45C",'Mapa final'!$R$139),"")</f>
        <v/>
      </c>
      <c r="N200" s="49" t="str">
        <f>IF(AND('Mapa final'!$AB$140="Baja",'Mapa final'!$AD$140="Menor"),CONCATENATE("R45C",'Mapa final'!$R$140),"")</f>
        <v/>
      </c>
      <c r="O200" s="108" t="str">
        <f>IF(AND('Mapa final'!$AB$141="Baja",'Mapa final'!$AD$141="Menor"),CONCATENATE("R45C",'Mapa final'!$R$141),"")</f>
        <v/>
      </c>
      <c r="P200" s="48" t="str">
        <f ca="1">IF(AND('Mapa final'!$AB$139="Baja",'Mapa final'!$AD$139="Moderado"),CONCATENATE("R45C",'Mapa final'!$R$139),"")</f>
        <v/>
      </c>
      <c r="Q200" s="49" t="str">
        <f>IF(AND('Mapa final'!$AB$140="Baja",'Mapa final'!$AD$140="Moderado"),CONCATENATE("R45C",'Mapa final'!$R$140),"")</f>
        <v/>
      </c>
      <c r="R200" s="108" t="str">
        <f>IF(AND('Mapa final'!$AB$141="Baja",'Mapa final'!$AD$141="Moderado"),CONCATENATE("R45C",'Mapa final'!$R$141),"")</f>
        <v/>
      </c>
      <c r="S200" s="102" t="str">
        <f ca="1">IF(AND('Mapa final'!$AB$139="Baja",'Mapa final'!$AD$139="Mayor"),CONCATENATE("R45C",'Mapa final'!$R$139),"")</f>
        <v/>
      </c>
      <c r="T200" s="41" t="str">
        <f>IF(AND('Mapa final'!$AB$140="Baja",'Mapa final'!$AD$140="Mayor"),CONCATENATE("R45C",'Mapa final'!$R$140),"")</f>
        <v/>
      </c>
      <c r="U200" s="103" t="str">
        <f>IF(AND('Mapa final'!$AB$141="Baja",'Mapa final'!$AD$141="Mayor"),CONCATENATE("R45C",'Mapa final'!$R$141),"")</f>
        <v/>
      </c>
      <c r="V200" s="42" t="str">
        <f ca="1">IF(AND('Mapa final'!$AB$139="Baja",'Mapa final'!$AD$139="Catastrófico"),CONCATENATE("R45C",'Mapa final'!$R$139),"")</f>
        <v/>
      </c>
      <c r="W200" s="43" t="str">
        <f>IF(AND('Mapa final'!$AB$140="Baja",'Mapa final'!$AD$140="Catastrófico"),CONCATENATE("R45C",'Mapa final'!$R$140),"")</f>
        <v/>
      </c>
      <c r="X200" s="97" t="str">
        <f>IF(AND('Mapa final'!$AB$141="Baja",'Mapa final'!$AD$141="Catastrófico"),CONCATENATE("R45C",'Mapa final'!$R$141),"")</f>
        <v/>
      </c>
      <c r="Y200" s="55"/>
      <c r="Z200" s="343"/>
      <c r="AA200" s="344"/>
      <c r="AB200" s="344"/>
      <c r="AC200" s="344"/>
      <c r="AD200" s="344"/>
      <c r="AE200" s="34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row>
    <row r="201" spans="1:65" ht="15" customHeight="1" x14ac:dyDescent="0.25">
      <c r="A201" s="55"/>
      <c r="B201" s="338"/>
      <c r="C201" s="338"/>
      <c r="D201" s="339"/>
      <c r="E201" s="328"/>
      <c r="F201" s="327"/>
      <c r="G201" s="327"/>
      <c r="H201" s="327"/>
      <c r="I201" s="327"/>
      <c r="J201" s="112" t="str">
        <f>IF(AND('Mapa final'!$AB$142="Baja",'Mapa final'!$AD$142="Leve"),CONCATENATE("R46C",'Mapa final'!$R$142),"")</f>
        <v/>
      </c>
      <c r="K201" s="53" t="str">
        <f>IF(AND('Mapa final'!$AB$143="Baja",'Mapa final'!$AD$143="Leve"),CONCATENATE("R46C",'Mapa final'!$R$143),"")</f>
        <v/>
      </c>
      <c r="L201" s="113" t="str">
        <f>IF(AND('Mapa final'!$AB$144="Baja",'Mapa final'!$AD$144="Leve"),CONCATENATE("R46C",'Mapa final'!$R$144),"")</f>
        <v/>
      </c>
      <c r="M201" s="48" t="str">
        <f>IF(AND('Mapa final'!$AB$142="Baja",'Mapa final'!$AD$142="Menor"),CONCATENATE("R46C",'Mapa final'!$R$142),"")</f>
        <v/>
      </c>
      <c r="N201" s="49" t="str">
        <f>IF(AND('Mapa final'!$AB$143="Baja",'Mapa final'!$AD$143="Menor"),CONCATENATE("R46C",'Mapa final'!$R$143),"")</f>
        <v/>
      </c>
      <c r="O201" s="108" t="str">
        <f>IF(AND('Mapa final'!$AB$144="Baja",'Mapa final'!$AD$144="Menor"),CONCATENATE("R46C",'Mapa final'!$R$144),"")</f>
        <v/>
      </c>
      <c r="P201" s="48" t="str">
        <f>IF(AND('Mapa final'!$AB$142="Baja",'Mapa final'!$AD$142="Moderado"),CONCATENATE("R46C",'Mapa final'!$R$142),"")</f>
        <v/>
      </c>
      <c r="Q201" s="49" t="str">
        <f>IF(AND('Mapa final'!$AB$143="Baja",'Mapa final'!$AD$143="Moderado"),CONCATENATE("R46C",'Mapa final'!$R$143),"")</f>
        <v/>
      </c>
      <c r="R201" s="108" t="str">
        <f>IF(AND('Mapa final'!$AB$144="Baja",'Mapa final'!$AD$144="Moderado"),CONCATENATE("R46C",'Mapa final'!$R$144),"")</f>
        <v/>
      </c>
      <c r="S201" s="102" t="str">
        <f>IF(AND('Mapa final'!$AB$142="Baja",'Mapa final'!$AD$142="Mayor"),CONCATENATE("R46C",'Mapa final'!$R$142),"")</f>
        <v/>
      </c>
      <c r="T201" s="41" t="str">
        <f>IF(AND('Mapa final'!$AB$143="Baja",'Mapa final'!$AD$143="Mayor"),CONCATENATE("R46C",'Mapa final'!$R$143),"")</f>
        <v/>
      </c>
      <c r="U201" s="103" t="str">
        <f>IF(AND('Mapa final'!$AB$144="Baja",'Mapa final'!$AD$144="Mayor"),CONCATENATE("R46C",'Mapa final'!$R$144),"")</f>
        <v/>
      </c>
      <c r="V201" s="42" t="str">
        <f>IF(AND('Mapa final'!$AB$142="Baja",'Mapa final'!$AD$142="Catastrófico"),CONCATENATE("R46C",'Mapa final'!$R$142),"")</f>
        <v/>
      </c>
      <c r="W201" s="43" t="str">
        <f>IF(AND('Mapa final'!$AB$143="Baja",'Mapa final'!$AD$143="Catastrófico"),CONCATENATE("R46C",'Mapa final'!$R$143),"")</f>
        <v/>
      </c>
      <c r="X201" s="97" t="str">
        <f>IF(AND('Mapa final'!$AB$144="Baja",'Mapa final'!$AD$144="Catastrófico"),CONCATENATE("R46C",'Mapa final'!$R$144),"")</f>
        <v/>
      </c>
      <c r="Y201" s="55"/>
      <c r="Z201" s="343"/>
      <c r="AA201" s="344"/>
      <c r="AB201" s="344"/>
      <c r="AC201" s="344"/>
      <c r="AD201" s="344"/>
      <c r="AE201" s="34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row>
    <row r="202" spans="1:65" ht="15" customHeight="1" x14ac:dyDescent="0.25">
      <c r="A202" s="55"/>
      <c r="B202" s="338"/>
      <c r="C202" s="338"/>
      <c r="D202" s="339"/>
      <c r="E202" s="328"/>
      <c r="F202" s="327"/>
      <c r="G202" s="327"/>
      <c r="H202" s="327"/>
      <c r="I202" s="327"/>
      <c r="J202" s="112" t="str">
        <f>IF(AND('Mapa final'!$AB$145="Baja",'Mapa final'!$AD$145="Leve"),CONCATENATE("R47C",'Mapa final'!$R$145),"")</f>
        <v/>
      </c>
      <c r="K202" s="53" t="str">
        <f>IF(AND('Mapa final'!$AB$146="Baja",'Mapa final'!$AD$146="Leve"),CONCATENATE("R47C",'Mapa final'!$R$146),"")</f>
        <v/>
      </c>
      <c r="L202" s="113" t="str">
        <f>IF(AND('Mapa final'!$AB$147="Baja",'Mapa final'!$AD$147="Leve"),CONCATENATE("R47C",'Mapa final'!$R$147),"")</f>
        <v/>
      </c>
      <c r="M202" s="48" t="str">
        <f>IF(AND('Mapa final'!$AB$145="Baja",'Mapa final'!$AD$145="Menor"),CONCATENATE("R47C",'Mapa final'!$R$145),"")</f>
        <v/>
      </c>
      <c r="N202" s="49" t="str">
        <f>IF(AND('Mapa final'!$AB$146="Baja",'Mapa final'!$AD$146="Menor"),CONCATENATE("R47C",'Mapa final'!$R$146),"")</f>
        <v/>
      </c>
      <c r="O202" s="108" t="str">
        <f>IF(AND('Mapa final'!$AB$147="Baja",'Mapa final'!$AD$147="Menor"),CONCATENATE("R47C",'Mapa final'!$R$147),"")</f>
        <v/>
      </c>
      <c r="P202" s="48" t="str">
        <f>IF(AND('Mapa final'!$AB$145="Baja",'Mapa final'!$AD$145="Moderado"),CONCATENATE("R47C",'Mapa final'!$R$145),"")</f>
        <v/>
      </c>
      <c r="Q202" s="49" t="str">
        <f>IF(AND('Mapa final'!$AB$146="Baja",'Mapa final'!$AD$146="Moderado"),CONCATENATE("R47C",'Mapa final'!$R$146),"")</f>
        <v/>
      </c>
      <c r="R202" s="108" t="str">
        <f>IF(AND('Mapa final'!$AB$147="Baja",'Mapa final'!$AD$147="Moderado"),CONCATENATE("R47C",'Mapa final'!$R$147),"")</f>
        <v/>
      </c>
      <c r="S202" s="102" t="str">
        <f>IF(AND('Mapa final'!$AB$145="Baja",'Mapa final'!$AD$145="Mayor"),CONCATENATE("R47C",'Mapa final'!$R$145),"")</f>
        <v/>
      </c>
      <c r="T202" s="41" t="str">
        <f>IF(AND('Mapa final'!$AB$146="Baja",'Mapa final'!$AD$146="Mayor"),CONCATENATE("R47C",'Mapa final'!$R$146),"")</f>
        <v/>
      </c>
      <c r="U202" s="103" t="str">
        <f>IF(AND('Mapa final'!$AB$147="Baja",'Mapa final'!$AD$147="Mayor"),CONCATENATE("R47C",'Mapa final'!$R$147),"")</f>
        <v/>
      </c>
      <c r="V202" s="42" t="str">
        <f>IF(AND('Mapa final'!$AB$145="Baja",'Mapa final'!$AD$145="Catastrófico"),CONCATENATE("R47C",'Mapa final'!$R$145),"")</f>
        <v/>
      </c>
      <c r="W202" s="43" t="str">
        <f>IF(AND('Mapa final'!$AB$146="Baja",'Mapa final'!$AD$146="Catastrófico"),CONCATENATE("R47C",'Mapa final'!$R$146),"")</f>
        <v/>
      </c>
      <c r="X202" s="97" t="str">
        <f>IF(AND('Mapa final'!$AB$147="Baja",'Mapa final'!$AD$147="Catastrófico"),CONCATENATE("R47C",'Mapa final'!$R$147),"")</f>
        <v/>
      </c>
      <c r="Y202" s="55"/>
      <c r="Z202" s="343"/>
      <c r="AA202" s="344"/>
      <c r="AB202" s="344"/>
      <c r="AC202" s="344"/>
      <c r="AD202" s="344"/>
      <c r="AE202" s="34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row>
    <row r="203" spans="1:65" ht="15" customHeight="1" x14ac:dyDescent="0.25">
      <c r="A203" s="55"/>
      <c r="B203" s="338"/>
      <c r="C203" s="338"/>
      <c r="D203" s="339"/>
      <c r="E203" s="328"/>
      <c r="F203" s="327"/>
      <c r="G203" s="327"/>
      <c r="H203" s="327"/>
      <c r="I203" s="327"/>
      <c r="J203" s="112" t="str">
        <f>IF(AND('Mapa final'!$AB$148="Baja",'Mapa final'!$AD$148="Leve"),CONCATENATE("R48C",'Mapa final'!$R$148),"")</f>
        <v/>
      </c>
      <c r="K203" s="53" t="str">
        <f>IF(AND('Mapa final'!$AB$149="Baja",'Mapa final'!$AD$149="Leve"),CONCATENATE("R48C",'Mapa final'!$R$149),"")</f>
        <v/>
      </c>
      <c r="L203" s="113" t="str">
        <f>IF(AND('Mapa final'!$AB$150="Baja",'Mapa final'!$AD$150="Leve"),CONCATENATE("R48C",'Mapa final'!$R$150),"")</f>
        <v/>
      </c>
      <c r="M203" s="48" t="str">
        <f>IF(AND('Mapa final'!$AB$148="Baja",'Mapa final'!$AD$148="Menor"),CONCATENATE("R48C",'Mapa final'!$R$148),"")</f>
        <v/>
      </c>
      <c r="N203" s="49" t="str">
        <f>IF(AND('Mapa final'!$AB$149="Baja",'Mapa final'!$AD$149="Menor"),CONCATENATE("R48C",'Mapa final'!$R$149),"")</f>
        <v/>
      </c>
      <c r="O203" s="108" t="str">
        <f>IF(AND('Mapa final'!$AB$150="Baja",'Mapa final'!$AD$150="Menor"),CONCATENATE("R48C",'Mapa final'!$R$150),"")</f>
        <v/>
      </c>
      <c r="P203" s="48" t="str">
        <f>IF(AND('Mapa final'!$AB$148="Baja",'Mapa final'!$AD$148="Moderado"),CONCATENATE("R48C",'Mapa final'!$R$148),"")</f>
        <v/>
      </c>
      <c r="Q203" s="49" t="str">
        <f>IF(AND('Mapa final'!$AB$149="Baja",'Mapa final'!$AD$149="Moderado"),CONCATENATE("R48C",'Mapa final'!$R$149),"")</f>
        <v/>
      </c>
      <c r="R203" s="108" t="str">
        <f>IF(AND('Mapa final'!$AB$150="Baja",'Mapa final'!$AD$150="Moderado"),CONCATENATE("R48C",'Mapa final'!$R$150),"")</f>
        <v/>
      </c>
      <c r="S203" s="102" t="str">
        <f>IF(AND('Mapa final'!$AB$148="Baja",'Mapa final'!$AD$148="Mayor"),CONCATENATE("R48C",'Mapa final'!$R$148),"")</f>
        <v/>
      </c>
      <c r="T203" s="41" t="str">
        <f>IF(AND('Mapa final'!$AB$149="Baja",'Mapa final'!$AD$149="Mayor"),CONCATENATE("R48C",'Mapa final'!$R$149),"")</f>
        <v/>
      </c>
      <c r="U203" s="103" t="str">
        <f>IF(AND('Mapa final'!$AB$150="Baja",'Mapa final'!$AD$150="Mayor"),CONCATENATE("R48C",'Mapa final'!$R$150),"")</f>
        <v/>
      </c>
      <c r="V203" s="42" t="str">
        <f>IF(AND('Mapa final'!$AB$148="Baja",'Mapa final'!$AD$148="Catastrófico"),CONCATENATE("R48C",'Mapa final'!$R$148),"")</f>
        <v/>
      </c>
      <c r="W203" s="43" t="str">
        <f>IF(AND('Mapa final'!$AB$149="Baja",'Mapa final'!$AD$149="Catastrófico"),CONCATENATE("R48C",'Mapa final'!$R$149),"")</f>
        <v/>
      </c>
      <c r="X203" s="97" t="str">
        <f>IF(AND('Mapa final'!$AB$150="Baja",'Mapa final'!$AD$150="Catastrófico"),CONCATENATE("R48C",'Mapa final'!$R$150),"")</f>
        <v/>
      </c>
      <c r="Y203" s="55"/>
      <c r="Z203" s="343"/>
      <c r="AA203" s="344"/>
      <c r="AB203" s="344"/>
      <c r="AC203" s="344"/>
      <c r="AD203" s="344"/>
      <c r="AE203" s="34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row>
    <row r="204" spans="1:65" ht="15" customHeight="1" x14ac:dyDescent="0.25">
      <c r="A204" s="55"/>
      <c r="B204" s="338"/>
      <c r="C204" s="338"/>
      <c r="D204" s="339"/>
      <c r="E204" s="328"/>
      <c r="F204" s="327"/>
      <c r="G204" s="327"/>
      <c r="H204" s="327"/>
      <c r="I204" s="327"/>
      <c r="J204" s="112" t="str">
        <f>IF(AND('Mapa final'!$AB$151="Baja",'Mapa final'!$AD$151="Leve"),CONCATENATE("R49C",'Mapa final'!$R$151),"")</f>
        <v/>
      </c>
      <c r="K204" s="53" t="str">
        <f>IF(AND('Mapa final'!$AB$152="Baja",'Mapa final'!$AD$152="Leve"),CONCATENATE("R49C",'Mapa final'!$R$152),"")</f>
        <v/>
      </c>
      <c r="L204" s="113" t="str">
        <f>IF(AND('Mapa final'!$AB$153="Baja",'Mapa final'!$AD$153="Leve"),CONCATENATE("R49C",'Mapa final'!$R$153),"")</f>
        <v/>
      </c>
      <c r="M204" s="48" t="str">
        <f>IF(AND('Mapa final'!$AB$151="Baja",'Mapa final'!$AD$151="Menor"),CONCATENATE("R49C",'Mapa final'!$R$151),"")</f>
        <v/>
      </c>
      <c r="N204" s="49" t="str">
        <f>IF(AND('Mapa final'!$AB$152="Baja",'Mapa final'!$AD$152="Menor"),CONCATENATE("R49C",'Mapa final'!$R$152),"")</f>
        <v/>
      </c>
      <c r="O204" s="108" t="str">
        <f>IF(AND('Mapa final'!$AB$153="Baja",'Mapa final'!$AD$153="Menor"),CONCATENATE("R49C",'Mapa final'!$R$153),"")</f>
        <v/>
      </c>
      <c r="P204" s="48" t="str">
        <f>IF(AND('Mapa final'!$AB$151="Baja",'Mapa final'!$AD$151="Moderado"),CONCATENATE("R49C",'Mapa final'!$R$151),"")</f>
        <v/>
      </c>
      <c r="Q204" s="49" t="str">
        <f>IF(AND('Mapa final'!$AB$152="Baja",'Mapa final'!$AD$152="Moderado"),CONCATENATE("R49C",'Mapa final'!$R$152),"")</f>
        <v/>
      </c>
      <c r="R204" s="108" t="str">
        <f>IF(AND('Mapa final'!$AB$153="Baja",'Mapa final'!$AD$153="Moderado"),CONCATENATE("R49C",'Mapa final'!$R$153),"")</f>
        <v/>
      </c>
      <c r="S204" s="102" t="str">
        <f>IF(AND('Mapa final'!$AB$151="Baja",'Mapa final'!$AD$151="Mayor"),CONCATENATE("R49C",'Mapa final'!$R$151),"")</f>
        <v/>
      </c>
      <c r="T204" s="41" t="str">
        <f>IF(AND('Mapa final'!$AB$152="Baja",'Mapa final'!$AD$152="Mayor"),CONCATENATE("R49C",'Mapa final'!$R$152),"")</f>
        <v/>
      </c>
      <c r="U204" s="103" t="str">
        <f>IF(AND('Mapa final'!$AB$153="Baja",'Mapa final'!$AD$153="Mayor"),CONCATENATE("R49C",'Mapa final'!$R$153),"")</f>
        <v/>
      </c>
      <c r="V204" s="42" t="str">
        <f>IF(AND('Mapa final'!$AB$151="Baja",'Mapa final'!$AD$151="Catastrófico"),CONCATENATE("R49C",'Mapa final'!$R$151),"")</f>
        <v/>
      </c>
      <c r="W204" s="43" t="str">
        <f>IF(AND('Mapa final'!$AB$152="Baja",'Mapa final'!$AD$152="Catastrófico"),CONCATENATE("R49C",'Mapa final'!$R$152),"")</f>
        <v/>
      </c>
      <c r="X204" s="97" t="str">
        <f>IF(AND('Mapa final'!$AB$153="Baja",'Mapa final'!$AD$153="Catastrófico"),CONCATENATE("R49C",'Mapa final'!$R$153),"")</f>
        <v/>
      </c>
      <c r="Y204" s="55"/>
      <c r="Z204" s="343"/>
      <c r="AA204" s="344"/>
      <c r="AB204" s="344"/>
      <c r="AC204" s="344"/>
      <c r="AD204" s="344"/>
      <c r="AE204" s="34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row>
    <row r="205" spans="1:65" ht="15" customHeight="1" thickBot="1" x14ac:dyDescent="0.3">
      <c r="A205" s="55"/>
      <c r="B205" s="338"/>
      <c r="C205" s="338"/>
      <c r="D205" s="339"/>
      <c r="E205" s="328"/>
      <c r="F205" s="327"/>
      <c r="G205" s="327"/>
      <c r="H205" s="327"/>
      <c r="I205" s="327"/>
      <c r="J205" s="114" t="str">
        <f>IF(AND('Mapa final'!$AB$154="Baja",'Mapa final'!$AD$154="Leve"),CONCATENATE("R50C",'Mapa final'!$R$154),"")</f>
        <v/>
      </c>
      <c r="K205" s="54" t="str">
        <f>IF(AND('Mapa final'!$AB$155="Baja",'Mapa final'!$AD$155="Leve"),CONCATENATE("R50C",'Mapa final'!$R$155),"")</f>
        <v/>
      </c>
      <c r="L205" s="115" t="str">
        <f>IF(AND('Mapa final'!$AB$156="Baja",'Mapa final'!$AD$156="Leve"),CONCATENATE("R50C",'Mapa final'!$R$156),"")</f>
        <v/>
      </c>
      <c r="M205" s="50" t="str">
        <f>IF(AND('Mapa final'!$AB$154="Baja",'Mapa final'!$AD$154="Menor"),CONCATENATE("R50C",'Mapa final'!$R$154),"")</f>
        <v/>
      </c>
      <c r="N205" s="51" t="str">
        <f>IF(AND('Mapa final'!$AB$155="Baja",'Mapa final'!$AD$155="Menor"),CONCATENATE("R50C",'Mapa final'!$R$155),"")</f>
        <v/>
      </c>
      <c r="O205" s="109" t="str">
        <f>IF(AND('Mapa final'!$AB$156="Baja",'Mapa final'!$AD$156="Menor"),CONCATENATE("R50C",'Mapa final'!$R$156),"")</f>
        <v/>
      </c>
      <c r="P205" s="50" t="str">
        <f>IF(AND('Mapa final'!$AB$154="Baja",'Mapa final'!$AD$154="Moderado"),CONCATENATE("R50C",'Mapa final'!$R$154),"")</f>
        <v/>
      </c>
      <c r="Q205" s="51" t="str">
        <f>IF(AND('Mapa final'!$AB$155="Baja",'Mapa final'!$AD$155="Moderado"),CONCATENATE("R50C",'Mapa final'!$R$155),"")</f>
        <v/>
      </c>
      <c r="R205" s="109" t="str">
        <f>IF(AND('Mapa final'!$AB$156="Baja",'Mapa final'!$AD$156="Moderado"),CONCATENATE("R50C",'Mapa final'!$R$156),"")</f>
        <v/>
      </c>
      <c r="S205" s="104" t="str">
        <f>IF(AND('Mapa final'!$AB$154="Baja",'Mapa final'!$AD$154="Mayor"),CONCATENATE("R50C",'Mapa final'!$R$154),"")</f>
        <v/>
      </c>
      <c r="T205" s="105" t="str">
        <f>IF(AND('Mapa final'!$AB$155="Baja",'Mapa final'!$AD$155="Mayor"),CONCATENATE("R50C",'Mapa final'!$R$155),"")</f>
        <v/>
      </c>
      <c r="U205" s="106" t="str">
        <f>IF(AND('Mapa final'!$AB$156="Baja",'Mapa final'!$AD$156="Mayor"),CONCATENATE("R50C",'Mapa final'!$R$156),"")</f>
        <v/>
      </c>
      <c r="V205" s="44" t="str">
        <f>IF(AND('Mapa final'!$AB$154="Baja",'Mapa final'!$AD$154="Catastrófico"),CONCATENATE("R50C",'Mapa final'!$R$154),"")</f>
        <v/>
      </c>
      <c r="W205" s="45" t="str">
        <f>IF(AND('Mapa final'!$AB$155="Baja",'Mapa final'!$AD$155="Catastrófico"),CONCATENATE("R50C",'Mapa final'!$R$155),"")</f>
        <v/>
      </c>
      <c r="X205" s="98" t="str">
        <f>IF(AND('Mapa final'!$AB$156="Baja",'Mapa final'!$AD$156="Catastrófico"),CONCATENATE("R50C",'Mapa final'!$R$156),"")</f>
        <v/>
      </c>
      <c r="Y205" s="55"/>
      <c r="Z205" s="343"/>
      <c r="AA205" s="344"/>
      <c r="AB205" s="344"/>
      <c r="AC205" s="344"/>
      <c r="AD205" s="344"/>
      <c r="AE205" s="34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row>
    <row r="206" spans="1:65" ht="16.5" customHeight="1" x14ac:dyDescent="0.25">
      <c r="A206" s="55"/>
      <c r="B206" s="338"/>
      <c r="C206" s="338"/>
      <c r="D206" s="339"/>
      <c r="E206" s="324" t="s">
        <v>104</v>
      </c>
      <c r="F206" s="325"/>
      <c r="G206" s="325"/>
      <c r="H206" s="325"/>
      <c r="I206" s="325"/>
      <c r="J206" s="110" t="str">
        <f ca="1">IF(AND('Mapa final'!$AB$7="Muy Baja",'Mapa final'!$AD$7="Leve"),CONCATENATE("R1C",'Mapa final'!$R$7),"")</f>
        <v/>
      </c>
      <c r="K206" s="52" t="str">
        <f>IF(AND('Mapa final'!$AB$8="Muy Baja",'Mapa final'!$AD$8="Leve"),CONCATENATE("R1C",'Mapa final'!$R$8),"")</f>
        <v/>
      </c>
      <c r="L206" s="111" t="str">
        <f>IF(AND('Mapa final'!$AB$9="Muy Baja",'Mapa final'!$AD$9="Leve"),CONCATENATE("R1C",'Mapa final'!$R$9),"")</f>
        <v/>
      </c>
      <c r="M206" s="110" t="str">
        <f ca="1">IF(AND('Mapa final'!$AB$7="Muy Baja",'Mapa final'!$AD$7="Menor"),CONCATENATE("R1C",'Mapa final'!$R$7),"")</f>
        <v/>
      </c>
      <c r="N206" s="52" t="str">
        <f>IF(AND('Mapa final'!$AB$8="Muy Baja",'Mapa final'!$AD$8="Menor"),CONCATENATE("R1C",'Mapa final'!$R$8),"")</f>
        <v/>
      </c>
      <c r="O206" s="111" t="str">
        <f>IF(AND('Mapa final'!$AB$9="Muy Baja",'Mapa final'!$AD$9="Menor"),CONCATENATE("R1C",'Mapa final'!$R$9),"")</f>
        <v/>
      </c>
      <c r="P206" s="46" t="str">
        <f ca="1">IF(AND('Mapa final'!$AB$7="Muy Baja",'Mapa final'!$AD$7="Moderado"),CONCATENATE("R1C",'Mapa final'!$R$7),"")</f>
        <v/>
      </c>
      <c r="Q206" s="47" t="str">
        <f>IF(AND('Mapa final'!$AB$8="Muy Baja",'Mapa final'!$AD$8="Moderado"),CONCATENATE("R1C",'Mapa final'!$R$8),"")</f>
        <v/>
      </c>
      <c r="R206" s="107" t="str">
        <f>IF(AND('Mapa final'!$AB$9="Muy Baja",'Mapa final'!$AD$9="Moderado"),CONCATENATE("R1C",'Mapa final'!$R$9),"")</f>
        <v/>
      </c>
      <c r="S206" s="99" t="str">
        <f ca="1">IF(AND('Mapa final'!$AB$7="Muy Baja",'Mapa final'!$AD$7="Mayor"),CONCATENATE("R1C",'Mapa final'!$R$7),"")</f>
        <v/>
      </c>
      <c r="T206" s="100" t="str">
        <f>IF(AND('Mapa final'!$AB$8="Muy Baja",'Mapa final'!$AD$8="Mayor"),CONCATENATE("R1C",'Mapa final'!$R$8),"")</f>
        <v/>
      </c>
      <c r="U206" s="101" t="str">
        <f>IF(AND('Mapa final'!$AB$9="Muy Baja",'Mapa final'!$AD$9="Mayor"),CONCATENATE("R1C",'Mapa final'!$R$9),"")</f>
        <v/>
      </c>
      <c r="V206" s="39" t="str">
        <f ca="1">IF(AND('Mapa final'!$AB$7="Muy Baja",'Mapa final'!$AD$7="Catastrófico"),CONCATENATE("R1C",'Mapa final'!$R$7),"")</f>
        <v/>
      </c>
      <c r="W206" s="40" t="str">
        <f>IF(AND('Mapa final'!$AB$8="Muy Baja",'Mapa final'!$AD$8="Catastrófico"),CONCATENATE("R1C",'Mapa final'!$R$8),"")</f>
        <v/>
      </c>
      <c r="X206" s="96" t="str">
        <f>IF(AND('Mapa final'!$AB$9="Muy Baja",'Mapa final'!$AD$9="Catastrófico"),CONCATENATE("R1C",'Mapa final'!$R$9),"")</f>
        <v/>
      </c>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row>
    <row r="207" spans="1:65" ht="15.75" x14ac:dyDescent="0.25">
      <c r="A207" s="55"/>
      <c r="B207" s="338"/>
      <c r="C207" s="338"/>
      <c r="D207" s="339"/>
      <c r="E207" s="326"/>
      <c r="F207" s="327"/>
      <c r="G207" s="327"/>
      <c r="H207" s="327"/>
      <c r="I207" s="327"/>
      <c r="J207" s="112" t="str">
        <f ca="1">IF(AND('Mapa final'!$AB$10="Muy Baja",'Mapa final'!$AD$10="Leve"),CONCATENATE("R2C",'Mapa final'!$R$10),"")</f>
        <v/>
      </c>
      <c r="K207" s="53" t="str">
        <f>IF(AND('Mapa final'!$AB$11="Muy Baja",'Mapa final'!$AD$11="Leve"),CONCATENATE("R2C",'Mapa final'!$R$11),"")</f>
        <v/>
      </c>
      <c r="L207" s="113" t="str">
        <f>IF(AND('Mapa final'!$AB$12="Muy Baja",'Mapa final'!$AD$12="Leve"),CONCATENATE("R2C",'Mapa final'!$R$12),"")</f>
        <v/>
      </c>
      <c r="M207" s="112" t="str">
        <f ca="1">IF(AND('Mapa final'!$AB$10="Muy Baja",'Mapa final'!$AD$10="Menor"),CONCATENATE("R2C",'Mapa final'!$R$10),"")</f>
        <v/>
      </c>
      <c r="N207" s="53" t="str">
        <f>IF(AND('Mapa final'!$AB$11="Muy Baja",'Mapa final'!$AD$11="Menor"),CONCATENATE("R2C",'Mapa final'!$R$11),"")</f>
        <v/>
      </c>
      <c r="O207" s="113" t="str">
        <f>IF(AND('Mapa final'!$AB$12="Muy Baja",'Mapa final'!$AD$12="Menor"),CONCATENATE("R2C",'Mapa final'!$R$12),"")</f>
        <v/>
      </c>
      <c r="P207" s="48" t="str">
        <f ca="1">IF(AND('Mapa final'!$AB$10="Muy Baja",'Mapa final'!$AD$10="Moderado"),CONCATENATE("R2C",'Mapa final'!$R$10),"")</f>
        <v/>
      </c>
      <c r="Q207" s="49" t="str">
        <f>IF(AND('Mapa final'!$AB$11="Muy Baja",'Mapa final'!$AD$11="Moderado"),CONCATENATE("R2C",'Mapa final'!$R$11),"")</f>
        <v/>
      </c>
      <c r="R207" s="108" t="str">
        <f>IF(AND('Mapa final'!$AB$12="Muy Baja",'Mapa final'!$AD$12="Moderado"),CONCATENATE("R2C",'Mapa final'!$R$12),"")</f>
        <v/>
      </c>
      <c r="S207" s="102" t="str">
        <f ca="1">IF(AND('Mapa final'!$AB$10="Muy Baja",'Mapa final'!$AD$10="Mayor"),CONCATENATE("R2C",'Mapa final'!$R$10),"")</f>
        <v/>
      </c>
      <c r="T207" s="41" t="str">
        <f>IF(AND('Mapa final'!$AB$11="Muy Baja",'Mapa final'!$AD$11="Mayor"),CONCATENATE("R2C",'Mapa final'!$R$11),"")</f>
        <v/>
      </c>
      <c r="U207" s="103" t="str">
        <f>IF(AND('Mapa final'!$AB$12="Muy Baja",'Mapa final'!$AD$12="Mayor"),CONCATENATE("R2C",'Mapa final'!$R$12),"")</f>
        <v/>
      </c>
      <c r="V207" s="42" t="str">
        <f ca="1">IF(AND('Mapa final'!$AB$10="Muy Baja",'Mapa final'!$AD$10="Catastrófico"),CONCATENATE("R2C",'Mapa final'!$R$10),"")</f>
        <v/>
      </c>
      <c r="W207" s="43" t="str">
        <f>IF(AND('Mapa final'!$AB$11="Muy Baja",'Mapa final'!$AD$11="Catastrófico"),CONCATENATE("R2C",'Mapa final'!$R$11),"")</f>
        <v/>
      </c>
      <c r="X207" s="97" t="str">
        <f>IF(AND('Mapa final'!$AB$12="Muy Baja",'Mapa final'!$AD$12="Catastrófico"),CONCATENATE("R2C",'Mapa final'!$R$12),"")</f>
        <v/>
      </c>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row>
    <row r="208" spans="1:65" ht="15.75" x14ac:dyDescent="0.25">
      <c r="A208" s="55"/>
      <c r="B208" s="338"/>
      <c r="C208" s="338"/>
      <c r="D208" s="339"/>
      <c r="E208" s="326"/>
      <c r="F208" s="327"/>
      <c r="G208" s="327"/>
      <c r="H208" s="327"/>
      <c r="I208" s="327"/>
      <c r="J208" s="112" t="str">
        <f ca="1">IF(AND('Mapa final'!$AB$13="Muy Baja",'Mapa final'!$AD$13="Leve"),CONCATENATE("R3C",'Mapa final'!$R$13),"")</f>
        <v/>
      </c>
      <c r="K208" s="53" t="str">
        <f>IF(AND('Mapa final'!$AB$14="Muy Baja",'Mapa final'!$AD$14="Leve"),CONCATENATE("R3C",'Mapa final'!$R$14),"")</f>
        <v/>
      </c>
      <c r="L208" s="113" t="str">
        <f>IF(AND('Mapa final'!$AB$15="Muy Baja",'Mapa final'!$AD$15="Leve"),CONCATENATE("R3C",'Mapa final'!$R$15),"")</f>
        <v/>
      </c>
      <c r="M208" s="112" t="str">
        <f ca="1">IF(AND('Mapa final'!$AB$13="Muy Baja",'Mapa final'!$AD$13="Menor"),CONCATENATE("R3C",'Mapa final'!$R$13),"")</f>
        <v/>
      </c>
      <c r="N208" s="53" t="str">
        <f>IF(AND('Mapa final'!$AB$14="Muy Baja",'Mapa final'!$AD$14="Menor"),CONCATENATE("R3C",'Mapa final'!$R$14),"")</f>
        <v/>
      </c>
      <c r="O208" s="113" t="str">
        <f>IF(AND('Mapa final'!$AB$15="Muy Baja",'Mapa final'!$AD$15="Menor"),CONCATENATE("R3C",'Mapa final'!$R$15),"")</f>
        <v/>
      </c>
      <c r="P208" s="48" t="str">
        <f ca="1">IF(AND('Mapa final'!$AB$13="Muy Baja",'Mapa final'!$AD$13="Moderado"),CONCATENATE("R3C",'Mapa final'!$R$13),"")</f>
        <v/>
      </c>
      <c r="Q208" s="49" t="str">
        <f>IF(AND('Mapa final'!$AB$14="Muy Baja",'Mapa final'!$AD$14="Moderado"),CONCATENATE("R3C",'Mapa final'!$R$14),"")</f>
        <v/>
      </c>
      <c r="R208" s="108" t="str">
        <f>IF(AND('Mapa final'!$AB$15="Muy Baja",'Mapa final'!$AD$15="Moderado"),CONCATENATE("R3C",'Mapa final'!$R$15),"")</f>
        <v/>
      </c>
      <c r="S208" s="102" t="str">
        <f ca="1">IF(AND('Mapa final'!$AB$13="Muy Baja",'Mapa final'!$AD$13="Mayor"),CONCATENATE("R3C",'Mapa final'!$R$13),"")</f>
        <v/>
      </c>
      <c r="T208" s="41" t="str">
        <f>IF(AND('Mapa final'!$AB$14="Muy Baja",'Mapa final'!$AD$14="Mayor"),CONCATENATE("R3C",'Mapa final'!$R$14),"")</f>
        <v/>
      </c>
      <c r="U208" s="103" t="str">
        <f>IF(AND('Mapa final'!$AB$15="Muy Baja",'Mapa final'!$AD$15="Mayor"),CONCATENATE("R3C",'Mapa final'!$R$15),"")</f>
        <v/>
      </c>
      <c r="V208" s="42" t="str">
        <f ca="1">IF(AND('Mapa final'!$AB$13="Muy Baja",'Mapa final'!$AD$13="Catastrófico"),CONCATENATE("R3C",'Mapa final'!$R$13),"")</f>
        <v/>
      </c>
      <c r="W208" s="43" t="str">
        <f>IF(AND('Mapa final'!$AB$14="Muy Baja",'Mapa final'!$AD$14="Catastrófico"),CONCATENATE("R3C",'Mapa final'!$R$14),"")</f>
        <v/>
      </c>
      <c r="X208" s="97" t="str">
        <f>IF(AND('Mapa final'!$AB$15="Muy Baja",'Mapa final'!$AD$15="Catastrófico"),CONCATENATE("R3C",'Mapa final'!$R$15),"")</f>
        <v/>
      </c>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row>
    <row r="209" spans="1:65" ht="15.75" x14ac:dyDescent="0.25">
      <c r="A209" s="55"/>
      <c r="B209" s="338"/>
      <c r="C209" s="338"/>
      <c r="D209" s="339"/>
      <c r="E209" s="326"/>
      <c r="F209" s="327"/>
      <c r="G209" s="327"/>
      <c r="H209" s="327"/>
      <c r="I209" s="327"/>
      <c r="J209" s="112" t="e">
        <f>IF(AND('Mapa final'!#REF!="Muy Baja",'Mapa final'!#REF!="Leve"),CONCATENATE("R4C",'Mapa final'!#REF!),"")</f>
        <v>#REF!</v>
      </c>
      <c r="K209" s="53" t="e">
        <f>IF(AND('Mapa final'!#REF!="Muy Baja",'Mapa final'!#REF!="Leve"),CONCATENATE("R4C",'Mapa final'!#REF!),"")</f>
        <v>#REF!</v>
      </c>
      <c r="L209" s="113" t="e">
        <f>IF(AND('Mapa final'!#REF!="Muy Baja",'Mapa final'!#REF!="Leve"),CONCATENATE("R4C",'Mapa final'!#REF!),"")</f>
        <v>#REF!</v>
      </c>
      <c r="M209" s="112" t="e">
        <f>IF(AND('Mapa final'!#REF!="Muy Baja",'Mapa final'!#REF!="Menor"),CONCATENATE("R4C",'Mapa final'!#REF!),"")</f>
        <v>#REF!</v>
      </c>
      <c r="N209" s="53" t="e">
        <f>IF(AND('Mapa final'!#REF!="Muy Baja",'Mapa final'!#REF!="Menor"),CONCATENATE("R4C",'Mapa final'!#REF!),"")</f>
        <v>#REF!</v>
      </c>
      <c r="O209" s="113" t="e">
        <f>IF(AND('Mapa final'!#REF!="Muy Baja",'Mapa final'!#REF!="Menor"),CONCATENATE("R4C",'Mapa final'!#REF!),"")</f>
        <v>#REF!</v>
      </c>
      <c r="P209" s="48" t="e">
        <f>IF(AND('Mapa final'!#REF!="Muy Baja",'Mapa final'!#REF!="Moderado"),CONCATENATE("R4C",'Mapa final'!#REF!),"")</f>
        <v>#REF!</v>
      </c>
      <c r="Q209" s="49" t="e">
        <f>IF(AND('Mapa final'!#REF!="Muy Baja",'Mapa final'!#REF!="Moderado"),CONCATENATE("R4C",'Mapa final'!#REF!),"")</f>
        <v>#REF!</v>
      </c>
      <c r="R209" s="108" t="e">
        <f>IF(AND('Mapa final'!#REF!="Muy Baja",'Mapa final'!#REF!="Moderado"),CONCATENATE("R4C",'Mapa final'!#REF!),"")</f>
        <v>#REF!</v>
      </c>
      <c r="S209" s="102" t="e">
        <f>IF(AND('Mapa final'!#REF!="Muy Baja",'Mapa final'!#REF!="Mayor"),CONCATENATE("R4C",'Mapa final'!#REF!),"")</f>
        <v>#REF!</v>
      </c>
      <c r="T209" s="41" t="e">
        <f>IF(AND('Mapa final'!#REF!="Muy Baja",'Mapa final'!#REF!="Mayor"),CONCATENATE("R4C",'Mapa final'!#REF!),"")</f>
        <v>#REF!</v>
      </c>
      <c r="U209" s="103" t="e">
        <f>IF(AND('Mapa final'!#REF!="Muy Baja",'Mapa final'!#REF!="Mayor"),CONCATENATE("R4C",'Mapa final'!#REF!),"")</f>
        <v>#REF!</v>
      </c>
      <c r="V209" s="42" t="e">
        <f>IF(AND('Mapa final'!#REF!="Muy Baja",'Mapa final'!#REF!="Catastrófico"),CONCATENATE("R4C",'Mapa final'!#REF!),"")</f>
        <v>#REF!</v>
      </c>
      <c r="W209" s="43" t="e">
        <f>IF(AND('Mapa final'!#REF!="Muy Baja",'Mapa final'!#REF!="Catastrófico"),CONCATENATE("R4C",'Mapa final'!#REF!),"")</f>
        <v>#REF!</v>
      </c>
      <c r="X209" s="97" t="e">
        <f>IF(AND('Mapa final'!#REF!="Muy Baja",'Mapa final'!#REF!="Catastrófico"),CONCATENATE("R4C",'Mapa final'!#REF!),"")</f>
        <v>#REF!</v>
      </c>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row>
    <row r="210" spans="1:65" ht="15.75" x14ac:dyDescent="0.25">
      <c r="A210" s="55"/>
      <c r="B210" s="338"/>
      <c r="C210" s="338"/>
      <c r="D210" s="339"/>
      <c r="E210" s="326"/>
      <c r="F210" s="327"/>
      <c r="G210" s="327"/>
      <c r="H210" s="327"/>
      <c r="I210" s="327"/>
      <c r="J210" s="112" t="str">
        <f ca="1">IF(AND('Mapa final'!$AB$16="Muy Baja",'Mapa final'!$AD$16="Leve"),CONCATENATE("R5C",'Mapa final'!$R$16),"")</f>
        <v/>
      </c>
      <c r="K210" s="53" t="str">
        <f>IF(AND('Mapa final'!$AB$17="Muy Baja",'Mapa final'!$AD$17="Leve"),CONCATENATE("R5C",'Mapa final'!$R$17),"")</f>
        <v/>
      </c>
      <c r="L210" s="113" t="str">
        <f>IF(AND('Mapa final'!$AB$18="Muy Baja",'Mapa final'!$AD$18="Leve"),CONCATENATE("R5C",'Mapa final'!$R$18),"")</f>
        <v/>
      </c>
      <c r="M210" s="112" t="str">
        <f ca="1">IF(AND('Mapa final'!$AB$16="Muy Baja",'Mapa final'!$AD$16="Menor"),CONCATENATE("R5C",'Mapa final'!$R$16),"")</f>
        <v/>
      </c>
      <c r="N210" s="53" t="str">
        <f>IF(AND('Mapa final'!$AB$17="Muy Baja",'Mapa final'!$AD$17="Menor"),CONCATENATE("R5C",'Mapa final'!$R$17),"")</f>
        <v/>
      </c>
      <c r="O210" s="113" t="str">
        <f>IF(AND('Mapa final'!$AB$18="Muy Baja",'Mapa final'!$AD$18="Menor"),CONCATENATE("R5C",'Mapa final'!$R$18),"")</f>
        <v/>
      </c>
      <c r="P210" s="48" t="str">
        <f ca="1">IF(AND('Mapa final'!$AB$16="Muy Baja",'Mapa final'!$AD$16="Moderado"),CONCATENATE("R5C",'Mapa final'!$R$16),"")</f>
        <v/>
      </c>
      <c r="Q210" s="49" t="str">
        <f>IF(AND('Mapa final'!$AB$17="Muy Baja",'Mapa final'!$AD$17="Moderado"),CONCATENATE("R5C",'Mapa final'!$R$17),"")</f>
        <v/>
      </c>
      <c r="R210" s="108" t="str">
        <f>IF(AND('Mapa final'!$AB$18="Muy Baja",'Mapa final'!$AD$18="Moderado"),CONCATENATE("R5C",'Mapa final'!$R$18),"")</f>
        <v/>
      </c>
      <c r="S210" s="102" t="str">
        <f ca="1">IF(AND('Mapa final'!$AB$16="Muy Baja",'Mapa final'!$AD$16="Mayor"),CONCATENATE("R5C",'Mapa final'!$R$16),"")</f>
        <v/>
      </c>
      <c r="T210" s="41" t="str">
        <f>IF(AND('Mapa final'!$AB$17="Muy Baja",'Mapa final'!$AD$17="Mayor"),CONCATENATE("R5C",'Mapa final'!$R$17),"")</f>
        <v/>
      </c>
      <c r="U210" s="103" t="str">
        <f>IF(AND('Mapa final'!$AB$18="Muy Baja",'Mapa final'!$AD$18="Mayor"),CONCATENATE("R5C",'Mapa final'!$R$18),"")</f>
        <v/>
      </c>
      <c r="V210" s="42" t="str">
        <f ca="1">IF(AND('Mapa final'!$AB$16="Muy Baja",'Mapa final'!$AD$16="Catastrófico"),CONCATENATE("R5C",'Mapa final'!$R$16),"")</f>
        <v/>
      </c>
      <c r="W210" s="43" t="str">
        <f>IF(AND('Mapa final'!$AB$17="Muy Baja",'Mapa final'!$AD$17="Catastrófico"),CONCATENATE("R5C",'Mapa final'!$R$17),"")</f>
        <v/>
      </c>
      <c r="X210" s="97" t="str">
        <f>IF(AND('Mapa final'!$AB$18="Muy Baja",'Mapa final'!$AD$18="Catastrófico"),CONCATENATE("R5C",'Mapa final'!$R$18),"")</f>
        <v/>
      </c>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row>
    <row r="211" spans="1:65" ht="15.75" x14ac:dyDescent="0.25">
      <c r="A211" s="55"/>
      <c r="B211" s="338"/>
      <c r="C211" s="338"/>
      <c r="D211" s="339"/>
      <c r="E211" s="326"/>
      <c r="F211" s="327"/>
      <c r="G211" s="327"/>
      <c r="H211" s="327"/>
      <c r="I211" s="327"/>
      <c r="J211" s="112" t="str">
        <f ca="1">IF(AND('Mapa final'!$AB$19="Muy Baja",'Mapa final'!$AD$19="Leve"),CONCATENATE("R6C",'Mapa final'!$R$19),"")</f>
        <v/>
      </c>
      <c r="K211" s="53" t="str">
        <f>IF(AND('Mapa final'!$AB$20="Muy Baja",'Mapa final'!$AD$20="Leve"),CONCATENATE("R6C",'Mapa final'!$R$20),"")</f>
        <v/>
      </c>
      <c r="L211" s="113" t="str">
        <f>IF(AND('Mapa final'!$AB$21="Muy Baja",'Mapa final'!$AD$21="Leve"),CONCATENATE("R6C",'Mapa final'!$R$21),"")</f>
        <v/>
      </c>
      <c r="M211" s="112" t="str">
        <f ca="1">IF(AND('Mapa final'!$AB$19="Muy Baja",'Mapa final'!$AD$19="Menor"),CONCATENATE("R6C",'Mapa final'!$R$19),"")</f>
        <v/>
      </c>
      <c r="N211" s="53" t="str">
        <f>IF(AND('Mapa final'!$AB$20="Muy Baja",'Mapa final'!$AD$20="Menor"),CONCATENATE("R6C",'Mapa final'!$R$20),"")</f>
        <v/>
      </c>
      <c r="O211" s="113" t="str">
        <f>IF(AND('Mapa final'!$AB$21="Muy Baja",'Mapa final'!$AD$21="Menor"),CONCATENATE("R6C",'Mapa final'!$R$21),"")</f>
        <v/>
      </c>
      <c r="P211" s="48" t="str">
        <f ca="1">IF(AND('Mapa final'!$AB$19="Muy Baja",'Mapa final'!$AD$19="Moderado"),CONCATENATE("R6C",'Mapa final'!$R$19),"")</f>
        <v>R6C1</v>
      </c>
      <c r="Q211" s="49" t="str">
        <f>IF(AND('Mapa final'!$AB$20="Muy Baja",'Mapa final'!$AD$20="Moderado"),CONCATENATE("R6C",'Mapa final'!$R$20),"")</f>
        <v/>
      </c>
      <c r="R211" s="108" t="str">
        <f>IF(AND('Mapa final'!$AB$21="Muy Baja",'Mapa final'!$AD$21="Moderado"),CONCATENATE("R6C",'Mapa final'!$R$21),"")</f>
        <v/>
      </c>
      <c r="S211" s="102" t="str">
        <f ca="1">IF(AND('Mapa final'!$AB$19="Muy Baja",'Mapa final'!$AD$19="Mayor"),CONCATENATE("R6C",'Mapa final'!$R$19),"")</f>
        <v/>
      </c>
      <c r="T211" s="41" t="str">
        <f>IF(AND('Mapa final'!$AB$20="Muy Baja",'Mapa final'!$AD$20="Mayor"),CONCATENATE("R6C",'Mapa final'!$R$20),"")</f>
        <v/>
      </c>
      <c r="U211" s="103" t="str">
        <f>IF(AND('Mapa final'!$AB$21="Muy Baja",'Mapa final'!$AD$21="Mayor"),CONCATENATE("R6C",'Mapa final'!$R$21),"")</f>
        <v/>
      </c>
      <c r="V211" s="42" t="str">
        <f ca="1">IF(AND('Mapa final'!$AB$19="Muy Baja",'Mapa final'!$AD$19="Catastrófico"),CONCATENATE("R6C",'Mapa final'!$R$19),"")</f>
        <v/>
      </c>
      <c r="W211" s="43" t="str">
        <f>IF(AND('Mapa final'!$AB$20="Muy Baja",'Mapa final'!$AD$20="Catastrófico"),CONCATENATE("R6C",'Mapa final'!$R$20),"")</f>
        <v/>
      </c>
      <c r="X211" s="97" t="str">
        <f>IF(AND('Mapa final'!$AB$21="Muy Baja",'Mapa final'!$AD$21="Catastrófico"),CONCATENATE("R6C",'Mapa final'!$R$21),"")</f>
        <v/>
      </c>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row>
    <row r="212" spans="1:65" ht="15.75" x14ac:dyDescent="0.25">
      <c r="A212" s="55"/>
      <c r="B212" s="338"/>
      <c r="C212" s="338"/>
      <c r="D212" s="339"/>
      <c r="E212" s="326"/>
      <c r="F212" s="327"/>
      <c r="G212" s="327"/>
      <c r="H212" s="327"/>
      <c r="I212" s="327"/>
      <c r="J212" s="112" t="str">
        <f ca="1">IF(AND('Mapa final'!$AB$22="Muy Baja",'Mapa final'!$AD$22="Leve"),CONCATENATE("R7C",'Mapa final'!$R$22),"")</f>
        <v/>
      </c>
      <c r="K212" s="53" t="str">
        <f>IF(AND('Mapa final'!$AB$23="Muy Baja",'Mapa final'!$AD$23="Leve"),CONCATENATE("R7C",'Mapa final'!$R$23),"")</f>
        <v/>
      </c>
      <c r="L212" s="113" t="str">
        <f>IF(AND('Mapa final'!$AB$24="Muy Baja",'Mapa final'!$AD$24="Leve"),CONCATENATE("R7C",'Mapa final'!$R$24),"")</f>
        <v/>
      </c>
      <c r="M212" s="112" t="str">
        <f ca="1">IF(AND('Mapa final'!$AB$22="Muy Baja",'Mapa final'!$AD$22="Menor"),CONCATENATE("R7C",'Mapa final'!$R$22),"")</f>
        <v/>
      </c>
      <c r="N212" s="53" t="str">
        <f>IF(AND('Mapa final'!$AB$23="Muy Baja",'Mapa final'!$AD$23="Menor"),CONCATENATE("R7C",'Mapa final'!$R$23),"")</f>
        <v/>
      </c>
      <c r="O212" s="113" t="str">
        <f>IF(AND('Mapa final'!$AB$24="Muy Baja",'Mapa final'!$AD$24="Menor"),CONCATENATE("R7C",'Mapa final'!$R$24),"")</f>
        <v/>
      </c>
      <c r="P212" s="48" t="str">
        <f ca="1">IF(AND('Mapa final'!$AB$22="Muy Baja",'Mapa final'!$AD$22="Moderado"),CONCATENATE("R7C",'Mapa final'!$R$22),"")</f>
        <v>R7C1</v>
      </c>
      <c r="Q212" s="49" t="str">
        <f>IF(AND('Mapa final'!$AB$23="Muy Baja",'Mapa final'!$AD$23="Moderado"),CONCATENATE("R7C",'Mapa final'!$R$23),"")</f>
        <v/>
      </c>
      <c r="R212" s="108" t="str">
        <f>IF(AND('Mapa final'!$AB$24="Muy Baja",'Mapa final'!$AD$24="Moderado"),CONCATENATE("R7C",'Mapa final'!$R$24),"")</f>
        <v/>
      </c>
      <c r="S212" s="102" t="str">
        <f ca="1">IF(AND('Mapa final'!$AB$22="Muy Baja",'Mapa final'!$AD$22="Mayor"),CONCATENATE("R7C",'Mapa final'!$R$22),"")</f>
        <v/>
      </c>
      <c r="T212" s="41" t="str">
        <f>IF(AND('Mapa final'!$AB$23="Muy Baja",'Mapa final'!$AD$23="Mayor"),CONCATENATE("R7C",'Mapa final'!$R$23),"")</f>
        <v/>
      </c>
      <c r="U212" s="103" t="str">
        <f>IF(AND('Mapa final'!$AB$24="Muy Baja",'Mapa final'!$AD$24="Mayor"),CONCATENATE("R7C",'Mapa final'!$R$24),"")</f>
        <v/>
      </c>
      <c r="V212" s="42" t="str">
        <f ca="1">IF(AND('Mapa final'!$AB$22="Muy Baja",'Mapa final'!$AD$22="Catastrófico"),CONCATENATE("R7C",'Mapa final'!$R$22),"")</f>
        <v/>
      </c>
      <c r="W212" s="43" t="str">
        <f>IF(AND('Mapa final'!$AB$23="Muy Baja",'Mapa final'!$AD$23="Catastrófico"),CONCATENATE("R7C",'Mapa final'!$R$23),"")</f>
        <v/>
      </c>
      <c r="X212" s="97" t="str">
        <f>IF(AND('Mapa final'!$AB$24="Muy Baja",'Mapa final'!$AD$24="Catastrófico"),CONCATENATE("R7C",'Mapa final'!$R$24),"")</f>
        <v/>
      </c>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row>
    <row r="213" spans="1:65" ht="15.75" x14ac:dyDescent="0.25">
      <c r="A213" s="55"/>
      <c r="B213" s="338"/>
      <c r="C213" s="338"/>
      <c r="D213" s="339"/>
      <c r="E213" s="326"/>
      <c r="F213" s="327"/>
      <c r="G213" s="327"/>
      <c r="H213" s="327"/>
      <c r="I213" s="327"/>
      <c r="J213" s="112" t="str">
        <f ca="1">IF(AND('Mapa final'!$AB$25="Muy Baja",'Mapa final'!$AD$25="Leve"),CONCATENATE("R8C",'Mapa final'!$R$25),"")</f>
        <v/>
      </c>
      <c r="K213" s="53" t="str">
        <f>IF(AND('Mapa final'!$AB$26="Muy Baja",'Mapa final'!$AD$26="Leve"),CONCATENATE("R8C",'Mapa final'!$R$26),"")</f>
        <v/>
      </c>
      <c r="L213" s="113" t="str">
        <f>IF(AND('Mapa final'!$AB$27="Muy Baja",'Mapa final'!$AD$27="Leve"),CONCATENATE("R8C",'Mapa final'!$R$27),"")</f>
        <v/>
      </c>
      <c r="M213" s="112" t="str">
        <f ca="1">IF(AND('Mapa final'!$AB$25="Muy Baja",'Mapa final'!$AD$25="Menor"),CONCATENATE("R8C",'Mapa final'!$R$25),"")</f>
        <v/>
      </c>
      <c r="N213" s="53" t="str">
        <f>IF(AND('Mapa final'!$AB$26="Muy Baja",'Mapa final'!$AD$26="Menor"),CONCATENATE("R8C",'Mapa final'!$R$26),"")</f>
        <v/>
      </c>
      <c r="O213" s="113" t="str">
        <f>IF(AND('Mapa final'!$AB$27="Muy Baja",'Mapa final'!$AD$27="Menor"),CONCATENATE("R8C",'Mapa final'!$R$27),"")</f>
        <v/>
      </c>
      <c r="P213" s="48" t="str">
        <f ca="1">IF(AND('Mapa final'!$AB$25="Muy Baja",'Mapa final'!$AD$25="Moderado"),CONCATENATE("R8C",'Mapa final'!$R$25),"")</f>
        <v/>
      </c>
      <c r="Q213" s="49" t="str">
        <f>IF(AND('Mapa final'!$AB$26="Muy Baja",'Mapa final'!$AD$26="Moderado"),CONCATENATE("R8C",'Mapa final'!$R$26),"")</f>
        <v/>
      </c>
      <c r="R213" s="108" t="str">
        <f>IF(AND('Mapa final'!$AB$27="Muy Baja",'Mapa final'!$AD$27="Moderado"),CONCATENATE("R8C",'Mapa final'!$R$27),"")</f>
        <v/>
      </c>
      <c r="S213" s="102" t="str">
        <f ca="1">IF(AND('Mapa final'!$AB$25="Muy Baja",'Mapa final'!$AD$25="Mayor"),CONCATENATE("R8C",'Mapa final'!$R$25),"")</f>
        <v/>
      </c>
      <c r="T213" s="41" t="str">
        <f>IF(AND('Mapa final'!$AB$26="Muy Baja",'Mapa final'!$AD$26="Mayor"),CONCATENATE("R8C",'Mapa final'!$R$26),"")</f>
        <v/>
      </c>
      <c r="U213" s="103" t="str">
        <f>IF(AND('Mapa final'!$AB$27="Muy Baja",'Mapa final'!$AD$27="Mayor"),CONCATENATE("R8C",'Mapa final'!$R$27),"")</f>
        <v/>
      </c>
      <c r="V213" s="42" t="str">
        <f ca="1">IF(AND('Mapa final'!$AB$25="Muy Baja",'Mapa final'!$AD$25="Catastrófico"),CONCATENATE("R8C",'Mapa final'!$R$25),"")</f>
        <v/>
      </c>
      <c r="W213" s="43" t="str">
        <f>IF(AND('Mapa final'!$AB$26="Muy Baja",'Mapa final'!$AD$26="Catastrófico"),CONCATENATE("R8C",'Mapa final'!$R$26),"")</f>
        <v/>
      </c>
      <c r="X213" s="97" t="str">
        <f>IF(AND('Mapa final'!$AB$27="Muy Baja",'Mapa final'!$AD$27="Catastrófico"),CONCATENATE("R8C",'Mapa final'!$R$27),"")</f>
        <v/>
      </c>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row>
    <row r="214" spans="1:65" ht="15.75" x14ac:dyDescent="0.25">
      <c r="A214" s="55"/>
      <c r="B214" s="338"/>
      <c r="C214" s="338"/>
      <c r="D214" s="339"/>
      <c r="E214" s="326"/>
      <c r="F214" s="327"/>
      <c r="G214" s="327"/>
      <c r="H214" s="327"/>
      <c r="I214" s="327"/>
      <c r="J214" s="112" t="str">
        <f>IF(AND('Mapa final'!$AB$28="Muy Baja",'Mapa final'!$AD$28="Leve"),CONCATENATE("R9C",'Mapa final'!$R$28),"")</f>
        <v/>
      </c>
      <c r="K214" s="53" t="str">
        <f>IF(AND('Mapa final'!$AB$29="Muy Baja",'Mapa final'!$AD$29="Leve"),CONCATENATE("R9C",'Mapa final'!$R$29),"")</f>
        <v/>
      </c>
      <c r="L214" s="113" t="str">
        <f>IF(AND('Mapa final'!$AB$30="Muy Baja",'Mapa final'!$AD$30="Leve"),CONCATENATE("R9C",'Mapa final'!$R$30),"")</f>
        <v>R9C3</v>
      </c>
      <c r="M214" s="112" t="str">
        <f>IF(AND('Mapa final'!$AB$28="Muy Baja",'Mapa final'!$AD$28="Menor"),CONCATENATE("R9C",'Mapa final'!$R$28),"")</f>
        <v/>
      </c>
      <c r="N214" s="53" t="str">
        <f>IF(AND('Mapa final'!$AB$29="Muy Baja",'Mapa final'!$AD$29="Menor"),CONCATENATE("R9C",'Mapa final'!$R$29),"")</f>
        <v/>
      </c>
      <c r="O214" s="113" t="str">
        <f>IF(AND('Mapa final'!$AB$30="Muy Baja",'Mapa final'!$AD$30="Menor"),CONCATENATE("R9C",'Mapa final'!$R$30),"")</f>
        <v/>
      </c>
      <c r="P214" s="48" t="str">
        <f>IF(AND('Mapa final'!$AB$28="Muy Baja",'Mapa final'!$AD$28="Moderado"),CONCATENATE("R9C",'Mapa final'!$R$28),"")</f>
        <v/>
      </c>
      <c r="Q214" s="49" t="str">
        <f>IF(AND('Mapa final'!$AB$29="Muy Baja",'Mapa final'!$AD$29="Moderado"),CONCATENATE("R9C",'Mapa final'!$R$29),"")</f>
        <v/>
      </c>
      <c r="R214" s="108" t="str">
        <f>IF(AND('Mapa final'!$AB$30="Muy Baja",'Mapa final'!$AD$30="Moderado"),CONCATENATE("R9C",'Mapa final'!$R$30),"")</f>
        <v/>
      </c>
      <c r="S214" s="102" t="str">
        <f>IF(AND('Mapa final'!$AB$28="Muy Baja",'Mapa final'!$AD$28="Mayor"),CONCATENATE("R9C",'Mapa final'!$R$28),"")</f>
        <v/>
      </c>
      <c r="T214" s="41" t="str">
        <f>IF(AND('Mapa final'!$AB$29="Muy Baja",'Mapa final'!$AD$29="Mayor"),CONCATENATE("R9C",'Mapa final'!$R$29),"")</f>
        <v/>
      </c>
      <c r="U214" s="103" t="str">
        <f>IF(AND('Mapa final'!$AB$30="Muy Baja",'Mapa final'!$AD$30="Mayor"),CONCATENATE("R9C",'Mapa final'!$R$30),"")</f>
        <v/>
      </c>
      <c r="V214" s="42" t="str">
        <f>IF(AND('Mapa final'!$AB$28="Muy Baja",'Mapa final'!$AD$28="Catastrófico"),CONCATENATE("R9C",'Mapa final'!$R$28),"")</f>
        <v/>
      </c>
      <c r="W214" s="43" t="str">
        <f>IF(AND('Mapa final'!$AB$29="Muy Baja",'Mapa final'!$AD$29="Catastrófico"),CONCATENATE("R9C",'Mapa final'!$R$29),"")</f>
        <v/>
      </c>
      <c r="X214" s="97" t="str">
        <f>IF(AND('Mapa final'!$AB$30="Muy Baja",'Mapa final'!$AD$30="Catastrófico"),CONCATENATE("R9C",'Mapa final'!$R$30),"")</f>
        <v/>
      </c>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row>
    <row r="215" spans="1:65" ht="15.75" x14ac:dyDescent="0.25">
      <c r="A215" s="55"/>
      <c r="B215" s="338"/>
      <c r="C215" s="338"/>
      <c r="D215" s="339"/>
      <c r="E215" s="326"/>
      <c r="F215" s="327"/>
      <c r="G215" s="327"/>
      <c r="H215" s="327"/>
      <c r="I215" s="327"/>
      <c r="J215" s="112" t="str">
        <f ca="1">IF(AND('Mapa final'!$AB$31="Muy Baja",'Mapa final'!$AD$31="Leve"),CONCATENATE("R10C",'Mapa final'!$R$31),"")</f>
        <v/>
      </c>
      <c r="K215" s="53" t="str">
        <f>IF(AND('Mapa final'!$AB$32="Muy Baja",'Mapa final'!$AD$32="Leve"),CONCATENATE("R10C",'Mapa final'!$R$32),"")</f>
        <v/>
      </c>
      <c r="L215" s="113" t="str">
        <f>IF(AND('Mapa final'!$AB$33="Muy Baja",'Mapa final'!$AD$33="Leve"),CONCATENATE("R10C",'Mapa final'!$R$33),"")</f>
        <v/>
      </c>
      <c r="M215" s="112" t="str">
        <f ca="1">IF(AND('Mapa final'!$AB$31="Muy Baja",'Mapa final'!$AD$31="Menor"),CONCATENATE("R10C",'Mapa final'!$R$31),"")</f>
        <v/>
      </c>
      <c r="N215" s="53" t="str">
        <f>IF(AND('Mapa final'!$AB$32="Muy Baja",'Mapa final'!$AD$32="Menor"),CONCATENATE("R10C",'Mapa final'!$R$32),"")</f>
        <v/>
      </c>
      <c r="O215" s="113" t="str">
        <f>IF(AND('Mapa final'!$AB$33="Muy Baja",'Mapa final'!$AD$33="Menor"),CONCATENATE("R10C",'Mapa final'!$R$33),"")</f>
        <v/>
      </c>
      <c r="P215" s="48" t="str">
        <f ca="1">IF(AND('Mapa final'!$AB$31="Muy Baja",'Mapa final'!$AD$31="Moderado"),CONCATENATE("R10C",'Mapa final'!$R$31),"")</f>
        <v/>
      </c>
      <c r="Q215" s="49" t="str">
        <f>IF(AND('Mapa final'!$AB$32="Muy Baja",'Mapa final'!$AD$32="Moderado"),CONCATENATE("R10C",'Mapa final'!$R$32),"")</f>
        <v/>
      </c>
      <c r="R215" s="108" t="str">
        <f>IF(AND('Mapa final'!$AB$33="Muy Baja",'Mapa final'!$AD$33="Moderado"),CONCATENATE("R10C",'Mapa final'!$R$33),"")</f>
        <v/>
      </c>
      <c r="S215" s="102" t="str">
        <f ca="1">IF(AND('Mapa final'!$AB$31="Muy Baja",'Mapa final'!$AD$31="Mayor"),CONCATENATE("R10C",'Mapa final'!$R$31),"")</f>
        <v/>
      </c>
      <c r="T215" s="41" t="str">
        <f>IF(AND('Mapa final'!$AB$32="Muy Baja",'Mapa final'!$AD$32="Mayor"),CONCATENATE("R10C",'Mapa final'!$R$32),"")</f>
        <v/>
      </c>
      <c r="U215" s="103" t="str">
        <f>IF(AND('Mapa final'!$AB$33="Muy Baja",'Mapa final'!$AD$33="Mayor"),CONCATENATE("R10C",'Mapa final'!$R$33),"")</f>
        <v/>
      </c>
      <c r="V215" s="42" t="str">
        <f ca="1">IF(AND('Mapa final'!$AB$31="Muy Baja",'Mapa final'!$AD$31="Catastrófico"),CONCATENATE("R10C",'Mapa final'!$R$31),"")</f>
        <v/>
      </c>
      <c r="W215" s="43" t="str">
        <f>IF(AND('Mapa final'!$AB$32="Muy Baja",'Mapa final'!$AD$32="Catastrófico"),CONCATENATE("R10C",'Mapa final'!$R$32),"")</f>
        <v/>
      </c>
      <c r="X215" s="97" t="str">
        <f>IF(AND('Mapa final'!$AB$33="Muy Baja",'Mapa final'!$AD$33="Catastrófico"),CONCATENATE("R10C",'Mapa final'!$R$33),"")</f>
        <v/>
      </c>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row>
    <row r="216" spans="1:65" ht="15.75" x14ac:dyDescent="0.25">
      <c r="A216" s="55"/>
      <c r="B216" s="338"/>
      <c r="C216" s="338"/>
      <c r="D216" s="339"/>
      <c r="E216" s="326"/>
      <c r="F216" s="327"/>
      <c r="G216" s="327"/>
      <c r="H216" s="327"/>
      <c r="I216" s="327"/>
      <c r="J216" s="112" t="str">
        <f ca="1">IF(AND('Mapa final'!$AB$34="Muy Baja",'Mapa final'!$AD$34="Leve"),CONCATENATE("R11C",'Mapa final'!$R$34),"")</f>
        <v/>
      </c>
      <c r="K216" s="53" t="str">
        <f>IF(AND('Mapa final'!$AB$35="Muy Baja",'Mapa final'!$AD$35="Leve"),CONCATENATE("R11C",'Mapa final'!$R$35),"")</f>
        <v/>
      </c>
      <c r="L216" s="113" t="str">
        <f>IF(AND('Mapa final'!$AB$36="Muy Baja",'Mapa final'!$AD$36="Leve"),CONCATENATE("R11C",'Mapa final'!$R$36),"")</f>
        <v/>
      </c>
      <c r="M216" s="112" t="str">
        <f ca="1">IF(AND('Mapa final'!$AB$34="Muy Baja",'Mapa final'!$AD$34="Menor"),CONCATENATE("R11C",'Mapa final'!$R$34),"")</f>
        <v/>
      </c>
      <c r="N216" s="53" t="str">
        <f>IF(AND('Mapa final'!$AB$35="Muy Baja",'Mapa final'!$AD$35="Menor"),CONCATENATE("R11C",'Mapa final'!$R$35),"")</f>
        <v/>
      </c>
      <c r="O216" s="113" t="str">
        <f>IF(AND('Mapa final'!$AB$36="Muy Baja",'Mapa final'!$AD$36="Menor"),CONCATENATE("R11C",'Mapa final'!$R$36),"")</f>
        <v/>
      </c>
      <c r="P216" s="48" t="str">
        <f ca="1">IF(AND('Mapa final'!$AB$34="Muy Baja",'Mapa final'!$AD$34="Moderado"),CONCATENATE("R11C",'Mapa final'!$R$34),"")</f>
        <v/>
      </c>
      <c r="Q216" s="49" t="str">
        <f>IF(AND('Mapa final'!$AB$35="Muy Baja",'Mapa final'!$AD$35="Moderado"),CONCATENATE("R11C",'Mapa final'!$R$35),"")</f>
        <v/>
      </c>
      <c r="R216" s="108" t="str">
        <f>IF(AND('Mapa final'!$AB$36="Muy Baja",'Mapa final'!$AD$36="Moderado"),CONCATENATE("R11C",'Mapa final'!$R$36),"")</f>
        <v/>
      </c>
      <c r="S216" s="102" t="str">
        <f ca="1">IF(AND('Mapa final'!$AB$34="Muy Baja",'Mapa final'!$AD$34="Mayor"),CONCATENATE("R11C",'Mapa final'!$R$34),"")</f>
        <v/>
      </c>
      <c r="T216" s="41" t="str">
        <f>IF(AND('Mapa final'!$AB$35="Muy Baja",'Mapa final'!$AD$35="Mayor"),CONCATENATE("R11C",'Mapa final'!$R$35),"")</f>
        <v/>
      </c>
      <c r="U216" s="103" t="str">
        <f>IF(AND('Mapa final'!$AB$36="Muy Baja",'Mapa final'!$AD$36="Mayor"),CONCATENATE("R11C",'Mapa final'!$R$36),"")</f>
        <v/>
      </c>
      <c r="V216" s="42" t="str">
        <f ca="1">IF(AND('Mapa final'!$AB$34="Muy Baja",'Mapa final'!$AD$34="Catastrófico"),CONCATENATE("R11C",'Mapa final'!$R$34),"")</f>
        <v/>
      </c>
      <c r="W216" s="43" t="str">
        <f>IF(AND('Mapa final'!$AB$35="Muy Baja",'Mapa final'!$AD$35="Catastrófico"),CONCATENATE("R11C",'Mapa final'!$R$35),"")</f>
        <v/>
      </c>
      <c r="X216" s="97" t="str">
        <f>IF(AND('Mapa final'!$AB$36="Muy Baja",'Mapa final'!$AD$36="Catastrófico"),CONCATENATE("R11C",'Mapa final'!$R$36),"")</f>
        <v/>
      </c>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row>
    <row r="217" spans="1:65" ht="15.75" x14ac:dyDescent="0.25">
      <c r="A217" s="55"/>
      <c r="B217" s="338"/>
      <c r="C217" s="338"/>
      <c r="D217" s="339"/>
      <c r="E217" s="326"/>
      <c r="F217" s="327"/>
      <c r="G217" s="327"/>
      <c r="H217" s="327"/>
      <c r="I217" s="327"/>
      <c r="J217" s="112" t="str">
        <f ca="1">IF(AND('Mapa final'!$AB$37="Muy Baja",'Mapa final'!$AD$37="Leve"),CONCATENATE("R12C",'Mapa final'!$R$37),"")</f>
        <v/>
      </c>
      <c r="K217" s="53" t="str">
        <f>IF(AND('Mapa final'!$AB$38="Muy Baja",'Mapa final'!$AD$38="Leve"),CONCATENATE("R12C",'Mapa final'!$R$38),"")</f>
        <v/>
      </c>
      <c r="L217" s="113" t="str">
        <f>IF(AND('Mapa final'!$AB$39="Muy Baja",'Mapa final'!$AD$39="Leve"),CONCATENATE("R12C",'Mapa final'!$R$39),"")</f>
        <v/>
      </c>
      <c r="M217" s="112" t="str">
        <f ca="1">IF(AND('Mapa final'!$AB$37="Muy Baja",'Mapa final'!$AD$37="Menor"),CONCATENATE("R12C",'Mapa final'!$R$37),"")</f>
        <v/>
      </c>
      <c r="N217" s="53" t="str">
        <f>IF(AND('Mapa final'!$AB$38="Muy Baja",'Mapa final'!$AD$38="Menor"),CONCATENATE("R12C",'Mapa final'!$R$38),"")</f>
        <v/>
      </c>
      <c r="O217" s="113" t="str">
        <f>IF(AND('Mapa final'!$AB$39="Muy Baja",'Mapa final'!$AD$39="Menor"),CONCATENATE("R12C",'Mapa final'!$R$39),"")</f>
        <v/>
      </c>
      <c r="P217" s="48" t="str">
        <f ca="1">IF(AND('Mapa final'!$AB$37="Muy Baja",'Mapa final'!$AD$37="Moderado"),CONCATENATE("R12C",'Mapa final'!$R$37),"")</f>
        <v/>
      </c>
      <c r="Q217" s="49" t="str">
        <f>IF(AND('Mapa final'!$AB$38="Muy Baja",'Mapa final'!$AD$38="Moderado"),CONCATENATE("R12C",'Mapa final'!$R$38),"")</f>
        <v/>
      </c>
      <c r="R217" s="108" t="str">
        <f>IF(AND('Mapa final'!$AB$39="Muy Baja",'Mapa final'!$AD$39="Moderado"),CONCATENATE("R12C",'Mapa final'!$R$39),"")</f>
        <v/>
      </c>
      <c r="S217" s="102" t="str">
        <f ca="1">IF(AND('Mapa final'!$AB$37="Muy Baja",'Mapa final'!$AD$37="Mayor"),CONCATENATE("R12C",'Mapa final'!$R$37),"")</f>
        <v/>
      </c>
      <c r="T217" s="41" t="str">
        <f>IF(AND('Mapa final'!$AB$38="Muy Baja",'Mapa final'!$AD$38="Mayor"),CONCATENATE("R12C",'Mapa final'!$R$38),"")</f>
        <v/>
      </c>
      <c r="U217" s="103" t="str">
        <f>IF(AND('Mapa final'!$AB$39="Muy Baja",'Mapa final'!$AD$39="Mayor"),CONCATENATE("R12C",'Mapa final'!$R$39),"")</f>
        <v/>
      </c>
      <c r="V217" s="42" t="str">
        <f ca="1">IF(AND('Mapa final'!$AB$37="Muy Baja",'Mapa final'!$AD$37="Catastrófico"),CONCATENATE("R12C",'Mapa final'!$R$37),"")</f>
        <v/>
      </c>
      <c r="W217" s="43" t="str">
        <f>IF(AND('Mapa final'!$AB$38="Muy Baja",'Mapa final'!$AD$38="Catastrófico"),CONCATENATE("R12C",'Mapa final'!$R$38),"")</f>
        <v/>
      </c>
      <c r="X217" s="97" t="str">
        <f>IF(AND('Mapa final'!$AB$39="Muy Baja",'Mapa final'!$AD$39="Catastrófico"),CONCATENATE("R12C",'Mapa final'!$R$39),"")</f>
        <v/>
      </c>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row>
    <row r="218" spans="1:65" ht="15.75" x14ac:dyDescent="0.25">
      <c r="A218" s="55"/>
      <c r="B218" s="338"/>
      <c r="C218" s="338"/>
      <c r="D218" s="339"/>
      <c r="E218" s="326"/>
      <c r="F218" s="327"/>
      <c r="G218" s="327"/>
      <c r="H218" s="327"/>
      <c r="I218" s="327"/>
      <c r="J218" s="112" t="str">
        <f ca="1">IF(AND('Mapa final'!$AB$40="Muy Baja",'Mapa final'!$AD$40="Leve"),CONCATENATE("R13C",'Mapa final'!$R$40),"")</f>
        <v/>
      </c>
      <c r="K218" s="53" t="str">
        <f>IF(AND('Mapa final'!$AB$41="Muy Baja",'Mapa final'!$AD$41="Leve"),CONCATENATE("R13C",'Mapa final'!$R$41),"")</f>
        <v/>
      </c>
      <c r="L218" s="113" t="str">
        <f>IF(AND('Mapa final'!$AB$42="Muy Baja",'Mapa final'!$AD$42="Leve"),CONCATENATE("R13C",'Mapa final'!$R$42),"")</f>
        <v/>
      </c>
      <c r="M218" s="112" t="str">
        <f ca="1">IF(AND('Mapa final'!$AB$40="Muy Baja",'Mapa final'!$AD$40="Menor"),CONCATENATE("R13C",'Mapa final'!$R$40),"")</f>
        <v/>
      </c>
      <c r="N218" s="53" t="str">
        <f>IF(AND('Mapa final'!$AB$41="Muy Baja",'Mapa final'!$AD$41="Menor"),CONCATENATE("R13C",'Mapa final'!$R$41),"")</f>
        <v/>
      </c>
      <c r="O218" s="113" t="str">
        <f>IF(AND('Mapa final'!$AB$42="Muy Baja",'Mapa final'!$AD$42="Menor"),CONCATENATE("R13C",'Mapa final'!$R$42),"")</f>
        <v/>
      </c>
      <c r="P218" s="48" t="str">
        <f ca="1">IF(AND('Mapa final'!$AB$40="Muy Baja",'Mapa final'!$AD$40="Moderado"),CONCATENATE("R13C",'Mapa final'!$R$40),"")</f>
        <v>R13C1</v>
      </c>
      <c r="Q218" s="49" t="str">
        <f>IF(AND('Mapa final'!$AB$41="Muy Baja",'Mapa final'!$AD$41="Moderado"),CONCATENATE("R13C",'Mapa final'!$R$41),"")</f>
        <v/>
      </c>
      <c r="R218" s="108" t="str">
        <f>IF(AND('Mapa final'!$AB$42="Muy Baja",'Mapa final'!$AD$42="Moderado"),CONCATENATE("R13C",'Mapa final'!$R$42),"")</f>
        <v/>
      </c>
      <c r="S218" s="102" t="str">
        <f ca="1">IF(AND('Mapa final'!$AB$40="Muy Baja",'Mapa final'!$AD$40="Mayor"),CONCATENATE("R13C",'Mapa final'!$R$40),"")</f>
        <v/>
      </c>
      <c r="T218" s="41" t="str">
        <f>IF(AND('Mapa final'!$AB$41="Muy Baja",'Mapa final'!$AD$41="Mayor"),CONCATENATE("R13C",'Mapa final'!$R$41),"")</f>
        <v/>
      </c>
      <c r="U218" s="103" t="str">
        <f>IF(AND('Mapa final'!$AB$42="Muy Baja",'Mapa final'!$AD$42="Mayor"),CONCATENATE("R13C",'Mapa final'!$R$42),"")</f>
        <v/>
      </c>
      <c r="V218" s="42" t="str">
        <f ca="1">IF(AND('Mapa final'!$AB$40="Muy Baja",'Mapa final'!$AD$40="Catastrófico"),CONCATENATE("R13C",'Mapa final'!$R$40),"")</f>
        <v/>
      </c>
      <c r="W218" s="43" t="str">
        <f>IF(AND('Mapa final'!$AB$41="Muy Baja",'Mapa final'!$AD$41="Catastrófico"),CONCATENATE("R13C",'Mapa final'!$R$41),"")</f>
        <v/>
      </c>
      <c r="X218" s="97" t="str">
        <f>IF(AND('Mapa final'!$AB$42="Muy Baja",'Mapa final'!$AD$42="Catastrófico"),CONCATENATE("R13C",'Mapa final'!$R$42),"")</f>
        <v/>
      </c>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row>
    <row r="219" spans="1:65" ht="15.75" x14ac:dyDescent="0.25">
      <c r="A219" s="55"/>
      <c r="B219" s="338"/>
      <c r="C219" s="338"/>
      <c r="D219" s="339"/>
      <c r="E219" s="326"/>
      <c r="F219" s="327"/>
      <c r="G219" s="327"/>
      <c r="H219" s="327"/>
      <c r="I219" s="327"/>
      <c r="J219" s="112" t="str">
        <f ca="1">IF(AND('Mapa final'!$AB$43="Muy Baja",'Mapa final'!$AD$43="Leve"),CONCATENATE("R14C",'Mapa final'!$R$43),"")</f>
        <v/>
      </c>
      <c r="K219" s="53" t="str">
        <f>IF(AND('Mapa final'!$AB$44="Muy Baja",'Mapa final'!$AD$44="Leve"),CONCATENATE("R14C",'Mapa final'!$R$44),"")</f>
        <v/>
      </c>
      <c r="L219" s="113" t="str">
        <f>IF(AND('Mapa final'!$AB$45="Muy Baja",'Mapa final'!$AD$45="Leve"),CONCATENATE("R14C",'Mapa final'!$R$45),"")</f>
        <v/>
      </c>
      <c r="M219" s="112" t="str">
        <f ca="1">IF(AND('Mapa final'!$AB$43="Muy Baja",'Mapa final'!$AD$43="Menor"),CONCATENATE("R14C",'Mapa final'!$R$43),"")</f>
        <v/>
      </c>
      <c r="N219" s="53" t="str">
        <f>IF(AND('Mapa final'!$AB$44="Muy Baja",'Mapa final'!$AD$44="Menor"),CONCATENATE("R14C",'Mapa final'!$R$44),"")</f>
        <v/>
      </c>
      <c r="O219" s="113" t="str">
        <f>IF(AND('Mapa final'!$AB$45="Muy Baja",'Mapa final'!$AD$45="Menor"),CONCATENATE("R14C",'Mapa final'!$R$45),"")</f>
        <v/>
      </c>
      <c r="P219" s="48" t="str">
        <f ca="1">IF(AND('Mapa final'!$AB$43="Muy Baja",'Mapa final'!$AD$43="Moderado"),CONCATENATE("R14C",'Mapa final'!$R$43),"")</f>
        <v/>
      </c>
      <c r="Q219" s="49" t="str">
        <f>IF(AND('Mapa final'!$AB$44="Muy Baja",'Mapa final'!$AD$44="Moderado"),CONCATENATE("R14C",'Mapa final'!$R$44),"")</f>
        <v>R14C2</v>
      </c>
      <c r="R219" s="108" t="str">
        <f>IF(AND('Mapa final'!$AB$45="Muy Baja",'Mapa final'!$AD$45="Moderado"),CONCATENATE("R14C",'Mapa final'!$R$45),"")</f>
        <v/>
      </c>
      <c r="S219" s="102" t="str">
        <f ca="1">IF(AND('Mapa final'!$AB$43="Muy Baja",'Mapa final'!$AD$43="Mayor"),CONCATENATE("R14C",'Mapa final'!$R$43),"")</f>
        <v/>
      </c>
      <c r="T219" s="41" t="str">
        <f>IF(AND('Mapa final'!$AB$44="Muy Baja",'Mapa final'!$AD$44="Mayor"),CONCATENATE("R14C",'Mapa final'!$R$44),"")</f>
        <v/>
      </c>
      <c r="U219" s="103" t="str">
        <f>IF(AND('Mapa final'!$AB$45="Muy Baja",'Mapa final'!$AD$45="Mayor"),CONCATENATE("R14C",'Mapa final'!$R$45),"")</f>
        <v/>
      </c>
      <c r="V219" s="42" t="str">
        <f ca="1">IF(AND('Mapa final'!$AB$43="Muy Baja",'Mapa final'!$AD$43="Catastrófico"),CONCATENATE("R14C",'Mapa final'!$R$43),"")</f>
        <v/>
      </c>
      <c r="W219" s="43" t="str">
        <f>IF(AND('Mapa final'!$AB$44="Muy Baja",'Mapa final'!$AD$44="Catastrófico"),CONCATENATE("R14C",'Mapa final'!$R$44),"")</f>
        <v/>
      </c>
      <c r="X219" s="97" t="str">
        <f>IF(AND('Mapa final'!$AB$45="Muy Baja",'Mapa final'!$AD$45="Catastrófico"),CONCATENATE("R14C",'Mapa final'!$R$45),"")</f>
        <v/>
      </c>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row>
    <row r="220" spans="1:65" ht="15.75" x14ac:dyDescent="0.25">
      <c r="A220" s="55"/>
      <c r="B220" s="338"/>
      <c r="C220" s="338"/>
      <c r="D220" s="339"/>
      <c r="E220" s="326"/>
      <c r="F220" s="327"/>
      <c r="G220" s="327"/>
      <c r="H220" s="327"/>
      <c r="I220" s="327"/>
      <c r="J220" s="112" t="str">
        <f ca="1">IF(AND('Mapa final'!$AB$46="Muy Baja",'Mapa final'!$AD$46="Leve"),CONCATENATE("R15C",'Mapa final'!$R$46),"")</f>
        <v/>
      </c>
      <c r="K220" s="53" t="str">
        <f>IF(AND('Mapa final'!$AB$47="Muy Baja",'Mapa final'!$AD$47="Leve"),CONCATENATE("R15C",'Mapa final'!$R$47),"")</f>
        <v/>
      </c>
      <c r="L220" s="113" t="str">
        <f>IF(AND('Mapa final'!$AB$48="Muy Baja",'Mapa final'!$AD$48="Leve"),CONCATENATE("R15C",'Mapa final'!$R$48),"")</f>
        <v/>
      </c>
      <c r="M220" s="112" t="str">
        <f ca="1">IF(AND('Mapa final'!$AB$46="Muy Baja",'Mapa final'!$AD$46="Menor"),CONCATENATE("R15C",'Mapa final'!$R$46),"")</f>
        <v/>
      </c>
      <c r="N220" s="53" t="str">
        <f>IF(AND('Mapa final'!$AB$47="Muy Baja",'Mapa final'!$AD$47="Menor"),CONCATENATE("R15C",'Mapa final'!$R$47),"")</f>
        <v/>
      </c>
      <c r="O220" s="113" t="str">
        <f>IF(AND('Mapa final'!$AB$48="Muy Baja",'Mapa final'!$AD$48="Menor"),CONCATENATE("R15C",'Mapa final'!$R$48),"")</f>
        <v/>
      </c>
      <c r="P220" s="48" t="str">
        <f ca="1">IF(AND('Mapa final'!$AB$46="Muy Baja",'Mapa final'!$AD$46="Moderado"),CONCATENATE("R15C",'Mapa final'!$R$46),"")</f>
        <v/>
      </c>
      <c r="Q220" s="49" t="str">
        <f>IF(AND('Mapa final'!$AB$47="Muy Baja",'Mapa final'!$AD$47="Moderado"),CONCATENATE("R15C",'Mapa final'!$R$47),"")</f>
        <v/>
      </c>
      <c r="R220" s="108" t="str">
        <f>IF(AND('Mapa final'!$AB$48="Muy Baja",'Mapa final'!$AD$48="Moderado"),CONCATENATE("R15C",'Mapa final'!$R$48),"")</f>
        <v/>
      </c>
      <c r="S220" s="102" t="str">
        <f ca="1">IF(AND('Mapa final'!$AB$46="Muy Baja",'Mapa final'!$AD$46="Mayor"),CONCATENATE("R15C",'Mapa final'!$R$46),"")</f>
        <v/>
      </c>
      <c r="T220" s="41" t="str">
        <f>IF(AND('Mapa final'!$AB$47="Muy Baja",'Mapa final'!$AD$47="Mayor"),CONCATENATE("R15C",'Mapa final'!$R$47),"")</f>
        <v/>
      </c>
      <c r="U220" s="103" t="str">
        <f>IF(AND('Mapa final'!$AB$48="Muy Baja",'Mapa final'!$AD$48="Mayor"),CONCATENATE("R15C",'Mapa final'!$R$48),"")</f>
        <v/>
      </c>
      <c r="V220" s="42" t="str">
        <f ca="1">IF(AND('Mapa final'!$AB$46="Muy Baja",'Mapa final'!$AD$46="Catastrófico"),CONCATENATE("R15C",'Mapa final'!$R$46),"")</f>
        <v/>
      </c>
      <c r="W220" s="43" t="str">
        <f>IF(AND('Mapa final'!$AB$47="Muy Baja",'Mapa final'!$AD$47="Catastrófico"),CONCATENATE("R15C",'Mapa final'!$R$47),"")</f>
        <v/>
      </c>
      <c r="X220" s="97" t="str">
        <f>IF(AND('Mapa final'!$AB$48="Muy Baja",'Mapa final'!$AD$48="Catastrófico"),CONCATENATE("R15C",'Mapa final'!$R$48),"")</f>
        <v/>
      </c>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row>
    <row r="221" spans="1:65" ht="15.75" x14ac:dyDescent="0.25">
      <c r="A221" s="55"/>
      <c r="B221" s="338"/>
      <c r="C221" s="338"/>
      <c r="D221" s="339"/>
      <c r="E221" s="326"/>
      <c r="F221" s="327"/>
      <c r="G221" s="327"/>
      <c r="H221" s="327"/>
      <c r="I221" s="327"/>
      <c r="J221" s="112" t="str">
        <f ca="1">IF(AND('Mapa final'!$AB$49="Muy Baja",'Mapa final'!$AD$49="Leve"),CONCATENATE("R16C",'Mapa final'!$R$49),"")</f>
        <v/>
      </c>
      <c r="K221" s="53" t="str">
        <f>IF(AND('Mapa final'!$AB$50="Muy Baja",'Mapa final'!$AD$50="Leve"),CONCATENATE("R16C",'Mapa final'!$R$50),"")</f>
        <v/>
      </c>
      <c r="L221" s="113" t="str">
        <f>IF(AND('Mapa final'!$AB$51="Muy Baja",'Mapa final'!$AD$51="Leve"),CONCATENATE("R16C",'Mapa final'!$R$51),"")</f>
        <v/>
      </c>
      <c r="M221" s="112" t="str">
        <f ca="1">IF(AND('Mapa final'!$AB$49="Muy Baja",'Mapa final'!$AD$49="Menor"),CONCATENATE("R16C",'Mapa final'!$R$49),"")</f>
        <v/>
      </c>
      <c r="N221" s="53" t="str">
        <f>IF(AND('Mapa final'!$AB$50="Muy Baja",'Mapa final'!$AD$50="Menor"),CONCATENATE("R16C",'Mapa final'!$R$50),"")</f>
        <v/>
      </c>
      <c r="O221" s="113" t="str">
        <f>IF(AND('Mapa final'!$AB$51="Muy Baja",'Mapa final'!$AD$51="Menor"),CONCATENATE("R16C",'Mapa final'!$R$51),"")</f>
        <v/>
      </c>
      <c r="P221" s="48" t="str">
        <f ca="1">IF(AND('Mapa final'!$AB$49="Muy Baja",'Mapa final'!$AD$49="Moderado"),CONCATENATE("R16C",'Mapa final'!$R$49),"")</f>
        <v/>
      </c>
      <c r="Q221" s="49" t="str">
        <f>IF(AND('Mapa final'!$AB$50="Muy Baja",'Mapa final'!$AD$50="Moderado"),CONCATENATE("R16C",'Mapa final'!$R$50),"")</f>
        <v/>
      </c>
      <c r="R221" s="108" t="str">
        <f>IF(AND('Mapa final'!$AB$51="Muy Baja",'Mapa final'!$AD$51="Moderado"),CONCATENATE("R16C",'Mapa final'!$R$51),"")</f>
        <v/>
      </c>
      <c r="S221" s="102" t="str">
        <f ca="1">IF(AND('Mapa final'!$AB$49="Muy Baja",'Mapa final'!$AD$49="Mayor"),CONCATENATE("R16C",'Mapa final'!$R$49),"")</f>
        <v/>
      </c>
      <c r="T221" s="41" t="str">
        <f>IF(AND('Mapa final'!$AB$50="Muy Baja",'Mapa final'!$AD$50="Mayor"),CONCATENATE("R16C",'Mapa final'!$R$50),"")</f>
        <v/>
      </c>
      <c r="U221" s="103" t="str">
        <f>IF(AND('Mapa final'!$AB$51="Muy Baja",'Mapa final'!$AD$51="Mayor"),CONCATENATE("R16C",'Mapa final'!$R$51),"")</f>
        <v/>
      </c>
      <c r="V221" s="42" t="str">
        <f ca="1">IF(AND('Mapa final'!$AB$49="Muy Baja",'Mapa final'!$AD$49="Catastrófico"),CONCATENATE("R16C",'Mapa final'!$R$49),"")</f>
        <v/>
      </c>
      <c r="W221" s="43" t="str">
        <f>IF(AND('Mapa final'!$AB$50="Muy Baja",'Mapa final'!$AD$50="Catastrófico"),CONCATENATE("R16C",'Mapa final'!$R$50),"")</f>
        <v/>
      </c>
      <c r="X221" s="97" t="str">
        <f>IF(AND('Mapa final'!$AB$51="Muy Baja",'Mapa final'!$AD$51="Catastrófico"),CONCATENATE("R16C",'Mapa final'!$R$51),"")</f>
        <v/>
      </c>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row>
    <row r="222" spans="1:65" ht="15.75" x14ac:dyDescent="0.25">
      <c r="A222" s="55"/>
      <c r="B222" s="338"/>
      <c r="C222" s="338"/>
      <c r="D222" s="339"/>
      <c r="E222" s="326"/>
      <c r="F222" s="327"/>
      <c r="G222" s="327"/>
      <c r="H222" s="327"/>
      <c r="I222" s="327"/>
      <c r="J222" s="112" t="str">
        <f ca="1">IF(AND('Mapa final'!$AB$52="Muy Baja",'Mapa final'!$AD$52="Leve"),CONCATENATE("R17C",'Mapa final'!$R$52),"")</f>
        <v/>
      </c>
      <c r="K222" s="53" t="str">
        <f>IF(AND('Mapa final'!$AB$53="Muy Baja",'Mapa final'!$AD$53="Leve"),CONCATENATE("R17C",'Mapa final'!$R$53),"")</f>
        <v/>
      </c>
      <c r="L222" s="113" t="str">
        <f>IF(AND('Mapa final'!$AB$54="Muy Baja",'Mapa final'!$AD$54="Leve"),CONCATENATE("R17C",'Mapa final'!$R$54),"")</f>
        <v/>
      </c>
      <c r="M222" s="112" t="str">
        <f ca="1">IF(AND('Mapa final'!$AB$52="Muy Baja",'Mapa final'!$AD$52="Menor"),CONCATENATE("R17C",'Mapa final'!$R$52),"")</f>
        <v/>
      </c>
      <c r="N222" s="53" t="str">
        <f>IF(AND('Mapa final'!$AB$53="Muy Baja",'Mapa final'!$AD$53="Menor"),CONCATENATE("R17C",'Mapa final'!$R$53),"")</f>
        <v/>
      </c>
      <c r="O222" s="113" t="str">
        <f>IF(AND('Mapa final'!$AB$54="Muy Baja",'Mapa final'!$AD$54="Menor"),CONCATENATE("R17C",'Mapa final'!$R$54),"")</f>
        <v/>
      </c>
      <c r="P222" s="48" t="str">
        <f ca="1">IF(AND('Mapa final'!$AB$52="Muy Baja",'Mapa final'!$AD$52="Moderado"),CONCATENATE("R17C",'Mapa final'!$R$52),"")</f>
        <v/>
      </c>
      <c r="Q222" s="49" t="str">
        <f>IF(AND('Mapa final'!$AB$53="Muy Baja",'Mapa final'!$AD$53="Moderado"),CONCATENATE("R17C",'Mapa final'!$R$53),"")</f>
        <v/>
      </c>
      <c r="R222" s="108" t="str">
        <f>IF(AND('Mapa final'!$AB$54="Muy Baja",'Mapa final'!$AD$54="Moderado"),CONCATENATE("R17C",'Mapa final'!$R$54),"")</f>
        <v/>
      </c>
      <c r="S222" s="102" t="str">
        <f ca="1">IF(AND('Mapa final'!$AB$52="Muy Baja",'Mapa final'!$AD$52="Mayor"),CONCATENATE("R17C",'Mapa final'!$R$52),"")</f>
        <v/>
      </c>
      <c r="T222" s="41" t="str">
        <f>IF(AND('Mapa final'!$AB$53="Muy Baja",'Mapa final'!$AD$53="Mayor"),CONCATENATE("R17C",'Mapa final'!$R$53),"")</f>
        <v/>
      </c>
      <c r="U222" s="103" t="str">
        <f>IF(AND('Mapa final'!$AB$54="Muy Baja",'Mapa final'!$AD$54="Mayor"),CONCATENATE("R17C",'Mapa final'!$R$54),"")</f>
        <v/>
      </c>
      <c r="V222" s="42" t="str">
        <f ca="1">IF(AND('Mapa final'!$AB$52="Muy Baja",'Mapa final'!$AD$52="Catastrófico"),CONCATENATE("R17C",'Mapa final'!$R$52),"")</f>
        <v/>
      </c>
      <c r="W222" s="43" t="str">
        <f>IF(AND('Mapa final'!$AB$53="Muy Baja",'Mapa final'!$AD$53="Catastrófico"),CONCATENATE("R17C",'Mapa final'!$R$53),"")</f>
        <v/>
      </c>
      <c r="X222" s="97" t="str">
        <f>IF(AND('Mapa final'!$AB$54="Muy Baja",'Mapa final'!$AD$54="Catastrófico"),CONCATENATE("R17C",'Mapa final'!$R$54),"")</f>
        <v/>
      </c>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row>
    <row r="223" spans="1:65" ht="15.75" x14ac:dyDescent="0.25">
      <c r="A223" s="55"/>
      <c r="B223" s="338"/>
      <c r="C223" s="338"/>
      <c r="D223" s="339"/>
      <c r="E223" s="326"/>
      <c r="F223" s="327"/>
      <c r="G223" s="327"/>
      <c r="H223" s="327"/>
      <c r="I223" s="327"/>
      <c r="J223" s="112" t="str">
        <f ca="1">IF(AND('Mapa final'!$AB$55="Muy Baja",'Mapa final'!$AD$55="Leve"),CONCATENATE("R18C",'Mapa final'!$R$55),"")</f>
        <v/>
      </c>
      <c r="K223" s="53" t="str">
        <f>IF(AND('Mapa final'!$AB$56="Muy Baja",'Mapa final'!$AD$56="Leve"),CONCATENATE("R18C",'Mapa final'!$R$56),"")</f>
        <v/>
      </c>
      <c r="L223" s="113" t="str">
        <f>IF(AND('Mapa final'!$AB$57="Muy Baja",'Mapa final'!$AD$57="Leve"),CONCATENATE("R18C",'Mapa final'!$R$57),"")</f>
        <v/>
      </c>
      <c r="M223" s="112" t="str">
        <f ca="1">IF(AND('Mapa final'!$AB$55="Muy Baja",'Mapa final'!$AD$55="Menor"),CONCATENATE("R18C",'Mapa final'!$R$55),"")</f>
        <v/>
      </c>
      <c r="N223" s="53" t="str">
        <f>IF(AND('Mapa final'!$AB$56="Muy Baja",'Mapa final'!$AD$56="Menor"),CONCATENATE("R18C",'Mapa final'!$R$56),"")</f>
        <v/>
      </c>
      <c r="O223" s="113" t="str">
        <f>IF(AND('Mapa final'!$AB$57="Muy Baja",'Mapa final'!$AD$57="Menor"),CONCATENATE("R18C",'Mapa final'!$R$57),"")</f>
        <v/>
      </c>
      <c r="P223" s="48" t="str">
        <f ca="1">IF(AND('Mapa final'!$AB$55="Muy Baja",'Mapa final'!$AD$55="Moderado"),CONCATENATE("R18C",'Mapa final'!$R$55),"")</f>
        <v/>
      </c>
      <c r="Q223" s="49" t="str">
        <f>IF(AND('Mapa final'!$AB$56="Muy Baja",'Mapa final'!$AD$56="Moderado"),CONCATENATE("R18C",'Mapa final'!$R$56),"")</f>
        <v/>
      </c>
      <c r="R223" s="108" t="str">
        <f>IF(AND('Mapa final'!$AB$57="Muy Baja",'Mapa final'!$AD$57="Moderado"),CONCATENATE("R18C",'Mapa final'!$R$57),"")</f>
        <v/>
      </c>
      <c r="S223" s="102" t="str">
        <f ca="1">IF(AND('Mapa final'!$AB$55="Muy Baja",'Mapa final'!$AD$55="Mayor"),CONCATENATE("R18C",'Mapa final'!$R$55),"")</f>
        <v/>
      </c>
      <c r="T223" s="41" t="str">
        <f>IF(AND('Mapa final'!$AB$56="Muy Baja",'Mapa final'!$AD$56="Mayor"),CONCATENATE("R18C",'Mapa final'!$R$56),"")</f>
        <v/>
      </c>
      <c r="U223" s="103" t="str">
        <f>IF(AND('Mapa final'!$AB$57="Muy Baja",'Mapa final'!$AD$57="Mayor"),CONCATENATE("R18C",'Mapa final'!$R$57),"")</f>
        <v/>
      </c>
      <c r="V223" s="42" t="str">
        <f ca="1">IF(AND('Mapa final'!$AB$55="Muy Baja",'Mapa final'!$AD$55="Catastrófico"),CONCATENATE("R18C",'Mapa final'!$R$55),"")</f>
        <v/>
      </c>
      <c r="W223" s="43" t="str">
        <f>IF(AND('Mapa final'!$AB$56="Muy Baja",'Mapa final'!$AD$56="Catastrófico"),CONCATENATE("R18C",'Mapa final'!$R$56),"")</f>
        <v/>
      </c>
      <c r="X223" s="97" t="str">
        <f>IF(AND('Mapa final'!$AB$57="Muy Baja",'Mapa final'!$AD$57="Catastrófico"),CONCATENATE("R18C",'Mapa final'!$R$57),"")</f>
        <v/>
      </c>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row>
    <row r="224" spans="1:65" ht="15.75" x14ac:dyDescent="0.25">
      <c r="A224" s="55"/>
      <c r="B224" s="338"/>
      <c r="C224" s="338"/>
      <c r="D224" s="339"/>
      <c r="E224" s="326"/>
      <c r="F224" s="327"/>
      <c r="G224" s="327"/>
      <c r="H224" s="327"/>
      <c r="I224" s="327"/>
      <c r="J224" s="112" t="str">
        <f ca="1">IF(AND('Mapa final'!$AB$58="Muy Baja",'Mapa final'!$AD$58="Leve"),CONCATENATE("R19C",'Mapa final'!$R$58),"")</f>
        <v/>
      </c>
      <c r="K224" s="53" t="str">
        <f>IF(AND('Mapa final'!$AB$59="Muy Baja",'Mapa final'!$AD$59="Leve"),CONCATENATE("R19C",'Mapa final'!$R$59),"")</f>
        <v/>
      </c>
      <c r="L224" s="113" t="str">
        <f>IF(AND('Mapa final'!$AB$60="Muy Baja",'Mapa final'!$AD$60="Leve"),CONCATENATE("R19C",'Mapa final'!$R$60),"")</f>
        <v/>
      </c>
      <c r="M224" s="112" t="str">
        <f ca="1">IF(AND('Mapa final'!$AB$58="Muy Baja",'Mapa final'!$AD$58="Menor"),CONCATENATE("R19C",'Mapa final'!$R$58),"")</f>
        <v/>
      </c>
      <c r="N224" s="53" t="str">
        <f>IF(AND('Mapa final'!$AB$59="Muy Baja",'Mapa final'!$AD$59="Menor"),CONCATENATE("R19C",'Mapa final'!$R$59),"")</f>
        <v/>
      </c>
      <c r="O224" s="113" t="str">
        <f>IF(AND('Mapa final'!$AB$60="Muy Baja",'Mapa final'!$AD$60="Menor"),CONCATENATE("R19C",'Mapa final'!$R$60),"")</f>
        <v/>
      </c>
      <c r="P224" s="48" t="str">
        <f ca="1">IF(AND('Mapa final'!$AB$58="Muy Baja",'Mapa final'!$AD$58="Moderado"),CONCATENATE("R19C",'Mapa final'!$R$58),"")</f>
        <v/>
      </c>
      <c r="Q224" s="49" t="str">
        <f>IF(AND('Mapa final'!$AB$59="Muy Baja",'Mapa final'!$AD$59="Moderado"),CONCATENATE("R19C",'Mapa final'!$R$59),"")</f>
        <v/>
      </c>
      <c r="R224" s="108" t="str">
        <f>IF(AND('Mapa final'!$AB$60="Muy Baja",'Mapa final'!$AD$60="Moderado"),CONCATENATE("R19C",'Mapa final'!$R$60),"")</f>
        <v/>
      </c>
      <c r="S224" s="102" t="str">
        <f ca="1">IF(AND('Mapa final'!$AB$58="Muy Baja",'Mapa final'!$AD$58="Mayor"),CONCATENATE("R19C",'Mapa final'!$R$58),"")</f>
        <v/>
      </c>
      <c r="T224" s="41" t="str">
        <f>IF(AND('Mapa final'!$AB$59="Muy Baja",'Mapa final'!$AD$59="Mayor"),CONCATENATE("R19C",'Mapa final'!$R$59),"")</f>
        <v/>
      </c>
      <c r="U224" s="103" t="str">
        <f>IF(AND('Mapa final'!$AB$60="Muy Baja",'Mapa final'!$AD$60="Mayor"),CONCATENATE("R19C",'Mapa final'!$R$60),"")</f>
        <v/>
      </c>
      <c r="V224" s="42" t="str">
        <f ca="1">IF(AND('Mapa final'!$AB$58="Muy Baja",'Mapa final'!$AD$58="Catastrófico"),CONCATENATE("R19C",'Mapa final'!$R$58),"")</f>
        <v/>
      </c>
      <c r="W224" s="43" t="str">
        <f>IF(AND('Mapa final'!$AB$59="Muy Baja",'Mapa final'!$AD$59="Catastrófico"),CONCATENATE("R19C",'Mapa final'!$R$59),"")</f>
        <v/>
      </c>
      <c r="X224" s="97" t="str">
        <f>IF(AND('Mapa final'!$AB$60="Muy Baja",'Mapa final'!$AD$60="Catastrófico"),CONCATENATE("R19C",'Mapa final'!$R$60),"")</f>
        <v/>
      </c>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row>
    <row r="225" spans="1:65" ht="15.75" x14ac:dyDescent="0.25">
      <c r="A225" s="55"/>
      <c r="B225" s="338"/>
      <c r="C225" s="338"/>
      <c r="D225" s="339"/>
      <c r="E225" s="326"/>
      <c r="F225" s="327"/>
      <c r="G225" s="327"/>
      <c r="H225" s="327"/>
      <c r="I225" s="327"/>
      <c r="J225" s="112" t="str">
        <f ca="1">IF(AND('Mapa final'!$AB$61="Muy Baja",'Mapa final'!$AD$61="Leve"),CONCATENATE("R20C",'Mapa final'!$R$61),"")</f>
        <v/>
      </c>
      <c r="K225" s="53" t="str">
        <f>IF(AND('Mapa final'!$AB$62="Muy Baja",'Mapa final'!$AD$62="Leve"),CONCATENATE("R20C",'Mapa final'!$R$62),"")</f>
        <v/>
      </c>
      <c r="L225" s="113" t="str">
        <f>IF(AND('Mapa final'!$AB$63="Muy Baja",'Mapa final'!$AD$63="Leve"),CONCATENATE("R20C",'Mapa final'!$R$63),"")</f>
        <v/>
      </c>
      <c r="M225" s="112" t="str">
        <f ca="1">IF(AND('Mapa final'!$AB$61="Muy Baja",'Mapa final'!$AD$61="Menor"),CONCATENATE("R20C",'Mapa final'!$R$61),"")</f>
        <v/>
      </c>
      <c r="N225" s="53" t="str">
        <f>IF(AND('Mapa final'!$AB$62="Muy Baja",'Mapa final'!$AD$62="Menor"),CONCATENATE("R20C",'Mapa final'!$R$62),"")</f>
        <v/>
      </c>
      <c r="O225" s="113" t="str">
        <f>IF(AND('Mapa final'!$AB$63="Muy Baja",'Mapa final'!$AD$63="Menor"),CONCATENATE("R20C",'Mapa final'!$R$63),"")</f>
        <v/>
      </c>
      <c r="P225" s="48" t="str">
        <f ca="1">IF(AND('Mapa final'!$AB$61="Muy Baja",'Mapa final'!$AD$61="Moderado"),CONCATENATE("R20C",'Mapa final'!$R$61),"")</f>
        <v/>
      </c>
      <c r="Q225" s="49" t="str">
        <f>IF(AND('Mapa final'!$AB$62="Muy Baja",'Mapa final'!$AD$62="Moderado"),CONCATENATE("R20C",'Mapa final'!$R$62),"")</f>
        <v/>
      </c>
      <c r="R225" s="108" t="str">
        <f>IF(AND('Mapa final'!$AB$63="Muy Baja",'Mapa final'!$AD$63="Moderado"),CONCATENATE("R20C",'Mapa final'!$R$63),"")</f>
        <v/>
      </c>
      <c r="S225" s="102" t="str">
        <f ca="1">IF(AND('Mapa final'!$AB$61="Muy Baja",'Mapa final'!$AD$61="Mayor"),CONCATENATE("R20C",'Mapa final'!$R$61),"")</f>
        <v/>
      </c>
      <c r="T225" s="41" t="str">
        <f>IF(AND('Mapa final'!$AB$62="Muy Baja",'Mapa final'!$AD$62="Mayor"),CONCATENATE("R20C",'Mapa final'!$R$62),"")</f>
        <v/>
      </c>
      <c r="U225" s="103" t="str">
        <f>IF(AND('Mapa final'!$AB$63="Muy Baja",'Mapa final'!$AD$63="Mayor"),CONCATENATE("R20C",'Mapa final'!$R$63),"")</f>
        <v/>
      </c>
      <c r="V225" s="42" t="str">
        <f ca="1">IF(AND('Mapa final'!$AB$61="Muy Baja",'Mapa final'!$AD$61="Catastrófico"),CONCATENATE("R20C",'Mapa final'!$R$61),"")</f>
        <v/>
      </c>
      <c r="W225" s="43" t="str">
        <f>IF(AND('Mapa final'!$AB$62="Muy Baja",'Mapa final'!$AD$62="Catastrófico"),CONCATENATE("R20C",'Mapa final'!$R$62),"")</f>
        <v/>
      </c>
      <c r="X225" s="97" t="str">
        <f>IF(AND('Mapa final'!$AB$63="Muy Baja",'Mapa final'!$AD$63="Catastrófico"),CONCATENATE("R20C",'Mapa final'!$R$63),"")</f>
        <v/>
      </c>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row>
    <row r="226" spans="1:65" ht="15.75" x14ac:dyDescent="0.25">
      <c r="A226" s="55"/>
      <c r="B226" s="338"/>
      <c r="C226" s="338"/>
      <c r="D226" s="339"/>
      <c r="E226" s="326"/>
      <c r="F226" s="327"/>
      <c r="G226" s="327"/>
      <c r="H226" s="327"/>
      <c r="I226" s="327"/>
      <c r="J226" s="112" t="str">
        <f ca="1">IF(AND('Mapa final'!$AB$64="Muy Baja",'Mapa final'!$AD$64="Leve"),CONCATENATE("R21C",'Mapa final'!$R$64),"")</f>
        <v/>
      </c>
      <c r="K226" s="53" t="str">
        <f>IF(AND('Mapa final'!$AB$65="Muy Baja",'Mapa final'!$AD$65="Leve"),CONCATENATE("R21C",'Mapa final'!$R$65),"")</f>
        <v/>
      </c>
      <c r="L226" s="113" t="str">
        <f>IF(AND('Mapa final'!$AB$66="Muy Baja",'Mapa final'!$AD$66="Leve"),CONCATENATE("R21C",'Mapa final'!$R$66),"")</f>
        <v/>
      </c>
      <c r="M226" s="112" t="str">
        <f ca="1">IF(AND('Mapa final'!$AB$64="Muy Baja",'Mapa final'!$AD$64="Menor"),CONCATENATE("R21C",'Mapa final'!$R$64),"")</f>
        <v/>
      </c>
      <c r="N226" s="53" t="str">
        <f>IF(AND('Mapa final'!$AB$65="Muy Baja",'Mapa final'!$AD$65="Menor"),CONCATENATE("R21C",'Mapa final'!$R$65),"")</f>
        <v/>
      </c>
      <c r="O226" s="113" t="str">
        <f>IF(AND('Mapa final'!$AB$66="Muy Baja",'Mapa final'!$AD$66="Menor"),CONCATENATE("R21C",'Mapa final'!$R$66),"")</f>
        <v/>
      </c>
      <c r="P226" s="48" t="str">
        <f ca="1">IF(AND('Mapa final'!$AB$64="Muy Baja",'Mapa final'!$AD$64="Moderado"),CONCATENATE("R21C",'Mapa final'!$R$64),"")</f>
        <v/>
      </c>
      <c r="Q226" s="49" t="str">
        <f>IF(AND('Mapa final'!$AB$65="Muy Baja",'Mapa final'!$AD$65="Moderado"),CONCATENATE("R21C",'Mapa final'!$R$65),"")</f>
        <v/>
      </c>
      <c r="R226" s="108" t="str">
        <f>IF(AND('Mapa final'!$AB$66="Muy Baja",'Mapa final'!$AD$66="Moderado"),CONCATENATE("R21C",'Mapa final'!$R$66),"")</f>
        <v/>
      </c>
      <c r="S226" s="102" t="str">
        <f ca="1">IF(AND('Mapa final'!$AB$64="Muy Baja",'Mapa final'!$AD$64="Mayor"),CONCATENATE("R21C",'Mapa final'!$R$64),"")</f>
        <v/>
      </c>
      <c r="T226" s="41" t="str">
        <f>IF(AND('Mapa final'!$AB$65="Muy Baja",'Mapa final'!$AD$65="Mayor"),CONCATENATE("R21C",'Mapa final'!$R$65),"")</f>
        <v/>
      </c>
      <c r="U226" s="103" t="str">
        <f>IF(AND('Mapa final'!$AB$66="Muy Baja",'Mapa final'!$AD$66="Mayor"),CONCATENATE("R21C",'Mapa final'!$R$66),"")</f>
        <v/>
      </c>
      <c r="V226" s="42" t="str">
        <f ca="1">IF(AND('Mapa final'!$AB$64="Muy Baja",'Mapa final'!$AD$64="Catastrófico"),CONCATENATE("R21C",'Mapa final'!$R$64),"")</f>
        <v/>
      </c>
      <c r="W226" s="43" t="str">
        <f>IF(AND('Mapa final'!$AB$65="Muy Baja",'Mapa final'!$AD$65="Catastrófico"),CONCATENATE("R21C",'Mapa final'!$R$65),"")</f>
        <v/>
      </c>
      <c r="X226" s="97" t="str">
        <f>IF(AND('Mapa final'!$AB$66="Muy Baja",'Mapa final'!$AD$66="Catastrófico"),CONCATENATE("R21C",'Mapa final'!$R$66),"")</f>
        <v/>
      </c>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row>
    <row r="227" spans="1:65" ht="15.75" x14ac:dyDescent="0.25">
      <c r="A227" s="55"/>
      <c r="B227" s="338"/>
      <c r="C227" s="338"/>
      <c r="D227" s="339"/>
      <c r="E227" s="326"/>
      <c r="F227" s="327"/>
      <c r="G227" s="327"/>
      <c r="H227" s="327"/>
      <c r="I227" s="327"/>
      <c r="J227" s="112" t="str">
        <f ca="1">IF(AND('Mapa final'!$AB$67="Muy Baja",'Mapa final'!$AD$67="Leve"),CONCATENATE("R22C",'Mapa final'!$R$67),"")</f>
        <v/>
      </c>
      <c r="K227" s="53" t="str">
        <f>IF(AND('Mapa final'!$AB$68="Muy Baja",'Mapa final'!$AD$68="Leve"),CONCATENATE("R22C",'Mapa final'!$R$68),"")</f>
        <v/>
      </c>
      <c r="L227" s="113" t="str">
        <f>IF(AND('Mapa final'!$AB$69="Muy Baja",'Mapa final'!$AD$69="Leve"),CONCATENATE("R22C",'Mapa final'!$R$69),"")</f>
        <v/>
      </c>
      <c r="M227" s="112" t="str">
        <f ca="1">IF(AND('Mapa final'!$AB$67="Muy Baja",'Mapa final'!$AD$67="Menor"),CONCATENATE("R22C",'Mapa final'!$R$67),"")</f>
        <v/>
      </c>
      <c r="N227" s="53" t="str">
        <f>IF(AND('Mapa final'!$AB$68="Muy Baja",'Mapa final'!$AD$68="Menor"),CONCATENATE("R22C",'Mapa final'!$R$68),"")</f>
        <v/>
      </c>
      <c r="O227" s="113" t="str">
        <f>IF(AND('Mapa final'!$AB$69="Muy Baja",'Mapa final'!$AD$69="Menor"),CONCATENATE("R22C",'Mapa final'!$R$69),"")</f>
        <v/>
      </c>
      <c r="P227" s="48" t="str">
        <f ca="1">IF(AND('Mapa final'!$AB$67="Muy Baja",'Mapa final'!$AD$67="Moderado"),CONCATENATE("R22C",'Mapa final'!$R$67),"")</f>
        <v/>
      </c>
      <c r="Q227" s="49" t="str">
        <f>IF(AND('Mapa final'!$AB$68="Muy Baja",'Mapa final'!$AD$68="Moderado"),CONCATENATE("R22C",'Mapa final'!$R$68),"")</f>
        <v/>
      </c>
      <c r="R227" s="108" t="str">
        <f>IF(AND('Mapa final'!$AB$69="Muy Baja",'Mapa final'!$AD$69="Moderado"),CONCATENATE("R22C",'Mapa final'!$R$69),"")</f>
        <v/>
      </c>
      <c r="S227" s="102" t="str">
        <f ca="1">IF(AND('Mapa final'!$AB$67="Muy Baja",'Mapa final'!$AD$67="Mayor"),CONCATENATE("R22C",'Mapa final'!$R$67),"")</f>
        <v/>
      </c>
      <c r="T227" s="41" t="str">
        <f>IF(AND('Mapa final'!$AB$68="Muy Baja",'Mapa final'!$AD$68="Mayor"),CONCATENATE("R22C",'Mapa final'!$R$68),"")</f>
        <v/>
      </c>
      <c r="U227" s="103" t="str">
        <f>IF(AND('Mapa final'!$AB$69="Muy Baja",'Mapa final'!$AD$69="Mayor"),CONCATENATE("R22C",'Mapa final'!$R$69),"")</f>
        <v/>
      </c>
      <c r="V227" s="42" t="str">
        <f ca="1">IF(AND('Mapa final'!$AB$67="Muy Baja",'Mapa final'!$AD$67="Catastrófico"),CONCATENATE("R22C",'Mapa final'!$R$67),"")</f>
        <v/>
      </c>
      <c r="W227" s="43" t="str">
        <f>IF(AND('Mapa final'!$AB$68="Muy Baja",'Mapa final'!$AD$68="Catastrófico"),CONCATENATE("R22C",'Mapa final'!$R$68),"")</f>
        <v/>
      </c>
      <c r="X227" s="97" t="str">
        <f>IF(AND('Mapa final'!$AB$69="Muy Baja",'Mapa final'!$AD$69="Catastrófico"),CONCATENATE("R22C",'Mapa final'!$R$69),"")</f>
        <v/>
      </c>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row>
    <row r="228" spans="1:65" ht="15.75" x14ac:dyDescent="0.25">
      <c r="A228" s="55"/>
      <c r="B228" s="338"/>
      <c r="C228" s="338"/>
      <c r="D228" s="339"/>
      <c r="E228" s="326"/>
      <c r="F228" s="327"/>
      <c r="G228" s="327"/>
      <c r="H228" s="327"/>
      <c r="I228" s="327"/>
      <c r="J228" s="112" t="str">
        <f ca="1">IF(AND('Mapa final'!$AB$73="Muy Baja",'Mapa final'!$AD$73="Leve"),CONCATENATE("R23C",'Mapa final'!$R$73),"")</f>
        <v/>
      </c>
      <c r="K228" s="53" t="str">
        <f>IF(AND('Mapa final'!$AB$74="Muy Baja",'Mapa final'!$AD$74="Leve"),CONCATENATE("R23C",'Mapa final'!$R$74),"")</f>
        <v/>
      </c>
      <c r="L228" s="113" t="str">
        <f>IF(AND('Mapa final'!$AB$75="Muy Baja",'Mapa final'!$AD$75="Leve"),CONCATENATE("R23C",'Mapa final'!$R$75),"")</f>
        <v/>
      </c>
      <c r="M228" s="112" t="str">
        <f ca="1">IF(AND('Mapa final'!$AB$73="Muy Baja",'Mapa final'!$AD$73="Menor"),CONCATENATE("R23C",'Mapa final'!$R$73),"")</f>
        <v/>
      </c>
      <c r="N228" s="53" t="str">
        <f>IF(AND('Mapa final'!$AB$74="Muy Baja",'Mapa final'!$AD$74="Menor"),CONCATENATE("R23C",'Mapa final'!$R$74),"")</f>
        <v/>
      </c>
      <c r="O228" s="113" t="str">
        <f>IF(AND('Mapa final'!$AB$75="Muy Baja",'Mapa final'!$AD$75="Menor"),CONCATENATE("R23C",'Mapa final'!$R$75),"")</f>
        <v/>
      </c>
      <c r="P228" s="48" t="str">
        <f ca="1">IF(AND('Mapa final'!$AB$73="Muy Baja",'Mapa final'!$AD$73="Moderado"),CONCATENATE("R23C",'Mapa final'!$R$73),"")</f>
        <v/>
      </c>
      <c r="Q228" s="49" t="str">
        <f>IF(AND('Mapa final'!$AB$74="Muy Baja",'Mapa final'!$AD$74="Moderado"),CONCATENATE("R23C",'Mapa final'!$R$74),"")</f>
        <v/>
      </c>
      <c r="R228" s="108" t="str">
        <f>IF(AND('Mapa final'!$AB$75="Muy Baja",'Mapa final'!$AD$75="Moderado"),CONCATENATE("R23C",'Mapa final'!$R$75),"")</f>
        <v/>
      </c>
      <c r="S228" s="102" t="str">
        <f ca="1">IF(AND('Mapa final'!$AB$73="Muy Baja",'Mapa final'!$AD$73="Mayor"),CONCATENATE("R23C",'Mapa final'!$R$73),"")</f>
        <v/>
      </c>
      <c r="T228" s="41" t="str">
        <f>IF(AND('Mapa final'!$AB$74="Muy Baja",'Mapa final'!$AD$74="Mayor"),CONCATENATE("R23C",'Mapa final'!$R$74),"")</f>
        <v/>
      </c>
      <c r="U228" s="103" t="str">
        <f>IF(AND('Mapa final'!$AB$75="Muy Baja",'Mapa final'!$AD$75="Mayor"),CONCATENATE("R23C",'Mapa final'!$R$75),"")</f>
        <v>R23C3</v>
      </c>
      <c r="V228" s="42" t="str">
        <f ca="1">IF(AND('Mapa final'!$AB$73="Muy Baja",'Mapa final'!$AD$73="Catastrófico"),CONCATENATE("R23C",'Mapa final'!$R$73),"")</f>
        <v/>
      </c>
      <c r="W228" s="43" t="str">
        <f>IF(AND('Mapa final'!$AB$74="Muy Baja",'Mapa final'!$AD$74="Catastrófico"),CONCATENATE("R23C",'Mapa final'!$R$74),"")</f>
        <v/>
      </c>
      <c r="X228" s="97" t="str">
        <f>IF(AND('Mapa final'!$AB$75="Muy Baja",'Mapa final'!$AD$75="Catastrófico"),CONCATENATE("R23C",'Mapa final'!$R$75),"")</f>
        <v/>
      </c>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row>
    <row r="229" spans="1:65" ht="15.75" x14ac:dyDescent="0.25">
      <c r="A229" s="55"/>
      <c r="B229" s="338"/>
      <c r="C229" s="338"/>
      <c r="D229" s="339"/>
      <c r="E229" s="326"/>
      <c r="F229" s="327"/>
      <c r="G229" s="327"/>
      <c r="H229" s="327"/>
      <c r="I229" s="327"/>
      <c r="J229" s="112" t="str">
        <f ca="1">IF(AND('Mapa final'!$AB$76="Muy Baja",'Mapa final'!$AD$76="Leve"),CONCATENATE("R24C",'Mapa final'!$R$76),"")</f>
        <v/>
      </c>
      <c r="K229" s="53" t="str">
        <f>IF(AND('Mapa final'!$AB$77="Muy Baja",'Mapa final'!$AD$77="Leve"),CONCATENATE("R24C",'Mapa final'!$R$77),"")</f>
        <v/>
      </c>
      <c r="L229" s="113" t="str">
        <f>IF(AND('Mapa final'!$AB$78="Muy Baja",'Mapa final'!$AD$78="Leve"),CONCATENATE("R24C",'Mapa final'!$R$78),"")</f>
        <v/>
      </c>
      <c r="M229" s="112" t="str">
        <f ca="1">IF(AND('Mapa final'!$AB$76="Muy Baja",'Mapa final'!$AD$76="Menor"),CONCATENATE("R24C",'Mapa final'!$R$76),"")</f>
        <v/>
      </c>
      <c r="N229" s="53" t="str">
        <f>IF(AND('Mapa final'!$AB$77="Muy Baja",'Mapa final'!$AD$77="Menor"),CONCATENATE("R24C",'Mapa final'!$R$77),"")</f>
        <v/>
      </c>
      <c r="O229" s="113" t="str">
        <f>IF(AND('Mapa final'!$AB$78="Muy Baja",'Mapa final'!$AD$78="Menor"),CONCATENATE("R24C",'Mapa final'!$R$78),"")</f>
        <v/>
      </c>
      <c r="P229" s="48" t="str">
        <f ca="1">IF(AND('Mapa final'!$AB$76="Muy Baja",'Mapa final'!$AD$76="Moderado"),CONCATENATE("R24C",'Mapa final'!$R$76),"")</f>
        <v/>
      </c>
      <c r="Q229" s="49" t="str">
        <f>IF(AND('Mapa final'!$AB$77="Muy Baja",'Mapa final'!$AD$77="Moderado"),CONCATENATE("R24C",'Mapa final'!$R$77),"")</f>
        <v/>
      </c>
      <c r="R229" s="108" t="str">
        <f>IF(AND('Mapa final'!$AB$78="Muy Baja",'Mapa final'!$AD$78="Moderado"),CONCATENATE("R24C",'Mapa final'!$R$78),"")</f>
        <v/>
      </c>
      <c r="S229" s="102" t="str">
        <f ca="1">IF(AND('Mapa final'!$AB$76="Muy Baja",'Mapa final'!$AD$76="Mayor"),CONCATENATE("R24C",'Mapa final'!$R$76),"")</f>
        <v/>
      </c>
      <c r="T229" s="41" t="str">
        <f>IF(AND('Mapa final'!$AB$77="Muy Baja",'Mapa final'!$AD$77="Mayor"),CONCATENATE("R24C",'Mapa final'!$R$77),"")</f>
        <v/>
      </c>
      <c r="U229" s="103" t="str">
        <f>IF(AND('Mapa final'!$AB$78="Muy Baja",'Mapa final'!$AD$78="Mayor"),CONCATENATE("R24C",'Mapa final'!$R$78),"")</f>
        <v/>
      </c>
      <c r="V229" s="42" t="str">
        <f ca="1">IF(AND('Mapa final'!$AB$76="Muy Baja",'Mapa final'!$AD$76="Catastrófico"),CONCATENATE("R24C",'Mapa final'!$R$76),"")</f>
        <v/>
      </c>
      <c r="W229" s="43" t="str">
        <f>IF(AND('Mapa final'!$AB$77="Muy Baja",'Mapa final'!$AD$77="Catastrófico"),CONCATENATE("R24C",'Mapa final'!$R$77),"")</f>
        <v/>
      </c>
      <c r="X229" s="97" t="str">
        <f>IF(AND('Mapa final'!$AB$78="Muy Baja",'Mapa final'!$AD$78="Catastrófico"),CONCATENATE("R24C",'Mapa final'!$R$78),"")</f>
        <v/>
      </c>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row>
    <row r="230" spans="1:65" ht="15.75" x14ac:dyDescent="0.25">
      <c r="A230" s="55"/>
      <c r="B230" s="338"/>
      <c r="C230" s="338"/>
      <c r="D230" s="339"/>
      <c r="E230" s="326"/>
      <c r="F230" s="327"/>
      <c r="G230" s="327"/>
      <c r="H230" s="327"/>
      <c r="I230" s="327"/>
      <c r="J230" s="112" t="str">
        <f ca="1">IF(AND('Mapa final'!$AB$79="Muy Baja",'Mapa final'!$AD$79="Leve"),CONCATENATE("R25C",'Mapa final'!$R$79),"")</f>
        <v/>
      </c>
      <c r="K230" s="53" t="str">
        <f>IF(AND('Mapa final'!$AB$80="Muy Baja",'Mapa final'!$AD$80="Leve"),CONCATENATE("R25C",'Mapa final'!$R$80),"")</f>
        <v/>
      </c>
      <c r="L230" s="113" t="str">
        <f>IF(AND('Mapa final'!$AB$81="Muy Baja",'Mapa final'!$AD$81="Leve"),CONCATENATE("R25C",'Mapa final'!$R$81),"")</f>
        <v/>
      </c>
      <c r="M230" s="112" t="str">
        <f ca="1">IF(AND('Mapa final'!$AB$79="Muy Baja",'Mapa final'!$AD$79="Menor"),CONCATENATE("R25C",'Mapa final'!$R$79),"")</f>
        <v/>
      </c>
      <c r="N230" s="53" t="str">
        <f>IF(AND('Mapa final'!$AB$80="Muy Baja",'Mapa final'!$AD$80="Menor"),CONCATENATE("R25C",'Mapa final'!$R$80),"")</f>
        <v/>
      </c>
      <c r="O230" s="113" t="str">
        <f>IF(AND('Mapa final'!$AB$81="Muy Baja",'Mapa final'!$AD$81="Menor"),CONCATENATE("R25C",'Mapa final'!$R$81),"")</f>
        <v/>
      </c>
      <c r="P230" s="48" t="str">
        <f ca="1">IF(AND('Mapa final'!$AB$79="Muy Baja",'Mapa final'!$AD$79="Moderado"),CONCATENATE("R25C",'Mapa final'!$R$79),"")</f>
        <v/>
      </c>
      <c r="Q230" s="49" t="str">
        <f>IF(AND('Mapa final'!$AB$80="Muy Baja",'Mapa final'!$AD$80="Moderado"),CONCATENATE("R25C",'Mapa final'!$R$80),"")</f>
        <v>R25C2</v>
      </c>
      <c r="R230" s="108" t="str">
        <f>IF(AND('Mapa final'!$AB$81="Muy Baja",'Mapa final'!$AD$81="Moderado"),CONCATENATE("R25C",'Mapa final'!$R$81),"")</f>
        <v>R25C3</v>
      </c>
      <c r="S230" s="102" t="str">
        <f ca="1">IF(AND('Mapa final'!$AB$79="Muy Baja",'Mapa final'!$AD$79="Mayor"),CONCATENATE("R25C",'Mapa final'!$R$79),"")</f>
        <v/>
      </c>
      <c r="T230" s="41" t="str">
        <f>IF(AND('Mapa final'!$AB$80="Muy Baja",'Mapa final'!$AD$80="Mayor"),CONCATENATE("R25C",'Mapa final'!$R$80),"")</f>
        <v/>
      </c>
      <c r="U230" s="103" t="str">
        <f>IF(AND('Mapa final'!$AB$81="Muy Baja",'Mapa final'!$AD$81="Mayor"),CONCATENATE("R25C",'Mapa final'!$R$81),"")</f>
        <v/>
      </c>
      <c r="V230" s="42" t="str">
        <f ca="1">IF(AND('Mapa final'!$AB$79="Muy Baja",'Mapa final'!$AD$79="Catastrófico"),CONCATENATE("R25C",'Mapa final'!$R$79),"")</f>
        <v/>
      </c>
      <c r="W230" s="43" t="str">
        <f>IF(AND('Mapa final'!$AB$80="Muy Baja",'Mapa final'!$AD$80="Catastrófico"),CONCATENATE("R25C",'Mapa final'!$R$80),"")</f>
        <v/>
      </c>
      <c r="X230" s="97" t="str">
        <f>IF(AND('Mapa final'!$AB$81="Muy Baja",'Mapa final'!$AD$81="Catastrófico"),CONCATENATE("R25C",'Mapa final'!$R$81),"")</f>
        <v/>
      </c>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row>
    <row r="231" spans="1:65" ht="15.75" x14ac:dyDescent="0.25">
      <c r="A231" s="55"/>
      <c r="B231" s="338"/>
      <c r="C231" s="338"/>
      <c r="D231" s="339"/>
      <c r="E231" s="326"/>
      <c r="F231" s="327"/>
      <c r="G231" s="327"/>
      <c r="H231" s="327"/>
      <c r="I231" s="327"/>
      <c r="J231" s="112" t="str">
        <f ca="1">IF(AND('Mapa final'!$AB$82="Muy Baja",'Mapa final'!$AD$82="Leve"),CONCATENATE("R26C",'Mapa final'!$R$82),"")</f>
        <v/>
      </c>
      <c r="K231" s="53" t="str">
        <f ca="1">IF(AND('Mapa final'!$AB$83="Muy Baja",'Mapa final'!$AD$83="Leve"),CONCATENATE("R26C",'Mapa final'!$R$83),"")</f>
        <v/>
      </c>
      <c r="L231" s="113" t="str">
        <f ca="1">IF(AND('Mapa final'!$AB$84="Muy Baja",'Mapa final'!$AD$84="Leve"),CONCATENATE("R26C",'Mapa final'!$R$84),"")</f>
        <v/>
      </c>
      <c r="M231" s="112" t="str">
        <f ca="1">IF(AND('Mapa final'!$AB$82="Muy Baja",'Mapa final'!$AD$82="Menor"),CONCATENATE("R26C",'Mapa final'!$R$82),"")</f>
        <v/>
      </c>
      <c r="N231" s="53" t="str">
        <f ca="1">IF(AND('Mapa final'!$AB$83="Muy Baja",'Mapa final'!$AD$83="Menor"),CONCATENATE("R26C",'Mapa final'!$R$83),"")</f>
        <v/>
      </c>
      <c r="O231" s="113" t="str">
        <f ca="1">IF(AND('Mapa final'!$AB$84="Muy Baja",'Mapa final'!$AD$84="Menor"),CONCATENATE("R26C",'Mapa final'!$R$84),"")</f>
        <v/>
      </c>
      <c r="P231" s="48" t="str">
        <f ca="1">IF(AND('Mapa final'!$AB$82="Muy Baja",'Mapa final'!$AD$82="Moderado"),CONCATENATE("R26C",'Mapa final'!$R$82),"")</f>
        <v>R26C1</v>
      </c>
      <c r="Q231" s="49" t="str">
        <f ca="1">IF(AND('Mapa final'!$AB$83="Muy Baja",'Mapa final'!$AD$83="Moderado"),CONCATENATE("R26C",'Mapa final'!$R$83),"")</f>
        <v>R26C2</v>
      </c>
      <c r="R231" s="108" t="str">
        <f ca="1">IF(AND('Mapa final'!$AB$84="Muy Baja",'Mapa final'!$AD$84="Moderado"),CONCATENATE("R26C",'Mapa final'!$R$84),"")</f>
        <v>R26C3</v>
      </c>
      <c r="S231" s="102" t="str">
        <f ca="1">IF(AND('Mapa final'!$AB$82="Muy Baja",'Mapa final'!$AD$82="Mayor"),CONCATENATE("R26C",'Mapa final'!$R$82),"")</f>
        <v/>
      </c>
      <c r="T231" s="41" t="str">
        <f ca="1">IF(AND('Mapa final'!$AB$83="Muy Baja",'Mapa final'!$AD$83="Mayor"),CONCATENATE("R26C",'Mapa final'!$R$83),"")</f>
        <v/>
      </c>
      <c r="U231" s="103" t="str">
        <f ca="1">IF(AND('Mapa final'!$AB$84="Muy Baja",'Mapa final'!$AD$84="Mayor"),CONCATENATE("R26C",'Mapa final'!$R$84),"")</f>
        <v/>
      </c>
      <c r="V231" s="42" t="str">
        <f ca="1">IF(AND('Mapa final'!$AB$82="Muy Baja",'Mapa final'!$AD$82="Catastrófico"),CONCATENATE("R26C",'Mapa final'!$R$82),"")</f>
        <v/>
      </c>
      <c r="W231" s="43" t="str">
        <f ca="1">IF(AND('Mapa final'!$AB$83="Muy Baja",'Mapa final'!$AD$83="Catastrófico"),CONCATENATE("R26C",'Mapa final'!$R$83),"")</f>
        <v/>
      </c>
      <c r="X231" s="97" t="str">
        <f ca="1">IF(AND('Mapa final'!$AB$84="Muy Baja",'Mapa final'!$AD$84="Catastrófico"),CONCATENATE("R26C",'Mapa final'!$R$84),"")</f>
        <v/>
      </c>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row>
    <row r="232" spans="1:65" ht="15.75" x14ac:dyDescent="0.25">
      <c r="A232" s="55"/>
      <c r="B232" s="338"/>
      <c r="C232" s="338"/>
      <c r="D232" s="339"/>
      <c r="E232" s="326"/>
      <c r="F232" s="327"/>
      <c r="G232" s="327"/>
      <c r="H232" s="327"/>
      <c r="I232" s="327"/>
      <c r="J232" s="112" t="str">
        <f ca="1">IF(AND('Mapa final'!$AB$85="Muy Baja",'Mapa final'!$AD$85="Leve"),CONCATENATE("R27C",'Mapa final'!$R$85),"")</f>
        <v/>
      </c>
      <c r="K232" s="53" t="str">
        <f>IF(AND('Mapa final'!$AB$86="Muy Baja",'Mapa final'!$AD$86="Leve"),CONCATENATE("R27C",'Mapa final'!$R$86),"")</f>
        <v/>
      </c>
      <c r="L232" s="113" t="str">
        <f>IF(AND('Mapa final'!$AB$87="Muy Baja",'Mapa final'!$AD$87="Leve"),CONCATENATE("R27C",'Mapa final'!$R$87),"")</f>
        <v/>
      </c>
      <c r="M232" s="112" t="str">
        <f ca="1">IF(AND('Mapa final'!$AB$85="Muy Baja",'Mapa final'!$AD$85="Menor"),CONCATENATE("R27C",'Mapa final'!$R$85),"")</f>
        <v/>
      </c>
      <c r="N232" s="53" t="str">
        <f>IF(AND('Mapa final'!$AB$86="Muy Baja",'Mapa final'!$AD$86="Menor"),CONCATENATE("R27C",'Mapa final'!$R$86),"")</f>
        <v/>
      </c>
      <c r="O232" s="113" t="str">
        <f>IF(AND('Mapa final'!$AB$87="Muy Baja",'Mapa final'!$AD$87="Menor"),CONCATENATE("R27C",'Mapa final'!$R$87),"")</f>
        <v/>
      </c>
      <c r="P232" s="48" t="str">
        <f ca="1">IF(AND('Mapa final'!$AB$85="Muy Baja",'Mapa final'!$AD$85="Moderado"),CONCATENATE("R27C",'Mapa final'!$R$85),"")</f>
        <v/>
      </c>
      <c r="Q232" s="49" t="str">
        <f>IF(AND('Mapa final'!$AB$86="Muy Baja",'Mapa final'!$AD$86="Moderado"),CONCATENATE("R27C",'Mapa final'!$R$86),"")</f>
        <v/>
      </c>
      <c r="R232" s="108" t="str">
        <f>IF(AND('Mapa final'!$AB$87="Muy Baja",'Mapa final'!$AD$87="Moderado"),CONCATENATE("R27C",'Mapa final'!$R$87),"")</f>
        <v/>
      </c>
      <c r="S232" s="102" t="str">
        <f ca="1">IF(AND('Mapa final'!$AB$85="Muy Baja",'Mapa final'!$AD$85="Mayor"),CONCATENATE("R27C",'Mapa final'!$R$85),"")</f>
        <v/>
      </c>
      <c r="T232" s="41" t="str">
        <f>IF(AND('Mapa final'!$AB$86="Muy Baja",'Mapa final'!$AD$86="Mayor"),CONCATENATE("R27C",'Mapa final'!$R$86),"")</f>
        <v/>
      </c>
      <c r="U232" s="103" t="str">
        <f>IF(AND('Mapa final'!$AB$87="Muy Baja",'Mapa final'!$AD$87="Mayor"),CONCATENATE("R27C",'Mapa final'!$R$87),"")</f>
        <v/>
      </c>
      <c r="V232" s="42" t="str">
        <f ca="1">IF(AND('Mapa final'!$AB$85="Muy Baja",'Mapa final'!$AD$85="Catastrófico"),CONCATENATE("R27C",'Mapa final'!$R$85),"")</f>
        <v/>
      </c>
      <c r="W232" s="43" t="str">
        <f>IF(AND('Mapa final'!$AB$86="Muy Baja",'Mapa final'!$AD$86="Catastrófico"),CONCATENATE("R27C",'Mapa final'!$R$86),"")</f>
        <v/>
      </c>
      <c r="X232" s="97" t="str">
        <f>IF(AND('Mapa final'!$AB$87="Muy Baja",'Mapa final'!$AD$87="Catastrófico"),CONCATENATE("R27C",'Mapa final'!$R$87),"")</f>
        <v/>
      </c>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row>
    <row r="233" spans="1:65" ht="15.75" x14ac:dyDescent="0.25">
      <c r="A233" s="55"/>
      <c r="B233" s="338"/>
      <c r="C233" s="338"/>
      <c r="D233" s="339"/>
      <c r="E233" s="326"/>
      <c r="F233" s="327"/>
      <c r="G233" s="327"/>
      <c r="H233" s="327"/>
      <c r="I233" s="327"/>
      <c r="J233" s="112" t="str">
        <f ca="1">IF(AND('Mapa final'!$AB$88="Muy Baja",'Mapa final'!$AD$88="Leve"),CONCATENATE("R28C",'Mapa final'!$R$88),"")</f>
        <v/>
      </c>
      <c r="K233" s="53" t="str">
        <f>IF(AND('Mapa final'!$AB$89="Muy Baja",'Mapa final'!$AD$89="Leve"),CONCATENATE("R28C",'Mapa final'!$R$89),"")</f>
        <v/>
      </c>
      <c r="L233" s="113" t="str">
        <f>IF(AND('Mapa final'!$AB$90="Muy Baja",'Mapa final'!$AD$90="Leve"),CONCATENATE("R28C",'Mapa final'!$R$90),"")</f>
        <v/>
      </c>
      <c r="M233" s="112" t="str">
        <f ca="1">IF(AND('Mapa final'!$AB$88="Muy Baja",'Mapa final'!$AD$88="Menor"),CONCATENATE("R28C",'Mapa final'!$R$88),"")</f>
        <v/>
      </c>
      <c r="N233" s="53" t="str">
        <f>IF(AND('Mapa final'!$AB$89="Muy Baja",'Mapa final'!$AD$89="Menor"),CONCATENATE("R28C",'Mapa final'!$R$89),"")</f>
        <v/>
      </c>
      <c r="O233" s="113" t="str">
        <f>IF(AND('Mapa final'!$AB$90="Muy Baja",'Mapa final'!$AD$90="Menor"),CONCATENATE("R28C",'Mapa final'!$R$90),"")</f>
        <v/>
      </c>
      <c r="P233" s="48" t="str">
        <f ca="1">IF(AND('Mapa final'!$AB$88="Muy Baja",'Mapa final'!$AD$88="Moderado"),CONCATENATE("R28C",'Mapa final'!$R$88),"")</f>
        <v/>
      </c>
      <c r="Q233" s="49" t="str">
        <f>IF(AND('Mapa final'!$AB$89="Muy Baja",'Mapa final'!$AD$89="Moderado"),CONCATENATE("R28C",'Mapa final'!$R$89),"")</f>
        <v/>
      </c>
      <c r="R233" s="108" t="str">
        <f>IF(AND('Mapa final'!$AB$90="Muy Baja",'Mapa final'!$AD$90="Moderado"),CONCATENATE("R28C",'Mapa final'!$R$90),"")</f>
        <v/>
      </c>
      <c r="S233" s="102" t="str">
        <f ca="1">IF(AND('Mapa final'!$AB$88="Muy Baja",'Mapa final'!$AD$88="Mayor"),CONCATENATE("R28C",'Mapa final'!$R$88),"")</f>
        <v/>
      </c>
      <c r="T233" s="41" t="str">
        <f>IF(AND('Mapa final'!$AB$89="Muy Baja",'Mapa final'!$AD$89="Mayor"),CONCATENATE("R28C",'Mapa final'!$R$89),"")</f>
        <v/>
      </c>
      <c r="U233" s="103" t="str">
        <f>IF(AND('Mapa final'!$AB$90="Muy Baja",'Mapa final'!$AD$90="Mayor"),CONCATENATE("R28C",'Mapa final'!$R$90),"")</f>
        <v/>
      </c>
      <c r="V233" s="42" t="str">
        <f ca="1">IF(AND('Mapa final'!$AB$88="Muy Baja",'Mapa final'!$AD$88="Catastrófico"),CONCATENATE("R28C",'Mapa final'!$R$88),"")</f>
        <v/>
      </c>
      <c r="W233" s="43" t="str">
        <f>IF(AND('Mapa final'!$AB$89="Muy Baja",'Mapa final'!$AD$89="Catastrófico"),CONCATENATE("R28C",'Mapa final'!$R$89),"")</f>
        <v/>
      </c>
      <c r="X233" s="97" t="str">
        <f>IF(AND('Mapa final'!$AB$90="Muy Baja",'Mapa final'!$AD$90="Catastrófico"),CONCATENATE("R28C",'Mapa final'!$R$90),"")</f>
        <v/>
      </c>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row>
    <row r="234" spans="1:65" ht="15" customHeight="1" x14ac:dyDescent="0.25">
      <c r="A234" s="55"/>
      <c r="B234" s="338"/>
      <c r="C234" s="338"/>
      <c r="D234" s="339"/>
      <c r="E234" s="326"/>
      <c r="F234" s="327"/>
      <c r="G234" s="327"/>
      <c r="H234" s="327"/>
      <c r="I234" s="327"/>
      <c r="J234" s="112" t="str">
        <f ca="1">IF(AND('Mapa final'!$AB$91="Muy Baja",'Mapa final'!$AD$91="Leve"),CONCATENATE("R29C",'Mapa final'!$R$91),"")</f>
        <v/>
      </c>
      <c r="K234" s="53" t="str">
        <f>IF(AND('Mapa final'!$AB$92="Muy Baja",'Mapa final'!$AD$92="Leve"),CONCATENATE("R29C",'Mapa final'!$R$92),"")</f>
        <v/>
      </c>
      <c r="L234" s="113" t="str">
        <f>IF(AND('Mapa final'!$AB$93="Muy Baja",'Mapa final'!$AD$93="Leve"),CONCATENATE("R29C",'Mapa final'!$R$93),"")</f>
        <v/>
      </c>
      <c r="M234" s="112" t="str">
        <f ca="1">IF(AND('Mapa final'!$AB$91="Muy Baja",'Mapa final'!$AD$91="Menor"),CONCATENATE("R29C",'Mapa final'!$R$91),"")</f>
        <v/>
      </c>
      <c r="N234" s="53" t="str">
        <f>IF(AND('Mapa final'!$AB$92="Muy Baja",'Mapa final'!$AD$92="Menor"),CONCATENATE("R29C",'Mapa final'!$R$92),"")</f>
        <v/>
      </c>
      <c r="O234" s="113" t="str">
        <f>IF(AND('Mapa final'!$AB$93="Muy Baja",'Mapa final'!$AD$93="Menor"),CONCATENATE("R29C",'Mapa final'!$R$93),"")</f>
        <v/>
      </c>
      <c r="P234" s="48" t="str">
        <f ca="1">IF(AND('Mapa final'!$AB$91="Muy Baja",'Mapa final'!$AD$91="Moderado"),CONCATENATE("R29C",'Mapa final'!$R$91),"")</f>
        <v/>
      </c>
      <c r="Q234" s="49" t="str">
        <f>IF(AND('Mapa final'!$AB$92="Muy Baja",'Mapa final'!$AD$92="Moderado"),CONCATENATE("R29C",'Mapa final'!$R$92),"")</f>
        <v/>
      </c>
      <c r="R234" s="108" t="str">
        <f>IF(AND('Mapa final'!$AB$93="Muy Baja",'Mapa final'!$AD$93="Moderado"),CONCATENATE("R29C",'Mapa final'!$R$93),"")</f>
        <v/>
      </c>
      <c r="S234" s="102" t="str">
        <f ca="1">IF(AND('Mapa final'!$AB$91="Muy Baja",'Mapa final'!$AD$91="Mayor"),CONCATENATE("R29C",'Mapa final'!$R$91),"")</f>
        <v/>
      </c>
      <c r="T234" s="41" t="str">
        <f>IF(AND('Mapa final'!$AB$92="Muy Baja",'Mapa final'!$AD$92="Mayor"),CONCATENATE("R29C",'Mapa final'!$R$92),"")</f>
        <v/>
      </c>
      <c r="U234" s="103" t="str">
        <f>IF(AND('Mapa final'!$AB$93="Muy Baja",'Mapa final'!$AD$93="Mayor"),CONCATENATE("R29C",'Mapa final'!$R$93),"")</f>
        <v/>
      </c>
      <c r="V234" s="42" t="str">
        <f ca="1">IF(AND('Mapa final'!$AB$91="Muy Baja",'Mapa final'!$AD$91="Catastrófico"),CONCATENATE("R29C",'Mapa final'!$R$91),"")</f>
        <v/>
      </c>
      <c r="W234" s="43" t="str">
        <f>IF(AND('Mapa final'!$AB$92="Muy Baja",'Mapa final'!$AD$92="Catastrófico"),CONCATENATE("R29C",'Mapa final'!$R$92),"")</f>
        <v/>
      </c>
      <c r="X234" s="97" t="str">
        <f>IF(AND('Mapa final'!$AB$93="Muy Baja",'Mapa final'!$AD$93="Catastrófico"),CONCATENATE("R29C",'Mapa final'!$R$93),"")</f>
        <v/>
      </c>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row>
    <row r="235" spans="1:65" ht="15" customHeight="1" x14ac:dyDescent="0.25">
      <c r="A235" s="55"/>
      <c r="B235" s="338"/>
      <c r="C235" s="338"/>
      <c r="D235" s="339"/>
      <c r="E235" s="328"/>
      <c r="F235" s="327"/>
      <c r="G235" s="327"/>
      <c r="H235" s="327"/>
      <c r="I235" s="327"/>
      <c r="J235" s="112" t="str">
        <f ca="1">IF(AND('Mapa final'!$AB$94="Muy Baja",'Mapa final'!$AD$94="Leve"),CONCATENATE("R30C",'Mapa final'!$R$94),"")</f>
        <v/>
      </c>
      <c r="K235" s="53" t="str">
        <f>IF(AND('Mapa final'!$AB$95="Muy Baja",'Mapa final'!$AD$95="Leve"),CONCATENATE("R30C",'Mapa final'!$R$95),"")</f>
        <v/>
      </c>
      <c r="L235" s="113" t="str">
        <f>IF(AND('Mapa final'!$AB$96="Muy Baja",'Mapa final'!$AD$96="Leve"),CONCATENATE("R30C",'Mapa final'!$R$96),"")</f>
        <v/>
      </c>
      <c r="M235" s="112" t="str">
        <f ca="1">IF(AND('Mapa final'!$AB$94="Muy Baja",'Mapa final'!$AD$94="Menor"),CONCATENATE("R30C",'Mapa final'!$R$94),"")</f>
        <v/>
      </c>
      <c r="N235" s="53" t="str">
        <f>IF(AND('Mapa final'!$AB$95="Muy Baja",'Mapa final'!$AD$95="Menor"),CONCATENATE("R30C",'Mapa final'!$R$95),"")</f>
        <v/>
      </c>
      <c r="O235" s="113" t="str">
        <f>IF(AND('Mapa final'!$AB$96="Muy Baja",'Mapa final'!$AD$96="Menor"),CONCATENATE("R30C",'Mapa final'!$R$96),"")</f>
        <v/>
      </c>
      <c r="P235" s="48" t="str">
        <f ca="1">IF(AND('Mapa final'!$AB$94="Muy Baja",'Mapa final'!$AD$94="Moderado"),CONCATENATE("R30C",'Mapa final'!$R$94),"")</f>
        <v/>
      </c>
      <c r="Q235" s="49" t="str">
        <f>IF(AND('Mapa final'!$AB$95="Muy Baja",'Mapa final'!$AD$95="Moderado"),CONCATENATE("R30C",'Mapa final'!$R$95),"")</f>
        <v/>
      </c>
      <c r="R235" s="108" t="str">
        <f>IF(AND('Mapa final'!$AB$96="Muy Baja",'Mapa final'!$AD$96="Moderado"),CONCATENATE("R30C",'Mapa final'!$R$96),"")</f>
        <v/>
      </c>
      <c r="S235" s="102" t="str">
        <f ca="1">IF(AND('Mapa final'!$AB$94="Muy Baja",'Mapa final'!$AD$94="Mayor"),CONCATENATE("R30C",'Mapa final'!$R$94),"")</f>
        <v/>
      </c>
      <c r="T235" s="41" t="str">
        <f>IF(AND('Mapa final'!$AB$95="Muy Baja",'Mapa final'!$AD$95="Mayor"),CONCATENATE("R30C",'Mapa final'!$R$95),"")</f>
        <v/>
      </c>
      <c r="U235" s="103" t="str">
        <f>IF(AND('Mapa final'!$AB$96="Muy Baja",'Mapa final'!$AD$96="Mayor"),CONCATENATE("R30C",'Mapa final'!$R$96),"")</f>
        <v/>
      </c>
      <c r="V235" s="42" t="str">
        <f ca="1">IF(AND('Mapa final'!$AB$94="Muy Baja",'Mapa final'!$AD$94="Catastrófico"),CONCATENATE("R30C",'Mapa final'!$R$94),"")</f>
        <v/>
      </c>
      <c r="W235" s="43" t="str">
        <f>IF(AND('Mapa final'!$AB$95="Muy Baja",'Mapa final'!$AD$95="Catastrófico"),CONCATENATE("R30C",'Mapa final'!$R$95),"")</f>
        <v/>
      </c>
      <c r="X235" s="97" t="str">
        <f>IF(AND('Mapa final'!$AB$96="Muy Baja",'Mapa final'!$AD$96="Catastrófico"),CONCATENATE("R30C",'Mapa final'!$R$96),"")</f>
        <v/>
      </c>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row>
    <row r="236" spans="1:65" ht="15" customHeight="1" x14ac:dyDescent="0.25">
      <c r="A236" s="55"/>
      <c r="B236" s="338"/>
      <c r="C236" s="338"/>
      <c r="D236" s="339"/>
      <c r="E236" s="328"/>
      <c r="F236" s="327"/>
      <c r="G236" s="327"/>
      <c r="H236" s="327"/>
      <c r="I236" s="327"/>
      <c r="J236" s="112" t="str">
        <f ca="1">IF(AND('Mapa final'!$AB$97="Muy Baja",'Mapa final'!$AD$97="Leve"),CONCATENATE("R31C",'Mapa final'!$R$97),"")</f>
        <v/>
      </c>
      <c r="K236" s="53" t="str">
        <f>IF(AND('Mapa final'!$AB$98="Muy Baja",'Mapa final'!$AD$98="Leve"),CONCATENATE("R31C",'Mapa final'!$R$98),"")</f>
        <v/>
      </c>
      <c r="L236" s="113" t="str">
        <f>IF(AND('Mapa final'!$AB$99="Muy Baja",'Mapa final'!$AD$99="Leve"),CONCATENATE("R31C",'Mapa final'!$R$99),"")</f>
        <v/>
      </c>
      <c r="M236" s="112" t="str">
        <f ca="1">IF(AND('Mapa final'!$AB$97="Muy Baja",'Mapa final'!$AD$97="Menor"),CONCATENATE("R31C",'Mapa final'!$R$97),"")</f>
        <v/>
      </c>
      <c r="N236" s="53" t="str">
        <f>IF(AND('Mapa final'!$AB$98="Muy Baja",'Mapa final'!$AD$98="Menor"),CONCATENATE("R31C",'Mapa final'!$R$98),"")</f>
        <v/>
      </c>
      <c r="O236" s="113" t="str">
        <f>IF(AND('Mapa final'!$AB$99="Muy Baja",'Mapa final'!$AD$99="Menor"),CONCATENATE("R31C",'Mapa final'!$R$99),"")</f>
        <v/>
      </c>
      <c r="P236" s="48" t="str">
        <f ca="1">IF(AND('Mapa final'!$AB$97="Muy Baja",'Mapa final'!$AD$97="Moderado"),CONCATENATE("R31C",'Mapa final'!$R$97),"")</f>
        <v/>
      </c>
      <c r="Q236" s="49" t="str">
        <f>IF(AND('Mapa final'!$AB$98="Muy Baja",'Mapa final'!$AD$98="Moderado"),CONCATENATE("R31C",'Mapa final'!$R$98),"")</f>
        <v>R31C2</v>
      </c>
      <c r="R236" s="108" t="str">
        <f>IF(AND('Mapa final'!$AB$99="Muy Baja",'Mapa final'!$AD$99="Moderado"),CONCATENATE("R31C",'Mapa final'!$R$99),"")</f>
        <v/>
      </c>
      <c r="S236" s="102" t="str">
        <f ca="1">IF(AND('Mapa final'!$AB$97="Muy Baja",'Mapa final'!$AD$97="Mayor"),CONCATENATE("R31C",'Mapa final'!$R$97),"")</f>
        <v/>
      </c>
      <c r="T236" s="41" t="str">
        <f>IF(AND('Mapa final'!$AB$98="Muy Baja",'Mapa final'!$AD$98="Mayor"),CONCATENATE("R31C",'Mapa final'!$R$98),"")</f>
        <v/>
      </c>
      <c r="U236" s="103" t="str">
        <f>IF(AND('Mapa final'!$AB$99="Muy Baja",'Mapa final'!$AD$99="Mayor"),CONCATENATE("R31C",'Mapa final'!$R$99),"")</f>
        <v/>
      </c>
      <c r="V236" s="42" t="str">
        <f ca="1">IF(AND('Mapa final'!$AB$97="Muy Baja",'Mapa final'!$AD$97="Catastrófico"),CONCATENATE("R31C",'Mapa final'!$R$97),"")</f>
        <v/>
      </c>
      <c r="W236" s="43" t="str">
        <f>IF(AND('Mapa final'!$AB$98="Muy Baja",'Mapa final'!$AD$98="Catastrófico"),CONCATENATE("R31C",'Mapa final'!$R$98),"")</f>
        <v/>
      </c>
      <c r="X236" s="97" t="str">
        <f>IF(AND('Mapa final'!$AB$99="Muy Baja",'Mapa final'!$AD$99="Catastrófico"),CONCATENATE("R31C",'Mapa final'!$R$99),"")</f>
        <v/>
      </c>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row>
    <row r="237" spans="1:65" ht="15" customHeight="1" x14ac:dyDescent="0.25">
      <c r="A237" s="55"/>
      <c r="B237" s="338"/>
      <c r="C237" s="338"/>
      <c r="D237" s="339"/>
      <c r="E237" s="328"/>
      <c r="F237" s="327"/>
      <c r="G237" s="327"/>
      <c r="H237" s="327"/>
      <c r="I237" s="327"/>
      <c r="J237" s="112" t="str">
        <f ca="1">IF(AND('Mapa final'!$AB$100="Muy Baja",'Mapa final'!$AD$100="Leve"),CONCATENATE("R32C",'Mapa final'!$R$100),"")</f>
        <v/>
      </c>
      <c r="K237" s="53" t="str">
        <f>IF(AND('Mapa final'!$AB$101="Muy Baja",'Mapa final'!$AD$101="Leve"),CONCATENATE("R32C",'Mapa final'!$R$101),"")</f>
        <v/>
      </c>
      <c r="L237" s="113" t="str">
        <f>IF(AND('Mapa final'!$AB$102="Muy Baja",'Mapa final'!$AD$102="Leve"),CONCATENATE("R32C",'Mapa final'!$R$102),"")</f>
        <v/>
      </c>
      <c r="M237" s="112" t="str">
        <f ca="1">IF(AND('Mapa final'!$AB$100="Muy Baja",'Mapa final'!$AD$100="Menor"),CONCATENATE("R32C",'Mapa final'!$R$100),"")</f>
        <v/>
      </c>
      <c r="N237" s="53" t="str">
        <f>IF(AND('Mapa final'!$AB$101="Muy Baja",'Mapa final'!$AD$101="Menor"),CONCATENATE("R32C",'Mapa final'!$R$101),"")</f>
        <v/>
      </c>
      <c r="O237" s="113" t="str">
        <f>IF(AND('Mapa final'!$AB$102="Muy Baja",'Mapa final'!$AD$102="Menor"),CONCATENATE("R32C",'Mapa final'!$R$102),"")</f>
        <v/>
      </c>
      <c r="P237" s="48" t="str">
        <f ca="1">IF(AND('Mapa final'!$AB$100="Muy Baja",'Mapa final'!$AD$100="Moderado"),CONCATENATE("R32C",'Mapa final'!$R$100),"")</f>
        <v/>
      </c>
      <c r="Q237" s="49" t="str">
        <f>IF(AND('Mapa final'!$AB$101="Muy Baja",'Mapa final'!$AD$101="Moderado"),CONCATENATE("R32C",'Mapa final'!$R$101),"")</f>
        <v>R32C2</v>
      </c>
      <c r="R237" s="108" t="str">
        <f>IF(AND('Mapa final'!$AB$102="Muy Baja",'Mapa final'!$AD$102="Moderado"),CONCATENATE("R32C",'Mapa final'!$R$102),"")</f>
        <v/>
      </c>
      <c r="S237" s="102" t="str">
        <f ca="1">IF(AND('Mapa final'!$AB$100="Muy Baja",'Mapa final'!$AD$100="Mayor"),CONCATENATE("R32C",'Mapa final'!$R$100),"")</f>
        <v/>
      </c>
      <c r="T237" s="41" t="str">
        <f>IF(AND('Mapa final'!$AB$101="Muy Baja",'Mapa final'!$AD$101="Mayor"),CONCATENATE("R32C",'Mapa final'!$R$101),"")</f>
        <v/>
      </c>
      <c r="U237" s="103" t="str">
        <f>IF(AND('Mapa final'!$AB$102="Muy Baja",'Mapa final'!$AD$102="Mayor"),CONCATENATE("R32C",'Mapa final'!$R$102),"")</f>
        <v/>
      </c>
      <c r="V237" s="42" t="str">
        <f ca="1">IF(AND('Mapa final'!$AB$100="Muy Baja",'Mapa final'!$AD$100="Catastrófico"),CONCATENATE("R32C",'Mapa final'!$R$100),"")</f>
        <v/>
      </c>
      <c r="W237" s="43" t="str">
        <f>IF(AND('Mapa final'!$AB$101="Muy Baja",'Mapa final'!$AD$101="Catastrófico"),CONCATENATE("R32C",'Mapa final'!$R$101),"")</f>
        <v/>
      </c>
      <c r="X237" s="97" t="str">
        <f>IF(AND('Mapa final'!$AB$102="Muy Baja",'Mapa final'!$AD$102="Catastrófico"),CONCATENATE("R32C",'Mapa final'!$R$102),"")</f>
        <v/>
      </c>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row>
    <row r="238" spans="1:65" ht="15" customHeight="1" x14ac:dyDescent="0.25">
      <c r="A238" s="55"/>
      <c r="B238" s="338"/>
      <c r="C238" s="338"/>
      <c r="D238" s="339"/>
      <c r="E238" s="328"/>
      <c r="F238" s="327"/>
      <c r="G238" s="327"/>
      <c r="H238" s="327"/>
      <c r="I238" s="327"/>
      <c r="J238" s="112" t="str">
        <f>IF(AND('Mapa final'!$AB$103="Muy Baja",'Mapa final'!$AD$103="Leve"),CONCATENATE("R33C",'Mapa final'!$R$103),"")</f>
        <v/>
      </c>
      <c r="K238" s="53" t="str">
        <f>IF(AND('Mapa final'!$AB$104="Muy Baja",'Mapa final'!$AD$104="Leve"),CONCATENATE("R33C",'Mapa final'!$R$104),"")</f>
        <v/>
      </c>
      <c r="L238" s="113" t="str">
        <f>IF(AND('Mapa final'!$AB$105="Muy Baja",'Mapa final'!$AD$105="Leve"),CONCATENATE("R33C",'Mapa final'!$R$105),"")</f>
        <v/>
      </c>
      <c r="M238" s="112" t="str">
        <f>IF(AND('Mapa final'!$AB$103="Muy Baja",'Mapa final'!$AD$103="Menor"),CONCATENATE("R33C",'Mapa final'!$R$103),"")</f>
        <v/>
      </c>
      <c r="N238" s="53" t="str">
        <f>IF(AND('Mapa final'!$AB$104="Muy Baja",'Mapa final'!$AD$104="Menor"),CONCATENATE("R33C",'Mapa final'!$R$104),"")</f>
        <v/>
      </c>
      <c r="O238" s="113" t="str">
        <f>IF(AND('Mapa final'!$AB$105="Muy Baja",'Mapa final'!$AD$105="Menor"),CONCATENATE("R33C",'Mapa final'!$R$105),"")</f>
        <v/>
      </c>
      <c r="P238" s="48" t="str">
        <f>IF(AND('Mapa final'!$AB$103="Muy Baja",'Mapa final'!$AD$103="Moderado"),CONCATENATE("R33C",'Mapa final'!$R$103),"")</f>
        <v/>
      </c>
      <c r="Q238" s="49" t="str">
        <f>IF(AND('Mapa final'!$AB$104="Muy Baja",'Mapa final'!$AD$104="Moderado"),CONCATENATE("R33C",'Mapa final'!$R$104),"")</f>
        <v/>
      </c>
      <c r="R238" s="108" t="str">
        <f>IF(AND('Mapa final'!$AB$105="Muy Baja",'Mapa final'!$AD$105="Moderado"),CONCATENATE("R33C",'Mapa final'!$R$105),"")</f>
        <v/>
      </c>
      <c r="S238" s="102" t="str">
        <f>IF(AND('Mapa final'!$AB$103="Muy Baja",'Mapa final'!$AD$103="Mayor"),CONCATENATE("R33C",'Mapa final'!$R$103),"")</f>
        <v/>
      </c>
      <c r="T238" s="41" t="str">
        <f>IF(AND('Mapa final'!$AB$104="Muy Baja",'Mapa final'!$AD$104="Mayor"),CONCATENATE("R33C",'Mapa final'!$R$104),"")</f>
        <v/>
      </c>
      <c r="U238" s="103" t="str">
        <f>IF(AND('Mapa final'!$AB$105="Muy Baja",'Mapa final'!$AD$105="Mayor"),CONCATENATE("R33C",'Mapa final'!$R$105),"")</f>
        <v/>
      </c>
      <c r="V238" s="42" t="str">
        <f>IF(AND('Mapa final'!$AB$103="Muy Baja",'Mapa final'!$AD$103="Catastrófico"),CONCATENATE("R33C",'Mapa final'!$R$103),"")</f>
        <v/>
      </c>
      <c r="W238" s="43" t="str">
        <f>IF(AND('Mapa final'!$AB$104="Muy Baja",'Mapa final'!$AD$104="Catastrófico"),CONCATENATE("R33C",'Mapa final'!$R$104),"")</f>
        <v/>
      </c>
      <c r="X238" s="97" t="str">
        <f>IF(AND('Mapa final'!$AB$105="Muy Baja",'Mapa final'!$AD$105="Catastrófico"),CONCATENATE("R33C",'Mapa final'!$R$105),"")</f>
        <v/>
      </c>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row>
    <row r="239" spans="1:65" ht="15" customHeight="1" x14ac:dyDescent="0.25">
      <c r="A239" s="55"/>
      <c r="B239" s="338"/>
      <c r="C239" s="338"/>
      <c r="D239" s="339"/>
      <c r="E239" s="328"/>
      <c r="F239" s="327"/>
      <c r="G239" s="327"/>
      <c r="H239" s="327"/>
      <c r="I239" s="327"/>
      <c r="J239" s="112" t="str">
        <f ca="1">IF(AND('Mapa final'!$AB$106="Muy Baja",'Mapa final'!$AD$106="Leve"),CONCATENATE("R34C",'Mapa final'!$R$106),"")</f>
        <v/>
      </c>
      <c r="K239" s="53" t="str">
        <f>IF(AND('Mapa final'!$AB$107="Muy Baja",'Mapa final'!$AD$107="Leve"),CONCATENATE("R34C",'Mapa final'!$R$107),"")</f>
        <v/>
      </c>
      <c r="L239" s="113" t="str">
        <f>IF(AND('Mapa final'!$AB$108="Muy Baja",'Mapa final'!$AD$108="Leve"),CONCATENATE("R34C",'Mapa final'!$R$108),"")</f>
        <v/>
      </c>
      <c r="M239" s="112" t="str">
        <f ca="1">IF(AND('Mapa final'!$AB$106="Muy Baja",'Mapa final'!$AD$106="Menor"),CONCATENATE("R34C",'Mapa final'!$R$106),"")</f>
        <v/>
      </c>
      <c r="N239" s="53" t="str">
        <f>IF(AND('Mapa final'!$AB$107="Muy Baja",'Mapa final'!$AD$107="Menor"),CONCATENATE("R34C",'Mapa final'!$R$107),"")</f>
        <v/>
      </c>
      <c r="O239" s="113" t="str">
        <f>IF(AND('Mapa final'!$AB$108="Muy Baja",'Mapa final'!$AD$108="Menor"),CONCATENATE("R34C",'Mapa final'!$R$108),"")</f>
        <v/>
      </c>
      <c r="P239" s="48" t="str">
        <f ca="1">IF(AND('Mapa final'!$AB$106="Muy Baja",'Mapa final'!$AD$106="Moderado"),CONCATENATE("R34C",'Mapa final'!$R$106),"")</f>
        <v/>
      </c>
      <c r="Q239" s="49" t="str">
        <f>IF(AND('Mapa final'!$AB$107="Muy Baja",'Mapa final'!$AD$107="Moderado"),CONCATENATE("R34C",'Mapa final'!$R$107),"")</f>
        <v/>
      </c>
      <c r="R239" s="108" t="str">
        <f>IF(AND('Mapa final'!$AB$108="Muy Baja",'Mapa final'!$AD$108="Moderado"),CONCATENATE("R34C",'Mapa final'!$R$108),"")</f>
        <v/>
      </c>
      <c r="S239" s="102" t="str">
        <f ca="1">IF(AND('Mapa final'!$AB$106="Muy Baja",'Mapa final'!$AD$106="Mayor"),CONCATENATE("R34C",'Mapa final'!$R$106),"")</f>
        <v/>
      </c>
      <c r="T239" s="41" t="str">
        <f>IF(AND('Mapa final'!$AB$107="Muy Baja",'Mapa final'!$AD$107="Mayor"),CONCATENATE("R34C",'Mapa final'!$R$107),"")</f>
        <v/>
      </c>
      <c r="U239" s="103" t="str">
        <f>IF(AND('Mapa final'!$AB$108="Muy Baja",'Mapa final'!$AD$108="Mayor"),CONCATENATE("R34C",'Mapa final'!$R$108),"")</f>
        <v/>
      </c>
      <c r="V239" s="42" t="str">
        <f ca="1">IF(AND('Mapa final'!$AB$106="Muy Baja",'Mapa final'!$AD$106="Catastrófico"),CONCATENATE("R34C",'Mapa final'!$R$106),"")</f>
        <v/>
      </c>
      <c r="W239" s="43" t="str">
        <f>IF(AND('Mapa final'!$AB$107="Muy Baja",'Mapa final'!$AD$107="Catastrófico"),CONCATENATE("R34C",'Mapa final'!$R$107),"")</f>
        <v/>
      </c>
      <c r="X239" s="97" t="str">
        <f>IF(AND('Mapa final'!$AB$108="Muy Baja",'Mapa final'!$AD$108="Catastrófico"),CONCATENATE("R34C",'Mapa final'!$R$108),"")</f>
        <v/>
      </c>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row>
    <row r="240" spans="1:65" ht="15" customHeight="1" x14ac:dyDescent="0.25">
      <c r="A240" s="55"/>
      <c r="B240" s="338"/>
      <c r="C240" s="338"/>
      <c r="D240" s="339"/>
      <c r="E240" s="328"/>
      <c r="F240" s="327"/>
      <c r="G240" s="327"/>
      <c r="H240" s="327"/>
      <c r="I240" s="327"/>
      <c r="J240" s="112" t="str">
        <f ca="1">IF(AND('Mapa final'!$AB$109="Muy Baja",'Mapa final'!$AD$109="Leve"),CONCATENATE("R35C",'Mapa final'!$R$109),"")</f>
        <v/>
      </c>
      <c r="K240" s="53" t="str">
        <f>IF(AND('Mapa final'!$AB$110="Muy Baja",'Mapa final'!$AD$110="Leve"),CONCATENATE("R35C",'Mapa final'!$R$110),"")</f>
        <v/>
      </c>
      <c r="L240" s="113" t="str">
        <f>IF(AND('Mapa final'!$AB$111="Muy Baja",'Mapa final'!$AD$111="Leve"),CONCATENATE("R35C",'Mapa final'!$R$111),"")</f>
        <v/>
      </c>
      <c r="M240" s="112" t="str">
        <f ca="1">IF(AND('Mapa final'!$AB$109="Muy Baja",'Mapa final'!$AD$109="Menor"),CONCATENATE("R35C",'Mapa final'!$R$109),"")</f>
        <v/>
      </c>
      <c r="N240" s="53" t="str">
        <f>IF(AND('Mapa final'!$AB$110="Muy Baja",'Mapa final'!$AD$110="Menor"),CONCATENATE("R35C",'Mapa final'!$R$110),"")</f>
        <v/>
      </c>
      <c r="O240" s="113" t="str">
        <f>IF(AND('Mapa final'!$AB$111="Muy Baja",'Mapa final'!$AD$111="Menor"),CONCATENATE("R35C",'Mapa final'!$R$111),"")</f>
        <v/>
      </c>
      <c r="P240" s="48" t="str">
        <f ca="1">IF(AND('Mapa final'!$AB$109="Muy Baja",'Mapa final'!$AD$109="Moderado"),CONCATENATE("R35C",'Mapa final'!$R$109),"")</f>
        <v/>
      </c>
      <c r="Q240" s="49" t="str">
        <f>IF(AND('Mapa final'!$AB$110="Muy Baja",'Mapa final'!$AD$110="Moderado"),CONCATENATE("R35C",'Mapa final'!$R$110),"")</f>
        <v/>
      </c>
      <c r="R240" s="108" t="str">
        <f>IF(AND('Mapa final'!$AB$111="Muy Baja",'Mapa final'!$AD$111="Moderado"),CONCATENATE("R35C",'Mapa final'!$R$111),"")</f>
        <v/>
      </c>
      <c r="S240" s="102" t="str">
        <f ca="1">IF(AND('Mapa final'!$AB$109="Muy Baja",'Mapa final'!$AD$109="Mayor"),CONCATENATE("R35C",'Mapa final'!$R$109),"")</f>
        <v/>
      </c>
      <c r="T240" s="41" t="str">
        <f>IF(AND('Mapa final'!$AB$110="Muy Baja",'Mapa final'!$AD$110="Mayor"),CONCATENATE("R35C",'Mapa final'!$R$110),"")</f>
        <v/>
      </c>
      <c r="U240" s="103" t="str">
        <f>IF(AND('Mapa final'!$AB$111="Muy Baja",'Mapa final'!$AD$111="Mayor"),CONCATENATE("R35C",'Mapa final'!$R$111),"")</f>
        <v/>
      </c>
      <c r="V240" s="42" t="str">
        <f ca="1">IF(AND('Mapa final'!$AB$109="Muy Baja",'Mapa final'!$AD$109="Catastrófico"),CONCATENATE("R35C",'Mapa final'!$R$109),"")</f>
        <v/>
      </c>
      <c r="W240" s="43" t="str">
        <f>IF(AND('Mapa final'!$AB$110="Muy Baja",'Mapa final'!$AD$110="Catastrófico"),CONCATENATE("R35C",'Mapa final'!$R$110),"")</f>
        <v/>
      </c>
      <c r="X240" s="97" t="str">
        <f>IF(AND('Mapa final'!$AB$111="Muy Baja",'Mapa final'!$AD$111="Catastrófico"),CONCATENATE("R35C",'Mapa final'!$R$111),"")</f>
        <v/>
      </c>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row>
    <row r="241" spans="1:65" ht="15" customHeight="1" x14ac:dyDescent="0.25">
      <c r="A241" s="55"/>
      <c r="B241" s="338"/>
      <c r="C241" s="338"/>
      <c r="D241" s="339"/>
      <c r="E241" s="328"/>
      <c r="F241" s="327"/>
      <c r="G241" s="327"/>
      <c r="H241" s="327"/>
      <c r="I241" s="327"/>
      <c r="J241" s="112" t="str">
        <f ca="1">IF(AND('Mapa final'!$AB$112="Muy Baja",'Mapa final'!$AD$112="Leve"),CONCATENATE("R36C",'Mapa final'!$R$112),"")</f>
        <v/>
      </c>
      <c r="K241" s="53" t="str">
        <f>IF(AND('Mapa final'!$AB$113="Muy Baja",'Mapa final'!$AD$113="Leve"),CONCATENATE("R36C",'Mapa final'!$R$113),"")</f>
        <v/>
      </c>
      <c r="L241" s="113" t="str">
        <f>IF(AND('Mapa final'!$AB$114="Muy Baja",'Mapa final'!$AD$114="Leve"),CONCATENATE("R36C",'Mapa final'!$R$114),"")</f>
        <v/>
      </c>
      <c r="M241" s="112" t="str">
        <f ca="1">IF(AND('Mapa final'!$AB$112="Muy Baja",'Mapa final'!$AD$112="Menor"),CONCATENATE("R36C",'Mapa final'!$R$112),"")</f>
        <v/>
      </c>
      <c r="N241" s="53" t="str">
        <f>IF(AND('Mapa final'!$AB$113="Muy Baja",'Mapa final'!$AD$113="Menor"),CONCATENATE("R36C",'Mapa final'!$R$113),"")</f>
        <v/>
      </c>
      <c r="O241" s="113" t="str">
        <f>IF(AND('Mapa final'!$AB$114="Muy Baja",'Mapa final'!$AD$114="Menor"),CONCATENATE("R36C",'Mapa final'!$R$114),"")</f>
        <v/>
      </c>
      <c r="P241" s="48" t="str">
        <f ca="1">IF(AND('Mapa final'!$AB$112="Muy Baja",'Mapa final'!$AD$112="Moderado"),CONCATENATE("R36C",'Mapa final'!$R$112),"")</f>
        <v/>
      </c>
      <c r="Q241" s="49" t="str">
        <f>IF(AND('Mapa final'!$AB$113="Muy Baja",'Mapa final'!$AD$113="Moderado"),CONCATENATE("R36C",'Mapa final'!$R$113),"")</f>
        <v/>
      </c>
      <c r="R241" s="108" t="str">
        <f>IF(AND('Mapa final'!$AB$114="Muy Baja",'Mapa final'!$AD$114="Moderado"),CONCATENATE("R36C",'Mapa final'!$R$114),"")</f>
        <v/>
      </c>
      <c r="S241" s="102" t="str">
        <f ca="1">IF(AND('Mapa final'!$AB$112="Muy Baja",'Mapa final'!$AD$112="Mayor"),CONCATENATE("R36C",'Mapa final'!$R$112),"")</f>
        <v/>
      </c>
      <c r="T241" s="41" t="str">
        <f>IF(AND('Mapa final'!$AB$113="Muy Baja",'Mapa final'!$AD$113="Mayor"),CONCATENATE("R36C",'Mapa final'!$R$113),"")</f>
        <v/>
      </c>
      <c r="U241" s="103" t="str">
        <f>IF(AND('Mapa final'!$AB$114="Muy Baja",'Mapa final'!$AD$114="Mayor"),CONCATENATE("R36C",'Mapa final'!$R$114),"")</f>
        <v/>
      </c>
      <c r="V241" s="42" t="str">
        <f ca="1">IF(AND('Mapa final'!$AB$112="Muy Baja",'Mapa final'!$AD$112="Catastrófico"),CONCATENATE("R36C",'Mapa final'!$R$112),"")</f>
        <v/>
      </c>
      <c r="W241" s="43" t="str">
        <f>IF(AND('Mapa final'!$AB$113="Muy Baja",'Mapa final'!$AD$113="Catastrófico"),CONCATENATE("R36C",'Mapa final'!$R$113),"")</f>
        <v/>
      </c>
      <c r="X241" s="97" t="str">
        <f>IF(AND('Mapa final'!$AB$114="Muy Baja",'Mapa final'!$AD$114="Catastrófico"),CONCATENATE("R36C",'Mapa final'!$R$114),"")</f>
        <v/>
      </c>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row>
    <row r="242" spans="1:65" ht="15" customHeight="1" x14ac:dyDescent="0.25">
      <c r="A242" s="55"/>
      <c r="B242" s="338"/>
      <c r="C242" s="338"/>
      <c r="D242" s="339"/>
      <c r="E242" s="328"/>
      <c r="F242" s="327"/>
      <c r="G242" s="327"/>
      <c r="H242" s="327"/>
      <c r="I242" s="327"/>
      <c r="J242" s="112" t="str">
        <f ca="1">IF(AND('Mapa final'!$AB$115="Muy Baja",'Mapa final'!$AD$115="Leve"),CONCATENATE("R37C",'Mapa final'!$R$115),"")</f>
        <v/>
      </c>
      <c r="K242" s="53" t="str">
        <f>IF(AND('Mapa final'!$AB$116="Muy Baja",'Mapa final'!$AD$116="Leve"),CONCATENATE("R37C",'Mapa final'!$R$116),"")</f>
        <v/>
      </c>
      <c r="L242" s="113" t="str">
        <f>IF(AND('Mapa final'!$AB$117="Muy Baja",'Mapa final'!$AD$117="Leve"),CONCATENATE("R37C",'Mapa final'!$R$117),"")</f>
        <v/>
      </c>
      <c r="M242" s="112" t="str">
        <f ca="1">IF(AND('Mapa final'!$AB$115="Muy Baja",'Mapa final'!$AD$115="Menor"),CONCATENATE("R37C",'Mapa final'!$R$115),"")</f>
        <v/>
      </c>
      <c r="N242" s="53" t="str">
        <f>IF(AND('Mapa final'!$AB$116="Muy Baja",'Mapa final'!$AD$116="Menor"),CONCATENATE("R37C",'Mapa final'!$R$116),"")</f>
        <v/>
      </c>
      <c r="O242" s="113" t="str">
        <f>IF(AND('Mapa final'!$AB$117="Muy Baja",'Mapa final'!$AD$117="Menor"),CONCATENATE("R37C",'Mapa final'!$R$117),"")</f>
        <v/>
      </c>
      <c r="P242" s="48" t="str">
        <f ca="1">IF(AND('Mapa final'!$AB$115="Muy Baja",'Mapa final'!$AD$115="Moderado"),CONCATENATE("R37C",'Mapa final'!$R$115),"")</f>
        <v/>
      </c>
      <c r="Q242" s="49" t="str">
        <f>IF(AND('Mapa final'!$AB$116="Muy Baja",'Mapa final'!$AD$116="Moderado"),CONCATENATE("R37C",'Mapa final'!$R$116),"")</f>
        <v/>
      </c>
      <c r="R242" s="108" t="str">
        <f>IF(AND('Mapa final'!$AB$117="Muy Baja",'Mapa final'!$AD$117="Moderado"),CONCATENATE("R37C",'Mapa final'!$R$117),"")</f>
        <v/>
      </c>
      <c r="S242" s="102" t="str">
        <f ca="1">IF(AND('Mapa final'!$AB$115="Muy Baja",'Mapa final'!$AD$115="Mayor"),CONCATENATE("R37C",'Mapa final'!$R$115),"")</f>
        <v/>
      </c>
      <c r="T242" s="41" t="str">
        <f>IF(AND('Mapa final'!$AB$116="Muy Baja",'Mapa final'!$AD$116="Mayor"),CONCATENATE("R37C",'Mapa final'!$R$116),"")</f>
        <v/>
      </c>
      <c r="U242" s="103" t="str">
        <f>IF(AND('Mapa final'!$AB$117="Muy Baja",'Mapa final'!$AD$117="Mayor"),CONCATENATE("R37C",'Mapa final'!$R$117),"")</f>
        <v/>
      </c>
      <c r="V242" s="42" t="str">
        <f ca="1">IF(AND('Mapa final'!$AB$115="Muy Baja",'Mapa final'!$AD$115="Catastrófico"),CONCATENATE("R37C",'Mapa final'!$R$115),"")</f>
        <v/>
      </c>
      <c r="W242" s="43" t="str">
        <f>IF(AND('Mapa final'!$AB$116="Muy Baja",'Mapa final'!$AD$116="Catastrófico"),CONCATENATE("R37C",'Mapa final'!$R$116),"")</f>
        <v/>
      </c>
      <c r="X242" s="97" t="str">
        <f>IF(AND('Mapa final'!$AB$117="Muy Baja",'Mapa final'!$AD$117="Catastrófico"),CONCATENATE("R37C",'Mapa final'!$R$117),"")</f>
        <v/>
      </c>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row>
    <row r="243" spans="1:65" ht="15" customHeight="1" x14ac:dyDescent="0.25">
      <c r="A243" s="55"/>
      <c r="B243" s="338"/>
      <c r="C243" s="338"/>
      <c r="D243" s="339"/>
      <c r="E243" s="328"/>
      <c r="F243" s="327"/>
      <c r="G243" s="327"/>
      <c r="H243" s="327"/>
      <c r="I243" s="327"/>
      <c r="J243" s="112" t="str">
        <f ca="1">IF(AND('Mapa final'!$AB$118="Muy Baja",'Mapa final'!$AD$118="Leve"),CONCATENATE("R38C",'Mapa final'!$R$118),"")</f>
        <v/>
      </c>
      <c r="K243" s="53" t="str">
        <f>IF(AND('Mapa final'!$AB$119="Muy Baja",'Mapa final'!$AD$119="Leve"),CONCATENATE("R38C",'Mapa final'!$R$119),"")</f>
        <v/>
      </c>
      <c r="L243" s="113" t="str">
        <f>IF(AND('Mapa final'!$AB$120="Muy Baja",'Mapa final'!$AD$120="Leve"),CONCATENATE("R38C",'Mapa final'!$R$120),"")</f>
        <v/>
      </c>
      <c r="M243" s="112" t="str">
        <f ca="1">IF(AND('Mapa final'!$AB$118="Muy Baja",'Mapa final'!$AD$118="Menor"),CONCATENATE("R38C",'Mapa final'!$R$118),"")</f>
        <v/>
      </c>
      <c r="N243" s="53" t="str">
        <f>IF(AND('Mapa final'!$AB$119="Muy Baja",'Mapa final'!$AD$119="Menor"),CONCATENATE("R38C",'Mapa final'!$R$119),"")</f>
        <v>R38C2</v>
      </c>
      <c r="O243" s="113" t="str">
        <f>IF(AND('Mapa final'!$AB$120="Muy Baja",'Mapa final'!$AD$120="Menor"),CONCATENATE("R38C",'Mapa final'!$R$120),"")</f>
        <v/>
      </c>
      <c r="P243" s="48" t="str">
        <f ca="1">IF(AND('Mapa final'!$AB$118="Muy Baja",'Mapa final'!$AD$118="Moderado"),CONCATENATE("R38C",'Mapa final'!$R$118),"")</f>
        <v/>
      </c>
      <c r="Q243" s="49" t="str">
        <f>IF(AND('Mapa final'!$AB$119="Muy Baja",'Mapa final'!$AD$119="Moderado"),CONCATENATE("R38C",'Mapa final'!$R$119),"")</f>
        <v/>
      </c>
      <c r="R243" s="108" t="str">
        <f>IF(AND('Mapa final'!$AB$120="Muy Baja",'Mapa final'!$AD$120="Moderado"),CONCATENATE("R38C",'Mapa final'!$R$120),"")</f>
        <v/>
      </c>
      <c r="S243" s="102" t="str">
        <f ca="1">IF(AND('Mapa final'!$AB$118="Muy Baja",'Mapa final'!$AD$118="Mayor"),CONCATENATE("R38C",'Mapa final'!$R$118),"")</f>
        <v/>
      </c>
      <c r="T243" s="41" t="str">
        <f>IF(AND('Mapa final'!$AB$119="Muy Baja",'Mapa final'!$AD$119="Mayor"),CONCATENATE("R38C",'Mapa final'!$R$119),"")</f>
        <v/>
      </c>
      <c r="U243" s="103" t="str">
        <f>IF(AND('Mapa final'!$AB$120="Muy Baja",'Mapa final'!$AD$120="Mayor"),CONCATENATE("R38C",'Mapa final'!$R$120),"")</f>
        <v/>
      </c>
      <c r="V243" s="42" t="str">
        <f ca="1">IF(AND('Mapa final'!$AB$118="Muy Baja",'Mapa final'!$AD$118="Catastrófico"),CONCATENATE("R38C",'Mapa final'!$R$118),"")</f>
        <v/>
      </c>
      <c r="W243" s="43" t="str">
        <f>IF(AND('Mapa final'!$AB$119="Muy Baja",'Mapa final'!$AD$119="Catastrófico"),CONCATENATE("R38C",'Mapa final'!$R$119),"")</f>
        <v/>
      </c>
      <c r="X243" s="97" t="str">
        <f>IF(AND('Mapa final'!$AB$120="Muy Baja",'Mapa final'!$AD$120="Catastrófico"),CONCATENATE("R38C",'Mapa final'!$R$120),"")</f>
        <v/>
      </c>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row>
    <row r="244" spans="1:65" ht="15" customHeight="1" x14ac:dyDescent="0.25">
      <c r="A244" s="55"/>
      <c r="B244" s="338"/>
      <c r="C244" s="338"/>
      <c r="D244" s="339"/>
      <c r="E244" s="328"/>
      <c r="F244" s="327"/>
      <c r="G244" s="327"/>
      <c r="H244" s="327"/>
      <c r="I244" s="327"/>
      <c r="J244" s="112" t="str">
        <f ca="1">IF(AND('Mapa final'!$AB$121="Muy Baja",'Mapa final'!$AD$121="Leve"),CONCATENATE("R39C",'Mapa final'!$R$121),"")</f>
        <v/>
      </c>
      <c r="K244" s="53" t="str">
        <f>IF(AND('Mapa final'!$AB$122="Muy Baja",'Mapa final'!$AD$122="Leve"),CONCATENATE("R39C",'Mapa final'!$R$122),"")</f>
        <v/>
      </c>
      <c r="L244" s="113" t="str">
        <f>IF(AND('Mapa final'!$AB$123="Muy Baja",'Mapa final'!$AD$123="Leve"),CONCATENATE("R39C",'Mapa final'!$R$123),"")</f>
        <v/>
      </c>
      <c r="M244" s="112" t="str">
        <f ca="1">IF(AND('Mapa final'!$AB$121="Muy Baja",'Mapa final'!$AD$121="Menor"),CONCATENATE("R39C",'Mapa final'!$R$121),"")</f>
        <v/>
      </c>
      <c r="N244" s="53" t="str">
        <f>IF(AND('Mapa final'!$AB$122="Muy Baja",'Mapa final'!$AD$122="Menor"),CONCATENATE("R39C",'Mapa final'!$R$122),"")</f>
        <v/>
      </c>
      <c r="O244" s="113" t="str">
        <f>IF(AND('Mapa final'!$AB$123="Muy Baja",'Mapa final'!$AD$123="Menor"),CONCATENATE("R39C",'Mapa final'!$R$123),"")</f>
        <v/>
      </c>
      <c r="P244" s="48" t="str">
        <f ca="1">IF(AND('Mapa final'!$AB$121="Muy Baja",'Mapa final'!$AD$121="Moderado"),CONCATENATE("R39C",'Mapa final'!$R$121),"")</f>
        <v/>
      </c>
      <c r="Q244" s="49" t="str">
        <f>IF(AND('Mapa final'!$AB$122="Muy Baja",'Mapa final'!$AD$122="Moderado"),CONCATENATE("R39C",'Mapa final'!$R$122),"")</f>
        <v/>
      </c>
      <c r="R244" s="108" t="str">
        <f>IF(AND('Mapa final'!$AB$123="Muy Baja",'Mapa final'!$AD$123="Moderado"),CONCATENATE("R39C",'Mapa final'!$R$123),"")</f>
        <v/>
      </c>
      <c r="S244" s="102" t="str">
        <f ca="1">IF(AND('Mapa final'!$AB$121="Muy Baja",'Mapa final'!$AD$121="Mayor"),CONCATENATE("R39C",'Mapa final'!$R$121),"")</f>
        <v/>
      </c>
      <c r="T244" s="41" t="str">
        <f>IF(AND('Mapa final'!$AB$122="Muy Baja",'Mapa final'!$AD$122="Mayor"),CONCATENATE("R39C",'Mapa final'!$R$122),"")</f>
        <v/>
      </c>
      <c r="U244" s="103" t="str">
        <f>IF(AND('Mapa final'!$AB$123="Muy Baja",'Mapa final'!$AD$123="Mayor"),CONCATENATE("R39C",'Mapa final'!$R$123),"")</f>
        <v/>
      </c>
      <c r="V244" s="42" t="str">
        <f ca="1">IF(AND('Mapa final'!$AB$121="Muy Baja",'Mapa final'!$AD$121="Catastrófico"),CONCATENATE("R39C",'Mapa final'!$R$121),"")</f>
        <v/>
      </c>
      <c r="W244" s="43" t="str">
        <f>IF(AND('Mapa final'!$AB$122="Muy Baja",'Mapa final'!$AD$122="Catastrófico"),CONCATENATE("R39C",'Mapa final'!$R$122),"")</f>
        <v/>
      </c>
      <c r="X244" s="97" t="str">
        <f>IF(AND('Mapa final'!$AB$123="Muy Baja",'Mapa final'!$AD$123="Catastrófico"),CONCATENATE("R39C",'Mapa final'!$R$123),"")</f>
        <v/>
      </c>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row>
    <row r="245" spans="1:65" ht="15" customHeight="1" x14ac:dyDescent="0.25">
      <c r="A245" s="55"/>
      <c r="B245" s="338"/>
      <c r="C245" s="338"/>
      <c r="D245" s="339"/>
      <c r="E245" s="328"/>
      <c r="F245" s="327"/>
      <c r="G245" s="327"/>
      <c r="H245" s="327"/>
      <c r="I245" s="327"/>
      <c r="J245" s="112" t="str">
        <f ca="1">IF(AND('Mapa final'!$AB$124="Muy Baja",'Mapa final'!$AD$124="Leve"),CONCATENATE("R40C",'Mapa final'!$R$124),"")</f>
        <v/>
      </c>
      <c r="K245" s="53" t="str">
        <f>IF(AND('Mapa final'!$AB$125="Muy Baja",'Mapa final'!$AD$125="Leve"),CONCATENATE("R40C",'Mapa final'!$R$125),"")</f>
        <v/>
      </c>
      <c r="L245" s="113" t="str">
        <f>IF(AND('Mapa final'!$AB$126="Muy Baja",'Mapa final'!$AD$126="Leve"),CONCATENATE("R40C",'Mapa final'!$R$126),"")</f>
        <v/>
      </c>
      <c r="M245" s="112" t="str">
        <f ca="1">IF(AND('Mapa final'!$AB$124="Muy Baja",'Mapa final'!$AD$124="Menor"),CONCATENATE("R40C",'Mapa final'!$R$124),"")</f>
        <v/>
      </c>
      <c r="N245" s="53" t="str">
        <f>IF(AND('Mapa final'!$AB$125="Muy Baja",'Mapa final'!$AD$125="Menor"),CONCATENATE("R40C",'Mapa final'!$R$125),"")</f>
        <v/>
      </c>
      <c r="O245" s="113" t="str">
        <f>IF(AND('Mapa final'!$AB$126="Muy Baja",'Mapa final'!$AD$126="Menor"),CONCATENATE("R40C",'Mapa final'!$R$126),"")</f>
        <v/>
      </c>
      <c r="P245" s="48" t="str">
        <f ca="1">IF(AND('Mapa final'!$AB$124="Muy Baja",'Mapa final'!$AD$124="Moderado"),CONCATENATE("R40C",'Mapa final'!$R$124),"")</f>
        <v/>
      </c>
      <c r="Q245" s="49" t="str">
        <f>IF(AND('Mapa final'!$AB$125="Muy Baja",'Mapa final'!$AD$125="Moderado"),CONCATENATE("R40C",'Mapa final'!$R$125),"")</f>
        <v/>
      </c>
      <c r="R245" s="108" t="str">
        <f>IF(AND('Mapa final'!$AB$126="Muy Baja",'Mapa final'!$AD$126="Moderado"),CONCATENATE("R40C",'Mapa final'!$R$126),"")</f>
        <v/>
      </c>
      <c r="S245" s="102" t="str">
        <f ca="1">IF(AND('Mapa final'!$AB$124="Muy Baja",'Mapa final'!$AD$124="Mayor"),CONCATENATE("R40C",'Mapa final'!$R$124),"")</f>
        <v/>
      </c>
      <c r="T245" s="41" t="str">
        <f>IF(AND('Mapa final'!$AB$125="Muy Baja",'Mapa final'!$AD$125="Mayor"),CONCATENATE("R40C",'Mapa final'!$R$125),"")</f>
        <v/>
      </c>
      <c r="U245" s="103" t="str">
        <f>IF(AND('Mapa final'!$AB$126="Muy Baja",'Mapa final'!$AD$126="Mayor"),CONCATENATE("R40C",'Mapa final'!$R$126),"")</f>
        <v/>
      </c>
      <c r="V245" s="42" t="str">
        <f ca="1">IF(AND('Mapa final'!$AB$124="Muy Baja",'Mapa final'!$AD$124="Catastrófico"),CONCATENATE("R40C",'Mapa final'!$R$124),"")</f>
        <v/>
      </c>
      <c r="W245" s="43" t="str">
        <f>IF(AND('Mapa final'!$AB$125="Muy Baja",'Mapa final'!$AD$125="Catastrófico"),CONCATENATE("R40C",'Mapa final'!$R$125),"")</f>
        <v/>
      </c>
      <c r="X245" s="97" t="str">
        <f>IF(AND('Mapa final'!$AB$126="Muy Baja",'Mapa final'!$AD$126="Catastrófico"),CONCATENATE("R40C",'Mapa final'!$R$126),"")</f>
        <v/>
      </c>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row>
    <row r="246" spans="1:65" ht="15" customHeight="1" x14ac:dyDescent="0.25">
      <c r="A246" s="55"/>
      <c r="B246" s="338"/>
      <c r="C246" s="338"/>
      <c r="D246" s="339"/>
      <c r="E246" s="328"/>
      <c r="F246" s="327"/>
      <c r="G246" s="327"/>
      <c r="H246" s="327"/>
      <c r="I246" s="327"/>
      <c r="J246" s="112" t="str">
        <f ca="1">IF(AND('Mapa final'!$AB$127="Muy Baja",'Mapa final'!$AD$127="Leve"),CONCATENATE("R41C",'Mapa final'!$R$127),"")</f>
        <v/>
      </c>
      <c r="K246" s="53" t="str">
        <f>IF(AND('Mapa final'!$AB$128="Muy Baja",'Mapa final'!$AD$128="Leve"),CONCATENATE("R41C",'Mapa final'!$R$128),"")</f>
        <v/>
      </c>
      <c r="L246" s="113" t="str">
        <f>IF(AND('Mapa final'!$AB$129="Muy Baja",'Mapa final'!$AD$129="Leve"),CONCATENATE("R41C",'Mapa final'!$R$129),"")</f>
        <v/>
      </c>
      <c r="M246" s="112" t="str">
        <f ca="1">IF(AND('Mapa final'!$AB$127="Muy Baja",'Mapa final'!$AD$127="Menor"),CONCATENATE("R41C",'Mapa final'!$R$127),"")</f>
        <v/>
      </c>
      <c r="N246" s="53" t="str">
        <f>IF(AND('Mapa final'!$AB$128="Muy Baja",'Mapa final'!$AD$128="Menor"),CONCATENATE("R41C",'Mapa final'!$R$128),"")</f>
        <v/>
      </c>
      <c r="O246" s="113" t="str">
        <f>IF(AND('Mapa final'!$AB$129="Muy Baja",'Mapa final'!$AD$129="Menor"),CONCATENATE("R41C",'Mapa final'!$R$129),"")</f>
        <v/>
      </c>
      <c r="P246" s="48" t="str">
        <f ca="1">IF(AND('Mapa final'!$AB$127="Muy Baja",'Mapa final'!$AD$127="Moderado"),CONCATENATE("R41C",'Mapa final'!$R$127),"")</f>
        <v/>
      </c>
      <c r="Q246" s="49" t="str">
        <f>IF(AND('Mapa final'!$AB$128="Muy Baja",'Mapa final'!$AD$128="Moderado"),CONCATENATE("R41C",'Mapa final'!$R$128),"")</f>
        <v/>
      </c>
      <c r="R246" s="108" t="str">
        <f>IF(AND('Mapa final'!$AB$129="Muy Baja",'Mapa final'!$AD$129="Moderado"),CONCATENATE("R41C",'Mapa final'!$R$129),"")</f>
        <v/>
      </c>
      <c r="S246" s="102" t="str">
        <f ca="1">IF(AND('Mapa final'!$AB$127="Muy Baja",'Mapa final'!$AD$127="Mayor"),CONCATENATE("R41C",'Mapa final'!$R$127),"")</f>
        <v/>
      </c>
      <c r="T246" s="41" t="str">
        <f>IF(AND('Mapa final'!$AB$128="Muy Baja",'Mapa final'!$AD$128="Mayor"),CONCATENATE("R41C",'Mapa final'!$R$128),"")</f>
        <v/>
      </c>
      <c r="U246" s="103" t="str">
        <f>IF(AND('Mapa final'!$AB$129="Muy Baja",'Mapa final'!$AD$129="Mayor"),CONCATENATE("R41C",'Mapa final'!$R$129),"")</f>
        <v/>
      </c>
      <c r="V246" s="42" t="str">
        <f ca="1">IF(AND('Mapa final'!$AB$127="Muy Baja",'Mapa final'!$AD$127="Catastrófico"),CONCATENATE("R41C",'Mapa final'!$R$127),"")</f>
        <v/>
      </c>
      <c r="W246" s="43" t="str">
        <f>IF(AND('Mapa final'!$AB$128="Muy Baja",'Mapa final'!$AD$128="Catastrófico"),CONCATENATE("R41C",'Mapa final'!$R$128),"")</f>
        <v/>
      </c>
      <c r="X246" s="97" t="str">
        <f>IF(AND('Mapa final'!$AB$129="Muy Baja",'Mapa final'!$AD$129="Catastrófico"),CONCATENATE("R41C",'Mapa final'!$R$129),"")</f>
        <v/>
      </c>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row>
    <row r="247" spans="1:65" ht="15" customHeight="1" x14ac:dyDescent="0.25">
      <c r="A247" s="55"/>
      <c r="B247" s="338"/>
      <c r="C247" s="338"/>
      <c r="D247" s="339"/>
      <c r="E247" s="328"/>
      <c r="F247" s="327"/>
      <c r="G247" s="327"/>
      <c r="H247" s="327"/>
      <c r="I247" s="327"/>
      <c r="J247" s="112" t="str">
        <f ca="1">IF(AND('Mapa final'!$AB$130="Muy Baja",'Mapa final'!$AD$130="Leve"),CONCATENATE("R42C",'Mapa final'!$R$130),"")</f>
        <v/>
      </c>
      <c r="K247" s="53" t="str">
        <f>IF(AND('Mapa final'!$AB$131="Muy Baja",'Mapa final'!$AD$131="Leve"),CONCATENATE("R42C",'Mapa final'!$R$131),"")</f>
        <v/>
      </c>
      <c r="L247" s="113" t="str">
        <f>IF(AND('Mapa final'!$AB$132="Muy Baja",'Mapa final'!$AD$132="Leve"),CONCATENATE("R42C",'Mapa final'!$R$132),"")</f>
        <v/>
      </c>
      <c r="M247" s="112" t="str">
        <f ca="1">IF(AND('Mapa final'!$AB$130="Muy Baja",'Mapa final'!$AD$130="Menor"),CONCATENATE("R42C",'Mapa final'!$R$130),"")</f>
        <v/>
      </c>
      <c r="N247" s="53" t="str">
        <f>IF(AND('Mapa final'!$AB$131="Muy Baja",'Mapa final'!$AD$131="Menor"),CONCATENATE("R42C",'Mapa final'!$R$131),"")</f>
        <v/>
      </c>
      <c r="O247" s="113" t="str">
        <f>IF(AND('Mapa final'!$AB$132="Muy Baja",'Mapa final'!$AD$132="Menor"),CONCATENATE("R42C",'Mapa final'!$R$132),"")</f>
        <v/>
      </c>
      <c r="P247" s="48" t="str">
        <f ca="1">IF(AND('Mapa final'!$AB$130="Muy Baja",'Mapa final'!$AD$130="Moderado"),CONCATENATE("R42C",'Mapa final'!$R$130),"")</f>
        <v/>
      </c>
      <c r="Q247" s="49" t="str">
        <f>IF(AND('Mapa final'!$AB$131="Muy Baja",'Mapa final'!$AD$131="Moderado"),CONCATENATE("R42C",'Mapa final'!$R$131),"")</f>
        <v/>
      </c>
      <c r="R247" s="108" t="str">
        <f>IF(AND('Mapa final'!$AB$132="Muy Baja",'Mapa final'!$AD$132="Moderado"),CONCATENATE("R42C",'Mapa final'!$R$132),"")</f>
        <v/>
      </c>
      <c r="S247" s="102" t="str">
        <f ca="1">IF(AND('Mapa final'!$AB$130="Muy Baja",'Mapa final'!$AD$130="Mayor"),CONCATENATE("R42C",'Mapa final'!$R$130),"")</f>
        <v/>
      </c>
      <c r="T247" s="41" t="str">
        <f>IF(AND('Mapa final'!$AB$131="Muy Baja",'Mapa final'!$AD$131="Mayor"),CONCATENATE("R42C",'Mapa final'!$R$131),"")</f>
        <v/>
      </c>
      <c r="U247" s="103" t="str">
        <f>IF(AND('Mapa final'!$AB$132="Muy Baja",'Mapa final'!$AD$132="Mayor"),CONCATENATE("R42C",'Mapa final'!$R$132),"")</f>
        <v/>
      </c>
      <c r="V247" s="42" t="str">
        <f ca="1">IF(AND('Mapa final'!$AB$130="Muy Baja",'Mapa final'!$AD$130="Catastrófico"),CONCATENATE("R42C",'Mapa final'!$R$130),"")</f>
        <v/>
      </c>
      <c r="W247" s="43" t="str">
        <f>IF(AND('Mapa final'!$AB$131="Muy Baja",'Mapa final'!$AD$131="Catastrófico"),CONCATENATE("R42C",'Mapa final'!$R$131),"")</f>
        <v/>
      </c>
      <c r="X247" s="97" t="str">
        <f>IF(AND('Mapa final'!$AB$132="Muy Baja",'Mapa final'!$AD$132="Catastrófico"),CONCATENATE("R42C",'Mapa final'!$R$132),"")</f>
        <v/>
      </c>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row>
    <row r="248" spans="1:65" ht="15" customHeight="1" x14ac:dyDescent="0.25">
      <c r="A248" s="55"/>
      <c r="B248" s="338"/>
      <c r="C248" s="338"/>
      <c r="D248" s="339"/>
      <c r="E248" s="328"/>
      <c r="F248" s="327"/>
      <c r="G248" s="327"/>
      <c r="H248" s="327"/>
      <c r="I248" s="327"/>
      <c r="J248" s="112" t="str">
        <f ca="1">IF(AND('Mapa final'!$AB$133="Muy Baja",'Mapa final'!$AD$133="Leve"),CONCATENATE("R43C",'Mapa final'!$R$133),"")</f>
        <v/>
      </c>
      <c r="K248" s="53" t="str">
        <f>IF(AND('Mapa final'!$AB$134="Muy Baja",'Mapa final'!$AD$134="Leve"),CONCATENATE("R43C",'Mapa final'!$R$134),"")</f>
        <v/>
      </c>
      <c r="L248" s="113" t="str">
        <f>IF(AND('Mapa final'!$AB$135="Muy Baja",'Mapa final'!$AD$135="Leve"),CONCATENATE("R43C",'Mapa final'!$R$135),"")</f>
        <v/>
      </c>
      <c r="M248" s="112" t="str">
        <f ca="1">IF(AND('Mapa final'!$AB$133="Muy Baja",'Mapa final'!$AD$133="Menor"),CONCATENATE("R43C",'Mapa final'!$R$133),"")</f>
        <v/>
      </c>
      <c r="N248" s="53" t="str">
        <f>IF(AND('Mapa final'!$AB$134="Muy Baja",'Mapa final'!$AD$134="Menor"),CONCATENATE("R43C",'Mapa final'!$R$134),"")</f>
        <v/>
      </c>
      <c r="O248" s="113" t="str">
        <f>IF(AND('Mapa final'!$AB$135="Muy Baja",'Mapa final'!$AD$135="Menor"),CONCATENATE("R43C",'Mapa final'!$R$135),"")</f>
        <v/>
      </c>
      <c r="P248" s="48" t="str">
        <f ca="1">IF(AND('Mapa final'!$AB$133="Muy Baja",'Mapa final'!$AD$133="Moderado"),CONCATENATE("R43C",'Mapa final'!$R$133),"")</f>
        <v/>
      </c>
      <c r="Q248" s="49" t="str">
        <f>IF(AND('Mapa final'!$AB$134="Muy Baja",'Mapa final'!$AD$134="Moderado"),CONCATENATE("R43C",'Mapa final'!$R$134),"")</f>
        <v/>
      </c>
      <c r="R248" s="108" t="str">
        <f>IF(AND('Mapa final'!$AB$135="Muy Baja",'Mapa final'!$AD$135="Moderado"),CONCATENATE("R43C",'Mapa final'!$R$135),"")</f>
        <v/>
      </c>
      <c r="S248" s="102" t="str">
        <f ca="1">IF(AND('Mapa final'!$AB$133="Muy Baja",'Mapa final'!$AD$133="Mayor"),CONCATENATE("R43C",'Mapa final'!$R$133),"")</f>
        <v/>
      </c>
      <c r="T248" s="41" t="str">
        <f>IF(AND('Mapa final'!$AB$134="Muy Baja",'Mapa final'!$AD$134="Mayor"),CONCATENATE("R43C",'Mapa final'!$R$134),"")</f>
        <v/>
      </c>
      <c r="U248" s="103" t="str">
        <f>IF(AND('Mapa final'!$AB$135="Muy Baja",'Mapa final'!$AD$135="Mayor"),CONCATENATE("R43C",'Mapa final'!$R$135),"")</f>
        <v>R43C3</v>
      </c>
      <c r="V248" s="42" t="str">
        <f ca="1">IF(AND('Mapa final'!$AB$133="Muy Baja",'Mapa final'!$AD$133="Catastrófico"),CONCATENATE("R43C",'Mapa final'!$R$133),"")</f>
        <v/>
      </c>
      <c r="W248" s="43" t="str">
        <f>IF(AND('Mapa final'!$AB$134="Muy Baja",'Mapa final'!$AD$134="Catastrófico"),CONCATENATE("R43C",'Mapa final'!$R$134),"")</f>
        <v/>
      </c>
      <c r="X248" s="97" t="str">
        <f>IF(AND('Mapa final'!$AB$135="Muy Baja",'Mapa final'!$AD$135="Catastrófico"),CONCATENATE("R43C",'Mapa final'!$R$135),"")</f>
        <v/>
      </c>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row>
    <row r="249" spans="1:65" ht="15" customHeight="1" x14ac:dyDescent="0.25">
      <c r="A249" s="55"/>
      <c r="B249" s="338"/>
      <c r="C249" s="338"/>
      <c r="D249" s="339"/>
      <c r="E249" s="328"/>
      <c r="F249" s="327"/>
      <c r="G249" s="327"/>
      <c r="H249" s="327"/>
      <c r="I249" s="327"/>
      <c r="J249" s="112" t="str">
        <f ca="1">IF(AND('Mapa final'!$AB$136="Muy Baja",'Mapa final'!$AD$136="Leve"),CONCATENATE("R44C",'Mapa final'!$R$136),"")</f>
        <v/>
      </c>
      <c r="K249" s="53" t="str">
        <f>IF(AND('Mapa final'!$AB$137="Muy Baja",'Mapa final'!$AD$137="Leve"),CONCATENATE("R44C",'Mapa final'!$R$137),"")</f>
        <v/>
      </c>
      <c r="L249" s="113" t="str">
        <f>IF(AND('Mapa final'!$AB$138="Muy Baja",'Mapa final'!$AD$138="Leve"),CONCATENATE("R44C",'Mapa final'!$R$138),"")</f>
        <v/>
      </c>
      <c r="M249" s="112" t="str">
        <f ca="1">IF(AND('Mapa final'!$AB$136="Muy Baja",'Mapa final'!$AD$136="Menor"),CONCATENATE("R44C",'Mapa final'!$R$136),"")</f>
        <v/>
      </c>
      <c r="N249" s="53" t="str">
        <f>IF(AND('Mapa final'!$AB$137="Muy Baja",'Mapa final'!$AD$137="Menor"),CONCATENATE("R44C",'Mapa final'!$R$137),"")</f>
        <v/>
      </c>
      <c r="O249" s="113" t="str">
        <f>IF(AND('Mapa final'!$AB$138="Muy Baja",'Mapa final'!$AD$138="Menor"),CONCATENATE("R44C",'Mapa final'!$R$138),"")</f>
        <v/>
      </c>
      <c r="P249" s="48" t="str">
        <f ca="1">IF(AND('Mapa final'!$AB$136="Muy Baja",'Mapa final'!$AD$136="Moderado"),CONCATENATE("R44C",'Mapa final'!$R$136),"")</f>
        <v/>
      </c>
      <c r="Q249" s="49" t="str">
        <f>IF(AND('Mapa final'!$AB$137="Muy Baja",'Mapa final'!$AD$137="Moderado"),CONCATENATE("R44C",'Mapa final'!$R$137),"")</f>
        <v/>
      </c>
      <c r="R249" s="108" t="str">
        <f>IF(AND('Mapa final'!$AB$138="Muy Baja",'Mapa final'!$AD$138="Moderado"),CONCATENATE("R44C",'Mapa final'!$R$138),"")</f>
        <v/>
      </c>
      <c r="S249" s="102" t="str">
        <f ca="1">IF(AND('Mapa final'!$AB$136="Muy Baja",'Mapa final'!$AD$136="Mayor"),CONCATENATE("R44C",'Mapa final'!$R$136),"")</f>
        <v/>
      </c>
      <c r="T249" s="41" t="str">
        <f>IF(AND('Mapa final'!$AB$137="Muy Baja",'Mapa final'!$AD$137="Mayor"),CONCATENATE("R44C",'Mapa final'!$R$137),"")</f>
        <v/>
      </c>
      <c r="U249" s="103" t="str">
        <f>IF(AND('Mapa final'!$AB$138="Muy Baja",'Mapa final'!$AD$138="Mayor"),CONCATENATE("R44C",'Mapa final'!$R$138),"")</f>
        <v/>
      </c>
      <c r="V249" s="42" t="str">
        <f ca="1">IF(AND('Mapa final'!$AB$136="Muy Baja",'Mapa final'!$AD$136="Catastrófico"),CONCATENATE("R44C",'Mapa final'!$R$136),"")</f>
        <v/>
      </c>
      <c r="W249" s="43" t="str">
        <f>IF(AND('Mapa final'!$AB$137="Muy Baja",'Mapa final'!$AD$137="Catastrófico"),CONCATENATE("R44C",'Mapa final'!$R$137),"")</f>
        <v/>
      </c>
      <c r="X249" s="97" t="str">
        <f>IF(AND('Mapa final'!$AB$138="Muy Baja",'Mapa final'!$AD$138="Catastrófico"),CONCATENATE("R44C",'Mapa final'!$R$138),"")</f>
        <v/>
      </c>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row>
    <row r="250" spans="1:65" ht="15" customHeight="1" x14ac:dyDescent="0.25">
      <c r="A250" s="55"/>
      <c r="B250" s="338"/>
      <c r="C250" s="338"/>
      <c r="D250" s="339"/>
      <c r="E250" s="328"/>
      <c r="F250" s="327"/>
      <c r="G250" s="327"/>
      <c r="H250" s="327"/>
      <c r="I250" s="327"/>
      <c r="J250" s="112" t="str">
        <f ca="1">IF(AND('Mapa final'!$AB$139="Muy Baja",'Mapa final'!$AD$139="Leve"),CONCATENATE("R45C",'Mapa final'!$R$139),"")</f>
        <v/>
      </c>
      <c r="K250" s="53" t="str">
        <f>IF(AND('Mapa final'!$AB$140="Muy Baja",'Mapa final'!$AD$140="Leve"),CONCATENATE("R45C",'Mapa final'!$R$140),"")</f>
        <v/>
      </c>
      <c r="L250" s="113" t="str">
        <f>IF(AND('Mapa final'!$AB$141="Muy Baja",'Mapa final'!$AD$141="Leve"),CONCATENATE("R45C",'Mapa final'!$R$141),"")</f>
        <v/>
      </c>
      <c r="M250" s="112" t="str">
        <f ca="1">IF(AND('Mapa final'!$AB$139="Muy Baja",'Mapa final'!$AD$139="Menor"),CONCATENATE("R45C",'Mapa final'!$R$139),"")</f>
        <v/>
      </c>
      <c r="N250" s="53" t="str">
        <f>IF(AND('Mapa final'!$AB$140="Muy Baja",'Mapa final'!$AD$140="Menor"),CONCATENATE("R45C",'Mapa final'!$R$140),"")</f>
        <v/>
      </c>
      <c r="O250" s="113" t="str">
        <f>IF(AND('Mapa final'!$AB$141="Muy Baja",'Mapa final'!$AD$141="Menor"),CONCATENATE("R45C",'Mapa final'!$R$141),"")</f>
        <v/>
      </c>
      <c r="P250" s="48" t="str">
        <f ca="1">IF(AND('Mapa final'!$AB$139="Muy Baja",'Mapa final'!$AD$139="Moderado"),CONCATENATE("R45C",'Mapa final'!$R$139),"")</f>
        <v/>
      </c>
      <c r="Q250" s="49" t="str">
        <f>IF(AND('Mapa final'!$AB$140="Muy Baja",'Mapa final'!$AD$140="Moderado"),CONCATENATE("R45C",'Mapa final'!$R$140),"")</f>
        <v/>
      </c>
      <c r="R250" s="108" t="str">
        <f>IF(AND('Mapa final'!$AB$141="Muy Baja",'Mapa final'!$AD$141="Moderado"),CONCATENATE("R45C",'Mapa final'!$R$141),"")</f>
        <v/>
      </c>
      <c r="S250" s="102" t="str">
        <f ca="1">IF(AND('Mapa final'!$AB$139="Muy Baja",'Mapa final'!$AD$139="Mayor"),CONCATENATE("R45C",'Mapa final'!$R$139),"")</f>
        <v/>
      </c>
      <c r="T250" s="41" t="str">
        <f>IF(AND('Mapa final'!$AB$140="Muy Baja",'Mapa final'!$AD$140="Mayor"),CONCATENATE("R45C",'Mapa final'!$R$140),"")</f>
        <v/>
      </c>
      <c r="U250" s="103" t="str">
        <f>IF(AND('Mapa final'!$AB$141="Muy Baja",'Mapa final'!$AD$141="Mayor"),CONCATENATE("R45C",'Mapa final'!$R$141),"")</f>
        <v/>
      </c>
      <c r="V250" s="42" t="str">
        <f ca="1">IF(AND('Mapa final'!$AB$139="Muy Baja",'Mapa final'!$AD$139="Catastrófico"),CONCATENATE("R45C",'Mapa final'!$R$139),"")</f>
        <v/>
      </c>
      <c r="W250" s="43" t="str">
        <f>IF(AND('Mapa final'!$AB$140="Muy Baja",'Mapa final'!$AD$140="Catastrófico"),CONCATENATE("R45C",'Mapa final'!$R$140),"")</f>
        <v/>
      </c>
      <c r="X250" s="97" t="str">
        <f>IF(AND('Mapa final'!$AB$141="Muy Baja",'Mapa final'!$AD$141="Catastrófico"),CONCATENATE("R45C",'Mapa final'!$R$141),"")</f>
        <v/>
      </c>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row>
    <row r="251" spans="1:65" ht="15" customHeight="1" x14ac:dyDescent="0.25">
      <c r="A251" s="55"/>
      <c r="B251" s="338"/>
      <c r="C251" s="338"/>
      <c r="D251" s="339"/>
      <c r="E251" s="328"/>
      <c r="F251" s="327"/>
      <c r="G251" s="327"/>
      <c r="H251" s="327"/>
      <c r="I251" s="327"/>
      <c r="J251" s="112" t="str">
        <f>IF(AND('Mapa final'!$AB$142="Muy Baja",'Mapa final'!$AD$142="Leve"),CONCATENATE("R46C",'Mapa final'!$R$142),"")</f>
        <v/>
      </c>
      <c r="K251" s="53" t="str">
        <f>IF(AND('Mapa final'!$AB$143="Muy Baja",'Mapa final'!$AD$143="Leve"),CONCATENATE("R46C",'Mapa final'!$R$143),"")</f>
        <v/>
      </c>
      <c r="L251" s="113" t="str">
        <f>IF(AND('Mapa final'!$AB$144="Muy Baja",'Mapa final'!$AD$144="Leve"),CONCATENATE("R46C",'Mapa final'!$R$144),"")</f>
        <v/>
      </c>
      <c r="M251" s="112" t="str">
        <f>IF(AND('Mapa final'!$AB$142="Muy Baja",'Mapa final'!$AD$142="Menor"),CONCATENATE("R46C",'Mapa final'!$R$142),"")</f>
        <v/>
      </c>
      <c r="N251" s="53" t="str">
        <f>IF(AND('Mapa final'!$AB$143="Muy Baja",'Mapa final'!$AD$143="Menor"),CONCATENATE("R46C",'Mapa final'!$R$143),"")</f>
        <v/>
      </c>
      <c r="O251" s="113" t="str">
        <f>IF(AND('Mapa final'!$AB$144="Muy Baja",'Mapa final'!$AD$144="Menor"),CONCATENATE("R46C",'Mapa final'!$R$144),"")</f>
        <v/>
      </c>
      <c r="P251" s="48" t="str">
        <f>IF(AND('Mapa final'!$AB$142="Muy Baja",'Mapa final'!$AD$142="Moderado"),CONCATENATE("R46C",'Mapa final'!$R$142),"")</f>
        <v/>
      </c>
      <c r="Q251" s="49" t="str">
        <f>IF(AND('Mapa final'!$AB$143="Muy Baja",'Mapa final'!$AD$143="Moderado"),CONCATENATE("R46C",'Mapa final'!$R$143),"")</f>
        <v/>
      </c>
      <c r="R251" s="108" t="str">
        <f>IF(AND('Mapa final'!$AB$144="Muy Baja",'Mapa final'!$AD$144="Moderado"),CONCATENATE("R46C",'Mapa final'!$R$144),"")</f>
        <v/>
      </c>
      <c r="S251" s="102" t="str">
        <f>IF(AND('Mapa final'!$AB$142="Muy Baja",'Mapa final'!$AD$142="Mayor"),CONCATENATE("R46C",'Mapa final'!$R$142),"")</f>
        <v/>
      </c>
      <c r="T251" s="41" t="str">
        <f>IF(AND('Mapa final'!$AB$143="Muy Baja",'Mapa final'!$AD$143="Mayor"),CONCATENATE("R46C",'Mapa final'!$R$143),"")</f>
        <v/>
      </c>
      <c r="U251" s="103" t="str">
        <f>IF(AND('Mapa final'!$AB$144="Muy Baja",'Mapa final'!$AD$144="Mayor"),CONCATENATE("R46C",'Mapa final'!$R$144),"")</f>
        <v/>
      </c>
      <c r="V251" s="42" t="str">
        <f>IF(AND('Mapa final'!$AB$142="Muy Baja",'Mapa final'!$AD$142="Catastrófico"),CONCATENATE("R46C",'Mapa final'!$R$142),"")</f>
        <v/>
      </c>
      <c r="W251" s="43" t="str">
        <f>IF(AND('Mapa final'!$AB$143="Muy Baja",'Mapa final'!$AD$143="Catastrófico"),CONCATENATE("R46C",'Mapa final'!$R$143),"")</f>
        <v/>
      </c>
      <c r="X251" s="97" t="str">
        <f>IF(AND('Mapa final'!$AB$144="Muy Baja",'Mapa final'!$AD$144="Catastrófico"),CONCATENATE("R46C",'Mapa final'!$R$144),"")</f>
        <v/>
      </c>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row>
    <row r="252" spans="1:65" ht="15" customHeight="1" x14ac:dyDescent="0.25">
      <c r="A252" s="55"/>
      <c r="B252" s="338"/>
      <c r="C252" s="338"/>
      <c r="D252" s="339"/>
      <c r="E252" s="328"/>
      <c r="F252" s="327"/>
      <c r="G252" s="327"/>
      <c r="H252" s="327"/>
      <c r="I252" s="327"/>
      <c r="J252" s="112" t="str">
        <f>IF(AND('Mapa final'!$AB$145="Muy Baja",'Mapa final'!$AD$145="Leve"),CONCATENATE("R47C",'Mapa final'!$R$145),"")</f>
        <v/>
      </c>
      <c r="K252" s="53" t="str">
        <f>IF(AND('Mapa final'!$AB$146="Muy Baja",'Mapa final'!$AD$146="Leve"),CONCATENATE("R47C",'Mapa final'!$R$146),"")</f>
        <v/>
      </c>
      <c r="L252" s="113" t="str">
        <f>IF(AND('Mapa final'!$AB$147="Muy Baja",'Mapa final'!$AD$147="Leve"),CONCATENATE("R47C",'Mapa final'!$R$147),"")</f>
        <v/>
      </c>
      <c r="M252" s="112" t="str">
        <f>IF(AND('Mapa final'!$AB$145="Muy Baja",'Mapa final'!$AD$145="Menor"),CONCATENATE("R47C",'Mapa final'!$R$145),"")</f>
        <v/>
      </c>
      <c r="N252" s="53" t="str">
        <f>IF(AND('Mapa final'!$AB$146="Muy Baja",'Mapa final'!$AD$146="Menor"),CONCATENATE("R47C",'Mapa final'!$R$146),"")</f>
        <v/>
      </c>
      <c r="O252" s="113" t="str">
        <f>IF(AND('Mapa final'!$AB$147="Muy Baja",'Mapa final'!$AD$147="Menor"),CONCATENATE("R47C",'Mapa final'!$R$147),"")</f>
        <v/>
      </c>
      <c r="P252" s="48" t="str">
        <f>IF(AND('Mapa final'!$AB$145="Muy Baja",'Mapa final'!$AD$145="Moderado"),CONCATENATE("R47C",'Mapa final'!$R$145),"")</f>
        <v/>
      </c>
      <c r="Q252" s="49" t="str">
        <f>IF(AND('Mapa final'!$AB$146="Muy Baja",'Mapa final'!$AD$146="Moderado"),CONCATENATE("R47C",'Mapa final'!$R$146),"")</f>
        <v/>
      </c>
      <c r="R252" s="108" t="str">
        <f>IF(AND('Mapa final'!$AB$147="Muy Baja",'Mapa final'!$AD$147="Moderado"),CONCATENATE("R47C",'Mapa final'!$R$147),"")</f>
        <v/>
      </c>
      <c r="S252" s="102" t="str">
        <f>IF(AND('Mapa final'!$AB$145="Muy Baja",'Mapa final'!$AD$145="Mayor"),CONCATENATE("R47C",'Mapa final'!$R$145),"")</f>
        <v/>
      </c>
      <c r="T252" s="41" t="str">
        <f>IF(AND('Mapa final'!$AB$146="Muy Baja",'Mapa final'!$AD$146="Mayor"),CONCATENATE("R47C",'Mapa final'!$R$146),"")</f>
        <v/>
      </c>
      <c r="U252" s="103" t="str">
        <f>IF(AND('Mapa final'!$AB$147="Muy Baja",'Mapa final'!$AD$147="Mayor"),CONCATENATE("R47C",'Mapa final'!$R$147),"")</f>
        <v/>
      </c>
      <c r="V252" s="42" t="str">
        <f>IF(AND('Mapa final'!$AB$145="Muy Baja",'Mapa final'!$AD$145="Catastrófico"),CONCATENATE("R47C",'Mapa final'!$R$145),"")</f>
        <v/>
      </c>
      <c r="W252" s="43" t="str">
        <f>IF(AND('Mapa final'!$AB$146="Muy Baja",'Mapa final'!$AD$146="Catastrófico"),CONCATENATE("R47C",'Mapa final'!$R$146),"")</f>
        <v/>
      </c>
      <c r="X252" s="97" t="str">
        <f>IF(AND('Mapa final'!$AB$147="Muy Baja",'Mapa final'!$AD$147="Catastrófico"),CONCATENATE("R47C",'Mapa final'!$R$147),"")</f>
        <v/>
      </c>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row>
    <row r="253" spans="1:65" ht="15" customHeight="1" x14ac:dyDescent="0.25">
      <c r="A253" s="55"/>
      <c r="B253" s="338"/>
      <c r="C253" s="338"/>
      <c r="D253" s="339"/>
      <c r="E253" s="328"/>
      <c r="F253" s="327"/>
      <c r="G253" s="327"/>
      <c r="H253" s="327"/>
      <c r="I253" s="327"/>
      <c r="J253" s="112" t="str">
        <f>IF(AND('Mapa final'!$AB$148="Muy Baja",'Mapa final'!$AD$148="Leve"),CONCATENATE("R48C",'Mapa final'!$R$148),"")</f>
        <v/>
      </c>
      <c r="K253" s="53" t="str">
        <f>IF(AND('Mapa final'!$AB$149="Muy Baja",'Mapa final'!$AD$149="Leve"),CONCATENATE("R48C",'Mapa final'!$R$149),"")</f>
        <v/>
      </c>
      <c r="L253" s="113" t="str">
        <f>IF(AND('Mapa final'!$AB$150="Muy Baja",'Mapa final'!$AD$150="Leve"),CONCATENATE("R48C",'Mapa final'!$R$150),"")</f>
        <v/>
      </c>
      <c r="M253" s="112" t="str">
        <f>IF(AND('Mapa final'!$AB$148="Muy Baja",'Mapa final'!$AD$148="Menor"),CONCATENATE("R48C",'Mapa final'!$R$148),"")</f>
        <v/>
      </c>
      <c r="N253" s="53" t="str">
        <f>IF(AND('Mapa final'!$AB$149="Muy Baja",'Mapa final'!$AD$149="Menor"),CONCATENATE("R48C",'Mapa final'!$R$149),"")</f>
        <v/>
      </c>
      <c r="O253" s="113" t="str">
        <f>IF(AND('Mapa final'!$AB$150="Muy Baja",'Mapa final'!$AD$150="Menor"),CONCATENATE("R48C",'Mapa final'!$R$150),"")</f>
        <v/>
      </c>
      <c r="P253" s="48" t="str">
        <f>IF(AND('Mapa final'!$AB$148="Muy Baja",'Mapa final'!$AD$148="Moderado"),CONCATENATE("R48C",'Mapa final'!$R$148),"")</f>
        <v/>
      </c>
      <c r="Q253" s="49" t="str">
        <f>IF(AND('Mapa final'!$AB$149="Muy Baja",'Mapa final'!$AD$149="Moderado"),CONCATENATE("R48C",'Mapa final'!$R$149),"")</f>
        <v/>
      </c>
      <c r="R253" s="108" t="str">
        <f>IF(AND('Mapa final'!$AB$150="Muy Baja",'Mapa final'!$AD$150="Moderado"),CONCATENATE("R48C",'Mapa final'!$R$150),"")</f>
        <v/>
      </c>
      <c r="S253" s="102" t="str">
        <f>IF(AND('Mapa final'!$AB$148="Muy Baja",'Mapa final'!$AD$148="Mayor"),CONCATENATE("R48C",'Mapa final'!$R$148),"")</f>
        <v/>
      </c>
      <c r="T253" s="41" t="str">
        <f>IF(AND('Mapa final'!$AB$149="Muy Baja",'Mapa final'!$AD$149="Mayor"),CONCATENATE("R48C",'Mapa final'!$R$149),"")</f>
        <v/>
      </c>
      <c r="U253" s="103" t="str">
        <f>IF(AND('Mapa final'!$AB$150="Muy Baja",'Mapa final'!$AD$150="Mayor"),CONCATENATE("R48C",'Mapa final'!$R$150),"")</f>
        <v/>
      </c>
      <c r="V253" s="42" t="str">
        <f>IF(AND('Mapa final'!$AB$148="Muy Baja",'Mapa final'!$AD$148="Catastrófico"),CONCATENATE("R48C",'Mapa final'!$R$148),"")</f>
        <v/>
      </c>
      <c r="W253" s="43" t="str">
        <f>IF(AND('Mapa final'!$AB$149="Muy Baja",'Mapa final'!$AD$149="Catastrófico"),CONCATENATE("R48C",'Mapa final'!$R$149),"")</f>
        <v/>
      </c>
      <c r="X253" s="97" t="str">
        <f>IF(AND('Mapa final'!$AB$150="Muy Baja",'Mapa final'!$AD$150="Catastrófico"),CONCATENATE("R48C",'Mapa final'!$R$150),"")</f>
        <v/>
      </c>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row>
    <row r="254" spans="1:65" ht="15" customHeight="1" x14ac:dyDescent="0.25">
      <c r="A254" s="55"/>
      <c r="B254" s="338"/>
      <c r="C254" s="338"/>
      <c r="D254" s="339"/>
      <c r="E254" s="328"/>
      <c r="F254" s="327"/>
      <c r="G254" s="327"/>
      <c r="H254" s="327"/>
      <c r="I254" s="327"/>
      <c r="J254" s="112" t="str">
        <f>IF(AND('Mapa final'!$AB$151="Muy Baja",'Mapa final'!$AD$151="Leve"),CONCATENATE("R49C",'Mapa final'!$R$151),"")</f>
        <v/>
      </c>
      <c r="K254" s="53" t="str">
        <f>IF(AND('Mapa final'!$AB$152="Muy Baja",'Mapa final'!$AD$152="Leve"),CONCATENATE("R49C",'Mapa final'!$R$152),"")</f>
        <v/>
      </c>
      <c r="L254" s="113" t="str">
        <f>IF(AND('Mapa final'!$AB$153="Muy Baja",'Mapa final'!$AD$153="Leve"),CONCATENATE("R49C",'Mapa final'!$R$153),"")</f>
        <v/>
      </c>
      <c r="M254" s="112" t="str">
        <f>IF(AND('Mapa final'!$AB$151="Muy Baja",'Mapa final'!$AD$151="Menor"),CONCATENATE("R49C",'Mapa final'!$R$151),"")</f>
        <v/>
      </c>
      <c r="N254" s="53" t="str">
        <f>IF(AND('Mapa final'!$AB$152="Muy Baja",'Mapa final'!$AD$152="Menor"),CONCATENATE("R49C",'Mapa final'!$R$152),"")</f>
        <v/>
      </c>
      <c r="O254" s="113" t="str">
        <f>IF(AND('Mapa final'!$AB$153="Muy Baja",'Mapa final'!$AD$153="Menor"),CONCATENATE("R49C",'Mapa final'!$R$153),"")</f>
        <v/>
      </c>
      <c r="P254" s="48" t="str">
        <f>IF(AND('Mapa final'!$AB$151="Muy Baja",'Mapa final'!$AD$151="Moderado"),CONCATENATE("R49C",'Mapa final'!$R$151),"")</f>
        <v/>
      </c>
      <c r="Q254" s="49" t="str">
        <f>IF(AND('Mapa final'!$AB$152="Muy Baja",'Mapa final'!$AD$152="Moderado"),CONCATENATE("R49C",'Mapa final'!$R$152),"")</f>
        <v/>
      </c>
      <c r="R254" s="108" t="str">
        <f>IF(AND('Mapa final'!$AB$153="Muy Baja",'Mapa final'!$AD$153="Moderado"),CONCATENATE("R49C",'Mapa final'!$R$153),"")</f>
        <v/>
      </c>
      <c r="S254" s="102" t="str">
        <f>IF(AND('Mapa final'!$AB$151="Muy Baja",'Mapa final'!$AD$151="Mayor"),CONCATENATE("R49C",'Mapa final'!$R$151),"")</f>
        <v/>
      </c>
      <c r="T254" s="41" t="str">
        <f>IF(AND('Mapa final'!$AB$152="Muy Baja",'Mapa final'!$AD$152="Mayor"),CONCATENATE("R49C",'Mapa final'!$R$152),"")</f>
        <v/>
      </c>
      <c r="U254" s="103" t="str">
        <f>IF(AND('Mapa final'!$AB$153="Muy Baja",'Mapa final'!$AD$153="Mayor"),CONCATENATE("R49C",'Mapa final'!$R$153),"")</f>
        <v/>
      </c>
      <c r="V254" s="42" t="str">
        <f>IF(AND('Mapa final'!$AB$151="Muy Baja",'Mapa final'!$AD$151="Catastrófico"),CONCATENATE("R49C",'Mapa final'!$R$151),"")</f>
        <v/>
      </c>
      <c r="W254" s="43" t="str">
        <f>IF(AND('Mapa final'!$AB$152="Muy Baja",'Mapa final'!$AD$152="Catastrófico"),CONCATENATE("R49C",'Mapa final'!$R$152),"")</f>
        <v/>
      </c>
      <c r="X254" s="97" t="str">
        <f>IF(AND('Mapa final'!$AB$153="Muy Baja",'Mapa final'!$AD$153="Catastrófico"),CONCATENATE("R49C",'Mapa final'!$R$153),"")</f>
        <v/>
      </c>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row>
    <row r="255" spans="1:65" ht="15" customHeight="1" thickBot="1" x14ac:dyDescent="0.3">
      <c r="A255" s="55"/>
      <c r="B255" s="338"/>
      <c r="C255" s="338"/>
      <c r="D255" s="339"/>
      <c r="E255" s="328"/>
      <c r="F255" s="327"/>
      <c r="G255" s="327"/>
      <c r="H255" s="327"/>
      <c r="I255" s="327"/>
      <c r="J255" s="114" t="str">
        <f>IF(AND('Mapa final'!$AB$154="Muy Baja",'Mapa final'!$AD$154="Leve"),CONCATENATE("R50C",'Mapa final'!$R$154),"")</f>
        <v/>
      </c>
      <c r="K255" s="54" t="str">
        <f>IF(AND('Mapa final'!$AB$155="Muy Baja",'Mapa final'!$AD$155="Leve"),CONCATENATE("R50C",'Mapa final'!$R$155),"")</f>
        <v/>
      </c>
      <c r="L255" s="115" t="str">
        <f>IF(AND('Mapa final'!$AB$156="Muy Baja",'Mapa final'!$AD$156="Leve"),CONCATENATE("R50C",'Mapa final'!$R$156),"")</f>
        <v/>
      </c>
      <c r="M255" s="114" t="str">
        <f>IF(AND('Mapa final'!$AB$154="Muy Baja",'Mapa final'!$AD$154="Menor"),CONCATENATE("R50C",'Mapa final'!$R$154),"")</f>
        <v/>
      </c>
      <c r="N255" s="54" t="str">
        <f>IF(AND('Mapa final'!$AB$155="Muy Baja",'Mapa final'!$AD$155="Menor"),CONCATENATE("R50C",'Mapa final'!$R$155),"")</f>
        <v/>
      </c>
      <c r="O255" s="115" t="str">
        <f>IF(AND('Mapa final'!$AB$156="Muy Baja",'Mapa final'!$AD$156="Menor"),CONCATENATE("R50C",'Mapa final'!$R$156),"")</f>
        <v/>
      </c>
      <c r="P255" s="50" t="str">
        <f>IF(AND('Mapa final'!$AB$154="Muy Baja",'Mapa final'!$AD$154="Moderado"),CONCATENATE("R50C",'Mapa final'!$R$154),"")</f>
        <v/>
      </c>
      <c r="Q255" s="51" t="str">
        <f>IF(AND('Mapa final'!$AB$155="Muy Baja",'Mapa final'!$AD$155="Moderado"),CONCATENATE("R50C",'Mapa final'!$R$155),"")</f>
        <v/>
      </c>
      <c r="R255" s="109" t="str">
        <f>IF(AND('Mapa final'!$AB$156="Muy Baja",'Mapa final'!$AD$156="Moderado"),CONCATENATE("R50C",'Mapa final'!$R$156),"")</f>
        <v/>
      </c>
      <c r="S255" s="104" t="str">
        <f>IF(AND('Mapa final'!$AB$154="Muy Baja",'Mapa final'!$AD$154="Mayor"),CONCATENATE("R50C",'Mapa final'!$R$154),"")</f>
        <v/>
      </c>
      <c r="T255" s="105" t="str">
        <f>IF(AND('Mapa final'!$AB$155="Muy Baja",'Mapa final'!$AD$155="Mayor"),CONCATENATE("R50C",'Mapa final'!$R$155),"")</f>
        <v/>
      </c>
      <c r="U255" s="106" t="str">
        <f>IF(AND('Mapa final'!$AB$156="Muy Baja",'Mapa final'!$AD$156="Mayor"),CONCATENATE("R50C",'Mapa final'!$R$156),"")</f>
        <v/>
      </c>
      <c r="V255" s="44" t="str">
        <f>IF(AND('Mapa final'!$AB$154="Muy Baja",'Mapa final'!$AD$154="Catastrófico"),CONCATENATE("R50C",'Mapa final'!$R$154),"")</f>
        <v/>
      </c>
      <c r="W255" s="45" t="str">
        <f>IF(AND('Mapa final'!$AB$155="Muy Baja",'Mapa final'!$AD$155="Catastrófico"),CONCATENATE("R50C",'Mapa final'!$R$155),"")</f>
        <v/>
      </c>
      <c r="X255" s="98" t="str">
        <f>IF(AND('Mapa final'!$AB$156="Muy Baja",'Mapa final'!$AD$156="Catastrófico"),CONCATENATE("R50C",'Mapa final'!$R$156),"")</f>
        <v/>
      </c>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row>
    <row r="256" spans="1:65" x14ac:dyDescent="0.25">
      <c r="A256" s="55"/>
      <c r="B256" s="55"/>
      <c r="C256" s="55"/>
      <c r="D256" s="55"/>
      <c r="E256" s="55"/>
      <c r="F256" s="55"/>
      <c r="G256" s="55"/>
      <c r="H256" s="55"/>
      <c r="I256" s="55"/>
      <c r="J256" s="352" t="s">
        <v>103</v>
      </c>
      <c r="K256" s="327"/>
      <c r="L256" s="327"/>
      <c r="M256" s="326" t="s">
        <v>102</v>
      </c>
      <c r="N256" s="327"/>
      <c r="O256" s="327"/>
      <c r="P256" s="326" t="s">
        <v>101</v>
      </c>
      <c r="Q256" s="327"/>
      <c r="R256" s="327"/>
      <c r="S256" s="326" t="s">
        <v>100</v>
      </c>
      <c r="T256" s="357"/>
      <c r="U256" s="327"/>
      <c r="V256" s="326" t="s">
        <v>99</v>
      </c>
      <c r="W256" s="327"/>
      <c r="X256" s="358"/>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row>
    <row r="257" spans="1:65" x14ac:dyDescent="0.25">
      <c r="A257" s="55"/>
      <c r="B257" s="55"/>
      <c r="C257" s="55"/>
      <c r="D257" s="55"/>
      <c r="E257" s="55"/>
      <c r="F257" s="55"/>
      <c r="G257" s="55"/>
      <c r="H257" s="55"/>
      <c r="I257" s="55"/>
      <c r="J257" s="353"/>
      <c r="K257" s="327"/>
      <c r="L257" s="327"/>
      <c r="M257" s="328"/>
      <c r="N257" s="327"/>
      <c r="O257" s="327"/>
      <c r="P257" s="328"/>
      <c r="Q257" s="327"/>
      <c r="R257" s="327"/>
      <c r="S257" s="328"/>
      <c r="T257" s="327"/>
      <c r="U257" s="327"/>
      <c r="V257" s="328"/>
      <c r="W257" s="327"/>
      <c r="X257" s="358"/>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row>
    <row r="258" spans="1:65" x14ac:dyDescent="0.25">
      <c r="A258" s="55"/>
      <c r="B258" s="55"/>
      <c r="C258" s="55"/>
      <c r="D258" s="55"/>
      <c r="E258" s="55"/>
      <c r="F258" s="55"/>
      <c r="G258" s="55"/>
      <c r="H258" s="55"/>
      <c r="I258" s="55"/>
      <c r="J258" s="353"/>
      <c r="K258" s="327"/>
      <c r="L258" s="327"/>
      <c r="M258" s="328"/>
      <c r="N258" s="327"/>
      <c r="O258" s="327"/>
      <c r="P258" s="328"/>
      <c r="Q258" s="327"/>
      <c r="R258" s="327"/>
      <c r="S258" s="328"/>
      <c r="T258" s="327"/>
      <c r="U258" s="327"/>
      <c r="V258" s="328"/>
      <c r="W258" s="327"/>
      <c r="X258" s="358"/>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row>
    <row r="259" spans="1:65" x14ac:dyDescent="0.25">
      <c r="A259" s="55"/>
      <c r="B259" s="55"/>
      <c r="C259" s="55"/>
      <c r="D259" s="55"/>
      <c r="E259" s="55"/>
      <c r="F259" s="55"/>
      <c r="G259" s="55"/>
      <c r="H259" s="55"/>
      <c r="I259" s="55"/>
      <c r="J259" s="353"/>
      <c r="K259" s="327"/>
      <c r="L259" s="327"/>
      <c r="M259" s="328"/>
      <c r="N259" s="327"/>
      <c r="O259" s="327"/>
      <c r="P259" s="328"/>
      <c r="Q259" s="327"/>
      <c r="R259" s="327"/>
      <c r="S259" s="328"/>
      <c r="T259" s="327"/>
      <c r="U259" s="327"/>
      <c r="V259" s="328"/>
      <c r="W259" s="327"/>
      <c r="X259" s="358"/>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row>
    <row r="260" spans="1:65" x14ac:dyDescent="0.25">
      <c r="A260" s="55"/>
      <c r="B260" s="55"/>
      <c r="C260" s="55"/>
      <c r="D260" s="55"/>
      <c r="E260" s="55"/>
      <c r="F260" s="55"/>
      <c r="G260" s="55"/>
      <c r="H260" s="55"/>
      <c r="I260" s="55"/>
      <c r="J260" s="353"/>
      <c r="K260" s="327"/>
      <c r="L260" s="327"/>
      <c r="M260" s="328"/>
      <c r="N260" s="327"/>
      <c r="O260" s="327"/>
      <c r="P260" s="328"/>
      <c r="Q260" s="327"/>
      <c r="R260" s="327"/>
      <c r="S260" s="328"/>
      <c r="T260" s="327"/>
      <c r="U260" s="327"/>
      <c r="V260" s="328"/>
      <c r="W260" s="327"/>
      <c r="X260" s="358"/>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row>
    <row r="261" spans="1:65" ht="15.75" thickBot="1" x14ac:dyDescent="0.3">
      <c r="A261" s="55"/>
      <c r="B261" s="55"/>
      <c r="C261" s="55"/>
      <c r="D261" s="55"/>
      <c r="E261" s="55"/>
      <c r="F261" s="55"/>
      <c r="G261" s="55"/>
      <c r="H261" s="55"/>
      <c r="I261" s="55"/>
      <c r="J261" s="354"/>
      <c r="K261" s="355"/>
      <c r="L261" s="355"/>
      <c r="M261" s="356"/>
      <c r="N261" s="355"/>
      <c r="O261" s="355"/>
      <c r="P261" s="356"/>
      <c r="Q261" s="355"/>
      <c r="R261" s="355"/>
      <c r="S261" s="356"/>
      <c r="T261" s="355"/>
      <c r="U261" s="355"/>
      <c r="V261" s="356"/>
      <c r="W261" s="355"/>
      <c r="X261" s="359"/>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row>
    <row r="262" spans="1:65" x14ac:dyDescent="0.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row>
    <row r="263" spans="1:65" ht="15" customHeight="1" x14ac:dyDescent="0.25">
      <c r="A263" s="55"/>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5"/>
      <c r="AG263" s="55"/>
      <c r="AH263" s="55"/>
      <c r="AI263" s="55"/>
      <c r="AJ263" s="55"/>
      <c r="AK263" s="55"/>
      <c r="AL263" s="55"/>
      <c r="AM263" s="55"/>
      <c r="AN263" s="55"/>
      <c r="AO263" s="55"/>
      <c r="AP263" s="55"/>
      <c r="AQ263" s="55"/>
      <c r="AR263" s="55"/>
      <c r="AS263" s="55"/>
    </row>
    <row r="264" spans="1:65" ht="15" customHeight="1" x14ac:dyDescent="0.25">
      <c r="A264" s="55"/>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5"/>
      <c r="AG264" s="55"/>
      <c r="AH264" s="55"/>
      <c r="AI264" s="55"/>
      <c r="AJ264" s="55"/>
      <c r="AK264" s="55"/>
      <c r="AL264" s="55"/>
      <c r="AM264" s="55"/>
      <c r="AN264" s="55"/>
      <c r="AO264" s="55"/>
      <c r="AP264" s="55"/>
      <c r="AQ264" s="55"/>
      <c r="AR264" s="55"/>
      <c r="AS264" s="55"/>
    </row>
    <row r="265" spans="1:65"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c r="AS265" s="55"/>
    </row>
    <row r="266" spans="1:65" x14ac:dyDescent="0.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row>
    <row r="267" spans="1:65"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c r="AS267" s="55"/>
    </row>
    <row r="268" spans="1:65" x14ac:dyDescent="0.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row>
    <row r="269" spans="1:65" x14ac:dyDescent="0.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c r="AS269" s="55"/>
    </row>
    <row r="270" spans="1:65"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c r="AS270" s="55"/>
    </row>
    <row r="271" spans="1:65" x14ac:dyDescent="0.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c r="AS271" s="55"/>
    </row>
    <row r="272" spans="1:65" x14ac:dyDescent="0.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row>
    <row r="273" spans="1:45"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c r="AS273" s="55"/>
    </row>
    <row r="274" spans="1:45" x14ac:dyDescent="0.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row>
    <row r="275" spans="1:45"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c r="AS275" s="55"/>
    </row>
    <row r="276" spans="1:45" x14ac:dyDescent="0.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row>
    <row r="277" spans="1:45" x14ac:dyDescent="0.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c r="AS277" s="55"/>
    </row>
    <row r="278" spans="1:45" x14ac:dyDescent="0.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row>
    <row r="279" spans="1:45"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c r="AS279" s="55"/>
    </row>
    <row r="280" spans="1:45"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row>
    <row r="281" spans="1:45" x14ac:dyDescent="0.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c r="AS281" s="55"/>
    </row>
    <row r="282" spans="1:45" x14ac:dyDescent="0.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row>
    <row r="283" spans="1:45" x14ac:dyDescent="0.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c r="AS283" s="55"/>
    </row>
    <row r="284" spans="1:45"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row>
    <row r="285" spans="1:45"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c r="AS285" s="55"/>
    </row>
    <row r="286" spans="1:45" x14ac:dyDescent="0.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row>
    <row r="287" spans="1:45" x14ac:dyDescent="0.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row>
    <row r="288" spans="1:45" x14ac:dyDescent="0.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row>
    <row r="289" spans="1:45"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c r="AS289" s="55"/>
    </row>
    <row r="290" spans="1:45" x14ac:dyDescent="0.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row>
    <row r="291" spans="1:45"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c r="AS291" s="55"/>
    </row>
    <row r="292" spans="1:45" x14ac:dyDescent="0.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row>
    <row r="293" spans="1:45" x14ac:dyDescent="0.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c r="AS293" s="55"/>
    </row>
    <row r="294" spans="1:45"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row>
    <row r="295" spans="1:45" x14ac:dyDescent="0.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c r="AS295" s="55"/>
    </row>
    <row r="296" spans="1:45" x14ac:dyDescent="0.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row>
    <row r="297" spans="1:45"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c r="AS297" s="55"/>
    </row>
    <row r="298" spans="1:45" x14ac:dyDescent="0.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c r="AS298" s="55"/>
    </row>
    <row r="299" spans="1:45"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c r="AS299" s="55"/>
    </row>
    <row r="300" spans="1:45" x14ac:dyDescent="0.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c r="AS300" s="55"/>
    </row>
    <row r="301" spans="1:45" x14ac:dyDescent="0.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c r="AS301" s="55"/>
    </row>
    <row r="302" spans="1:45" x14ac:dyDescent="0.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row>
    <row r="303" spans="1:45"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row>
    <row r="304" spans="1:45"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row>
    <row r="305" spans="1:45" x14ac:dyDescent="0.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row>
    <row r="306" spans="1:45" x14ac:dyDescent="0.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row>
    <row r="307" spans="1:45" x14ac:dyDescent="0.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c r="AS307" s="55"/>
    </row>
    <row r="308" spans="1:45" x14ac:dyDescent="0.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row>
    <row r="309" spans="1:45"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c r="AS309" s="55"/>
    </row>
    <row r="310" spans="1:45" x14ac:dyDescent="0.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row>
    <row r="311" spans="1:45" x14ac:dyDescent="0.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row>
    <row r="312" spans="1:45" x14ac:dyDescent="0.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row>
    <row r="313" spans="1:45"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c r="AS313" s="55"/>
    </row>
    <row r="314" spans="1:45"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row>
    <row r="315" spans="1:45"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c r="AS315" s="55"/>
    </row>
    <row r="316" spans="1:45" x14ac:dyDescent="0.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row>
    <row r="317" spans="1:45" x14ac:dyDescent="0.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row>
    <row r="318" spans="1:45" x14ac:dyDescent="0.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c r="AS318" s="55"/>
    </row>
    <row r="319" spans="1:45" x14ac:dyDescent="0.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c r="AS319" s="55"/>
    </row>
    <row r="320" spans="1:45" x14ac:dyDescent="0.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row>
    <row r="321" spans="1:45"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c r="AS321" s="55"/>
    </row>
    <row r="322" spans="1:45" x14ac:dyDescent="0.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row>
    <row r="323" spans="1:45"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c r="AS323" s="55"/>
    </row>
    <row r="324" spans="1:45" x14ac:dyDescent="0.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row>
    <row r="325" spans="1:45" x14ac:dyDescent="0.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c r="AS325" s="55"/>
    </row>
    <row r="326" spans="1:45" x14ac:dyDescent="0.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row>
    <row r="327" spans="1:45"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c r="AS327" s="55"/>
    </row>
    <row r="328" spans="1:45" x14ac:dyDescent="0.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row>
    <row r="329" spans="1:45" x14ac:dyDescent="0.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c r="AS329" s="55"/>
    </row>
    <row r="330" spans="1:45" x14ac:dyDescent="0.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row>
    <row r="331" spans="1:45" x14ac:dyDescent="0.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row>
    <row r="332" spans="1:45" x14ac:dyDescent="0.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row>
    <row r="333" spans="1:45"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c r="AS333" s="55"/>
    </row>
    <row r="334" spans="1:45" x14ac:dyDescent="0.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c r="AS334" s="55"/>
    </row>
    <row r="335" spans="1:45" x14ac:dyDescent="0.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c r="AS335" s="55"/>
    </row>
    <row r="336" spans="1:45" x14ac:dyDescent="0.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row>
    <row r="337" spans="1:45" x14ac:dyDescent="0.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c r="AS337" s="55"/>
    </row>
    <row r="338" spans="1:45" x14ac:dyDescent="0.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5"/>
    </row>
    <row r="339" spans="1:45"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row>
    <row r="340" spans="1:45" x14ac:dyDescent="0.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row>
    <row r="341" spans="1:45" x14ac:dyDescent="0.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c r="AS341" s="55"/>
    </row>
    <row r="342" spans="1:45" x14ac:dyDescent="0.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c r="AS342" s="55"/>
    </row>
    <row r="343" spans="1:45" x14ac:dyDescent="0.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c r="AS343" s="55"/>
    </row>
    <row r="344" spans="1:45" x14ac:dyDescent="0.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c r="AS344" s="55"/>
    </row>
    <row r="345" spans="1:45" x14ac:dyDescent="0.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c r="AS345" s="55"/>
    </row>
    <row r="346" spans="1:45" x14ac:dyDescent="0.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5"/>
    </row>
    <row r="347" spans="1:45" x14ac:dyDescent="0.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c r="AS347" s="55"/>
    </row>
    <row r="348" spans="1:45" x14ac:dyDescent="0.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c r="AS348" s="55"/>
    </row>
    <row r="349" spans="1:45" x14ac:dyDescent="0.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c r="AS349" s="55"/>
    </row>
    <row r="350" spans="1:45" x14ac:dyDescent="0.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row>
    <row r="351" spans="1:45" x14ac:dyDescent="0.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c r="AS351" s="55"/>
    </row>
    <row r="352" spans="1:45" x14ac:dyDescent="0.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5"/>
    </row>
    <row r="353" spans="1:45" x14ac:dyDescent="0.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c r="AS353" s="55"/>
    </row>
    <row r="354" spans="1:45" x14ac:dyDescent="0.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row>
    <row r="355" spans="1:45" x14ac:dyDescent="0.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c r="AS355" s="55"/>
    </row>
    <row r="356" spans="1:45" x14ac:dyDescent="0.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c r="AS356" s="55"/>
    </row>
    <row r="357" spans="1:45" x14ac:dyDescent="0.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c r="AS357" s="55"/>
    </row>
    <row r="358" spans="1:45" x14ac:dyDescent="0.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c r="AS358" s="55"/>
    </row>
    <row r="359" spans="1:45" x14ac:dyDescent="0.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c r="AS359" s="55"/>
    </row>
    <row r="360" spans="1:45" x14ac:dyDescent="0.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c r="AS360" s="55"/>
    </row>
    <row r="361" spans="1:45" x14ac:dyDescent="0.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c r="AS361" s="55"/>
    </row>
    <row r="362" spans="1:45" x14ac:dyDescent="0.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c r="AS362" s="55"/>
    </row>
    <row r="363" spans="1:45" x14ac:dyDescent="0.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5"/>
    </row>
    <row r="364" spans="1:45" x14ac:dyDescent="0.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row>
    <row r="365" spans="1:45" x14ac:dyDescent="0.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c r="AS365" s="55"/>
    </row>
    <row r="366" spans="1:45" x14ac:dyDescent="0.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c r="AS366" s="55"/>
    </row>
    <row r="367" spans="1:45" x14ac:dyDescent="0.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c r="AS367" s="55"/>
    </row>
    <row r="368" spans="1:45" x14ac:dyDescent="0.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c r="AS368" s="55"/>
    </row>
    <row r="369" spans="1:45" x14ac:dyDescent="0.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5"/>
    </row>
    <row r="370" spans="1:45" x14ac:dyDescent="0.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c r="AS370" s="55"/>
    </row>
    <row r="371" spans="1:45" x14ac:dyDescent="0.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c r="AS371" s="55"/>
    </row>
    <row r="372" spans="1:45" x14ac:dyDescent="0.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c r="AS372" s="55"/>
    </row>
    <row r="373" spans="1:45" x14ac:dyDescent="0.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c r="AS373" s="55"/>
    </row>
    <row r="374" spans="1:45" x14ac:dyDescent="0.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c r="AS374" s="55"/>
    </row>
    <row r="375" spans="1:45" x14ac:dyDescent="0.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c r="AS375" s="55"/>
    </row>
    <row r="376" spans="1:45" x14ac:dyDescent="0.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c r="AS376" s="55"/>
    </row>
    <row r="377" spans="1:45" x14ac:dyDescent="0.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c r="AS377" s="55"/>
    </row>
    <row r="378" spans="1:45" x14ac:dyDescent="0.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c r="AS378" s="55"/>
    </row>
    <row r="379" spans="1:45" x14ac:dyDescent="0.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c r="AS379" s="55"/>
    </row>
    <row r="380" spans="1:45" x14ac:dyDescent="0.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c r="AS380" s="55"/>
    </row>
    <row r="381" spans="1:45" x14ac:dyDescent="0.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c r="AS381" s="55"/>
    </row>
    <row r="382" spans="1:45" x14ac:dyDescent="0.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c r="AS382" s="55"/>
    </row>
    <row r="383" spans="1:45" x14ac:dyDescent="0.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c r="AS383" s="55"/>
    </row>
    <row r="384" spans="1:45" x14ac:dyDescent="0.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c r="AS384" s="55"/>
    </row>
    <row r="385" spans="1:45" x14ac:dyDescent="0.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c r="AS385" s="55"/>
    </row>
    <row r="386" spans="1:45" x14ac:dyDescent="0.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c r="AS386" s="55"/>
    </row>
    <row r="387" spans="1:45" x14ac:dyDescent="0.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5"/>
    </row>
    <row r="388" spans="1:45" x14ac:dyDescent="0.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c r="AS388" s="55"/>
    </row>
    <row r="389" spans="1:45" x14ac:dyDescent="0.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c r="AS389" s="55"/>
    </row>
    <row r="390" spans="1:45" x14ac:dyDescent="0.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row>
    <row r="391" spans="1:45" x14ac:dyDescent="0.25">
      <c r="A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c r="AS391" s="55"/>
    </row>
    <row r="392" spans="1:45" x14ac:dyDescent="0.25">
      <c r="A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c r="AS392" s="55"/>
    </row>
    <row r="393" spans="1:45" x14ac:dyDescent="0.25">
      <c r="A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c r="AS393" s="55"/>
    </row>
    <row r="394" spans="1:45" x14ac:dyDescent="0.25">
      <c r="A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c r="AS394" s="55"/>
    </row>
    <row r="395" spans="1:45" x14ac:dyDescent="0.25">
      <c r="A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c r="AS395" s="55"/>
    </row>
    <row r="396" spans="1:45" x14ac:dyDescent="0.25">
      <c r="A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c r="AS396" s="55"/>
    </row>
    <row r="397" spans="1:45" x14ac:dyDescent="0.25">
      <c r="A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c r="AS397" s="55"/>
    </row>
    <row r="398" spans="1:45" x14ac:dyDescent="0.25">
      <c r="A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c r="AS398" s="55"/>
    </row>
    <row r="399" spans="1:45" x14ac:dyDescent="0.25">
      <c r="A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c r="AS399" s="55"/>
    </row>
    <row r="400" spans="1:45" x14ac:dyDescent="0.25">
      <c r="A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c r="AS400" s="55"/>
    </row>
    <row r="401" spans="1:45" x14ac:dyDescent="0.25">
      <c r="A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row>
    <row r="402" spans="1:45" x14ac:dyDescent="0.25">
      <c r="A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c r="AS402" s="55"/>
    </row>
    <row r="403" spans="1:45" x14ac:dyDescent="0.25">
      <c r="A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row>
    <row r="404" spans="1:45" x14ac:dyDescent="0.25">
      <c r="A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c r="AS404" s="55"/>
    </row>
    <row r="405" spans="1:45" x14ac:dyDescent="0.25">
      <c r="A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c r="AS405" s="55"/>
    </row>
    <row r="406" spans="1:45" x14ac:dyDescent="0.25">
      <c r="A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row>
    <row r="407" spans="1:45" x14ac:dyDescent="0.25">
      <c r="A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row>
    <row r="408" spans="1:45" x14ac:dyDescent="0.25">
      <c r="A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row>
    <row r="409" spans="1:45" x14ac:dyDescent="0.25">
      <c r="A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row>
    <row r="410" spans="1:45" x14ac:dyDescent="0.25">
      <c r="A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row>
    <row r="411" spans="1:45" x14ac:dyDescent="0.25">
      <c r="A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row>
    <row r="412" spans="1:45" x14ac:dyDescent="0.25">
      <c r="A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row>
    <row r="413" spans="1:45" x14ac:dyDescent="0.25">
      <c r="A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row>
    <row r="414" spans="1:45" x14ac:dyDescent="0.25">
      <c r="A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row>
    <row r="415" spans="1:45" x14ac:dyDescent="0.25">
      <c r="A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row>
    <row r="416" spans="1:45" x14ac:dyDescent="0.25">
      <c r="A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row>
    <row r="417" spans="1:45" x14ac:dyDescent="0.25">
      <c r="A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row>
    <row r="418" spans="1:45" x14ac:dyDescent="0.25">
      <c r="A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row>
    <row r="419" spans="1:45" x14ac:dyDescent="0.25">
      <c r="A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row>
    <row r="420" spans="1:45" x14ac:dyDescent="0.25">
      <c r="A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row>
    <row r="421" spans="1:45" x14ac:dyDescent="0.25">
      <c r="A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row>
    <row r="422" spans="1:45" x14ac:dyDescent="0.25">
      <c r="A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row>
    <row r="423" spans="1:45" x14ac:dyDescent="0.25">
      <c r="A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row>
    <row r="424" spans="1:45" x14ac:dyDescent="0.25">
      <c r="A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row>
    <row r="425" spans="1:45" x14ac:dyDescent="0.25">
      <c r="A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row>
    <row r="426" spans="1:45" x14ac:dyDescent="0.25">
      <c r="A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row>
    <row r="427" spans="1:45" x14ac:dyDescent="0.25">
      <c r="A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row>
    <row r="428" spans="1:45" x14ac:dyDescent="0.25">
      <c r="A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row>
    <row r="429" spans="1:45" x14ac:dyDescent="0.25">
      <c r="A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row>
    <row r="430" spans="1:45" x14ac:dyDescent="0.25">
      <c r="A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c r="AS430" s="55"/>
    </row>
    <row r="431" spans="1:45" x14ac:dyDescent="0.25">
      <c r="A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row>
    <row r="432" spans="1:45" x14ac:dyDescent="0.25">
      <c r="A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row>
    <row r="433" spans="1:45" x14ac:dyDescent="0.25">
      <c r="A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row>
    <row r="434" spans="1:45" x14ac:dyDescent="0.25">
      <c r="A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row>
    <row r="435" spans="1:45" x14ac:dyDescent="0.25">
      <c r="A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row>
    <row r="436" spans="1:45" x14ac:dyDescent="0.25">
      <c r="A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row>
    <row r="437" spans="1:45" x14ac:dyDescent="0.25">
      <c r="A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row>
    <row r="438" spans="1:45" x14ac:dyDescent="0.25">
      <c r="A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row>
    <row r="439" spans="1:45" x14ac:dyDescent="0.25">
      <c r="A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row>
    <row r="440" spans="1:45" x14ac:dyDescent="0.25">
      <c r="A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row>
    <row r="441" spans="1:45" x14ac:dyDescent="0.25">
      <c r="A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row>
    <row r="442" spans="1:45" x14ac:dyDescent="0.25">
      <c r="A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row>
    <row r="443" spans="1:45" x14ac:dyDescent="0.25">
      <c r="A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row>
    <row r="444" spans="1:45" x14ac:dyDescent="0.25">
      <c r="A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c r="AS444" s="55"/>
    </row>
    <row r="445" spans="1:45" x14ac:dyDescent="0.25">
      <c r="A445" s="55"/>
    </row>
    <row r="446" spans="1:45" x14ac:dyDescent="0.25">
      <c r="A446" s="55"/>
    </row>
    <row r="447" spans="1:45" x14ac:dyDescent="0.25">
      <c r="A447" s="55"/>
    </row>
    <row r="448" spans="1:45" x14ac:dyDescent="0.25">
      <c r="A448" s="55"/>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Y159"/>
  <sheetViews>
    <sheetView tabSelected="1" zoomScale="98" zoomScaleNormal="98" workbookViewId="0">
      <pane ySplit="6" topLeftCell="A141" activePane="bottomLeft" state="frozen"/>
      <selection pane="bottomLeft" activeCell="H159" sqref="H159"/>
    </sheetView>
  </sheetViews>
  <sheetFormatPr baseColWidth="10" defaultColWidth="11.42578125" defaultRowHeight="16.5" x14ac:dyDescent="0.25"/>
  <cols>
    <col min="1" max="1" width="4" style="1" bestFit="1" customWidth="1"/>
    <col min="2" max="2" width="21.710937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2" customWidth="1"/>
    <col min="9" max="9" width="19"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customWidth="1"/>
    <col min="19" max="19" width="45.1406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0.140625" style="2" customWidth="1"/>
    <col min="35" max="35" width="18.85546875" style="1" customWidth="1"/>
    <col min="36" max="36" width="12.5703125" style="120" customWidth="1"/>
    <col min="37" max="37" width="16.140625" style="120" customWidth="1"/>
    <col min="38" max="38" width="18.5703125" style="121" customWidth="1"/>
    <col min="39" max="39" width="21" style="2" customWidth="1"/>
    <col min="40" max="40" width="57.28515625" style="2" customWidth="1"/>
    <col min="41" max="41" width="50.5703125" style="2" customWidth="1"/>
    <col min="42" max="42" width="13.28515625" style="2" customWidth="1"/>
    <col min="43" max="44" width="43.28515625" style="2" customWidth="1"/>
    <col min="45" max="45" width="12" style="2" customWidth="1"/>
    <col min="46" max="47" width="9" style="1" customWidth="1"/>
    <col min="48" max="50" width="40" style="2" customWidth="1"/>
    <col min="51" max="51" width="55.28515625" style="2" customWidth="1"/>
    <col min="52" max="96" width="11.42578125" style="2" customWidth="1"/>
    <col min="97" max="16384" width="11.42578125" style="2"/>
  </cols>
  <sheetData>
    <row r="1" spans="1:51" ht="16.5" customHeight="1" x14ac:dyDescent="0.25">
      <c r="A1" s="464" t="s">
        <v>563</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6"/>
    </row>
    <row r="2" spans="1:51" ht="24" customHeight="1" x14ac:dyDescent="0.25">
      <c r="A2" s="467"/>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9"/>
    </row>
    <row r="3" spans="1:51" x14ac:dyDescent="0.25">
      <c r="A3" s="21"/>
      <c r="B3" s="21"/>
      <c r="C3" s="21"/>
      <c r="D3" s="21"/>
      <c r="E3" s="22"/>
      <c r="F3" s="21"/>
      <c r="G3" s="21"/>
      <c r="H3" s="20"/>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118"/>
      <c r="AK3" s="118"/>
      <c r="AL3" s="119"/>
      <c r="AM3" s="20"/>
    </row>
    <row r="4" spans="1:51" x14ac:dyDescent="0.25">
      <c r="A4" s="470" t="s">
        <v>125</v>
      </c>
      <c r="B4" s="471"/>
      <c r="C4" s="471"/>
      <c r="D4" s="471"/>
      <c r="E4" s="471"/>
      <c r="F4" s="471"/>
      <c r="G4" s="471"/>
      <c r="H4" s="471"/>
      <c r="I4" s="471"/>
      <c r="J4" s="472"/>
      <c r="K4" s="470" t="s">
        <v>126</v>
      </c>
      <c r="L4" s="471"/>
      <c r="M4" s="471"/>
      <c r="N4" s="471"/>
      <c r="O4" s="471"/>
      <c r="P4" s="471"/>
      <c r="Q4" s="472"/>
      <c r="R4" s="470" t="s">
        <v>127</v>
      </c>
      <c r="S4" s="471"/>
      <c r="T4" s="471"/>
      <c r="U4" s="471"/>
      <c r="V4" s="471"/>
      <c r="W4" s="471"/>
      <c r="X4" s="471"/>
      <c r="Y4" s="471"/>
      <c r="Z4" s="472"/>
      <c r="AA4" s="470" t="s">
        <v>128</v>
      </c>
      <c r="AB4" s="471"/>
      <c r="AC4" s="471"/>
      <c r="AD4" s="471"/>
      <c r="AE4" s="471"/>
      <c r="AF4" s="471"/>
      <c r="AG4" s="472"/>
      <c r="AH4" s="470" t="s">
        <v>34</v>
      </c>
      <c r="AI4" s="471"/>
      <c r="AJ4" s="471"/>
      <c r="AK4" s="471"/>
      <c r="AL4" s="471"/>
      <c r="AM4" s="472"/>
      <c r="AN4" s="368" t="s">
        <v>881</v>
      </c>
      <c r="AO4" s="369"/>
      <c r="AP4" s="369"/>
      <c r="AQ4" s="369"/>
      <c r="AR4" s="369"/>
      <c r="AS4" s="369"/>
      <c r="AT4" s="369"/>
      <c r="AU4" s="369"/>
      <c r="AV4" s="369"/>
      <c r="AW4" s="369"/>
      <c r="AX4" s="369"/>
      <c r="AY4" s="369"/>
    </row>
    <row r="5" spans="1:51" ht="16.5" customHeight="1" x14ac:dyDescent="0.25">
      <c r="A5" s="475" t="s">
        <v>0</v>
      </c>
      <c r="B5" s="454" t="s">
        <v>188</v>
      </c>
      <c r="C5" s="454" t="s">
        <v>189</v>
      </c>
      <c r="D5" s="454" t="s">
        <v>172</v>
      </c>
      <c r="E5" s="462" t="s">
        <v>2</v>
      </c>
      <c r="F5" s="454" t="s">
        <v>3</v>
      </c>
      <c r="G5" s="454" t="s">
        <v>38</v>
      </c>
      <c r="H5" s="477" t="s">
        <v>1</v>
      </c>
      <c r="I5" s="463" t="s">
        <v>44</v>
      </c>
      <c r="J5" s="454" t="s">
        <v>121</v>
      </c>
      <c r="K5" s="478" t="s">
        <v>33</v>
      </c>
      <c r="L5" s="479" t="s">
        <v>5</v>
      </c>
      <c r="M5" s="463" t="s">
        <v>80</v>
      </c>
      <c r="N5" s="463" t="s">
        <v>85</v>
      </c>
      <c r="O5" s="480" t="s">
        <v>39</v>
      </c>
      <c r="P5" s="479" t="s">
        <v>5</v>
      </c>
      <c r="Q5" s="454" t="s">
        <v>42</v>
      </c>
      <c r="R5" s="473" t="s">
        <v>11</v>
      </c>
      <c r="S5" s="370" t="s">
        <v>137</v>
      </c>
      <c r="T5" s="463" t="s">
        <v>12</v>
      </c>
      <c r="U5" s="370" t="s">
        <v>8</v>
      </c>
      <c r="V5" s="370"/>
      <c r="W5" s="370"/>
      <c r="X5" s="370"/>
      <c r="Y5" s="370"/>
      <c r="Z5" s="370"/>
      <c r="AA5" s="455" t="s">
        <v>124</v>
      </c>
      <c r="AB5" s="455" t="s">
        <v>40</v>
      </c>
      <c r="AC5" s="455" t="s">
        <v>5</v>
      </c>
      <c r="AD5" s="455" t="s">
        <v>41</v>
      </c>
      <c r="AE5" s="455" t="s">
        <v>5</v>
      </c>
      <c r="AF5" s="455" t="s">
        <v>43</v>
      </c>
      <c r="AG5" s="473" t="s">
        <v>29</v>
      </c>
      <c r="AH5" s="370" t="s">
        <v>190</v>
      </c>
      <c r="AI5" s="370" t="s">
        <v>205</v>
      </c>
      <c r="AJ5" s="370" t="s">
        <v>195</v>
      </c>
      <c r="AK5" s="370" t="s">
        <v>196</v>
      </c>
      <c r="AL5" s="370" t="s">
        <v>191</v>
      </c>
      <c r="AM5" s="370" t="s">
        <v>35</v>
      </c>
      <c r="AN5" s="371" t="s">
        <v>602</v>
      </c>
      <c r="AO5" s="481"/>
      <c r="AP5" s="482"/>
      <c r="AQ5" s="371" t="s">
        <v>603</v>
      </c>
      <c r="AR5" s="481"/>
      <c r="AS5" s="482"/>
      <c r="AT5" s="370" t="s">
        <v>604</v>
      </c>
      <c r="AU5" s="370"/>
      <c r="AV5" s="370"/>
      <c r="AW5" s="370" t="s">
        <v>605</v>
      </c>
      <c r="AX5" s="370"/>
      <c r="AY5" s="370" t="s">
        <v>606</v>
      </c>
    </row>
    <row r="6" spans="1:51" s="202" customFormat="1" ht="127.5" customHeight="1" x14ac:dyDescent="0.25">
      <c r="A6" s="476"/>
      <c r="B6" s="370"/>
      <c r="C6" s="370"/>
      <c r="D6" s="370"/>
      <c r="E6" s="462"/>
      <c r="F6" s="370"/>
      <c r="G6" s="370"/>
      <c r="H6" s="462"/>
      <c r="I6" s="454"/>
      <c r="J6" s="370"/>
      <c r="K6" s="454"/>
      <c r="L6" s="368"/>
      <c r="M6" s="454"/>
      <c r="N6" s="454"/>
      <c r="O6" s="368"/>
      <c r="P6" s="368"/>
      <c r="Q6" s="370"/>
      <c r="R6" s="474"/>
      <c r="S6" s="370"/>
      <c r="T6" s="454"/>
      <c r="U6" s="3" t="s">
        <v>13</v>
      </c>
      <c r="V6" s="3" t="s">
        <v>17</v>
      </c>
      <c r="W6" s="3" t="s">
        <v>28</v>
      </c>
      <c r="X6" s="3" t="s">
        <v>18</v>
      </c>
      <c r="Y6" s="3" t="s">
        <v>21</v>
      </c>
      <c r="Z6" s="3" t="s">
        <v>24</v>
      </c>
      <c r="AA6" s="455"/>
      <c r="AB6" s="455"/>
      <c r="AC6" s="455"/>
      <c r="AD6" s="455"/>
      <c r="AE6" s="455"/>
      <c r="AF6" s="455"/>
      <c r="AG6" s="474"/>
      <c r="AH6" s="370"/>
      <c r="AI6" s="370"/>
      <c r="AJ6" s="370"/>
      <c r="AK6" s="370"/>
      <c r="AL6" s="370"/>
      <c r="AM6" s="370"/>
      <c r="AN6" s="215" t="s">
        <v>607</v>
      </c>
      <c r="AO6" s="215" t="s">
        <v>608</v>
      </c>
      <c r="AP6" s="215" t="s">
        <v>769</v>
      </c>
      <c r="AQ6" s="215" t="s">
        <v>882</v>
      </c>
      <c r="AR6" s="215" t="s">
        <v>609</v>
      </c>
      <c r="AS6" s="215" t="s">
        <v>769</v>
      </c>
      <c r="AT6" s="215" t="s">
        <v>610</v>
      </c>
      <c r="AU6" s="215" t="s">
        <v>611</v>
      </c>
      <c r="AV6" s="215" t="s">
        <v>612</v>
      </c>
      <c r="AW6" s="215" t="s">
        <v>613</v>
      </c>
      <c r="AX6" s="215" t="s">
        <v>614</v>
      </c>
      <c r="AY6" s="371"/>
    </row>
    <row r="7" spans="1:51" s="148" customFormat="1" ht="167.25" customHeight="1" x14ac:dyDescent="0.25">
      <c r="A7" s="431">
        <v>1</v>
      </c>
      <c r="B7" s="394" t="s">
        <v>332</v>
      </c>
      <c r="C7" s="414" t="s">
        <v>389</v>
      </c>
      <c r="D7" s="414" t="s">
        <v>192</v>
      </c>
      <c r="E7" s="404" t="s">
        <v>118</v>
      </c>
      <c r="F7" s="404" t="s">
        <v>452</v>
      </c>
      <c r="G7" s="404" t="s">
        <v>453</v>
      </c>
      <c r="H7" s="406" t="s">
        <v>581</v>
      </c>
      <c r="I7" s="404" t="s">
        <v>115</v>
      </c>
      <c r="J7" s="412">
        <v>4</v>
      </c>
      <c r="K7" s="418" t="str">
        <f>IF(J7&lt;=0,"",IF(J7&lt;=2,"Muy Baja",IF(J7&lt;=24,"Baja",IF(J7&lt;=500,"Media",IF(J7&lt;=5000,"Alta","Muy Alta")))))</f>
        <v>Baja</v>
      </c>
      <c r="L7" s="424">
        <f>IF(K7="","",IF(K7="Muy Baja",0.2,IF(K7="Baja",0.4,IF(K7="Media",0.6,IF(K7="Alta",0.8,IF(K7="Muy Alta",1,))))))</f>
        <v>0.4</v>
      </c>
      <c r="M7" s="427" t="s">
        <v>516</v>
      </c>
      <c r="N7" s="125"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418" t="str">
        <f ca="1">IF(OR(N7='Tabla Impacto'!$C$11,N7='Tabla Impacto'!$D$11),"Leve",IF(OR(N7='Tabla Impacto'!$C$12,N7='Tabla Impacto'!$D$12),"Menor",IF(OR(N7='Tabla Impacto'!$C$13,N7='Tabla Impacto'!$D$13),"Moderado",IF(OR(N7='Tabla Impacto'!$C$14,N7='Tabla Impacto'!$D$14),"Mayor",IF(OR(N7='Tabla Impacto'!$C$15,N7='Tabla Impacto'!$D$15),"Catastrófico","")))))</f>
        <v>Moderado</v>
      </c>
      <c r="P7" s="424">
        <f ca="1">IF(O7="","",IF(O7="Leve",0.2,IF(O7="Menor",0.4,IF(O7="Moderado",0.6,IF(O7="Mayor",0.8,IF(O7="Catastrófico",1,))))))</f>
        <v>0.6</v>
      </c>
      <c r="Q7" s="421"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26">
        <v>1</v>
      </c>
      <c r="S7" s="95" t="s">
        <v>193</v>
      </c>
      <c r="T7" s="127" t="str">
        <f>IF(OR(U7="Preventivo",U7="Detectivo"),"Probabilidad",IF(U7="Correctivo","Impacto",""))</f>
        <v>Probabilidad</v>
      </c>
      <c r="U7" s="128" t="s">
        <v>14</v>
      </c>
      <c r="V7" s="128" t="s">
        <v>9</v>
      </c>
      <c r="W7" s="129" t="str">
        <f>IF(AND(U7="Preventivo",V7="Automático"),"50%",IF(AND(U7="Preventivo",V7="Manual"),"40%",IF(AND(U7="Detectivo",V7="Automático"),"40%",IF(AND(U7="Detectivo",V7="Manual"),"30%",IF(AND(U7="Correctivo",V7="Automático"),"35%",IF(AND(U7="Correctivo",V7="Manual"),"25%",""))))))</f>
        <v>40%</v>
      </c>
      <c r="X7" s="128" t="s">
        <v>19</v>
      </c>
      <c r="Y7" s="128" t="s">
        <v>22</v>
      </c>
      <c r="Z7" s="128" t="s">
        <v>110</v>
      </c>
      <c r="AA7" s="130">
        <f>IFERROR(IF(T7="Probabilidad",($L$7-(+$L$7*W7)),IF(T7="Impacto",$L$7,"")),"")</f>
        <v>0.24</v>
      </c>
      <c r="AB7" s="131" t="str">
        <f>IFERROR(IF(AA7="","",IF(AA7&lt;=0.2,"Muy Baja",IF(AA7&lt;=0.4,"Baja",IF(AA7&lt;=0.6,"Media",IF(AA7&lt;=0.8,"Alta","Muy Alta"))))),"")</f>
        <v>Baja</v>
      </c>
      <c r="AC7" s="132">
        <f>+AA7</f>
        <v>0.24</v>
      </c>
      <c r="AD7" s="131" t="str">
        <f ca="1">IFERROR(IF(AE7="","",IF(AE7&lt;=0.2,"Leve",IF(AE7&lt;=0.4,"Menor",IF(AE7&lt;=0.6,"Moderado",IF(AE7&lt;=0.8,"Mayor","Catastrófico"))))),"")</f>
        <v>Moderado</v>
      </c>
      <c r="AE7" s="132">
        <f ca="1">IFERROR(IF(T7="Impacto",($P$7-(+$P$7*W7)),IF(T7="Probabilidad",$P$7,"")),"")</f>
        <v>0.6</v>
      </c>
      <c r="AF7" s="133"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4" t="s">
        <v>122</v>
      </c>
      <c r="AH7" s="122" t="s">
        <v>580</v>
      </c>
      <c r="AI7" s="123" t="s">
        <v>204</v>
      </c>
      <c r="AJ7" s="135" t="s">
        <v>197</v>
      </c>
      <c r="AK7" s="135" t="s">
        <v>197</v>
      </c>
      <c r="AL7" s="95" t="s">
        <v>194</v>
      </c>
      <c r="AM7" s="123"/>
      <c r="AN7" s="216" t="s">
        <v>632</v>
      </c>
      <c r="AO7" s="220" t="s">
        <v>633</v>
      </c>
      <c r="AP7" s="265">
        <v>0.66</v>
      </c>
      <c r="AQ7" s="216" t="s">
        <v>634</v>
      </c>
      <c r="AR7" s="221" t="s">
        <v>635</v>
      </c>
      <c r="AS7" s="267">
        <v>0.66</v>
      </c>
      <c r="AT7" s="218"/>
      <c r="AU7" s="218" t="s">
        <v>618</v>
      </c>
      <c r="AV7" s="217" t="s">
        <v>615</v>
      </c>
      <c r="AW7" s="217" t="s">
        <v>615</v>
      </c>
      <c r="AX7" s="217" t="s">
        <v>615</v>
      </c>
      <c r="AY7" s="216"/>
    </row>
    <row r="8" spans="1:51" s="148" customFormat="1" ht="167.25" hidden="1" customHeight="1" x14ac:dyDescent="0.25">
      <c r="A8" s="430"/>
      <c r="B8" s="395"/>
      <c r="C8" s="429"/>
      <c r="D8" s="415"/>
      <c r="E8" s="405"/>
      <c r="F8" s="405"/>
      <c r="G8" s="405"/>
      <c r="H8" s="407"/>
      <c r="I8" s="405"/>
      <c r="J8" s="413"/>
      <c r="K8" s="419"/>
      <c r="L8" s="425"/>
      <c r="M8" s="428"/>
      <c r="N8" s="137"/>
      <c r="O8" s="419"/>
      <c r="P8" s="425"/>
      <c r="Q8" s="422"/>
      <c r="R8" s="126">
        <v>2</v>
      </c>
      <c r="S8" s="95"/>
      <c r="T8" s="127" t="str">
        <f t="shared" ref="T8:T9" si="0">IF(OR(U8="Preventivo",U8="Detectivo"),"Probabilidad",IF(U8="Correctivo","Impacto",""))</f>
        <v/>
      </c>
      <c r="U8" s="128"/>
      <c r="V8" s="128"/>
      <c r="W8" s="129" t="str">
        <f t="shared" ref="W8" si="1">IF(AND(U8="Preventivo",V8="Automático"),"50%",IF(AND(U8="Preventivo",V8="Manual"),"40%",IF(AND(U8="Detectivo",V8="Automático"),"40%",IF(AND(U8="Detectivo",V8="Manual"),"30%",IF(AND(U8="Correctivo",V8="Automático"),"35%",IF(AND(U8="Correctivo",V8="Manual"),"25%",""))))))</f>
        <v/>
      </c>
      <c r="X8" s="128"/>
      <c r="Y8" s="128"/>
      <c r="Z8" s="128"/>
      <c r="AA8" s="130" t="str">
        <f>IFERROR(IF(T8="Probabilidad",(AA7-(+AA7*W8)),IF(T8="Impacto",$L$7,"")),"")</f>
        <v/>
      </c>
      <c r="AB8" s="131" t="str">
        <f t="shared" ref="AB8:AB9" si="2">IFERROR(IF(AA8="","",IF(AA8&lt;=0.2,"Muy Baja",IF(AA8&lt;=0.4,"Baja",IF(AA8&lt;=0.6,"Media",IF(AA8&lt;=0.8,"Alta","Muy Alta"))))),"")</f>
        <v/>
      </c>
      <c r="AC8" s="132" t="str">
        <f t="shared" ref="AC8:AC9" si="3">+AA8</f>
        <v/>
      </c>
      <c r="AD8" s="131" t="str">
        <f t="shared" ref="AD8:AD9" si="4">IFERROR(IF(AE8="","",IF(AE8&lt;=0.2,"Leve",IF(AE8&lt;=0.4,"Menor",IF(AE8&lt;=0.6,"Moderado",IF(AE8&lt;=0.8,"Mayor","Catastrófico"))))),"")</f>
        <v/>
      </c>
      <c r="AE8" s="132" t="str">
        <f t="shared" ref="AE8:AE9" si="5">IFERROR(IF(T8="Impacto",($P$7-(+$P$7*W8)),IF(T8="Probabilidad",$P$7,"")),"")</f>
        <v/>
      </c>
      <c r="AF8" s="133"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4"/>
      <c r="AH8" s="95"/>
      <c r="AI8" s="123"/>
      <c r="AJ8" s="135"/>
      <c r="AK8" s="135"/>
      <c r="AL8" s="95"/>
      <c r="AM8" s="123"/>
      <c r="AN8" s="216"/>
      <c r="AO8" s="216"/>
      <c r="AP8" s="264"/>
      <c r="AQ8" s="216"/>
      <c r="AR8" s="216"/>
      <c r="AS8" s="264"/>
      <c r="AT8" s="218"/>
      <c r="AU8" s="218"/>
      <c r="AV8" s="217"/>
      <c r="AW8" s="217"/>
      <c r="AX8" s="216"/>
      <c r="AY8" s="216"/>
    </row>
    <row r="9" spans="1:51" s="148" customFormat="1" ht="167.25" hidden="1" customHeight="1" x14ac:dyDescent="0.25">
      <c r="A9" s="430"/>
      <c r="B9" s="396"/>
      <c r="C9" s="429"/>
      <c r="D9" s="415"/>
      <c r="E9" s="405"/>
      <c r="F9" s="405"/>
      <c r="G9" s="405"/>
      <c r="H9" s="407"/>
      <c r="I9" s="405"/>
      <c r="J9" s="413"/>
      <c r="K9" s="420"/>
      <c r="L9" s="426"/>
      <c r="M9" s="428"/>
      <c r="N9" s="137"/>
      <c r="O9" s="420"/>
      <c r="P9" s="426"/>
      <c r="Q9" s="423"/>
      <c r="R9" s="126">
        <v>3</v>
      </c>
      <c r="S9" s="95"/>
      <c r="T9" s="127" t="str">
        <f t="shared" si="0"/>
        <v/>
      </c>
      <c r="U9" s="128"/>
      <c r="V9" s="128"/>
      <c r="W9" s="129"/>
      <c r="X9" s="128"/>
      <c r="Y9" s="128"/>
      <c r="Z9" s="128"/>
      <c r="AA9" s="130" t="str">
        <f>IFERROR(IF(T9="Probabilidad",(AA8-(+AA8*W9)),IF(T9="Impacto",$L$7,"")),"")</f>
        <v/>
      </c>
      <c r="AB9" s="131" t="str">
        <f t="shared" si="2"/>
        <v/>
      </c>
      <c r="AC9" s="132" t="str">
        <f t="shared" si="3"/>
        <v/>
      </c>
      <c r="AD9" s="131" t="str">
        <f t="shared" si="4"/>
        <v/>
      </c>
      <c r="AE9" s="132" t="str">
        <f t="shared" si="5"/>
        <v/>
      </c>
      <c r="AF9" s="133" t="str">
        <f t="shared" si="6"/>
        <v/>
      </c>
      <c r="AG9" s="134"/>
      <c r="AH9" s="95"/>
      <c r="AI9" s="123"/>
      <c r="AJ9" s="135"/>
      <c r="AK9" s="135"/>
      <c r="AL9" s="95"/>
      <c r="AM9" s="123"/>
      <c r="AN9" s="216"/>
      <c r="AO9" s="216"/>
      <c r="AP9" s="264"/>
      <c r="AQ9" s="216"/>
      <c r="AR9" s="216"/>
      <c r="AS9" s="264"/>
      <c r="AT9" s="218"/>
      <c r="AU9" s="218"/>
      <c r="AV9" s="217"/>
      <c r="AW9" s="217"/>
      <c r="AX9" s="216"/>
      <c r="AY9" s="216"/>
    </row>
    <row r="10" spans="1:51" s="148" customFormat="1" ht="151.5" customHeight="1" x14ac:dyDescent="0.25">
      <c r="A10" s="430">
        <v>2</v>
      </c>
      <c r="B10" s="394" t="s">
        <v>332</v>
      </c>
      <c r="C10" s="414" t="s">
        <v>389</v>
      </c>
      <c r="D10" s="414" t="s">
        <v>192</v>
      </c>
      <c r="E10" s="404" t="s">
        <v>120</v>
      </c>
      <c r="F10" s="417" t="s">
        <v>454</v>
      </c>
      <c r="G10" s="458" t="s">
        <v>455</v>
      </c>
      <c r="H10" s="460" t="s">
        <v>390</v>
      </c>
      <c r="I10" s="404" t="s">
        <v>333</v>
      </c>
      <c r="J10" s="412">
        <v>160</v>
      </c>
      <c r="K10" s="418" t="str">
        <f>IF(J10&lt;=0,"",IF(J10&lt;=2,"Muy Baja",IF(J10&lt;=24,"Baja",IF(J10&lt;=500,"Media",IF(J10&lt;=5000,"Alta","Muy Alta")))))</f>
        <v>Media</v>
      </c>
      <c r="L10" s="424">
        <f>IF(K10="","",IF(K10="Muy Baja",0.2,IF(K10="Baja",0.4,IF(K10="Media",0.6,IF(K10="Alta",0.8,IF(K10="Muy Alta",1,))))))</f>
        <v>0.6</v>
      </c>
      <c r="M10" s="427" t="s">
        <v>516</v>
      </c>
      <c r="N10" s="125"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418" t="str">
        <f ca="1">IF(OR(N10='Tabla Impacto'!$C$11,N10='Tabla Impacto'!$D$11),"Leve",IF(OR(N10='Tabla Impacto'!$C$12,N10='Tabla Impacto'!$D$12),"Menor",IF(OR(N10='Tabla Impacto'!$C$13,N10='Tabla Impacto'!$D$13),"Moderado",IF(OR(N10='Tabla Impacto'!$C$14,N10='Tabla Impacto'!$D$14),"Mayor",IF(OR(N10='Tabla Impacto'!$C$15,N10='Tabla Impacto'!$D$15),"Catastrófico","")))))</f>
        <v>Moderado</v>
      </c>
      <c r="P10" s="424">
        <f ca="1">IF(O10="","",IF(O10="Leve",0.2,IF(O10="Menor",0.4,IF(O10="Moderado",0.6,IF(O10="Mayor",0.8,IF(O10="Catastrófico",1,))))))</f>
        <v>0.6</v>
      </c>
      <c r="Q10" s="421"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26">
        <v>1</v>
      </c>
      <c r="S10" s="95" t="s">
        <v>198</v>
      </c>
      <c r="T10" s="127" t="str">
        <f t="shared" ref="T10:T13" si="7">IF(OR(U10="Preventivo",U10="Detectivo"),"Probabilidad",IF(U10="Correctivo","Impacto",""))</f>
        <v>Probabilidad</v>
      </c>
      <c r="U10" s="128" t="s">
        <v>14</v>
      </c>
      <c r="V10" s="128" t="s">
        <v>9</v>
      </c>
      <c r="W10" s="129" t="str">
        <f t="shared" ref="W10:W13" si="8">IF(AND(U10="Preventivo",V10="Automático"),"50%",IF(AND(U10="Preventivo",V10="Manual"),"40%",IF(AND(U10="Detectivo",V10="Automático"),"40%",IF(AND(U10="Detectivo",V10="Manual"),"30%",IF(AND(U10="Correctivo",V10="Automático"),"35%",IF(AND(U10="Correctivo",V10="Manual"),"25%",""))))))</f>
        <v>40%</v>
      </c>
      <c r="X10" s="128" t="s">
        <v>19</v>
      </c>
      <c r="Y10" s="128" t="s">
        <v>22</v>
      </c>
      <c r="Z10" s="128" t="s">
        <v>110</v>
      </c>
      <c r="AA10" s="130">
        <f t="shared" ref="AA10:AA13" si="9">IFERROR(IF(T10="Probabilidad",(L10-(+L10*W10)),IF(T10="Impacto",L10,"")),"")</f>
        <v>0.36</v>
      </c>
      <c r="AB10" s="131" t="str">
        <f t="shared" ref="AB10:AB13" si="10">IFERROR(IF(AA10="","",IF(AA10&lt;=0.2,"Muy Baja",IF(AA10&lt;=0.4,"Baja",IF(AA10&lt;=0.6,"Media",IF(AA10&lt;=0.8,"Alta","Muy Alta"))))),"")</f>
        <v>Baja</v>
      </c>
      <c r="AC10" s="132">
        <f t="shared" ref="AC10:AC13" si="11">+AA10</f>
        <v>0.36</v>
      </c>
      <c r="AD10" s="131" t="str">
        <f t="shared" ref="AD10:AD13" ca="1" si="12">IFERROR(IF(AE10="","",IF(AE10&lt;=0.2,"Leve",IF(AE10&lt;=0.4,"Menor",IF(AE10&lt;=0.6,"Moderado",IF(AE10&lt;=0.8,"Mayor","Catastrófico"))))),"")</f>
        <v>Moderado</v>
      </c>
      <c r="AE10" s="132">
        <f t="shared" ref="AE10:AE13" ca="1" si="13">IFERROR(IF(T10="Impacto",(P10-(+P10*W10)),IF(T10="Probabilidad",P10,"")),"")</f>
        <v>0.6</v>
      </c>
      <c r="AF10" s="133"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4" t="s">
        <v>122</v>
      </c>
      <c r="AH10" s="95" t="s">
        <v>391</v>
      </c>
      <c r="AI10" s="123" t="s">
        <v>199</v>
      </c>
      <c r="AJ10" s="135" t="s">
        <v>200</v>
      </c>
      <c r="AK10" s="135" t="s">
        <v>200</v>
      </c>
      <c r="AL10" s="95" t="s">
        <v>392</v>
      </c>
      <c r="AM10" s="123"/>
      <c r="AN10" s="216" t="s">
        <v>636</v>
      </c>
      <c r="AO10" s="220" t="s">
        <v>637</v>
      </c>
      <c r="AP10" s="265">
        <v>0.66</v>
      </c>
      <c r="AQ10" s="216" t="s">
        <v>638</v>
      </c>
      <c r="AR10" s="220" t="s">
        <v>637</v>
      </c>
      <c r="AS10" s="265">
        <v>0.66</v>
      </c>
      <c r="AT10" s="218"/>
      <c r="AU10" s="218" t="s">
        <v>618</v>
      </c>
      <c r="AV10" s="217" t="s">
        <v>615</v>
      </c>
      <c r="AW10" s="217" t="s">
        <v>615</v>
      </c>
      <c r="AX10" s="217" t="s">
        <v>615</v>
      </c>
      <c r="AY10" s="216"/>
    </row>
    <row r="11" spans="1:51" s="148" customFormat="1" ht="151.5" hidden="1" customHeight="1" x14ac:dyDescent="0.25">
      <c r="A11" s="430"/>
      <c r="B11" s="395"/>
      <c r="C11" s="429"/>
      <c r="D11" s="415"/>
      <c r="E11" s="405"/>
      <c r="F11" s="405"/>
      <c r="G11" s="459"/>
      <c r="H11" s="461"/>
      <c r="I11" s="405"/>
      <c r="J11" s="413"/>
      <c r="K11" s="419"/>
      <c r="L11" s="425"/>
      <c r="M11" s="428"/>
      <c r="N11" s="137"/>
      <c r="O11" s="419"/>
      <c r="P11" s="425"/>
      <c r="Q11" s="422"/>
      <c r="R11" s="126">
        <v>2</v>
      </c>
      <c r="S11" s="95"/>
      <c r="T11" s="127" t="str">
        <f t="shared" ref="T11:T12" si="15">IF(OR(U11="Preventivo",U11="Detectivo"),"Probabilidad",IF(U11="Correctivo","Impacto",""))</f>
        <v/>
      </c>
      <c r="U11" s="128"/>
      <c r="V11" s="128"/>
      <c r="W11" s="129"/>
      <c r="X11" s="128"/>
      <c r="Y11" s="128"/>
      <c r="Z11" s="128"/>
      <c r="AA11" s="130" t="str">
        <f>IFERROR(IF(T11="Probabilidad",(AA10-(+AA10*W11)),IF(T11="Impacto",L10,"")),"")</f>
        <v/>
      </c>
      <c r="AB11" s="131" t="str">
        <f t="shared" ref="AB11:AB12" si="16">IFERROR(IF(AA11="","",IF(AA11&lt;=0.2,"Muy Baja",IF(AA11&lt;=0.4,"Baja",IF(AA11&lt;=0.6,"Media",IF(AA11&lt;=0.8,"Alta","Muy Alta"))))),"")</f>
        <v/>
      </c>
      <c r="AC11" s="132" t="str">
        <f t="shared" ref="AC11:AC12" si="17">+AA11</f>
        <v/>
      </c>
      <c r="AD11" s="131" t="str">
        <f t="shared" ref="AD11:AD12" si="18">IFERROR(IF(AE11="","",IF(AE11&lt;=0.2,"Leve",IF(AE11&lt;=0.4,"Menor",IF(AE11&lt;=0.6,"Moderado",IF(AE11&lt;=0.8,"Mayor","Catastrófico"))))),"")</f>
        <v/>
      </c>
      <c r="AE11" s="132" t="str">
        <f>IFERROR(IF(T11="Impacto",(P10-(+P10*W11)),IF(T11="Probabilidad",P10,"")),"")</f>
        <v/>
      </c>
      <c r="AF11" s="133"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4"/>
      <c r="AH11" s="95"/>
      <c r="AI11" s="123"/>
      <c r="AJ11" s="135"/>
      <c r="AK11" s="135"/>
      <c r="AL11" s="95"/>
      <c r="AM11" s="123"/>
      <c r="AN11" s="216"/>
      <c r="AO11" s="216"/>
      <c r="AP11" s="264"/>
      <c r="AQ11" s="216"/>
      <c r="AR11" s="216"/>
      <c r="AS11" s="264"/>
      <c r="AT11" s="218"/>
      <c r="AU11" s="218"/>
      <c r="AV11" s="217" t="s">
        <v>615</v>
      </c>
      <c r="AW11" s="217" t="s">
        <v>615</v>
      </c>
      <c r="AX11" s="217" t="s">
        <v>615</v>
      </c>
      <c r="AY11" s="216"/>
    </row>
    <row r="12" spans="1:51" s="148" customFormat="1" ht="151.5" hidden="1" customHeight="1" x14ac:dyDescent="0.25">
      <c r="A12" s="430"/>
      <c r="B12" s="396"/>
      <c r="C12" s="429"/>
      <c r="D12" s="415"/>
      <c r="E12" s="405"/>
      <c r="F12" s="405"/>
      <c r="G12" s="459"/>
      <c r="H12" s="461"/>
      <c r="I12" s="405"/>
      <c r="J12" s="413"/>
      <c r="K12" s="420"/>
      <c r="L12" s="426"/>
      <c r="M12" s="428"/>
      <c r="N12" s="137"/>
      <c r="O12" s="420"/>
      <c r="P12" s="426"/>
      <c r="Q12" s="423"/>
      <c r="R12" s="126">
        <v>3</v>
      </c>
      <c r="S12" s="95"/>
      <c r="T12" s="127" t="str">
        <f t="shared" si="15"/>
        <v/>
      </c>
      <c r="U12" s="128"/>
      <c r="V12" s="128"/>
      <c r="W12" s="129"/>
      <c r="X12" s="128"/>
      <c r="Y12" s="128"/>
      <c r="Z12" s="128"/>
      <c r="AA12" s="130" t="str">
        <f>IFERROR(IF(T12="Probabilidad",(AA11-(+AA11*W12)),IF(T12="Impacto",L10,"")),"")</f>
        <v/>
      </c>
      <c r="AB12" s="131" t="str">
        <f t="shared" si="16"/>
        <v/>
      </c>
      <c r="AC12" s="132" t="str">
        <f t="shared" si="17"/>
        <v/>
      </c>
      <c r="AD12" s="131" t="str">
        <f t="shared" si="18"/>
        <v/>
      </c>
      <c r="AE12" s="132" t="str">
        <f>IFERROR(IF(T12="Impacto",(P10-(+P10*W12)),IF(T12="Probabilidad",P10,"")),"")</f>
        <v/>
      </c>
      <c r="AF12" s="133" t="str">
        <f t="shared" si="19"/>
        <v/>
      </c>
      <c r="AG12" s="134"/>
      <c r="AH12" s="95"/>
      <c r="AI12" s="123"/>
      <c r="AJ12" s="135"/>
      <c r="AK12" s="135"/>
      <c r="AL12" s="95"/>
      <c r="AM12" s="123"/>
      <c r="AN12" s="216"/>
      <c r="AO12" s="216"/>
      <c r="AP12" s="264"/>
      <c r="AQ12" s="216"/>
      <c r="AR12" s="216"/>
      <c r="AS12" s="264"/>
      <c r="AT12" s="218"/>
      <c r="AU12" s="218"/>
      <c r="AV12" s="217" t="s">
        <v>615</v>
      </c>
      <c r="AW12" s="217" t="s">
        <v>615</v>
      </c>
      <c r="AX12" s="217" t="s">
        <v>615</v>
      </c>
      <c r="AY12" s="216"/>
    </row>
    <row r="13" spans="1:51" s="203" customFormat="1" ht="216" customHeight="1" x14ac:dyDescent="0.25">
      <c r="A13" s="430">
        <v>3</v>
      </c>
      <c r="B13" s="394" t="s">
        <v>201</v>
      </c>
      <c r="C13" s="414" t="s">
        <v>364</v>
      </c>
      <c r="D13" s="414" t="s">
        <v>387</v>
      </c>
      <c r="E13" s="404" t="s">
        <v>118</v>
      </c>
      <c r="F13" s="404" t="s">
        <v>456</v>
      </c>
      <c r="G13" s="404" t="s">
        <v>202</v>
      </c>
      <c r="H13" s="406" t="s">
        <v>393</v>
      </c>
      <c r="I13" s="404" t="s">
        <v>333</v>
      </c>
      <c r="J13" s="412">
        <v>5000</v>
      </c>
      <c r="K13" s="418" t="str">
        <f>IF(J13&lt;=0,"",IF(J13&lt;=2,"Muy Baja",IF(J13&lt;=24,"Baja",IF(J13&lt;=500,"Media",IF(J13&lt;=5000,"Alta","Muy Alta")))))</f>
        <v>Alta</v>
      </c>
      <c r="L13" s="424">
        <f>IF(K13="","",IF(K13="Muy Baja",0.2,IF(K13="Baja",0.4,IF(K13="Media",0.6,IF(K13="Alta",0.8,IF(K13="Muy Alta",1,))))))</f>
        <v>0.8</v>
      </c>
      <c r="M13" s="427" t="s">
        <v>516</v>
      </c>
      <c r="N13" s="125"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418" t="str">
        <f ca="1">IF(OR(N13='Tabla Impacto'!$C$11,N13='Tabla Impacto'!$D$11),"Leve",IF(OR(N13='Tabla Impacto'!$C$12,N13='Tabla Impacto'!$D$12),"Menor",IF(OR(N13='Tabla Impacto'!$C$13,N13='Tabla Impacto'!$D$13),"Moderado",IF(OR(N13='Tabla Impacto'!$C$14,N13='Tabla Impacto'!$D$14),"Mayor",IF(OR(N13='Tabla Impacto'!$C$15,N13='Tabla Impacto'!$D$15),"Catastrófico","")))))</f>
        <v>Moderado</v>
      </c>
      <c r="P13" s="424">
        <f ca="1">IF(O13="","",IF(O13="Leve",0.2,IF(O13="Menor",0.4,IF(O13="Moderado",0.6,IF(O13="Mayor",0.8,IF(O13="Catastrófico",1,))))))</f>
        <v>0.6</v>
      </c>
      <c r="Q13" s="421"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26">
        <v>1</v>
      </c>
      <c r="S13" s="95" t="s">
        <v>203</v>
      </c>
      <c r="T13" s="127" t="str">
        <f t="shared" si="7"/>
        <v>Probabilidad</v>
      </c>
      <c r="U13" s="128" t="s">
        <v>14</v>
      </c>
      <c r="V13" s="128" t="s">
        <v>9</v>
      </c>
      <c r="W13" s="129" t="str">
        <f t="shared" si="8"/>
        <v>40%</v>
      </c>
      <c r="X13" s="128" t="s">
        <v>19</v>
      </c>
      <c r="Y13" s="128" t="s">
        <v>22</v>
      </c>
      <c r="Z13" s="128" t="s">
        <v>110</v>
      </c>
      <c r="AA13" s="130">
        <f t="shared" si="9"/>
        <v>0.48</v>
      </c>
      <c r="AB13" s="131" t="str">
        <f t="shared" si="10"/>
        <v>Media</v>
      </c>
      <c r="AC13" s="132">
        <f t="shared" si="11"/>
        <v>0.48</v>
      </c>
      <c r="AD13" s="131" t="str">
        <f t="shared" ca="1" si="12"/>
        <v>Moderado</v>
      </c>
      <c r="AE13" s="132">
        <f t="shared" ca="1" si="13"/>
        <v>0.6</v>
      </c>
      <c r="AF13" s="133" t="str">
        <f t="shared" ca="1" si="14"/>
        <v>Moderado</v>
      </c>
      <c r="AG13" s="134" t="s">
        <v>122</v>
      </c>
      <c r="AH13" s="122" t="s">
        <v>394</v>
      </c>
      <c r="AI13" s="138" t="s">
        <v>204</v>
      </c>
      <c r="AJ13" s="135" t="s">
        <v>200</v>
      </c>
      <c r="AK13" s="135" t="s">
        <v>200</v>
      </c>
      <c r="AL13" s="95" t="s">
        <v>395</v>
      </c>
      <c r="AM13" s="123"/>
      <c r="AN13" s="228" t="s">
        <v>678</v>
      </c>
      <c r="AO13" s="216" t="s">
        <v>818</v>
      </c>
      <c r="AP13" s="264">
        <v>0.66</v>
      </c>
      <c r="AQ13" s="216" t="s">
        <v>819</v>
      </c>
      <c r="AR13" s="216" t="s">
        <v>820</v>
      </c>
      <c r="AS13" s="264">
        <v>0.66</v>
      </c>
      <c r="AT13" s="218"/>
      <c r="AU13" s="218" t="s">
        <v>618</v>
      </c>
      <c r="AV13" s="217" t="s">
        <v>615</v>
      </c>
      <c r="AW13" s="217" t="s">
        <v>615</v>
      </c>
      <c r="AX13" s="217" t="s">
        <v>615</v>
      </c>
      <c r="AY13" s="216"/>
    </row>
    <row r="14" spans="1:51" s="203" customFormat="1" ht="151.5" hidden="1" customHeight="1" x14ac:dyDescent="0.25">
      <c r="A14" s="430"/>
      <c r="B14" s="395"/>
      <c r="C14" s="429"/>
      <c r="D14" s="429"/>
      <c r="E14" s="405"/>
      <c r="F14" s="405"/>
      <c r="G14" s="405"/>
      <c r="H14" s="407"/>
      <c r="I14" s="405"/>
      <c r="J14" s="413"/>
      <c r="K14" s="419"/>
      <c r="L14" s="425"/>
      <c r="M14" s="428"/>
      <c r="N14" s="137"/>
      <c r="O14" s="419"/>
      <c r="P14" s="425"/>
      <c r="Q14" s="422"/>
      <c r="R14" s="126">
        <v>2</v>
      </c>
      <c r="S14" s="139"/>
      <c r="T14" s="127" t="str">
        <f t="shared" ref="T14:T15" si="20">IF(OR(U14="Preventivo",U14="Detectivo"),"Probabilidad",IF(U14="Correctivo","Impacto",""))</f>
        <v/>
      </c>
      <c r="U14" s="128"/>
      <c r="V14" s="128"/>
      <c r="W14" s="129"/>
      <c r="X14" s="128"/>
      <c r="Y14" s="128"/>
      <c r="Z14" s="128"/>
      <c r="AA14" s="130" t="str">
        <f>IFERROR(IF(T14="Probabilidad",(AA13-(+AA13*W14)),IF(T14="Impacto",L13,"")),"")</f>
        <v/>
      </c>
      <c r="AB14" s="131" t="str">
        <f t="shared" ref="AB14:AB15" si="21">IFERROR(IF(AA14="","",IF(AA14&lt;=0.2,"Muy Baja",IF(AA14&lt;=0.4,"Baja",IF(AA14&lt;=0.6,"Media",IF(AA14&lt;=0.8,"Alta","Muy Alta"))))),"")</f>
        <v/>
      </c>
      <c r="AC14" s="132" t="str">
        <f t="shared" ref="AC14:AC15" si="22">+AA14</f>
        <v/>
      </c>
      <c r="AD14" s="131" t="str">
        <f t="shared" ref="AD14:AD15" si="23">IFERROR(IF(AE14="","",IF(AE14&lt;=0.2,"Leve",IF(AE14&lt;=0.4,"Menor",IF(AE14&lt;=0.6,"Moderado",IF(AE14&lt;=0.8,"Mayor","Catastrófico"))))),"")</f>
        <v/>
      </c>
      <c r="AE14" s="132" t="str">
        <f>IFERROR(IF(T14="Impacto",(P13-(+P13*W14)),IF(T14="Probabilidad",P13,"")),"")</f>
        <v/>
      </c>
      <c r="AF14" s="133"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4"/>
      <c r="AH14" s="95"/>
      <c r="AI14" s="123"/>
      <c r="AJ14" s="135"/>
      <c r="AK14" s="135"/>
      <c r="AL14" s="95"/>
      <c r="AM14" s="123"/>
      <c r="AN14" s="216"/>
      <c r="AO14" s="216"/>
      <c r="AP14" s="264"/>
      <c r="AQ14" s="216"/>
      <c r="AR14" s="216"/>
      <c r="AS14" s="264"/>
      <c r="AT14" s="218"/>
      <c r="AU14" s="218"/>
      <c r="AV14" s="217" t="s">
        <v>615</v>
      </c>
      <c r="AW14" s="217" t="s">
        <v>615</v>
      </c>
      <c r="AX14" s="217" t="s">
        <v>615</v>
      </c>
      <c r="AY14" s="216"/>
    </row>
    <row r="15" spans="1:51" s="203" customFormat="1" ht="16.5" hidden="1" customHeight="1" x14ac:dyDescent="0.25">
      <c r="A15" s="430"/>
      <c r="B15" s="396"/>
      <c r="C15" s="429"/>
      <c r="D15" s="429"/>
      <c r="E15" s="405"/>
      <c r="F15" s="456"/>
      <c r="G15" s="456"/>
      <c r="H15" s="457"/>
      <c r="I15" s="405"/>
      <c r="J15" s="413"/>
      <c r="K15" s="420"/>
      <c r="L15" s="426"/>
      <c r="M15" s="428"/>
      <c r="N15" s="137"/>
      <c r="O15" s="420"/>
      <c r="P15" s="426"/>
      <c r="Q15" s="423"/>
      <c r="R15" s="126">
        <v>3</v>
      </c>
      <c r="S15" s="139"/>
      <c r="T15" s="127" t="str">
        <f t="shared" si="20"/>
        <v/>
      </c>
      <c r="U15" s="128"/>
      <c r="V15" s="128"/>
      <c r="W15" s="129"/>
      <c r="X15" s="128"/>
      <c r="Y15" s="128"/>
      <c r="Z15" s="128"/>
      <c r="AA15" s="130" t="str">
        <f>IFERROR(IF(T15="Probabilidad",(AA14-(+AA14*W15)),IF(T15="Impacto",L13,"")),"")</f>
        <v/>
      </c>
      <c r="AB15" s="131" t="str">
        <f t="shared" si="21"/>
        <v/>
      </c>
      <c r="AC15" s="132" t="str">
        <f t="shared" si="22"/>
        <v/>
      </c>
      <c r="AD15" s="131" t="str">
        <f t="shared" si="23"/>
        <v/>
      </c>
      <c r="AE15" s="132" t="str">
        <f>IFERROR(IF(T15="Impacto",(P13-(+P13*W15)),IF(T15="Probabilidad",P13,"")),"")</f>
        <v/>
      </c>
      <c r="AF15" s="133" t="str">
        <f t="shared" si="24"/>
        <v/>
      </c>
      <c r="AG15" s="134"/>
      <c r="AH15" s="95"/>
      <c r="AI15" s="123"/>
      <c r="AJ15" s="135"/>
      <c r="AK15" s="135"/>
      <c r="AL15" s="95"/>
      <c r="AM15" s="123"/>
      <c r="AN15" s="216"/>
      <c r="AO15" s="216"/>
      <c r="AP15" s="264"/>
      <c r="AQ15" s="216"/>
      <c r="AR15" s="216"/>
      <c r="AS15" s="264"/>
      <c r="AT15" s="218"/>
      <c r="AU15" s="218"/>
      <c r="AV15" s="217" t="s">
        <v>615</v>
      </c>
      <c r="AW15" s="217" t="s">
        <v>615</v>
      </c>
      <c r="AX15" s="217" t="s">
        <v>615</v>
      </c>
      <c r="AY15" s="216"/>
    </row>
    <row r="16" spans="1:51" s="214" customFormat="1" ht="183" customHeight="1" x14ac:dyDescent="0.25">
      <c r="A16" s="447">
        <v>4</v>
      </c>
      <c r="B16" s="448" t="s">
        <v>552</v>
      </c>
      <c r="C16" s="451" t="s">
        <v>553</v>
      </c>
      <c r="D16" s="451" t="s">
        <v>554</v>
      </c>
      <c r="E16" s="406" t="s">
        <v>118</v>
      </c>
      <c r="F16" s="453" t="s">
        <v>457</v>
      </c>
      <c r="G16" s="453" t="s">
        <v>596</v>
      </c>
      <c r="H16" s="406" t="s">
        <v>597</v>
      </c>
      <c r="I16" s="406" t="s">
        <v>333</v>
      </c>
      <c r="J16" s="434">
        <v>52</v>
      </c>
      <c r="K16" s="436" t="str">
        <f>IF(J16&lt;=0,"",IF(J16&lt;=2,"Muy Baja",IF(J16&lt;=24,"Baja",IF(J16&lt;=500,"Media",IF(J16&lt;=5000,"Alta","Muy Alta")))))</f>
        <v>Media</v>
      </c>
      <c r="L16" s="439">
        <f>IF(K16="","",IF(K16="Muy Baja",0.2,IF(K16="Baja",0.4,IF(K16="Media",0.6,IF(K16="Alta",0.8,IF(K16="Muy Alta",1,))))))</f>
        <v>0.6</v>
      </c>
      <c r="M16" s="442" t="s">
        <v>516</v>
      </c>
      <c r="N16" s="192"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436" t="str">
        <f ca="1">IF(OR(N16='Tabla Impacto'!$C$11,N16='Tabla Impacto'!$D$11),"Leve",IF(OR(N16='Tabla Impacto'!$C$12,N16='Tabla Impacto'!$D$12),"Menor",IF(OR(N16='Tabla Impacto'!$C$13,N16='Tabla Impacto'!$D$13),"Moderado",IF(OR(N16='Tabla Impacto'!$C$14,N16='Tabla Impacto'!$D$14),"Mayor",IF(OR(N16='Tabla Impacto'!$C$15,N16='Tabla Impacto'!$D$15),"Catastrófico","")))))</f>
        <v>Moderado</v>
      </c>
      <c r="P16" s="439">
        <f ca="1">IF(O16="","",IF(O16="Leve",0.2,IF(O16="Menor",0.4,IF(O16="Moderado",0.6,IF(O16="Mayor",0.8,IF(O16="Catastrófico",1,))))))</f>
        <v>0.6</v>
      </c>
      <c r="Q16" s="444"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94">
        <v>1</v>
      </c>
      <c r="S16" s="122" t="s">
        <v>598</v>
      </c>
      <c r="T16" s="195" t="str">
        <f t="shared" ref="T16:T109" si="25">IF(OR(U16="Preventivo",U16="Detectivo"),"Probabilidad",IF(U16="Correctivo","Impacto",""))</f>
        <v>Probabilidad</v>
      </c>
      <c r="U16" s="196" t="s">
        <v>15</v>
      </c>
      <c r="V16" s="196" t="s">
        <v>9</v>
      </c>
      <c r="W16" s="197" t="str">
        <f t="shared" ref="W16:W109" si="26">IF(AND(U16="Preventivo",V16="Automático"),"50%",IF(AND(U16="Preventivo",V16="Manual"),"40%",IF(AND(U16="Detectivo",V16="Automático"),"40%",IF(AND(U16="Detectivo",V16="Manual"),"30%",IF(AND(U16="Correctivo",V16="Automático"),"35%",IF(AND(U16="Correctivo",V16="Manual"),"25%",""))))))</f>
        <v>30%</v>
      </c>
      <c r="X16" s="196" t="s">
        <v>19</v>
      </c>
      <c r="Y16" s="196" t="s">
        <v>22</v>
      </c>
      <c r="Z16" s="196" t="s">
        <v>110</v>
      </c>
      <c r="AA16" s="145">
        <f t="shared" ref="AA16:AA109" si="27">IFERROR(IF(T16="Probabilidad",(L16-(+L16*W16)),IF(T16="Impacto",L16,"")),"")</f>
        <v>0.42</v>
      </c>
      <c r="AB16" s="198" t="str">
        <f t="shared" ref="AB16:AB109" si="28">IFERROR(IF(AA16="","",IF(AA16&lt;=0.2,"Muy Baja",IF(AA16&lt;=0.4,"Baja",IF(AA16&lt;=0.6,"Media",IF(AA16&lt;=0.8,"Alta","Muy Alta"))))),"")</f>
        <v>Media</v>
      </c>
      <c r="AC16" s="199">
        <f t="shared" ref="AC16:AC109" si="29">+AA16</f>
        <v>0.42</v>
      </c>
      <c r="AD16" s="198" t="str">
        <f t="shared" ref="AD16:AD109" ca="1" si="30">IFERROR(IF(AE16="","",IF(AE16&lt;=0.2,"Leve",IF(AE16&lt;=0.4,"Menor",IF(AE16&lt;=0.6,"Moderado",IF(AE16&lt;=0.8,"Mayor","Catastrófico"))))),"")</f>
        <v>Moderado</v>
      </c>
      <c r="AE16" s="199">
        <f t="shared" ref="AE16:AE109" ca="1" si="31">IFERROR(IF(T16="Impacto",(P16-(+P16*W16)),IF(T16="Probabilidad",P16,"")),"")</f>
        <v>0.6</v>
      </c>
      <c r="AF16" s="200" t="str">
        <f t="shared" ref="AF16:AF109" ca="1"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201" t="s">
        <v>122</v>
      </c>
      <c r="AH16" s="122" t="s">
        <v>595</v>
      </c>
      <c r="AI16" s="140" t="s">
        <v>262</v>
      </c>
      <c r="AJ16" s="124" t="s">
        <v>200</v>
      </c>
      <c r="AK16" s="124" t="s">
        <v>200</v>
      </c>
      <c r="AL16" s="122" t="s">
        <v>599</v>
      </c>
      <c r="AM16" s="117"/>
      <c r="AN16" s="222" t="s">
        <v>639</v>
      </c>
      <c r="AO16" s="223" t="s">
        <v>640</v>
      </c>
      <c r="AP16" s="266">
        <v>0.66</v>
      </c>
      <c r="AQ16" s="222" t="s">
        <v>641</v>
      </c>
      <c r="AR16" s="222" t="s">
        <v>642</v>
      </c>
      <c r="AS16" s="273">
        <v>0.66</v>
      </c>
      <c r="AT16" s="224"/>
      <c r="AU16" s="194" t="s">
        <v>618</v>
      </c>
      <c r="AV16" s="217" t="s">
        <v>615</v>
      </c>
      <c r="AW16" s="217" t="s">
        <v>615</v>
      </c>
      <c r="AX16" s="217" t="s">
        <v>615</v>
      </c>
      <c r="AY16" s="216"/>
    </row>
    <row r="17" spans="1:51" s="214" customFormat="1" ht="151.5" hidden="1" customHeight="1" x14ac:dyDescent="0.25">
      <c r="A17" s="447"/>
      <c r="B17" s="449"/>
      <c r="C17" s="452"/>
      <c r="D17" s="452"/>
      <c r="E17" s="407"/>
      <c r="F17" s="407"/>
      <c r="G17" s="407"/>
      <c r="H17" s="407"/>
      <c r="I17" s="407"/>
      <c r="J17" s="435"/>
      <c r="K17" s="437"/>
      <c r="L17" s="440"/>
      <c r="M17" s="443"/>
      <c r="N17" s="193"/>
      <c r="O17" s="437"/>
      <c r="P17" s="440"/>
      <c r="Q17" s="445"/>
      <c r="R17" s="194">
        <v>2</v>
      </c>
      <c r="S17" s="122"/>
      <c r="T17" s="195" t="str">
        <f t="shared" ref="T17:T18" si="33">IF(OR(U17="Preventivo",U17="Detectivo"),"Probabilidad",IF(U17="Correctivo","Impacto",""))</f>
        <v/>
      </c>
      <c r="U17" s="196"/>
      <c r="V17" s="196"/>
      <c r="W17" s="197"/>
      <c r="X17" s="196"/>
      <c r="Y17" s="196"/>
      <c r="Z17" s="196"/>
      <c r="AA17" s="145" t="str">
        <f>IFERROR(IF(T17="Probabilidad",(AA16-(+AA16*W17)),IF(T17="Impacto",L17,"")),"")</f>
        <v/>
      </c>
      <c r="AB17" s="198" t="str">
        <f t="shared" ref="AB17:AB18" si="34">IFERROR(IF(AA17="","",IF(AA17&lt;=0.2,"Muy Baja",IF(AA17&lt;=0.4,"Baja",IF(AA17&lt;=0.6,"Media",IF(AA17&lt;=0.8,"Alta","Muy Alta"))))),"")</f>
        <v/>
      </c>
      <c r="AC17" s="199" t="str">
        <f t="shared" ref="AC17:AC18" si="35">+AA17</f>
        <v/>
      </c>
      <c r="AD17" s="198" t="str">
        <f t="shared" ref="AD17:AD18" si="36">IFERROR(IF(AE17="","",IF(AE17&lt;=0.2,"Leve",IF(AE17&lt;=0.4,"Menor",IF(AE17&lt;=0.6,"Moderado",IF(AE17&lt;=0.8,"Mayor","Catastrófico"))))),"")</f>
        <v/>
      </c>
      <c r="AE17" s="199" t="str">
        <f t="shared" ref="AE17:AE18" si="37">IFERROR(IF(T17="Impacto",(P17-(+P17*W17)),IF(T17="Probabilidad",P17,"")),"")</f>
        <v/>
      </c>
      <c r="AF17" s="200"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1"/>
      <c r="AH17" s="122"/>
      <c r="AI17" s="117"/>
      <c r="AJ17" s="124"/>
      <c r="AK17" s="124"/>
      <c r="AL17" s="122"/>
      <c r="AM17" s="117"/>
      <c r="AN17" s="216"/>
      <c r="AO17" s="216"/>
      <c r="AP17" s="264"/>
      <c r="AQ17" s="216"/>
      <c r="AR17" s="216"/>
      <c r="AS17" s="264"/>
      <c r="AT17" s="218"/>
      <c r="AU17" s="218"/>
      <c r="AV17" s="217" t="s">
        <v>615</v>
      </c>
      <c r="AW17" s="217" t="s">
        <v>615</v>
      </c>
      <c r="AX17" s="217" t="s">
        <v>615</v>
      </c>
      <c r="AY17" s="216"/>
    </row>
    <row r="18" spans="1:51" s="214" customFormat="1" ht="151.5" hidden="1" customHeight="1" x14ac:dyDescent="0.25">
      <c r="A18" s="447"/>
      <c r="B18" s="450"/>
      <c r="C18" s="452"/>
      <c r="D18" s="452"/>
      <c r="E18" s="407"/>
      <c r="F18" s="407"/>
      <c r="G18" s="407"/>
      <c r="H18" s="407"/>
      <c r="I18" s="407"/>
      <c r="J18" s="435"/>
      <c r="K18" s="438"/>
      <c r="L18" s="441"/>
      <c r="M18" s="443"/>
      <c r="N18" s="193"/>
      <c r="O18" s="438"/>
      <c r="P18" s="441"/>
      <c r="Q18" s="446"/>
      <c r="R18" s="194">
        <v>3</v>
      </c>
      <c r="S18" s="122"/>
      <c r="T18" s="195" t="str">
        <f t="shared" si="33"/>
        <v/>
      </c>
      <c r="U18" s="196"/>
      <c r="V18" s="196"/>
      <c r="W18" s="197"/>
      <c r="X18" s="196"/>
      <c r="Y18" s="196"/>
      <c r="Z18" s="196"/>
      <c r="AA18" s="145" t="str">
        <f>IFERROR(IF(T18="Probabilidad",(AA17-(+AA17*W18)),IF(T18="Impacto",L18,"")),"")</f>
        <v/>
      </c>
      <c r="AB18" s="198" t="str">
        <f t="shared" si="34"/>
        <v/>
      </c>
      <c r="AC18" s="199" t="str">
        <f t="shared" si="35"/>
        <v/>
      </c>
      <c r="AD18" s="198" t="str">
        <f t="shared" si="36"/>
        <v/>
      </c>
      <c r="AE18" s="199" t="str">
        <f t="shared" si="37"/>
        <v/>
      </c>
      <c r="AF18" s="200" t="str">
        <f t="shared" si="38"/>
        <v/>
      </c>
      <c r="AG18" s="201"/>
      <c r="AH18" s="122"/>
      <c r="AI18" s="117"/>
      <c r="AJ18" s="124"/>
      <c r="AK18" s="124"/>
      <c r="AL18" s="122"/>
      <c r="AM18" s="117"/>
      <c r="AN18" s="216"/>
      <c r="AO18" s="216"/>
      <c r="AP18" s="264"/>
      <c r="AQ18" s="216"/>
      <c r="AR18" s="216"/>
      <c r="AS18" s="264"/>
      <c r="AT18" s="218"/>
      <c r="AU18" s="218"/>
      <c r="AV18" s="217" t="s">
        <v>615</v>
      </c>
      <c r="AW18" s="217" t="s">
        <v>615</v>
      </c>
      <c r="AX18" s="217" t="s">
        <v>615</v>
      </c>
      <c r="AY18" s="216"/>
    </row>
    <row r="19" spans="1:51" s="214" customFormat="1" ht="151.5" customHeight="1" x14ac:dyDescent="0.25">
      <c r="A19" s="430">
        <v>5</v>
      </c>
      <c r="B19" s="394" t="s">
        <v>207</v>
      </c>
      <c r="C19" s="414" t="s">
        <v>208</v>
      </c>
      <c r="D19" s="414" t="s">
        <v>388</v>
      </c>
      <c r="E19" s="404" t="s">
        <v>118</v>
      </c>
      <c r="F19" s="404" t="s">
        <v>209</v>
      </c>
      <c r="G19" s="404" t="s">
        <v>210</v>
      </c>
      <c r="H19" s="406" t="s">
        <v>586</v>
      </c>
      <c r="I19" s="404" t="s">
        <v>115</v>
      </c>
      <c r="J19" s="412">
        <v>1</v>
      </c>
      <c r="K19" s="418" t="str">
        <f>IF(J19&lt;=0,"",IF(J19&lt;=2,"Muy Baja",IF(J19&lt;=24,"Baja",IF(J19&lt;=500,"Media",IF(J19&lt;=5000,"Alta","Muy Alta")))))</f>
        <v>Muy Baja</v>
      </c>
      <c r="L19" s="424">
        <f>IF(K19="","",IF(K19="Muy Baja",0.2,IF(K19="Baja",0.4,IF(K19="Media",0.6,IF(K19="Alta",0.8,IF(K19="Muy Alta",1,))))))</f>
        <v>0.2</v>
      </c>
      <c r="M19" s="427" t="s">
        <v>516</v>
      </c>
      <c r="N19" s="192" t="str">
        <f ca="1">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418" t="str">
        <f ca="1">IF(OR(N19='Tabla Impacto'!$C$11,N19='Tabla Impacto'!$D$11),"Leve",IF(OR(N19='Tabla Impacto'!$C$12,N19='Tabla Impacto'!$D$12),"Menor",IF(OR(N19='Tabla Impacto'!$C$13,N19='Tabla Impacto'!$D$13),"Moderado",IF(OR(N19='Tabla Impacto'!$C$14,N19='Tabla Impacto'!$D$14),"Mayor",IF(OR(N19='Tabla Impacto'!$C$15,N19='Tabla Impacto'!$D$15),"Catastrófico","")))))</f>
        <v>Moderado</v>
      </c>
      <c r="P19" s="424">
        <f ca="1">IF(O19="","",IF(O19="Leve",0.2,IF(O19="Menor",0.4,IF(O19="Moderado",0.6,IF(O19="Mayor",0.8,IF(O19="Catastrófico",1,))))))</f>
        <v>0.6</v>
      </c>
      <c r="Q19" s="421"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94">
        <v>1</v>
      </c>
      <c r="S19" s="122" t="s">
        <v>211</v>
      </c>
      <c r="T19" s="195" t="str">
        <f t="shared" si="25"/>
        <v>Probabilidad</v>
      </c>
      <c r="U19" s="196" t="s">
        <v>14</v>
      </c>
      <c r="V19" s="196" t="s">
        <v>9</v>
      </c>
      <c r="W19" s="197" t="str">
        <f t="shared" si="26"/>
        <v>40%</v>
      </c>
      <c r="X19" s="196" t="s">
        <v>19</v>
      </c>
      <c r="Y19" s="196" t="s">
        <v>22</v>
      </c>
      <c r="Z19" s="196" t="s">
        <v>110</v>
      </c>
      <c r="AA19" s="145">
        <f t="shared" si="27"/>
        <v>0.12</v>
      </c>
      <c r="AB19" s="198" t="str">
        <f t="shared" si="28"/>
        <v>Muy Baja</v>
      </c>
      <c r="AC19" s="199">
        <f t="shared" si="29"/>
        <v>0.12</v>
      </c>
      <c r="AD19" s="198" t="str">
        <f t="shared" ca="1" si="30"/>
        <v>Moderado</v>
      </c>
      <c r="AE19" s="199">
        <f t="shared" ca="1" si="31"/>
        <v>0.6</v>
      </c>
      <c r="AF19" s="200" t="str">
        <f t="shared" ca="1" si="32"/>
        <v>Moderado</v>
      </c>
      <c r="AG19" s="201" t="s">
        <v>122</v>
      </c>
      <c r="AH19" s="122" t="s">
        <v>212</v>
      </c>
      <c r="AI19" s="117" t="s">
        <v>213</v>
      </c>
      <c r="AJ19" s="124">
        <v>44562</v>
      </c>
      <c r="AK19" s="124" t="s">
        <v>386</v>
      </c>
      <c r="AL19" s="122" t="s">
        <v>214</v>
      </c>
      <c r="AM19" s="117"/>
      <c r="AN19" s="216" t="s">
        <v>616</v>
      </c>
      <c r="AO19" s="216" t="s">
        <v>821</v>
      </c>
      <c r="AP19" s="264">
        <v>0.66</v>
      </c>
      <c r="AQ19" s="216" t="s">
        <v>617</v>
      </c>
      <c r="AR19" s="216" t="s">
        <v>822</v>
      </c>
      <c r="AS19" s="264">
        <v>0.66</v>
      </c>
      <c r="AT19" s="218"/>
      <c r="AU19" s="218" t="s">
        <v>618</v>
      </c>
      <c r="AV19" s="217" t="s">
        <v>615</v>
      </c>
      <c r="AW19" s="217" t="s">
        <v>615</v>
      </c>
      <c r="AX19" s="217" t="s">
        <v>615</v>
      </c>
      <c r="AY19" s="216"/>
    </row>
    <row r="20" spans="1:51" s="214" customFormat="1" ht="151.5" hidden="1" customHeight="1" x14ac:dyDescent="0.25">
      <c r="A20" s="430"/>
      <c r="B20" s="395"/>
      <c r="C20" s="415"/>
      <c r="D20" s="429"/>
      <c r="E20" s="405"/>
      <c r="F20" s="405"/>
      <c r="G20" s="405"/>
      <c r="H20" s="407"/>
      <c r="I20" s="405"/>
      <c r="J20" s="413"/>
      <c r="K20" s="419"/>
      <c r="L20" s="425"/>
      <c r="M20" s="428"/>
      <c r="N20" s="193"/>
      <c r="O20" s="419"/>
      <c r="P20" s="425"/>
      <c r="Q20" s="422"/>
      <c r="R20" s="194">
        <v>2</v>
      </c>
      <c r="S20" s="122"/>
      <c r="T20" s="195" t="str">
        <f t="shared" ref="T20:T21" si="39">IF(OR(U20="Preventivo",U20="Detectivo"),"Probabilidad",IF(U20="Correctivo","Impacto",""))</f>
        <v/>
      </c>
      <c r="U20" s="196"/>
      <c r="V20" s="196"/>
      <c r="W20" s="197"/>
      <c r="X20" s="196"/>
      <c r="Y20" s="196"/>
      <c r="Z20" s="196"/>
      <c r="AA20" s="146" t="str">
        <f>IFERROR(IF(T20="Probabilidad",(AA19-(+AA19*W20)),IF(T20="Impacto",L20,"")),"")</f>
        <v/>
      </c>
      <c r="AB20" s="198" t="str">
        <f t="shared" ref="AB20:AB21" si="40">IFERROR(IF(AA20="","",IF(AA20&lt;=0.2,"Muy Baja",IF(AA20&lt;=0.4,"Baja",IF(AA20&lt;=0.6,"Media",IF(AA20&lt;=0.8,"Alta","Muy Alta"))))),"")</f>
        <v/>
      </c>
      <c r="AC20" s="199" t="str">
        <f t="shared" ref="AC20:AC21" si="41">+AA20</f>
        <v/>
      </c>
      <c r="AD20" s="198" t="str">
        <f t="shared" ref="AD20:AD21" si="42">IFERROR(IF(AE20="","",IF(AE20&lt;=0.2,"Leve",IF(AE20&lt;=0.4,"Menor",IF(AE20&lt;=0.6,"Moderado",IF(AE20&lt;=0.8,"Mayor","Catastrófico"))))),"")</f>
        <v/>
      </c>
      <c r="AE20" s="199" t="str">
        <f t="shared" ref="AE20:AE21" si="43">IFERROR(IF(T20="Impacto",(P20-(+P20*W20)),IF(T20="Probabilidad",P20,"")),"")</f>
        <v/>
      </c>
      <c r="AF20" s="200" t="str">
        <f t="shared" ref="AF20:AF21" si="44">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201"/>
      <c r="AH20" s="122"/>
      <c r="AI20" s="117"/>
      <c r="AJ20" s="124"/>
      <c r="AK20" s="124"/>
      <c r="AL20" s="122"/>
      <c r="AM20" s="117"/>
      <c r="AN20" s="216"/>
      <c r="AO20" s="216"/>
      <c r="AP20" s="264"/>
      <c r="AQ20" s="216"/>
      <c r="AR20" s="216"/>
      <c r="AS20" s="264"/>
      <c r="AT20" s="218"/>
      <c r="AU20" s="218"/>
      <c r="AV20" s="217" t="s">
        <v>615</v>
      </c>
      <c r="AW20" s="217" t="s">
        <v>615</v>
      </c>
      <c r="AX20" s="217" t="s">
        <v>615</v>
      </c>
      <c r="AY20" s="216"/>
    </row>
    <row r="21" spans="1:51" s="148" customFormat="1" ht="151.5" hidden="1" customHeight="1" x14ac:dyDescent="0.25">
      <c r="A21" s="432"/>
      <c r="B21" s="396"/>
      <c r="C21" s="415"/>
      <c r="D21" s="429"/>
      <c r="E21" s="405"/>
      <c r="F21" s="405"/>
      <c r="G21" s="405"/>
      <c r="H21" s="407"/>
      <c r="I21" s="405"/>
      <c r="J21" s="413"/>
      <c r="K21" s="420"/>
      <c r="L21" s="426"/>
      <c r="M21" s="428"/>
      <c r="N21" s="137"/>
      <c r="O21" s="420"/>
      <c r="P21" s="426"/>
      <c r="Q21" s="423"/>
      <c r="R21" s="126">
        <v>3</v>
      </c>
      <c r="S21" s="95"/>
      <c r="T21" s="127" t="str">
        <f t="shared" si="39"/>
        <v/>
      </c>
      <c r="U21" s="128"/>
      <c r="V21" s="128"/>
      <c r="W21" s="129"/>
      <c r="X21" s="128"/>
      <c r="Y21" s="128"/>
      <c r="Z21" s="128"/>
      <c r="AA21" s="141" t="str">
        <f>IFERROR(IF(T21="Probabilidad",(AA20-(+AA20*W21)),IF(T21="Impacto",L21,"")),"")</f>
        <v/>
      </c>
      <c r="AB21" s="131" t="str">
        <f t="shared" si="40"/>
        <v/>
      </c>
      <c r="AC21" s="132" t="str">
        <f t="shared" si="41"/>
        <v/>
      </c>
      <c r="AD21" s="131" t="str">
        <f t="shared" si="42"/>
        <v/>
      </c>
      <c r="AE21" s="132" t="str">
        <f t="shared" si="43"/>
        <v/>
      </c>
      <c r="AF21" s="133" t="str">
        <f t="shared" si="44"/>
        <v/>
      </c>
      <c r="AG21" s="134"/>
      <c r="AH21" s="95"/>
      <c r="AI21" s="123"/>
      <c r="AJ21" s="135"/>
      <c r="AK21" s="135"/>
      <c r="AL21" s="95"/>
      <c r="AM21" s="123"/>
      <c r="AN21" s="216"/>
      <c r="AO21" s="216"/>
      <c r="AP21" s="264"/>
      <c r="AQ21" s="216"/>
      <c r="AR21" s="216"/>
      <c r="AS21" s="264"/>
      <c r="AT21" s="218"/>
      <c r="AU21" s="218"/>
      <c r="AV21" s="217" t="s">
        <v>615</v>
      </c>
      <c r="AW21" s="217" t="s">
        <v>615</v>
      </c>
      <c r="AX21" s="217" t="s">
        <v>615</v>
      </c>
      <c r="AY21" s="216"/>
    </row>
    <row r="22" spans="1:51" s="148" customFormat="1" ht="171.95" customHeight="1" x14ac:dyDescent="0.25">
      <c r="A22" s="431">
        <v>6</v>
      </c>
      <c r="B22" s="394" t="s">
        <v>207</v>
      </c>
      <c r="C22" s="414" t="s">
        <v>208</v>
      </c>
      <c r="D22" s="414" t="s">
        <v>388</v>
      </c>
      <c r="E22" s="404" t="s">
        <v>119</v>
      </c>
      <c r="F22" s="417" t="s">
        <v>215</v>
      </c>
      <c r="G22" s="404" t="s">
        <v>216</v>
      </c>
      <c r="H22" s="406" t="s">
        <v>345</v>
      </c>
      <c r="I22" s="404" t="s">
        <v>333</v>
      </c>
      <c r="J22" s="412">
        <v>1</v>
      </c>
      <c r="K22" s="418" t="str">
        <f>IF(J22&lt;=0,"",IF(J22&lt;=2,"Muy Baja",IF(J22&lt;=24,"Baja",IF(J22&lt;=500,"Media",IF(J22&lt;=5000,"Alta","Muy Alta")))))</f>
        <v>Muy Baja</v>
      </c>
      <c r="L22" s="424">
        <f>IF(K22="","",IF(K22="Muy Baja",0.2,IF(K22="Baja",0.4,IF(K22="Media",0.6,IF(K22="Alta",0.8,IF(K22="Muy Alta",1,))))))</f>
        <v>0.2</v>
      </c>
      <c r="M22" s="427" t="s">
        <v>515</v>
      </c>
      <c r="N22" s="125" t="str">
        <f ca="1">IF(NOT(ISERROR(MATCH(M22,'Tabla Impacto'!$B$221:$B$223,0))),'Tabla Impacto'!$F$223&amp;"Por favor no seleccionar los criterios de impacto(Afectación Económica o presupuestal y Pérdida Reputacional)",M22)</f>
        <v xml:space="preserve"> Entre 50 y 100 SMLMV </v>
      </c>
      <c r="O22" s="418" t="str">
        <f ca="1">IF(OR(N22='Tabla Impacto'!$C$11,N22='Tabla Impacto'!$D$11),"Leve",IF(OR(N22='Tabla Impacto'!$C$12,N22='Tabla Impacto'!$D$12),"Menor",IF(OR(N22='Tabla Impacto'!$C$13,N22='Tabla Impacto'!$D$13),"Moderado",IF(OR(N22='Tabla Impacto'!$C$14,N22='Tabla Impacto'!$D$14),"Mayor",IF(OR(N22='Tabla Impacto'!$C$15,N22='Tabla Impacto'!$D$15),"Catastrófico","")))))</f>
        <v>Moderado</v>
      </c>
      <c r="P22" s="424">
        <f ca="1">IF(O22="","",IF(O22="Leve",0.2,IF(O22="Menor",0.4,IF(O22="Moderado",0.6,IF(O22="Mayor",0.8,IF(O22="Catastrófico",1,))))))</f>
        <v>0.6</v>
      </c>
      <c r="Q22" s="421"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26">
        <v>1</v>
      </c>
      <c r="S22" s="95" t="s">
        <v>217</v>
      </c>
      <c r="T22" s="127" t="str">
        <f t="shared" si="25"/>
        <v>Probabilidad</v>
      </c>
      <c r="U22" s="128" t="s">
        <v>15</v>
      </c>
      <c r="V22" s="128" t="s">
        <v>9</v>
      </c>
      <c r="W22" s="129" t="str">
        <f t="shared" si="26"/>
        <v>30%</v>
      </c>
      <c r="X22" s="128" t="s">
        <v>20</v>
      </c>
      <c r="Y22" s="128" t="s">
        <v>23</v>
      </c>
      <c r="Z22" s="128" t="s">
        <v>111</v>
      </c>
      <c r="AA22" s="130">
        <f t="shared" si="27"/>
        <v>0.14000000000000001</v>
      </c>
      <c r="AB22" s="131" t="str">
        <f t="shared" si="28"/>
        <v>Muy Baja</v>
      </c>
      <c r="AC22" s="132">
        <f t="shared" si="29"/>
        <v>0.14000000000000001</v>
      </c>
      <c r="AD22" s="131" t="str">
        <f t="shared" ca="1" si="30"/>
        <v>Moderado</v>
      </c>
      <c r="AE22" s="132">
        <f t="shared" ca="1" si="31"/>
        <v>0.6</v>
      </c>
      <c r="AF22" s="133" t="str">
        <f t="shared" ca="1" si="32"/>
        <v>Moderado</v>
      </c>
      <c r="AG22" s="134" t="s">
        <v>122</v>
      </c>
      <c r="AH22" s="95" t="s">
        <v>218</v>
      </c>
      <c r="AI22" s="123" t="s">
        <v>204</v>
      </c>
      <c r="AJ22" s="124">
        <v>44562</v>
      </c>
      <c r="AK22" s="124" t="s">
        <v>386</v>
      </c>
      <c r="AL22" s="122" t="s">
        <v>334</v>
      </c>
      <c r="AM22" s="123"/>
      <c r="AN22" s="216" t="s">
        <v>619</v>
      </c>
      <c r="AO22" s="218" t="s">
        <v>620</v>
      </c>
      <c r="AP22" s="264" t="s">
        <v>620</v>
      </c>
      <c r="AQ22" s="216" t="s">
        <v>621</v>
      </c>
      <c r="AR22" s="218" t="s">
        <v>620</v>
      </c>
      <c r="AS22" s="264" t="s">
        <v>620</v>
      </c>
      <c r="AT22" s="218"/>
      <c r="AU22" s="218" t="s">
        <v>618</v>
      </c>
      <c r="AV22" s="217" t="s">
        <v>615</v>
      </c>
      <c r="AW22" s="217" t="s">
        <v>615</v>
      </c>
      <c r="AX22" s="217" t="s">
        <v>615</v>
      </c>
      <c r="AY22" s="216"/>
    </row>
    <row r="23" spans="1:51" s="148" customFormat="1" ht="151.5" hidden="1" customHeight="1" x14ac:dyDescent="0.25">
      <c r="A23" s="430"/>
      <c r="B23" s="395"/>
      <c r="C23" s="415"/>
      <c r="D23" s="429"/>
      <c r="E23" s="405"/>
      <c r="F23" s="405"/>
      <c r="G23" s="405"/>
      <c r="H23" s="407"/>
      <c r="I23" s="405"/>
      <c r="J23" s="413"/>
      <c r="K23" s="419"/>
      <c r="L23" s="425"/>
      <c r="M23" s="428"/>
      <c r="N23" s="137"/>
      <c r="O23" s="419"/>
      <c r="P23" s="425"/>
      <c r="Q23" s="422"/>
      <c r="R23" s="126">
        <v>2</v>
      </c>
      <c r="S23" s="95"/>
      <c r="T23" s="127" t="str">
        <f t="shared" ref="T23:T45" si="45">IF(OR(U23="Preventivo",U23="Detectivo"),"Probabilidad",IF(U23="Correctivo","Impacto",""))</f>
        <v/>
      </c>
      <c r="U23" s="128"/>
      <c r="V23" s="128"/>
      <c r="W23" s="129" t="str">
        <f t="shared" ref="W23:W44" si="46">IF(AND(U23="Preventivo",V23="Automático"),"50%",IF(AND(U23="Preventivo",V23="Manual"),"40%",IF(AND(U23="Detectivo",V23="Automático"),"40%",IF(AND(U23="Detectivo",V23="Manual"),"30%",IF(AND(U23="Correctivo",V23="Automático"),"35%",IF(AND(U23="Correctivo",V23="Manual"),"25%",""))))))</f>
        <v/>
      </c>
      <c r="X23" s="128"/>
      <c r="Y23" s="128"/>
      <c r="Z23" s="128"/>
      <c r="AA23" s="130" t="str">
        <f>IFERROR(IF(T23="Probabilidad",(AA22-(+AA22*W23)),IF(T23="Impacto",L23,"")),"")</f>
        <v/>
      </c>
      <c r="AB23" s="131" t="str">
        <f t="shared" ref="AB23:AB45" si="47">IFERROR(IF(AA23="","",IF(AA23&lt;=0.2,"Muy Baja",IF(AA23&lt;=0.4,"Baja",IF(AA23&lt;=0.6,"Media",IF(AA23&lt;=0.8,"Alta","Muy Alta"))))),"")</f>
        <v/>
      </c>
      <c r="AC23" s="132" t="str">
        <f t="shared" ref="AC23:AC45" si="48">+AA23</f>
        <v/>
      </c>
      <c r="AD23" s="131" t="str">
        <f t="shared" ref="AD23:AD45" si="49">IFERROR(IF(AE23="","",IF(AE23&lt;=0.2,"Leve",IF(AE23&lt;=0.4,"Menor",IF(AE23&lt;=0.6,"Moderado",IF(AE23&lt;=0.8,"Mayor","Catastrófico"))))),"")</f>
        <v/>
      </c>
      <c r="AE23" s="132" t="str">
        <f t="shared" ref="AE23:AE45" si="50">IFERROR(IF(T23="Impacto",(P23-(+P23*W23)),IF(T23="Probabilidad",P23,"")),"")</f>
        <v/>
      </c>
      <c r="AF23" s="133" t="str">
        <f t="shared" ref="AF23:AF45" si="5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4"/>
      <c r="AH23" s="95"/>
      <c r="AI23" s="123"/>
      <c r="AJ23" s="135"/>
      <c r="AK23" s="135"/>
      <c r="AL23" s="95"/>
      <c r="AM23" s="123"/>
      <c r="AN23" s="216"/>
      <c r="AO23" s="216"/>
      <c r="AP23" s="264"/>
      <c r="AQ23" s="216"/>
      <c r="AR23" s="216"/>
      <c r="AS23" s="264"/>
      <c r="AT23" s="218"/>
      <c r="AU23" s="218"/>
      <c r="AV23" s="217" t="s">
        <v>615</v>
      </c>
      <c r="AW23" s="217" t="s">
        <v>615</v>
      </c>
      <c r="AX23" s="217" t="s">
        <v>615</v>
      </c>
      <c r="AY23" s="216"/>
    </row>
    <row r="24" spans="1:51" s="148" customFormat="1" ht="151.5" hidden="1" customHeight="1" x14ac:dyDescent="0.25">
      <c r="A24" s="430"/>
      <c r="B24" s="396"/>
      <c r="C24" s="415"/>
      <c r="D24" s="429"/>
      <c r="E24" s="405"/>
      <c r="F24" s="405"/>
      <c r="G24" s="405"/>
      <c r="H24" s="407"/>
      <c r="I24" s="405"/>
      <c r="J24" s="413"/>
      <c r="K24" s="420"/>
      <c r="L24" s="426"/>
      <c r="M24" s="428"/>
      <c r="N24" s="137"/>
      <c r="O24" s="420"/>
      <c r="P24" s="426"/>
      <c r="Q24" s="423"/>
      <c r="R24" s="126">
        <v>3</v>
      </c>
      <c r="S24" s="95"/>
      <c r="T24" s="127" t="str">
        <f t="shared" si="45"/>
        <v/>
      </c>
      <c r="U24" s="128"/>
      <c r="V24" s="128"/>
      <c r="W24" s="129" t="str">
        <f t="shared" si="46"/>
        <v/>
      </c>
      <c r="X24" s="128"/>
      <c r="Y24" s="128"/>
      <c r="Z24" s="128"/>
      <c r="AA24" s="130" t="str">
        <f>IFERROR(IF(T24="Probabilidad",(AA23-(+AA23*W24)),IF(T24="Impacto",L24,"")),"")</f>
        <v/>
      </c>
      <c r="AB24" s="131" t="str">
        <f t="shared" si="47"/>
        <v/>
      </c>
      <c r="AC24" s="132" t="str">
        <f t="shared" si="48"/>
        <v/>
      </c>
      <c r="AD24" s="131" t="str">
        <f t="shared" si="49"/>
        <v/>
      </c>
      <c r="AE24" s="132" t="str">
        <f t="shared" si="50"/>
        <v/>
      </c>
      <c r="AF24" s="133" t="str">
        <f t="shared" si="51"/>
        <v/>
      </c>
      <c r="AG24" s="134"/>
      <c r="AH24" s="95"/>
      <c r="AI24" s="123"/>
      <c r="AJ24" s="135"/>
      <c r="AK24" s="135"/>
      <c r="AL24" s="95"/>
      <c r="AM24" s="123"/>
      <c r="AN24" s="216"/>
      <c r="AO24" s="216"/>
      <c r="AP24" s="264"/>
      <c r="AQ24" s="216"/>
      <c r="AR24" s="216"/>
      <c r="AS24" s="264"/>
      <c r="AT24" s="218"/>
      <c r="AU24" s="218"/>
      <c r="AV24" s="217" t="s">
        <v>615</v>
      </c>
      <c r="AW24" s="217" t="s">
        <v>615</v>
      </c>
      <c r="AX24" s="217" t="s">
        <v>615</v>
      </c>
      <c r="AY24" s="216"/>
    </row>
    <row r="25" spans="1:51" s="148" customFormat="1" ht="226.5" customHeight="1" x14ac:dyDescent="0.25">
      <c r="A25" s="430">
        <v>7</v>
      </c>
      <c r="B25" s="394" t="s">
        <v>219</v>
      </c>
      <c r="C25" s="414" t="s">
        <v>220</v>
      </c>
      <c r="D25" s="414" t="s">
        <v>221</v>
      </c>
      <c r="E25" s="404" t="s">
        <v>120</v>
      </c>
      <c r="F25" s="417" t="s">
        <v>222</v>
      </c>
      <c r="G25" s="404" t="s">
        <v>223</v>
      </c>
      <c r="H25" s="406" t="s">
        <v>590</v>
      </c>
      <c r="I25" s="404" t="s">
        <v>115</v>
      </c>
      <c r="J25" s="412">
        <v>1460</v>
      </c>
      <c r="K25" s="418" t="str">
        <f>IF(J25&lt;=0,"",IF(J25&lt;=2,"Muy Baja",IF(J25&lt;=24,"Baja",IF(J25&lt;=500,"Media",IF(J25&lt;=5000,"Alta","Muy Alta")))))</f>
        <v>Alta</v>
      </c>
      <c r="L25" s="424">
        <f>IF(K25="","",IF(K25="Muy Baja",0.2,IF(K25="Baja",0.4,IF(K25="Media",0.6,IF(K25="Alta",0.8,IF(K25="Muy Alta",1,))))))</f>
        <v>0.8</v>
      </c>
      <c r="M25" s="427" t="s">
        <v>516</v>
      </c>
      <c r="N25" s="125" t="str">
        <f ca="1">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418" t="str">
        <f ca="1">IF(OR(N25='Tabla Impacto'!$C$11,N25='Tabla Impacto'!$D$11),"Leve",IF(OR(N25='Tabla Impacto'!$C$12,N25='Tabla Impacto'!$D$12),"Menor",IF(OR(N25='Tabla Impacto'!$C$13,N25='Tabla Impacto'!$D$13),"Moderado",IF(OR(N25='Tabla Impacto'!$C$14,N25='Tabla Impacto'!$D$14),"Mayor",IF(OR(N25='Tabla Impacto'!$C$15,N25='Tabla Impacto'!$D$15),"Catastrófico","")))))</f>
        <v>Moderado</v>
      </c>
      <c r="P25" s="424">
        <f ca="1">IF(O25="","",IF(O25="Leve",0.2,IF(O25="Menor",0.4,IF(O25="Moderado",0.6,IF(O25="Mayor",0.8,IF(O25="Catastrófico",1,))))))</f>
        <v>0.6</v>
      </c>
      <c r="Q25" s="421"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26">
        <v>1</v>
      </c>
      <c r="S25" s="95" t="s">
        <v>385</v>
      </c>
      <c r="T25" s="127" t="str">
        <f t="shared" si="45"/>
        <v>Probabilidad</v>
      </c>
      <c r="U25" s="128" t="s">
        <v>14</v>
      </c>
      <c r="V25" s="128" t="s">
        <v>9</v>
      </c>
      <c r="W25" s="129" t="str">
        <f t="shared" si="46"/>
        <v>40%</v>
      </c>
      <c r="X25" s="128" t="s">
        <v>19</v>
      </c>
      <c r="Y25" s="128" t="s">
        <v>22</v>
      </c>
      <c r="Z25" s="128" t="s">
        <v>110</v>
      </c>
      <c r="AA25" s="130">
        <f t="shared" ref="AA25:AA43" si="52">IFERROR(IF(T25="Probabilidad",(L25-(+L25*W25)),IF(T25="Impacto",L25,"")),"")</f>
        <v>0.48</v>
      </c>
      <c r="AB25" s="131" t="str">
        <f t="shared" si="47"/>
        <v>Media</v>
      </c>
      <c r="AC25" s="132">
        <f t="shared" si="48"/>
        <v>0.48</v>
      </c>
      <c r="AD25" s="131" t="str">
        <f t="shared" ca="1" si="49"/>
        <v>Moderado</v>
      </c>
      <c r="AE25" s="132">
        <f t="shared" ca="1" si="50"/>
        <v>0.6</v>
      </c>
      <c r="AF25" s="133" t="str">
        <f t="shared" ca="1" si="51"/>
        <v>Moderado</v>
      </c>
      <c r="AG25" s="134" t="s">
        <v>122</v>
      </c>
      <c r="AH25" s="116" t="s">
        <v>224</v>
      </c>
      <c r="AI25" s="142" t="s">
        <v>213</v>
      </c>
      <c r="AJ25" s="124">
        <v>44562</v>
      </c>
      <c r="AK25" s="124" t="s">
        <v>386</v>
      </c>
      <c r="AL25" s="116" t="s">
        <v>225</v>
      </c>
      <c r="AM25" s="123"/>
      <c r="AN25" s="216" t="s">
        <v>823</v>
      </c>
      <c r="AO25" s="221" t="s">
        <v>643</v>
      </c>
      <c r="AP25" s="267">
        <v>0.66</v>
      </c>
      <c r="AQ25" s="216" t="s">
        <v>824</v>
      </c>
      <c r="AR25" s="221" t="s">
        <v>825</v>
      </c>
      <c r="AS25" s="267" t="s">
        <v>620</v>
      </c>
      <c r="AT25" s="218"/>
      <c r="AU25" s="218" t="s">
        <v>618</v>
      </c>
      <c r="AV25" s="217" t="s">
        <v>615</v>
      </c>
      <c r="AW25" s="217" t="s">
        <v>615</v>
      </c>
      <c r="AX25" s="217" t="s">
        <v>615</v>
      </c>
      <c r="AY25" s="216"/>
    </row>
    <row r="26" spans="1:51" s="148" customFormat="1" ht="151.5" hidden="1" customHeight="1" x14ac:dyDescent="0.25">
      <c r="A26" s="430"/>
      <c r="B26" s="395"/>
      <c r="C26" s="415"/>
      <c r="D26" s="429"/>
      <c r="E26" s="405"/>
      <c r="F26" s="405"/>
      <c r="G26" s="405"/>
      <c r="H26" s="407"/>
      <c r="I26" s="405"/>
      <c r="J26" s="413"/>
      <c r="K26" s="419"/>
      <c r="L26" s="425"/>
      <c r="M26" s="428"/>
      <c r="N26" s="137"/>
      <c r="O26" s="419"/>
      <c r="P26" s="425"/>
      <c r="Q26" s="422"/>
      <c r="R26" s="126">
        <v>2</v>
      </c>
      <c r="S26" s="95"/>
      <c r="T26" s="127" t="str">
        <f t="shared" si="45"/>
        <v/>
      </c>
      <c r="U26" s="128"/>
      <c r="V26" s="128"/>
      <c r="W26" s="129"/>
      <c r="X26" s="128"/>
      <c r="Y26" s="128"/>
      <c r="Z26" s="128"/>
      <c r="AA26" s="130" t="str">
        <f>IFERROR(IF(T26="Probabilidad",(AA25-(+AA25*W26)),IF(T26="Impacto",L26,"")),"")</f>
        <v/>
      </c>
      <c r="AB26" s="131" t="str">
        <f t="shared" si="47"/>
        <v/>
      </c>
      <c r="AC26" s="132" t="str">
        <f t="shared" si="48"/>
        <v/>
      </c>
      <c r="AD26" s="131" t="str">
        <f t="shared" si="49"/>
        <v/>
      </c>
      <c r="AE26" s="132" t="str">
        <f t="shared" si="50"/>
        <v/>
      </c>
      <c r="AF26" s="133" t="str">
        <f t="shared" si="51"/>
        <v/>
      </c>
      <c r="AG26" s="134"/>
      <c r="AH26" s="95"/>
      <c r="AI26" s="123"/>
      <c r="AJ26" s="135"/>
      <c r="AK26" s="135"/>
      <c r="AL26" s="95"/>
      <c r="AM26" s="123"/>
      <c r="AN26" s="216"/>
      <c r="AO26" s="216"/>
      <c r="AP26" s="264"/>
      <c r="AQ26" s="216"/>
      <c r="AR26" s="216"/>
      <c r="AS26" s="264"/>
      <c r="AT26" s="218"/>
      <c r="AU26" s="218"/>
      <c r="AV26" s="217" t="s">
        <v>615</v>
      </c>
      <c r="AW26" s="217" t="s">
        <v>615</v>
      </c>
      <c r="AX26" s="217" t="s">
        <v>615</v>
      </c>
      <c r="AY26" s="216"/>
    </row>
    <row r="27" spans="1:51" s="148" customFormat="1" ht="151.5" hidden="1" customHeight="1" x14ac:dyDescent="0.25">
      <c r="A27" s="430"/>
      <c r="B27" s="396"/>
      <c r="C27" s="415"/>
      <c r="D27" s="429"/>
      <c r="E27" s="405"/>
      <c r="F27" s="405"/>
      <c r="G27" s="405"/>
      <c r="H27" s="407"/>
      <c r="I27" s="405"/>
      <c r="J27" s="413"/>
      <c r="K27" s="420"/>
      <c r="L27" s="426"/>
      <c r="M27" s="428"/>
      <c r="N27" s="137"/>
      <c r="O27" s="420"/>
      <c r="P27" s="426"/>
      <c r="Q27" s="423"/>
      <c r="R27" s="126">
        <v>3</v>
      </c>
      <c r="S27" s="95"/>
      <c r="T27" s="127" t="str">
        <f t="shared" si="45"/>
        <v/>
      </c>
      <c r="U27" s="128"/>
      <c r="V27" s="128"/>
      <c r="W27" s="129"/>
      <c r="X27" s="128"/>
      <c r="Y27" s="128"/>
      <c r="Z27" s="128"/>
      <c r="AA27" s="130" t="str">
        <f>IFERROR(IF(T27="Probabilidad",(AA26-(+AA26*W27)),IF(T27="Impacto",L27,"")),"")</f>
        <v/>
      </c>
      <c r="AB27" s="131" t="str">
        <f t="shared" si="47"/>
        <v/>
      </c>
      <c r="AC27" s="132" t="str">
        <f t="shared" si="48"/>
        <v/>
      </c>
      <c r="AD27" s="131" t="str">
        <f t="shared" si="49"/>
        <v/>
      </c>
      <c r="AE27" s="132" t="str">
        <f t="shared" si="50"/>
        <v/>
      </c>
      <c r="AF27" s="133" t="str">
        <f t="shared" si="51"/>
        <v/>
      </c>
      <c r="AG27" s="134"/>
      <c r="AH27" s="95"/>
      <c r="AI27" s="123"/>
      <c r="AJ27" s="135"/>
      <c r="AK27" s="135"/>
      <c r="AL27" s="95"/>
      <c r="AM27" s="123"/>
      <c r="AN27" s="216"/>
      <c r="AO27" s="216"/>
      <c r="AP27" s="264"/>
      <c r="AQ27" s="216"/>
      <c r="AR27" s="216"/>
      <c r="AS27" s="264"/>
      <c r="AT27" s="218"/>
      <c r="AU27" s="218"/>
      <c r="AV27" s="217" t="s">
        <v>615</v>
      </c>
      <c r="AW27" s="217" t="s">
        <v>615</v>
      </c>
      <c r="AX27" s="217" t="s">
        <v>615</v>
      </c>
      <c r="AY27" s="216"/>
    </row>
    <row r="28" spans="1:51" s="148" customFormat="1" ht="369" customHeight="1" x14ac:dyDescent="0.25">
      <c r="A28" s="430">
        <v>8</v>
      </c>
      <c r="B28" s="394" t="s">
        <v>226</v>
      </c>
      <c r="C28" s="414" t="s">
        <v>220</v>
      </c>
      <c r="D28" s="414" t="s">
        <v>221</v>
      </c>
      <c r="E28" s="404" t="s">
        <v>118</v>
      </c>
      <c r="F28" s="404" t="s">
        <v>227</v>
      </c>
      <c r="G28" s="404" t="s">
        <v>458</v>
      </c>
      <c r="H28" s="406" t="s">
        <v>228</v>
      </c>
      <c r="I28" s="404" t="s">
        <v>333</v>
      </c>
      <c r="J28" s="412">
        <v>1460</v>
      </c>
      <c r="K28" s="418" t="str">
        <f>IF(J28&lt;=0,"",IF(J28&lt;=2,"Muy Baja",IF(J28&lt;=24,"Baja",IF(J28&lt;=500,"Media",IF(J28&lt;=5000,"Alta","Muy Alta")))))</f>
        <v>Alta</v>
      </c>
      <c r="L28" s="424">
        <f>IF(K28="","",IF(K28="Muy Baja",0.2,IF(K28="Baja",0.4,IF(K28="Media",0.6,IF(K28="Alta",0.8,IF(K28="Muy Alta",1,))))))</f>
        <v>0.8</v>
      </c>
      <c r="M28" s="427" t="s">
        <v>523</v>
      </c>
      <c r="N28" s="125" t="str">
        <f>IF(NOT(ISERROR(MATCH(M28,'[1]Tabla Impacto'!$B$221:$B$223,0))),'[1]Tabla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418" t="str">
        <f>IF(OR(N28='Tabla Impacto'!$C$11,N28='Tabla Impacto'!$D$11),"Leve",IF(OR(N28='Tabla Impacto'!$C$12,N28='Tabla Impacto'!$D$12),"Menor",IF(OR(N28='Tabla Impacto'!$C$13,N28='Tabla Impacto'!$D$13),"Moderado",IF(OR(N28='Tabla Impacto'!$C$14,N28='Tabla Impacto'!$D$14),"Mayor",IF(OR(N28='Tabla Impacto'!$C$15,N28='Tabla Impacto'!$D$15),"Catastrófico","")))))</f>
        <v>Mayor</v>
      </c>
      <c r="P28" s="424">
        <f>IF(O28="","",IF(O28="Leve",0.2,IF(O28="Menor",0.4,IF(O28="Moderado",0.6,IF(O28="Mayor",0.8,IF(O28="Catastrófico",1,))))))</f>
        <v>0.8</v>
      </c>
      <c r="Q28" s="421"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26">
        <v>1</v>
      </c>
      <c r="S28" s="116" t="s">
        <v>229</v>
      </c>
      <c r="T28" s="127" t="str">
        <f t="shared" si="45"/>
        <v>Probabilidad</v>
      </c>
      <c r="U28" s="128" t="s">
        <v>14</v>
      </c>
      <c r="V28" s="128" t="s">
        <v>9</v>
      </c>
      <c r="W28" s="129" t="str">
        <f t="shared" si="46"/>
        <v>40%</v>
      </c>
      <c r="X28" s="128" t="s">
        <v>19</v>
      </c>
      <c r="Y28" s="128" t="s">
        <v>22</v>
      </c>
      <c r="Z28" s="128" t="s">
        <v>110</v>
      </c>
      <c r="AA28" s="130">
        <f t="shared" si="52"/>
        <v>0.48</v>
      </c>
      <c r="AB28" s="131" t="str">
        <f t="shared" si="47"/>
        <v>Media</v>
      </c>
      <c r="AC28" s="132">
        <f t="shared" si="48"/>
        <v>0.48</v>
      </c>
      <c r="AD28" s="131" t="str">
        <f t="shared" si="49"/>
        <v>Mayor</v>
      </c>
      <c r="AE28" s="132">
        <f t="shared" si="50"/>
        <v>0.8</v>
      </c>
      <c r="AF28" s="133" t="str">
        <f t="shared" si="51"/>
        <v>Alto</v>
      </c>
      <c r="AG28" s="134" t="s">
        <v>122</v>
      </c>
      <c r="AH28" s="116" t="s">
        <v>231</v>
      </c>
      <c r="AI28" s="142" t="s">
        <v>213</v>
      </c>
      <c r="AJ28" s="124">
        <v>44562</v>
      </c>
      <c r="AK28" s="124" t="s">
        <v>386</v>
      </c>
      <c r="AL28" s="116" t="s">
        <v>232</v>
      </c>
      <c r="AM28" s="123"/>
      <c r="AN28" s="216" t="s">
        <v>826</v>
      </c>
      <c r="AO28" s="221" t="s">
        <v>644</v>
      </c>
      <c r="AP28" s="267">
        <f>33%+17.5%</f>
        <v>0.505</v>
      </c>
      <c r="AQ28" s="216" t="s">
        <v>827</v>
      </c>
      <c r="AR28" s="216" t="s">
        <v>645</v>
      </c>
      <c r="AS28" s="264">
        <v>0.66</v>
      </c>
      <c r="AT28" s="218"/>
      <c r="AU28" s="218" t="s">
        <v>618</v>
      </c>
      <c r="AV28" s="217" t="s">
        <v>615</v>
      </c>
      <c r="AW28" s="217" t="s">
        <v>615</v>
      </c>
      <c r="AX28" s="217" t="s">
        <v>615</v>
      </c>
      <c r="AY28" s="216" t="s">
        <v>790</v>
      </c>
    </row>
    <row r="29" spans="1:51" s="148" customFormat="1" ht="151.5" customHeight="1" x14ac:dyDescent="0.25">
      <c r="A29" s="430"/>
      <c r="B29" s="395"/>
      <c r="C29" s="415"/>
      <c r="D29" s="429"/>
      <c r="E29" s="405"/>
      <c r="F29" s="405"/>
      <c r="G29" s="405"/>
      <c r="H29" s="407"/>
      <c r="I29" s="405"/>
      <c r="J29" s="413"/>
      <c r="K29" s="419"/>
      <c r="L29" s="425"/>
      <c r="M29" s="428"/>
      <c r="N29" s="125" t="s">
        <v>523</v>
      </c>
      <c r="O29" s="419"/>
      <c r="P29" s="425"/>
      <c r="Q29" s="422"/>
      <c r="R29" s="126">
        <v>2</v>
      </c>
      <c r="S29" s="116" t="s">
        <v>230</v>
      </c>
      <c r="T29" s="127" t="str">
        <f t="shared" si="45"/>
        <v>Probabilidad</v>
      </c>
      <c r="U29" s="128" t="s">
        <v>14</v>
      </c>
      <c r="V29" s="128" t="s">
        <v>9</v>
      </c>
      <c r="W29" s="129" t="str">
        <f t="shared" si="46"/>
        <v>40%</v>
      </c>
      <c r="X29" s="128" t="s">
        <v>19</v>
      </c>
      <c r="Y29" s="128" t="s">
        <v>22</v>
      </c>
      <c r="Z29" s="128" t="s">
        <v>110</v>
      </c>
      <c r="AA29" s="130">
        <f>IFERROR(IF(T29="Probabilidad",(AA28-(+AA28*W29)),IF(T29="Impacto",L29,"")),"")</f>
        <v>0.28799999999999998</v>
      </c>
      <c r="AB29" s="131" t="str">
        <f t="shared" si="47"/>
        <v>Baja</v>
      </c>
      <c r="AC29" s="132">
        <f t="shared" si="48"/>
        <v>0.28799999999999998</v>
      </c>
      <c r="AD29" s="131" t="str">
        <f t="shared" si="49"/>
        <v>Mayor</v>
      </c>
      <c r="AE29" s="132">
        <v>0.8</v>
      </c>
      <c r="AF29" s="133" t="str">
        <f t="shared" si="51"/>
        <v>Alto</v>
      </c>
      <c r="AG29" s="134" t="s">
        <v>122</v>
      </c>
      <c r="AH29" s="116" t="s">
        <v>233</v>
      </c>
      <c r="AI29" s="142" t="s">
        <v>213</v>
      </c>
      <c r="AJ29" s="124">
        <v>44562</v>
      </c>
      <c r="AK29" s="124" t="s">
        <v>386</v>
      </c>
      <c r="AL29" s="116" t="s">
        <v>232</v>
      </c>
      <c r="AM29" s="123"/>
      <c r="AN29" s="216" t="s">
        <v>646</v>
      </c>
      <c r="AO29" s="221" t="s">
        <v>647</v>
      </c>
      <c r="AP29" s="267">
        <v>0.66</v>
      </c>
      <c r="AQ29" s="216" t="s">
        <v>827</v>
      </c>
      <c r="AR29" s="216" t="s">
        <v>645</v>
      </c>
      <c r="AS29" s="264">
        <v>0.66</v>
      </c>
      <c r="AT29" s="218"/>
      <c r="AU29" s="218" t="s">
        <v>618</v>
      </c>
      <c r="AV29" s="217" t="s">
        <v>615</v>
      </c>
      <c r="AW29" s="217" t="s">
        <v>615</v>
      </c>
      <c r="AX29" s="217" t="s">
        <v>615</v>
      </c>
      <c r="AY29" s="216"/>
    </row>
    <row r="30" spans="1:51" s="148" customFormat="1" ht="114.75" x14ac:dyDescent="0.25">
      <c r="A30" s="430"/>
      <c r="B30" s="396"/>
      <c r="C30" s="415"/>
      <c r="D30" s="429"/>
      <c r="E30" s="405"/>
      <c r="F30" s="405"/>
      <c r="G30" s="405"/>
      <c r="H30" s="407"/>
      <c r="I30" s="405"/>
      <c r="J30" s="413"/>
      <c r="K30" s="420"/>
      <c r="L30" s="426"/>
      <c r="M30" s="428"/>
      <c r="N30" s="137" t="s">
        <v>523</v>
      </c>
      <c r="O30" s="420"/>
      <c r="P30" s="426"/>
      <c r="Q30" s="423"/>
      <c r="R30" s="126">
        <v>3</v>
      </c>
      <c r="S30" s="95" t="s">
        <v>236</v>
      </c>
      <c r="T30" s="127" t="s">
        <v>4</v>
      </c>
      <c r="U30" s="128" t="s">
        <v>14</v>
      </c>
      <c r="V30" s="128" t="s">
        <v>9</v>
      </c>
      <c r="W30" s="129" t="s">
        <v>652</v>
      </c>
      <c r="X30" s="128" t="s">
        <v>19</v>
      </c>
      <c r="Y30" s="128" t="s">
        <v>22</v>
      </c>
      <c r="Z30" s="128" t="s">
        <v>110</v>
      </c>
      <c r="AA30" s="130">
        <f>IFERROR(IF(T30="Probabilidad",(AA29-(+AA29*W30)),IF(T30="Impacto",L30,"")),"")</f>
        <v>0.17279999999999998</v>
      </c>
      <c r="AB30" s="131" t="str">
        <f t="shared" si="47"/>
        <v>Muy Baja</v>
      </c>
      <c r="AC30" s="132">
        <f t="shared" si="48"/>
        <v>0.17279999999999998</v>
      </c>
      <c r="AD30" s="131" t="str">
        <f t="shared" si="49"/>
        <v>Leve</v>
      </c>
      <c r="AE30" s="132">
        <f t="shared" ref="AE30" si="53">IFERROR(IF(T30="Impacto",(P30-(+P30*W30)),IF(T30="Probabilidad",P30,"")),"")</f>
        <v>0</v>
      </c>
      <c r="AF30" s="133" t="str">
        <f t="shared" si="51"/>
        <v>Bajo</v>
      </c>
      <c r="AG30" s="134" t="s">
        <v>122</v>
      </c>
      <c r="AH30" s="95" t="s">
        <v>233</v>
      </c>
      <c r="AI30" s="227" t="s">
        <v>213</v>
      </c>
      <c r="AJ30" s="124">
        <v>44562</v>
      </c>
      <c r="AK30" s="124" t="s">
        <v>386</v>
      </c>
      <c r="AL30" s="116" t="s">
        <v>232</v>
      </c>
      <c r="AM30" s="123"/>
      <c r="AN30" s="225" t="s">
        <v>648</v>
      </c>
      <c r="AO30" s="221" t="s">
        <v>649</v>
      </c>
      <c r="AP30" s="267">
        <v>0.66</v>
      </c>
      <c r="AQ30" s="216" t="s">
        <v>827</v>
      </c>
      <c r="AR30" s="216" t="s">
        <v>645</v>
      </c>
      <c r="AS30" s="264">
        <v>0.66</v>
      </c>
      <c r="AT30" s="218"/>
      <c r="AU30" s="218" t="s">
        <v>618</v>
      </c>
      <c r="AV30" s="217" t="s">
        <v>615</v>
      </c>
      <c r="AW30" s="217" t="s">
        <v>615</v>
      </c>
      <c r="AX30" s="217" t="s">
        <v>615</v>
      </c>
      <c r="AY30" s="216" t="s">
        <v>790</v>
      </c>
    </row>
    <row r="31" spans="1:51" s="148" customFormat="1" ht="151.5" customHeight="1" x14ac:dyDescent="0.25">
      <c r="A31" s="430">
        <v>9</v>
      </c>
      <c r="B31" s="394" t="s">
        <v>226</v>
      </c>
      <c r="C31" s="414" t="s">
        <v>220</v>
      </c>
      <c r="D31" s="414" t="s">
        <v>221</v>
      </c>
      <c r="E31" s="404" t="s">
        <v>120</v>
      </c>
      <c r="F31" s="404" t="s">
        <v>545</v>
      </c>
      <c r="G31" s="404" t="s">
        <v>234</v>
      </c>
      <c r="H31" s="406" t="s">
        <v>235</v>
      </c>
      <c r="I31" s="404" t="s">
        <v>333</v>
      </c>
      <c r="J31" s="412">
        <v>1460</v>
      </c>
      <c r="K31" s="418" t="str">
        <f>IF(J31&lt;=0,"",IF(J31&lt;=2,"Muy Baja",IF(J31&lt;=24,"Baja",IF(J31&lt;=500,"Media",IF(J31&lt;=5000,"Alta","Muy Alta")))))</f>
        <v>Alta</v>
      </c>
      <c r="L31" s="424">
        <f>IF(K31="","",IF(K31="Muy Baja",0.2,IF(K31="Baja",0.4,IF(K31="Media",0.6,IF(K31="Alta",0.8,IF(K31="Muy Alta",1,))))))</f>
        <v>0.8</v>
      </c>
      <c r="M31" s="427" t="s">
        <v>516</v>
      </c>
      <c r="N31" s="125" t="str">
        <f ca="1">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418" t="str">
        <f ca="1">IF(OR(N31='Tabla Impacto'!$C$11,N31='Tabla Impacto'!$D$11),"Leve",IF(OR(N31='Tabla Impacto'!$C$12,N31='Tabla Impacto'!$D$12),"Menor",IF(OR(N31='Tabla Impacto'!$C$13,N31='Tabla Impacto'!$D$13),"Moderado",IF(OR(N31='Tabla Impacto'!$C$14,N31='Tabla Impacto'!$D$14),"Mayor",IF(OR(N31='Tabla Impacto'!$C$15,N31='Tabla Impacto'!$D$15),"Catastrófico","")))))</f>
        <v>Moderado</v>
      </c>
      <c r="P31" s="424">
        <f ca="1">IF(O31="","",IF(O31="Leve",0.2,IF(O31="Menor",0.4,IF(O31="Moderado",0.6,IF(O31="Mayor",0.8,IF(O31="Catastrófico",1,))))))</f>
        <v>0.6</v>
      </c>
      <c r="Q31" s="421"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26">
        <v>1</v>
      </c>
      <c r="S31" s="95" t="s">
        <v>229</v>
      </c>
      <c r="T31" s="127" t="str">
        <f t="shared" si="45"/>
        <v>Probabilidad</v>
      </c>
      <c r="U31" s="128" t="s">
        <v>14</v>
      </c>
      <c r="V31" s="128" t="s">
        <v>9</v>
      </c>
      <c r="W31" s="129" t="str">
        <f t="shared" si="46"/>
        <v>40%</v>
      </c>
      <c r="X31" s="128" t="s">
        <v>19</v>
      </c>
      <c r="Y31" s="128" t="s">
        <v>23</v>
      </c>
      <c r="Z31" s="128" t="s">
        <v>110</v>
      </c>
      <c r="AA31" s="130">
        <f t="shared" si="52"/>
        <v>0.48</v>
      </c>
      <c r="AB31" s="131" t="str">
        <f t="shared" si="47"/>
        <v>Media</v>
      </c>
      <c r="AC31" s="132">
        <f t="shared" si="48"/>
        <v>0.48</v>
      </c>
      <c r="AD31" s="131" t="str">
        <f t="shared" ca="1" si="49"/>
        <v>Moderado</v>
      </c>
      <c r="AE31" s="132">
        <f t="shared" ca="1" si="50"/>
        <v>0.6</v>
      </c>
      <c r="AF31" s="133" t="str">
        <f t="shared" ca="1" si="51"/>
        <v>Moderado</v>
      </c>
      <c r="AG31" s="134" t="s">
        <v>122</v>
      </c>
      <c r="AH31" s="116" t="s">
        <v>238</v>
      </c>
      <c r="AI31" s="142" t="s">
        <v>213</v>
      </c>
      <c r="AJ31" s="124">
        <v>44562</v>
      </c>
      <c r="AK31" s="124" t="s">
        <v>386</v>
      </c>
      <c r="AL31" s="116" t="s">
        <v>237</v>
      </c>
      <c r="AM31" s="123"/>
      <c r="AN31" s="216" t="s">
        <v>828</v>
      </c>
      <c r="AO31" s="221" t="s">
        <v>644</v>
      </c>
      <c r="AP31" s="268">
        <v>0.51</v>
      </c>
      <c r="AQ31" s="226" t="s">
        <v>650</v>
      </c>
      <c r="AR31" s="216" t="s">
        <v>651</v>
      </c>
      <c r="AS31" s="264">
        <v>0.66</v>
      </c>
      <c r="AT31" s="218"/>
      <c r="AU31" s="218" t="s">
        <v>618</v>
      </c>
      <c r="AV31" s="217" t="s">
        <v>615</v>
      </c>
      <c r="AW31" s="217" t="s">
        <v>615</v>
      </c>
      <c r="AX31" s="217" t="s">
        <v>615</v>
      </c>
      <c r="AY31" s="216"/>
    </row>
    <row r="32" spans="1:51" s="148" customFormat="1" ht="151.5" customHeight="1" x14ac:dyDescent="0.25">
      <c r="A32" s="430"/>
      <c r="B32" s="395"/>
      <c r="C32" s="415"/>
      <c r="D32" s="429"/>
      <c r="E32" s="405"/>
      <c r="F32" s="405"/>
      <c r="G32" s="405"/>
      <c r="H32" s="407"/>
      <c r="I32" s="405"/>
      <c r="J32" s="413"/>
      <c r="K32" s="419"/>
      <c r="L32" s="425"/>
      <c r="M32" s="428"/>
      <c r="N32" s="137"/>
      <c r="O32" s="419"/>
      <c r="P32" s="425"/>
      <c r="Q32" s="422"/>
      <c r="R32" s="126">
        <v>2</v>
      </c>
      <c r="S32" s="95" t="s">
        <v>230</v>
      </c>
      <c r="T32" s="127" t="str">
        <f t="shared" si="45"/>
        <v>Probabilidad</v>
      </c>
      <c r="U32" s="128" t="s">
        <v>14</v>
      </c>
      <c r="V32" s="128" t="s">
        <v>9</v>
      </c>
      <c r="W32" s="129" t="str">
        <f t="shared" si="46"/>
        <v>40%</v>
      </c>
      <c r="X32" s="128" t="s">
        <v>19</v>
      </c>
      <c r="Y32" s="128" t="s">
        <v>23</v>
      </c>
      <c r="Z32" s="128" t="s">
        <v>111</v>
      </c>
      <c r="AA32" s="130">
        <f>IFERROR(IF(T32="Probabilidad",(AA31-(+AA31*W32)),IF(T32="Impacto",L32,"")),"")</f>
        <v>0.28799999999999998</v>
      </c>
      <c r="AB32" s="131" t="str">
        <f t="shared" si="47"/>
        <v>Baja</v>
      </c>
      <c r="AC32" s="132">
        <f t="shared" si="48"/>
        <v>0.28799999999999998</v>
      </c>
      <c r="AD32" s="131" t="str">
        <f t="shared" si="49"/>
        <v>Moderado</v>
      </c>
      <c r="AE32" s="132">
        <v>0.6</v>
      </c>
      <c r="AF32" s="133" t="str">
        <f t="shared" si="51"/>
        <v>Moderado</v>
      </c>
      <c r="AG32" s="134" t="s">
        <v>122</v>
      </c>
      <c r="AH32" s="116" t="s">
        <v>238</v>
      </c>
      <c r="AI32" s="142" t="s">
        <v>213</v>
      </c>
      <c r="AJ32" s="124">
        <v>44562</v>
      </c>
      <c r="AK32" s="124" t="s">
        <v>386</v>
      </c>
      <c r="AL32" s="116" t="s">
        <v>237</v>
      </c>
      <c r="AM32" s="123"/>
      <c r="AN32" s="225" t="s">
        <v>646</v>
      </c>
      <c r="AO32" s="221" t="s">
        <v>829</v>
      </c>
      <c r="AP32" s="268">
        <v>0.66</v>
      </c>
      <c r="AQ32" s="226" t="s">
        <v>650</v>
      </c>
      <c r="AR32" s="216" t="s">
        <v>651</v>
      </c>
      <c r="AS32" s="264">
        <v>0.66</v>
      </c>
      <c r="AT32" s="218"/>
      <c r="AU32" s="218" t="s">
        <v>618</v>
      </c>
      <c r="AV32" s="217" t="s">
        <v>615</v>
      </c>
      <c r="AW32" s="217" t="s">
        <v>615</v>
      </c>
      <c r="AX32" s="217" t="s">
        <v>615</v>
      </c>
      <c r="AY32" s="216"/>
    </row>
    <row r="33" spans="1:51" s="148" customFormat="1" ht="151.5" customHeight="1" x14ac:dyDescent="0.25">
      <c r="A33" s="430"/>
      <c r="B33" s="396"/>
      <c r="C33" s="415"/>
      <c r="D33" s="429"/>
      <c r="E33" s="405"/>
      <c r="F33" s="405"/>
      <c r="G33" s="405"/>
      <c r="H33" s="407"/>
      <c r="I33" s="405"/>
      <c r="J33" s="413"/>
      <c r="K33" s="420"/>
      <c r="L33" s="426"/>
      <c r="M33" s="428"/>
      <c r="N33" s="137"/>
      <c r="O33" s="420"/>
      <c r="P33" s="426"/>
      <c r="Q33" s="423"/>
      <c r="R33" s="126">
        <v>3</v>
      </c>
      <c r="S33" s="95" t="s">
        <v>236</v>
      </c>
      <c r="T33" s="127" t="str">
        <f t="shared" si="45"/>
        <v>Probabilidad</v>
      </c>
      <c r="U33" s="128" t="s">
        <v>15</v>
      </c>
      <c r="V33" s="128" t="s">
        <v>9</v>
      </c>
      <c r="W33" s="129" t="str">
        <f t="shared" si="46"/>
        <v>30%</v>
      </c>
      <c r="X33" s="128" t="s">
        <v>19</v>
      </c>
      <c r="Y33" s="128" t="s">
        <v>22</v>
      </c>
      <c r="Z33" s="128" t="s">
        <v>110</v>
      </c>
      <c r="AA33" s="130">
        <f>IFERROR(IF(T33="Probabilidad",(AA32-(+AA32*W33)),IF(T33="Impacto",L33,"")),"")</f>
        <v>0.2016</v>
      </c>
      <c r="AB33" s="131" t="str">
        <f t="shared" si="47"/>
        <v>Baja</v>
      </c>
      <c r="AC33" s="132">
        <f t="shared" si="48"/>
        <v>0.2016</v>
      </c>
      <c r="AD33" s="131" t="str">
        <f t="shared" si="49"/>
        <v>Moderado</v>
      </c>
      <c r="AE33" s="132">
        <v>0.6</v>
      </c>
      <c r="AF33" s="133" t="str">
        <f t="shared" si="51"/>
        <v>Moderado</v>
      </c>
      <c r="AG33" s="134" t="s">
        <v>122</v>
      </c>
      <c r="AH33" s="116" t="s">
        <v>238</v>
      </c>
      <c r="AI33" s="142" t="s">
        <v>213</v>
      </c>
      <c r="AJ33" s="124">
        <v>44562</v>
      </c>
      <c r="AK33" s="124" t="s">
        <v>386</v>
      </c>
      <c r="AL33" s="116" t="s">
        <v>237</v>
      </c>
      <c r="AM33" s="123"/>
      <c r="AN33" s="225" t="s">
        <v>648</v>
      </c>
      <c r="AO33" s="221" t="s">
        <v>649</v>
      </c>
      <c r="AP33" s="268">
        <v>0.66</v>
      </c>
      <c r="AQ33" s="226" t="s">
        <v>650</v>
      </c>
      <c r="AR33" s="216" t="s">
        <v>651</v>
      </c>
      <c r="AS33" s="264">
        <v>0.66</v>
      </c>
      <c r="AT33" s="218"/>
      <c r="AU33" s="218" t="s">
        <v>618</v>
      </c>
      <c r="AV33" s="217" t="s">
        <v>615</v>
      </c>
      <c r="AW33" s="217" t="s">
        <v>615</v>
      </c>
      <c r="AX33" s="217" t="s">
        <v>615</v>
      </c>
      <c r="AY33" s="216"/>
    </row>
    <row r="34" spans="1:51" s="148" customFormat="1" ht="341.25" customHeight="1" x14ac:dyDescent="0.25">
      <c r="A34" s="430">
        <v>10</v>
      </c>
      <c r="B34" s="394" t="s">
        <v>239</v>
      </c>
      <c r="C34" s="414" t="s">
        <v>365</v>
      </c>
      <c r="D34" s="414" t="s">
        <v>396</v>
      </c>
      <c r="E34" s="404" t="s">
        <v>118</v>
      </c>
      <c r="F34" s="417" t="s">
        <v>374</v>
      </c>
      <c r="G34" s="417" t="s">
        <v>375</v>
      </c>
      <c r="H34" s="406" t="s">
        <v>582</v>
      </c>
      <c r="I34" s="404" t="s">
        <v>115</v>
      </c>
      <c r="J34" s="412">
        <v>20</v>
      </c>
      <c r="K34" s="418" t="str">
        <f>IF(J34&lt;=0,"",IF(J34&lt;=2,"Muy Baja",IF(J34&lt;=24,"Baja",IF(J34&lt;=500,"Media",IF(J34&lt;=5000,"Alta","Muy Alta")))))</f>
        <v>Baja</v>
      </c>
      <c r="L34" s="424">
        <f>IF(K34="","",IF(K34="Muy Baja",0.2,IF(K34="Baja",0.4,IF(K34="Media",0.6,IF(K34="Alta",0.8,IF(K34="Muy Alta",1,))))))</f>
        <v>0.4</v>
      </c>
      <c r="M34" s="427" t="s">
        <v>523</v>
      </c>
      <c r="N34" s="125" t="str">
        <f ca="1">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418" t="str">
        <f ca="1">IF(OR(N34='Tabla Impacto'!$C$11,N34='Tabla Impacto'!$D$11),"Leve",IF(OR(N34='Tabla Impacto'!$C$12,N34='Tabla Impacto'!$D$12),"Menor",IF(OR(N34='Tabla Impacto'!$C$13,N34='Tabla Impacto'!$D$13),"Moderado",IF(OR(N34='Tabla Impacto'!$C$14,N34='Tabla Impacto'!$D$14),"Mayor",IF(OR(N34='Tabla Impacto'!$C$15,N34='Tabla Impacto'!$D$15),"Catastrófico","")))))</f>
        <v>Mayor</v>
      </c>
      <c r="P34" s="424">
        <f ca="1">IF(O34="","",IF(O34="Leve",0.2,IF(O34="Menor",0.4,IF(O34="Moderado",0.6,IF(O34="Mayor",0.8,IF(O34="Catastrófico",1,))))))</f>
        <v>0.8</v>
      </c>
      <c r="Q34" s="421"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26">
        <v>1</v>
      </c>
      <c r="S34" s="95" t="s">
        <v>376</v>
      </c>
      <c r="T34" s="127" t="str">
        <f t="shared" si="45"/>
        <v>Probabilidad</v>
      </c>
      <c r="U34" s="128" t="s">
        <v>14</v>
      </c>
      <c r="V34" s="128" t="s">
        <v>9</v>
      </c>
      <c r="W34" s="129" t="str">
        <f t="shared" si="46"/>
        <v>40%</v>
      </c>
      <c r="X34" s="128" t="s">
        <v>19</v>
      </c>
      <c r="Y34" s="128" t="s">
        <v>22</v>
      </c>
      <c r="Z34" s="128" t="s">
        <v>110</v>
      </c>
      <c r="AA34" s="130">
        <f t="shared" si="52"/>
        <v>0.24</v>
      </c>
      <c r="AB34" s="131" t="str">
        <f t="shared" si="47"/>
        <v>Baja</v>
      </c>
      <c r="AC34" s="132">
        <f t="shared" si="48"/>
        <v>0.24</v>
      </c>
      <c r="AD34" s="131" t="str">
        <f t="shared" ca="1" si="49"/>
        <v>Mayor</v>
      </c>
      <c r="AE34" s="132">
        <f t="shared" ca="1" si="50"/>
        <v>0.8</v>
      </c>
      <c r="AF34" s="133" t="str">
        <f t="shared" ca="1" si="51"/>
        <v>Alto</v>
      </c>
      <c r="AG34" s="134" t="s">
        <v>122</v>
      </c>
      <c r="AH34" s="116" t="s">
        <v>377</v>
      </c>
      <c r="AI34" s="117" t="s">
        <v>241</v>
      </c>
      <c r="AJ34" s="124">
        <v>44562</v>
      </c>
      <c r="AK34" s="124" t="s">
        <v>386</v>
      </c>
      <c r="AL34" s="95" t="s">
        <v>378</v>
      </c>
      <c r="AM34" s="123"/>
      <c r="AN34" s="229" t="s">
        <v>791</v>
      </c>
      <c r="AO34" s="216" t="s">
        <v>830</v>
      </c>
      <c r="AP34" s="264">
        <v>0.66</v>
      </c>
      <c r="AQ34" s="216" t="s">
        <v>659</v>
      </c>
      <c r="AR34" s="216" t="s">
        <v>660</v>
      </c>
      <c r="AS34" s="264">
        <v>0.66</v>
      </c>
      <c r="AT34" s="216"/>
      <c r="AU34" s="218" t="s">
        <v>618</v>
      </c>
      <c r="AV34" s="217" t="s">
        <v>615</v>
      </c>
      <c r="AW34" s="217" t="s">
        <v>615</v>
      </c>
      <c r="AX34" s="217" t="s">
        <v>615</v>
      </c>
      <c r="AY34" s="216" t="s">
        <v>831</v>
      </c>
    </row>
    <row r="35" spans="1:51" s="148" customFormat="1" ht="151.5" hidden="1" customHeight="1" x14ac:dyDescent="0.25">
      <c r="A35" s="430"/>
      <c r="B35" s="395"/>
      <c r="C35" s="429"/>
      <c r="D35" s="429"/>
      <c r="E35" s="405"/>
      <c r="F35" s="405"/>
      <c r="G35" s="405"/>
      <c r="H35" s="407"/>
      <c r="I35" s="405"/>
      <c r="J35" s="413"/>
      <c r="K35" s="419"/>
      <c r="L35" s="425"/>
      <c r="M35" s="428"/>
      <c r="N35" s="137"/>
      <c r="O35" s="419"/>
      <c r="P35" s="425"/>
      <c r="Q35" s="422"/>
      <c r="R35" s="126">
        <v>2</v>
      </c>
      <c r="S35" s="95"/>
      <c r="T35" s="127" t="str">
        <f t="shared" si="45"/>
        <v/>
      </c>
      <c r="U35" s="128"/>
      <c r="V35" s="128"/>
      <c r="W35" s="129"/>
      <c r="X35" s="128"/>
      <c r="Y35" s="128"/>
      <c r="Z35" s="128"/>
      <c r="AA35" s="130" t="str">
        <f>IFERROR(IF(T35="Probabilidad",(AA34-(+AA34*W35)),IF(T35="Impacto",L35,"")),"")</f>
        <v/>
      </c>
      <c r="AB35" s="131" t="str">
        <f t="shared" si="47"/>
        <v/>
      </c>
      <c r="AC35" s="132" t="str">
        <f t="shared" si="48"/>
        <v/>
      </c>
      <c r="AD35" s="131" t="str">
        <f t="shared" si="49"/>
        <v/>
      </c>
      <c r="AE35" s="132" t="str">
        <f t="shared" si="50"/>
        <v/>
      </c>
      <c r="AF35" s="133" t="str">
        <f t="shared" si="51"/>
        <v/>
      </c>
      <c r="AG35" s="134"/>
      <c r="AH35" s="95"/>
      <c r="AI35" s="123"/>
      <c r="AJ35" s="135"/>
      <c r="AK35" s="135"/>
      <c r="AL35" s="95"/>
      <c r="AM35" s="123"/>
      <c r="AN35" s="216"/>
      <c r="AO35" s="216"/>
      <c r="AP35" s="264"/>
      <c r="AQ35" s="216"/>
      <c r="AR35" s="216"/>
      <c r="AS35" s="264"/>
      <c r="AT35" s="218"/>
      <c r="AU35" s="218"/>
      <c r="AV35" s="217" t="s">
        <v>615</v>
      </c>
      <c r="AW35" s="217" t="s">
        <v>615</v>
      </c>
      <c r="AX35" s="217" t="s">
        <v>615</v>
      </c>
      <c r="AY35" s="216"/>
    </row>
    <row r="36" spans="1:51" s="148" customFormat="1" ht="151.5" hidden="1" customHeight="1" x14ac:dyDescent="0.25">
      <c r="A36" s="430"/>
      <c r="B36" s="396"/>
      <c r="C36" s="429"/>
      <c r="D36" s="429"/>
      <c r="E36" s="405"/>
      <c r="F36" s="405"/>
      <c r="G36" s="405"/>
      <c r="H36" s="407"/>
      <c r="I36" s="405"/>
      <c r="J36" s="413"/>
      <c r="K36" s="420"/>
      <c r="L36" s="426"/>
      <c r="M36" s="428"/>
      <c r="N36" s="137"/>
      <c r="O36" s="420"/>
      <c r="P36" s="426"/>
      <c r="Q36" s="423"/>
      <c r="R36" s="126">
        <v>3</v>
      </c>
      <c r="S36" s="95"/>
      <c r="T36" s="127" t="str">
        <f t="shared" si="45"/>
        <v/>
      </c>
      <c r="U36" s="128"/>
      <c r="V36" s="128"/>
      <c r="W36" s="129"/>
      <c r="X36" s="128"/>
      <c r="Y36" s="128"/>
      <c r="Z36" s="128"/>
      <c r="AA36" s="130" t="str">
        <f>IFERROR(IF(T36="Probabilidad",(AA35-(+AA35*W36)),IF(T36="Impacto",L36,"")),"")</f>
        <v/>
      </c>
      <c r="AB36" s="131" t="str">
        <f t="shared" si="47"/>
        <v/>
      </c>
      <c r="AC36" s="132" t="str">
        <f t="shared" si="48"/>
        <v/>
      </c>
      <c r="AD36" s="131" t="str">
        <f t="shared" si="49"/>
        <v/>
      </c>
      <c r="AE36" s="132" t="str">
        <f t="shared" si="50"/>
        <v/>
      </c>
      <c r="AF36" s="133" t="str">
        <f t="shared" si="51"/>
        <v/>
      </c>
      <c r="AG36" s="134"/>
      <c r="AH36" s="95"/>
      <c r="AI36" s="123"/>
      <c r="AJ36" s="135"/>
      <c r="AK36" s="135"/>
      <c r="AL36" s="95"/>
      <c r="AM36" s="123"/>
      <c r="AN36" s="216"/>
      <c r="AO36" s="216"/>
      <c r="AP36" s="264"/>
      <c r="AQ36" s="216"/>
      <c r="AR36" s="216"/>
      <c r="AS36" s="264"/>
      <c r="AT36" s="218"/>
      <c r="AU36" s="218"/>
      <c r="AV36" s="217" t="s">
        <v>615</v>
      </c>
      <c r="AW36" s="217" t="s">
        <v>615</v>
      </c>
      <c r="AX36" s="217" t="s">
        <v>615</v>
      </c>
      <c r="AY36" s="216"/>
    </row>
    <row r="37" spans="1:51" s="148" customFormat="1" ht="230.25" customHeight="1" x14ac:dyDescent="0.25">
      <c r="A37" s="430">
        <v>11</v>
      </c>
      <c r="B37" s="394" t="s">
        <v>239</v>
      </c>
      <c r="C37" s="414" t="s">
        <v>365</v>
      </c>
      <c r="D37" s="414" t="s">
        <v>396</v>
      </c>
      <c r="E37" s="404" t="s">
        <v>120</v>
      </c>
      <c r="F37" s="417" t="s">
        <v>379</v>
      </c>
      <c r="G37" s="417" t="s">
        <v>375</v>
      </c>
      <c r="H37" s="406" t="s">
        <v>240</v>
      </c>
      <c r="I37" s="404" t="s">
        <v>115</v>
      </c>
      <c r="J37" s="412">
        <v>20</v>
      </c>
      <c r="K37" s="418" t="str">
        <f>IF(J37&lt;=0,"",IF(J37&lt;=2,"Muy Baja",IF(J37&lt;=24,"Baja",IF(J37&lt;=500,"Media",IF(J37&lt;=5000,"Alta","Muy Alta")))))</f>
        <v>Baja</v>
      </c>
      <c r="L37" s="424">
        <f>IF(K37="","",IF(K37="Muy Baja",0.2,IF(K37="Baja",0.4,IF(K37="Media",0.6,IF(K37="Alta",0.8,IF(K37="Muy Alta",1,))))))</f>
        <v>0.4</v>
      </c>
      <c r="M37" s="427" t="s">
        <v>516</v>
      </c>
      <c r="N37" s="125"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418" t="str">
        <f ca="1">IF(OR(N37='Tabla Impacto'!$C$11,N37='Tabla Impacto'!$D$11),"Leve",IF(OR(N37='Tabla Impacto'!$C$12,N37='Tabla Impacto'!$D$12),"Menor",IF(OR(N37='Tabla Impacto'!$C$13,N37='Tabla Impacto'!$D$13),"Moderado",IF(OR(N37='Tabla Impacto'!$C$14,N37='Tabla Impacto'!$D$14),"Mayor",IF(OR(N37='Tabla Impacto'!$C$15,N37='Tabla Impacto'!$D$15),"Catastrófico","")))))</f>
        <v>Moderado</v>
      </c>
      <c r="P37" s="424">
        <f ca="1">IF(O37="","",IF(O37="Leve",0.2,IF(O37="Menor",0.4,IF(O37="Moderado",0.6,IF(O37="Mayor",0.8,IF(O37="Catastrófico",1,))))))</f>
        <v>0.6</v>
      </c>
      <c r="Q37" s="421"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26">
        <v>1</v>
      </c>
      <c r="S37" s="95" t="s">
        <v>583</v>
      </c>
      <c r="T37" s="127" t="str">
        <f t="shared" si="45"/>
        <v>Probabilidad</v>
      </c>
      <c r="U37" s="128" t="s">
        <v>14</v>
      </c>
      <c r="V37" s="128" t="s">
        <v>9</v>
      </c>
      <c r="W37" s="129" t="str">
        <f t="shared" si="46"/>
        <v>40%</v>
      </c>
      <c r="X37" s="128" t="s">
        <v>19</v>
      </c>
      <c r="Y37" s="128" t="s">
        <v>22</v>
      </c>
      <c r="Z37" s="128" t="s">
        <v>110</v>
      </c>
      <c r="AA37" s="130">
        <f t="shared" si="52"/>
        <v>0.24</v>
      </c>
      <c r="AB37" s="131" t="str">
        <f t="shared" si="47"/>
        <v>Baja</v>
      </c>
      <c r="AC37" s="132">
        <f t="shared" si="48"/>
        <v>0.24</v>
      </c>
      <c r="AD37" s="131" t="str">
        <f t="shared" ca="1" si="49"/>
        <v>Moderado</v>
      </c>
      <c r="AE37" s="132">
        <f t="shared" ca="1" si="50"/>
        <v>0.6</v>
      </c>
      <c r="AF37" s="133" t="str">
        <f t="shared" ca="1" si="51"/>
        <v>Moderado</v>
      </c>
      <c r="AG37" s="134" t="s">
        <v>122</v>
      </c>
      <c r="AH37" s="95" t="s">
        <v>380</v>
      </c>
      <c r="AI37" s="123" t="s">
        <v>241</v>
      </c>
      <c r="AJ37" s="124">
        <v>44562</v>
      </c>
      <c r="AK37" s="124" t="s">
        <v>386</v>
      </c>
      <c r="AL37" s="95" t="s">
        <v>378</v>
      </c>
      <c r="AM37" s="123"/>
      <c r="AN37" s="216" t="s">
        <v>661</v>
      </c>
      <c r="AO37" s="216" t="s">
        <v>832</v>
      </c>
      <c r="AP37" s="264">
        <v>0.66</v>
      </c>
      <c r="AQ37" s="216" t="s">
        <v>662</v>
      </c>
      <c r="AR37" s="216" t="s">
        <v>663</v>
      </c>
      <c r="AS37" s="264">
        <v>0.66</v>
      </c>
      <c r="AT37" s="216"/>
      <c r="AU37" s="218" t="s">
        <v>618</v>
      </c>
      <c r="AV37" s="217" t="s">
        <v>615</v>
      </c>
      <c r="AW37" s="217" t="s">
        <v>615</v>
      </c>
      <c r="AX37" s="217" t="s">
        <v>615</v>
      </c>
      <c r="AY37" s="216"/>
    </row>
    <row r="38" spans="1:51" s="148" customFormat="1" ht="151.5" hidden="1" customHeight="1" x14ac:dyDescent="0.25">
      <c r="A38" s="430"/>
      <c r="B38" s="395"/>
      <c r="C38" s="429"/>
      <c r="D38" s="429"/>
      <c r="E38" s="405"/>
      <c r="F38" s="405"/>
      <c r="G38" s="405"/>
      <c r="H38" s="407"/>
      <c r="I38" s="405"/>
      <c r="J38" s="413"/>
      <c r="K38" s="419"/>
      <c r="L38" s="425"/>
      <c r="M38" s="428"/>
      <c r="N38" s="137"/>
      <c r="O38" s="419"/>
      <c r="P38" s="425"/>
      <c r="Q38" s="422"/>
      <c r="R38" s="126">
        <v>2</v>
      </c>
      <c r="S38" s="95"/>
      <c r="T38" s="127" t="str">
        <f t="shared" si="45"/>
        <v/>
      </c>
      <c r="U38" s="128"/>
      <c r="V38" s="128"/>
      <c r="W38" s="129"/>
      <c r="X38" s="128"/>
      <c r="Y38" s="128"/>
      <c r="Z38" s="128"/>
      <c r="AA38" s="130" t="str">
        <f>IFERROR(IF(T38="Probabilidad",(AA37-(+AA37*W38)),IF(T38="Impacto",L38,"")),"")</f>
        <v/>
      </c>
      <c r="AB38" s="131" t="str">
        <f t="shared" si="47"/>
        <v/>
      </c>
      <c r="AC38" s="132" t="str">
        <f t="shared" si="48"/>
        <v/>
      </c>
      <c r="AD38" s="131" t="str">
        <f t="shared" si="49"/>
        <v/>
      </c>
      <c r="AE38" s="132" t="str">
        <f t="shared" si="50"/>
        <v/>
      </c>
      <c r="AF38" s="133" t="str">
        <f t="shared" si="51"/>
        <v/>
      </c>
      <c r="AG38" s="134"/>
      <c r="AH38" s="95"/>
      <c r="AI38" s="123"/>
      <c r="AJ38" s="135"/>
      <c r="AK38" s="135"/>
      <c r="AL38" s="95"/>
      <c r="AM38" s="123"/>
      <c r="AN38" s="216"/>
      <c r="AO38" s="216"/>
      <c r="AP38" s="264"/>
      <c r="AQ38" s="216"/>
      <c r="AR38" s="216"/>
      <c r="AS38" s="264"/>
      <c r="AT38" s="218"/>
      <c r="AU38" s="218"/>
      <c r="AV38" s="217" t="s">
        <v>615</v>
      </c>
      <c r="AW38" s="217" t="s">
        <v>615</v>
      </c>
      <c r="AX38" s="217" t="s">
        <v>615</v>
      </c>
      <c r="AY38" s="216"/>
    </row>
    <row r="39" spans="1:51" s="148" customFormat="1" ht="151.5" hidden="1" customHeight="1" x14ac:dyDescent="0.25">
      <c r="A39" s="432"/>
      <c r="B39" s="396"/>
      <c r="C39" s="429"/>
      <c r="D39" s="429"/>
      <c r="E39" s="405"/>
      <c r="F39" s="405"/>
      <c r="G39" s="405"/>
      <c r="H39" s="407"/>
      <c r="I39" s="405"/>
      <c r="J39" s="413"/>
      <c r="K39" s="420"/>
      <c r="L39" s="426"/>
      <c r="M39" s="428"/>
      <c r="N39" s="137"/>
      <c r="O39" s="420"/>
      <c r="P39" s="426"/>
      <c r="Q39" s="423"/>
      <c r="R39" s="126">
        <v>3</v>
      </c>
      <c r="S39" s="95"/>
      <c r="T39" s="127" t="str">
        <f t="shared" si="45"/>
        <v/>
      </c>
      <c r="U39" s="128"/>
      <c r="V39" s="128"/>
      <c r="W39" s="129"/>
      <c r="X39" s="128"/>
      <c r="Y39" s="128"/>
      <c r="Z39" s="128"/>
      <c r="AA39" s="130" t="str">
        <f>IFERROR(IF(T39="Probabilidad",(AA38-(+AA38*W39)),IF(T39="Impacto",L39,"")),"")</f>
        <v/>
      </c>
      <c r="AB39" s="131" t="str">
        <f t="shared" si="47"/>
        <v/>
      </c>
      <c r="AC39" s="132" t="str">
        <f t="shared" si="48"/>
        <v/>
      </c>
      <c r="AD39" s="131" t="str">
        <f t="shared" si="49"/>
        <v/>
      </c>
      <c r="AE39" s="132" t="str">
        <f t="shared" si="50"/>
        <v/>
      </c>
      <c r="AF39" s="133" t="str">
        <f t="shared" si="51"/>
        <v/>
      </c>
      <c r="AG39" s="134"/>
      <c r="AH39" s="95"/>
      <c r="AI39" s="123"/>
      <c r="AJ39" s="135"/>
      <c r="AK39" s="135"/>
      <c r="AL39" s="95"/>
      <c r="AM39" s="123"/>
      <c r="AN39" s="216"/>
      <c r="AO39" s="216"/>
      <c r="AP39" s="264"/>
      <c r="AQ39" s="216"/>
      <c r="AR39" s="216"/>
      <c r="AS39" s="264"/>
      <c r="AT39" s="218"/>
      <c r="AU39" s="218"/>
      <c r="AV39" s="217" t="s">
        <v>615</v>
      </c>
      <c r="AW39" s="217" t="s">
        <v>615</v>
      </c>
      <c r="AX39" s="217" t="s">
        <v>615</v>
      </c>
      <c r="AY39" s="216"/>
    </row>
    <row r="40" spans="1:51" s="148" customFormat="1" ht="183.75" customHeight="1" x14ac:dyDescent="0.25">
      <c r="A40" s="431">
        <v>12</v>
      </c>
      <c r="B40" s="394" t="s">
        <v>239</v>
      </c>
      <c r="C40" s="414" t="s">
        <v>365</v>
      </c>
      <c r="D40" s="414" t="s">
        <v>396</v>
      </c>
      <c r="E40" s="404" t="s">
        <v>120</v>
      </c>
      <c r="F40" s="405" t="s">
        <v>459</v>
      </c>
      <c r="G40" s="405" t="s">
        <v>460</v>
      </c>
      <c r="H40" s="406" t="s">
        <v>461</v>
      </c>
      <c r="I40" s="404" t="s">
        <v>333</v>
      </c>
      <c r="J40" s="412">
        <v>2</v>
      </c>
      <c r="K40" s="418" t="str">
        <f>IF(J40&lt;=0,"",IF(J40&lt;=2,"Muy Baja",IF(J40&lt;=24,"Baja",IF(J40&lt;=500,"Media",IF(J40&lt;=5000,"Alta","Muy Alta")))))</f>
        <v>Muy Baja</v>
      </c>
      <c r="L40" s="424">
        <f>IF(K40="","",IF(K40="Muy Baja",0.2,IF(K40="Baja",0.4,IF(K40="Media",0.6,IF(K40="Alta",0.8,IF(K40="Muy Alta",1,))))))</f>
        <v>0.2</v>
      </c>
      <c r="M40" s="427" t="s">
        <v>516</v>
      </c>
      <c r="N40" s="125"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418" t="str">
        <f ca="1">IF(OR(N40='Tabla Impacto'!$C$11,N40='Tabla Impacto'!$D$11),"Leve",IF(OR(N40='Tabla Impacto'!$C$12,N40='Tabla Impacto'!$D$12),"Menor",IF(OR(N40='Tabla Impacto'!$C$13,N40='Tabla Impacto'!$D$13),"Moderado",IF(OR(N40='Tabla Impacto'!$C$14,N40='Tabla Impacto'!$D$14),"Mayor",IF(OR(N40='Tabla Impacto'!$C$15,N40='Tabla Impacto'!$D$15),"Catastrófico","")))))</f>
        <v>Moderado</v>
      </c>
      <c r="P40" s="424">
        <f ca="1">IF(O40="","",IF(O40="Leve",0.2,IF(O40="Menor",0.4,IF(O40="Moderado",0.6,IF(O40="Mayor",0.8,IF(O40="Catastrófico",1,))))))</f>
        <v>0.6</v>
      </c>
      <c r="Q40" s="421"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26">
        <v>1</v>
      </c>
      <c r="S40" s="95" t="s">
        <v>381</v>
      </c>
      <c r="T40" s="127" t="str">
        <f t="shared" si="45"/>
        <v>Probabilidad</v>
      </c>
      <c r="U40" s="128" t="s">
        <v>14</v>
      </c>
      <c r="V40" s="128" t="s">
        <v>9</v>
      </c>
      <c r="W40" s="129" t="str">
        <f t="shared" si="46"/>
        <v>40%</v>
      </c>
      <c r="X40" s="128" t="s">
        <v>19</v>
      </c>
      <c r="Y40" s="128" t="s">
        <v>22</v>
      </c>
      <c r="Z40" s="128" t="s">
        <v>110</v>
      </c>
      <c r="AA40" s="130">
        <f t="shared" si="52"/>
        <v>0.12</v>
      </c>
      <c r="AB40" s="131" t="str">
        <f t="shared" si="47"/>
        <v>Muy Baja</v>
      </c>
      <c r="AC40" s="132">
        <f t="shared" si="48"/>
        <v>0.12</v>
      </c>
      <c r="AD40" s="131" t="str">
        <f t="shared" ca="1" si="49"/>
        <v>Moderado</v>
      </c>
      <c r="AE40" s="132">
        <f t="shared" ca="1" si="50"/>
        <v>0.6</v>
      </c>
      <c r="AF40" s="133" t="str">
        <f t="shared" ca="1" si="51"/>
        <v>Moderado</v>
      </c>
      <c r="AG40" s="134" t="s">
        <v>122</v>
      </c>
      <c r="AH40" s="95" t="s">
        <v>382</v>
      </c>
      <c r="AI40" s="123" t="s">
        <v>241</v>
      </c>
      <c r="AJ40" s="124">
        <v>44562</v>
      </c>
      <c r="AK40" s="124" t="s">
        <v>386</v>
      </c>
      <c r="AL40" s="95" t="s">
        <v>383</v>
      </c>
      <c r="AM40" s="123"/>
      <c r="AN40" s="216" t="s">
        <v>664</v>
      </c>
      <c r="AO40" s="216" t="s">
        <v>665</v>
      </c>
      <c r="AP40" s="264">
        <v>0.66</v>
      </c>
      <c r="AQ40" s="216" t="s">
        <v>666</v>
      </c>
      <c r="AR40" s="216" t="s">
        <v>667</v>
      </c>
      <c r="AS40" s="264">
        <v>0.66</v>
      </c>
      <c r="AT40" s="216"/>
      <c r="AU40" s="218" t="s">
        <v>618</v>
      </c>
      <c r="AV40" s="217" t="s">
        <v>615</v>
      </c>
      <c r="AW40" s="217" t="s">
        <v>615</v>
      </c>
      <c r="AX40" s="217" t="s">
        <v>615</v>
      </c>
      <c r="AY40" s="216"/>
    </row>
    <row r="41" spans="1:51" s="148" customFormat="1" ht="151.5" hidden="1" customHeight="1" x14ac:dyDescent="0.25">
      <c r="A41" s="430"/>
      <c r="B41" s="395"/>
      <c r="C41" s="429"/>
      <c r="D41" s="429"/>
      <c r="E41" s="405"/>
      <c r="F41" s="405" t="s">
        <v>242</v>
      </c>
      <c r="G41" s="405" t="s">
        <v>243</v>
      </c>
      <c r="H41" s="407"/>
      <c r="I41" s="405"/>
      <c r="J41" s="413"/>
      <c r="K41" s="419"/>
      <c r="L41" s="425"/>
      <c r="M41" s="428"/>
      <c r="N41" s="137"/>
      <c r="O41" s="419"/>
      <c r="P41" s="425"/>
      <c r="Q41" s="422"/>
      <c r="R41" s="126">
        <v>2</v>
      </c>
      <c r="S41" s="95"/>
      <c r="T41" s="127" t="str">
        <f t="shared" si="45"/>
        <v/>
      </c>
      <c r="U41" s="128"/>
      <c r="V41" s="128"/>
      <c r="W41" s="129"/>
      <c r="X41" s="128"/>
      <c r="Y41" s="128"/>
      <c r="Z41" s="128"/>
      <c r="AA41" s="130"/>
      <c r="AB41" s="131"/>
      <c r="AC41" s="132"/>
      <c r="AD41" s="131"/>
      <c r="AE41" s="132"/>
      <c r="AF41" s="133"/>
      <c r="AG41" s="134"/>
      <c r="AH41" s="95"/>
      <c r="AI41" s="123"/>
      <c r="AJ41" s="135"/>
      <c r="AK41" s="135"/>
      <c r="AL41" s="95"/>
      <c r="AM41" s="123"/>
      <c r="AN41" s="216"/>
      <c r="AO41" s="216"/>
      <c r="AP41" s="264"/>
      <c r="AQ41" s="216"/>
      <c r="AR41" s="216"/>
      <c r="AS41" s="264"/>
      <c r="AT41" s="218"/>
      <c r="AU41" s="218"/>
      <c r="AV41" s="217" t="s">
        <v>615</v>
      </c>
      <c r="AW41" s="217" t="s">
        <v>615</v>
      </c>
      <c r="AX41" s="217" t="s">
        <v>615</v>
      </c>
      <c r="AY41" s="216"/>
    </row>
    <row r="42" spans="1:51" s="148" customFormat="1" ht="151.5" hidden="1" customHeight="1" x14ac:dyDescent="0.25">
      <c r="A42" s="430"/>
      <c r="B42" s="396"/>
      <c r="C42" s="429"/>
      <c r="D42" s="429"/>
      <c r="E42" s="405"/>
      <c r="F42" s="405" t="s">
        <v>242</v>
      </c>
      <c r="G42" s="405" t="s">
        <v>243</v>
      </c>
      <c r="H42" s="407"/>
      <c r="I42" s="405"/>
      <c r="J42" s="413"/>
      <c r="K42" s="420"/>
      <c r="L42" s="426"/>
      <c r="M42" s="428"/>
      <c r="N42" s="137"/>
      <c r="O42" s="420"/>
      <c r="P42" s="426"/>
      <c r="Q42" s="423"/>
      <c r="R42" s="126">
        <v>3</v>
      </c>
      <c r="S42" s="95"/>
      <c r="T42" s="127" t="str">
        <f t="shared" si="45"/>
        <v/>
      </c>
      <c r="U42" s="128"/>
      <c r="V42" s="128"/>
      <c r="W42" s="129"/>
      <c r="X42" s="128"/>
      <c r="Y42" s="128"/>
      <c r="Z42" s="128"/>
      <c r="AA42" s="130"/>
      <c r="AB42" s="131"/>
      <c r="AC42" s="132"/>
      <c r="AD42" s="131"/>
      <c r="AE42" s="132"/>
      <c r="AF42" s="133"/>
      <c r="AG42" s="134"/>
      <c r="AH42" s="95"/>
      <c r="AI42" s="123"/>
      <c r="AJ42" s="135"/>
      <c r="AK42" s="135"/>
      <c r="AL42" s="95"/>
      <c r="AM42" s="123"/>
      <c r="AN42" s="216"/>
      <c r="AO42" s="216"/>
      <c r="AP42" s="264"/>
      <c r="AQ42" s="216"/>
      <c r="AR42" s="216"/>
      <c r="AS42" s="264"/>
      <c r="AT42" s="218"/>
      <c r="AU42" s="218"/>
      <c r="AV42" s="217" t="s">
        <v>615</v>
      </c>
      <c r="AW42" s="217" t="s">
        <v>615</v>
      </c>
      <c r="AX42" s="217" t="s">
        <v>615</v>
      </c>
      <c r="AY42" s="216"/>
    </row>
    <row r="43" spans="1:51" s="148" customFormat="1" ht="151.5" customHeight="1" x14ac:dyDescent="0.25">
      <c r="A43" s="430">
        <v>13</v>
      </c>
      <c r="B43" s="394" t="s">
        <v>244</v>
      </c>
      <c r="C43" s="414" t="s">
        <v>398</v>
      </c>
      <c r="D43" s="414" t="s">
        <v>251</v>
      </c>
      <c r="E43" s="404" t="s">
        <v>120</v>
      </c>
      <c r="F43" s="417" t="s">
        <v>245</v>
      </c>
      <c r="G43" s="417" t="s">
        <v>246</v>
      </c>
      <c r="H43" s="406" t="s">
        <v>397</v>
      </c>
      <c r="I43" s="404" t="s">
        <v>333</v>
      </c>
      <c r="J43" s="412">
        <v>12</v>
      </c>
      <c r="K43" s="418" t="str">
        <f>IF(J43&lt;=0,"",IF(J43&lt;=2,"Muy Baja",IF(J43&lt;=24,"Baja",IF(J43&lt;=500,"Media",IF(J43&lt;=5000,"Alta","Muy Alta")))))</f>
        <v>Baja</v>
      </c>
      <c r="L43" s="424">
        <f>IF(K43="","",IF(K43="Muy Baja",0.2,IF(K43="Baja",0.4,IF(K43="Media",0.6,IF(K43="Alta",0.8,IF(K43="Muy Alta",1,))))))</f>
        <v>0.4</v>
      </c>
      <c r="M43" s="427" t="s">
        <v>516</v>
      </c>
      <c r="N43" s="125"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418" t="str">
        <f ca="1">IF(OR(N43='Tabla Impacto'!$C$11,N43='Tabla Impacto'!$D$11),"Leve",IF(OR(N43='Tabla Impacto'!$C$12,N43='Tabla Impacto'!$D$12),"Menor",IF(OR(N43='Tabla Impacto'!$C$13,N43='Tabla Impacto'!$D$13),"Moderado",IF(OR(N43='Tabla Impacto'!$C$14,N43='Tabla Impacto'!$D$14),"Mayor",IF(OR(N43='Tabla Impacto'!$C$15,N43='Tabla Impacto'!$D$15),"Catastrófico","")))))</f>
        <v>Moderado</v>
      </c>
      <c r="P43" s="424">
        <f ca="1">IF(O43="","",IF(O43="Leve",0.2,IF(O43="Menor",0.4,IF(O43="Moderado",0.6,IF(O43="Mayor",0.8,IF(O43="Catastrófico",1,))))))</f>
        <v>0.6</v>
      </c>
      <c r="Q43" s="421"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26">
        <v>1</v>
      </c>
      <c r="S43" s="95" t="s">
        <v>247</v>
      </c>
      <c r="T43" s="127" t="str">
        <f t="shared" si="45"/>
        <v>Probabilidad</v>
      </c>
      <c r="U43" s="128" t="s">
        <v>14</v>
      </c>
      <c r="V43" s="128" t="s">
        <v>9</v>
      </c>
      <c r="W43" s="129" t="str">
        <f t="shared" si="46"/>
        <v>40%</v>
      </c>
      <c r="X43" s="128" t="s">
        <v>19</v>
      </c>
      <c r="Y43" s="128" t="s">
        <v>22</v>
      </c>
      <c r="Z43" s="128" t="s">
        <v>110</v>
      </c>
      <c r="AA43" s="130">
        <f t="shared" si="52"/>
        <v>0.24</v>
      </c>
      <c r="AB43" s="131" t="str">
        <f t="shared" si="47"/>
        <v>Baja</v>
      </c>
      <c r="AC43" s="132">
        <f t="shared" si="48"/>
        <v>0.24</v>
      </c>
      <c r="AD43" s="131" t="str">
        <f t="shared" ca="1" si="49"/>
        <v>Moderado</v>
      </c>
      <c r="AE43" s="132">
        <f t="shared" ca="1" si="50"/>
        <v>0.6</v>
      </c>
      <c r="AF43" s="133" t="str">
        <f t="shared" ca="1" si="51"/>
        <v>Moderado</v>
      </c>
      <c r="AG43" s="134" t="s">
        <v>122</v>
      </c>
      <c r="AH43" s="95" t="s">
        <v>248</v>
      </c>
      <c r="AI43" s="123" t="s">
        <v>204</v>
      </c>
      <c r="AJ43" s="135">
        <v>44562</v>
      </c>
      <c r="AK43" s="135">
        <v>44926</v>
      </c>
      <c r="AL43" s="95" t="s">
        <v>249</v>
      </c>
      <c r="AM43" s="123"/>
      <c r="AN43" s="216" t="s">
        <v>792</v>
      </c>
      <c r="AO43" s="216" t="s">
        <v>668</v>
      </c>
      <c r="AP43" s="264">
        <v>0.66</v>
      </c>
      <c r="AQ43" s="216" t="s">
        <v>833</v>
      </c>
      <c r="AR43" s="216" t="s">
        <v>834</v>
      </c>
      <c r="AS43" s="264">
        <v>0.66</v>
      </c>
      <c r="AT43" s="218"/>
      <c r="AU43" s="218" t="s">
        <v>618</v>
      </c>
      <c r="AV43" s="217" t="s">
        <v>615</v>
      </c>
      <c r="AW43" s="217" t="s">
        <v>615</v>
      </c>
      <c r="AX43" s="217" t="s">
        <v>615</v>
      </c>
      <c r="AY43" s="216"/>
    </row>
    <row r="44" spans="1:51" s="148" customFormat="1" ht="151.5" customHeight="1" x14ac:dyDescent="0.25">
      <c r="A44" s="430"/>
      <c r="B44" s="395"/>
      <c r="C44" s="429"/>
      <c r="D44" s="415"/>
      <c r="E44" s="405"/>
      <c r="F44" s="405"/>
      <c r="G44" s="405"/>
      <c r="H44" s="407"/>
      <c r="I44" s="405"/>
      <c r="J44" s="413"/>
      <c r="K44" s="419"/>
      <c r="L44" s="425"/>
      <c r="M44" s="428"/>
      <c r="N44" s="137"/>
      <c r="O44" s="419"/>
      <c r="P44" s="425"/>
      <c r="Q44" s="422"/>
      <c r="R44" s="126">
        <v>2</v>
      </c>
      <c r="S44" s="95" t="s">
        <v>206</v>
      </c>
      <c r="T44" s="127" t="str">
        <f t="shared" si="45"/>
        <v>Probabilidad</v>
      </c>
      <c r="U44" s="128" t="s">
        <v>14</v>
      </c>
      <c r="V44" s="128" t="s">
        <v>9</v>
      </c>
      <c r="W44" s="129" t="str">
        <f t="shared" si="46"/>
        <v>40%</v>
      </c>
      <c r="X44" s="128" t="s">
        <v>19</v>
      </c>
      <c r="Y44" s="128" t="s">
        <v>22</v>
      </c>
      <c r="Z44" s="128" t="s">
        <v>110</v>
      </c>
      <c r="AA44" s="143">
        <f>IFERROR(IF(T44="Probabilidad",(AA43-(+AA43*W44)),IF(T44="Impacto",L44,"")),"")</f>
        <v>0.14399999999999999</v>
      </c>
      <c r="AB44" s="131" t="str">
        <f t="shared" si="47"/>
        <v>Muy Baja</v>
      </c>
      <c r="AC44" s="132">
        <f t="shared" si="48"/>
        <v>0.14399999999999999</v>
      </c>
      <c r="AD44" s="131" t="str">
        <f t="shared" si="49"/>
        <v>Moderado</v>
      </c>
      <c r="AE44" s="132">
        <v>0.6</v>
      </c>
      <c r="AF44" s="133" t="str">
        <f t="shared" si="51"/>
        <v>Moderado</v>
      </c>
      <c r="AG44" s="134" t="s">
        <v>122</v>
      </c>
      <c r="AH44" s="95" t="s">
        <v>250</v>
      </c>
      <c r="AI44" s="123" t="s">
        <v>204</v>
      </c>
      <c r="AJ44" s="135">
        <v>44562</v>
      </c>
      <c r="AK44" s="135">
        <v>44926</v>
      </c>
      <c r="AL44" s="95" t="s">
        <v>249</v>
      </c>
      <c r="AM44" s="123"/>
      <c r="AN44" s="216" t="s">
        <v>835</v>
      </c>
      <c r="AO44" s="216" t="s">
        <v>669</v>
      </c>
      <c r="AP44" s="264">
        <v>0.66</v>
      </c>
      <c r="AQ44" s="216" t="s">
        <v>833</v>
      </c>
      <c r="AR44" s="216" t="s">
        <v>834</v>
      </c>
      <c r="AS44" s="264">
        <v>0.66</v>
      </c>
      <c r="AT44" s="218"/>
      <c r="AU44" s="218" t="s">
        <v>618</v>
      </c>
      <c r="AV44" s="217" t="s">
        <v>615</v>
      </c>
      <c r="AW44" s="217" t="s">
        <v>615</v>
      </c>
      <c r="AX44" s="217" t="s">
        <v>615</v>
      </c>
      <c r="AY44" s="216"/>
    </row>
    <row r="45" spans="1:51" s="148" customFormat="1" ht="151.5" hidden="1" customHeight="1" x14ac:dyDescent="0.25">
      <c r="A45" s="430"/>
      <c r="B45" s="396"/>
      <c r="C45" s="429"/>
      <c r="D45" s="415"/>
      <c r="E45" s="405"/>
      <c r="F45" s="405"/>
      <c r="G45" s="405"/>
      <c r="H45" s="407"/>
      <c r="I45" s="405"/>
      <c r="J45" s="413"/>
      <c r="K45" s="420"/>
      <c r="L45" s="426"/>
      <c r="M45" s="428"/>
      <c r="N45" s="137"/>
      <c r="O45" s="420"/>
      <c r="P45" s="426"/>
      <c r="Q45" s="423"/>
      <c r="R45" s="126">
        <v>3</v>
      </c>
      <c r="S45" s="95"/>
      <c r="T45" s="127" t="str">
        <f t="shared" si="45"/>
        <v/>
      </c>
      <c r="U45" s="128"/>
      <c r="V45" s="128"/>
      <c r="W45" s="129"/>
      <c r="X45" s="128"/>
      <c r="Y45" s="128"/>
      <c r="Z45" s="128"/>
      <c r="AA45" s="130" t="str">
        <f>IFERROR(IF(T45="Probabilidad",(AA44-(+AA44*W45)),IF(T45="Impacto",L45,"")),"")</f>
        <v/>
      </c>
      <c r="AB45" s="131" t="str">
        <f t="shared" si="47"/>
        <v/>
      </c>
      <c r="AC45" s="132" t="str">
        <f t="shared" si="48"/>
        <v/>
      </c>
      <c r="AD45" s="131" t="str">
        <f t="shared" si="49"/>
        <v/>
      </c>
      <c r="AE45" s="132" t="str">
        <f t="shared" si="50"/>
        <v/>
      </c>
      <c r="AF45" s="133" t="str">
        <f t="shared" si="51"/>
        <v/>
      </c>
      <c r="AG45" s="134"/>
      <c r="AH45" s="95"/>
      <c r="AI45" s="123"/>
      <c r="AJ45" s="135"/>
      <c r="AK45" s="135"/>
      <c r="AL45" s="95"/>
      <c r="AM45" s="123"/>
      <c r="AN45" s="216"/>
      <c r="AO45" s="216"/>
      <c r="AP45" s="264"/>
      <c r="AQ45" s="216"/>
      <c r="AR45" s="216"/>
      <c r="AS45" s="264"/>
      <c r="AT45" s="218"/>
      <c r="AU45" s="218"/>
      <c r="AV45" s="217" t="s">
        <v>615</v>
      </c>
      <c r="AW45" s="217" t="s">
        <v>615</v>
      </c>
      <c r="AX45" s="217" t="s">
        <v>615</v>
      </c>
      <c r="AY45" s="216"/>
    </row>
    <row r="46" spans="1:51" s="148" customFormat="1" ht="151.5" customHeight="1" x14ac:dyDescent="0.25">
      <c r="A46" s="430">
        <v>14</v>
      </c>
      <c r="B46" s="394" t="s">
        <v>244</v>
      </c>
      <c r="C46" s="414" t="s">
        <v>398</v>
      </c>
      <c r="D46" s="414" t="s">
        <v>251</v>
      </c>
      <c r="E46" s="404" t="s">
        <v>120</v>
      </c>
      <c r="F46" s="404" t="s">
        <v>252</v>
      </c>
      <c r="G46" s="417" t="s">
        <v>253</v>
      </c>
      <c r="H46" s="406" t="s">
        <v>254</v>
      </c>
      <c r="I46" s="404" t="s">
        <v>333</v>
      </c>
      <c r="J46" s="412">
        <v>900</v>
      </c>
      <c r="K46" s="418" t="str">
        <f>IF(J46&lt;=0,"",IF(J46&lt;=2,"Muy Baja",IF(J46&lt;=24,"Baja",IF(J46&lt;=500,"Media",IF(J46&lt;=5000,"Alta","Muy Alta")))))</f>
        <v>Alta</v>
      </c>
      <c r="L46" s="424">
        <f>IF(K46="","",IF(K46="Muy Baja",0.2,IF(K46="Baja",0.4,IF(K46="Media",0.6,IF(K46="Alta",0.8,IF(K46="Muy Alta",1,))))))</f>
        <v>0.8</v>
      </c>
      <c r="M46" s="427" t="s">
        <v>516</v>
      </c>
      <c r="N46" s="125"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418" t="str">
        <f ca="1">IF(OR(N46='Tabla Impacto'!$C$11,N46='Tabla Impacto'!$D$11),"Leve",IF(OR(N46='Tabla Impacto'!$C$12,N46='Tabla Impacto'!$D$12),"Menor",IF(OR(N46='Tabla Impacto'!$C$13,N46='Tabla Impacto'!$D$13),"Moderado",IF(OR(N46='Tabla Impacto'!$C$14,N46='Tabla Impacto'!$D$14),"Mayor",IF(OR(N46='Tabla Impacto'!$C$15,N46='Tabla Impacto'!$D$15),"Catastrófico","")))))</f>
        <v>Moderado</v>
      </c>
      <c r="P46" s="424">
        <f ca="1">IF(O46="","",IF(O46="Leve",0.2,IF(O46="Menor",0.4,IF(O46="Moderado",0.6,IF(O46="Mayor",0.8,IF(O46="Catastrófico",1,))))))</f>
        <v>0.6</v>
      </c>
      <c r="Q46" s="421"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26">
        <v>1</v>
      </c>
      <c r="S46" s="95" t="s">
        <v>255</v>
      </c>
      <c r="T46" s="127" t="str">
        <f t="shared" ref="T46:T48" si="54">IF(OR(U46="Preventivo",U46="Detectivo"),"Probabilidad",IF(U46="Correctivo","Impacto",""))</f>
        <v>Probabilidad</v>
      </c>
      <c r="U46" s="128" t="s">
        <v>14</v>
      </c>
      <c r="V46" s="128" t="s">
        <v>9</v>
      </c>
      <c r="W46" s="129" t="str">
        <f t="shared" ref="W46" si="55">IF(AND(U46="Preventivo",V46="Automático"),"50%",IF(AND(U46="Preventivo",V46="Manual"),"40%",IF(AND(U46="Detectivo",V46="Automático"),"40%",IF(AND(U46="Detectivo",V46="Manual"),"30%",IF(AND(U46="Correctivo",V46="Automático"),"35%",IF(AND(U46="Correctivo",V46="Manual"),"25%",""))))))</f>
        <v>40%</v>
      </c>
      <c r="X46" s="128" t="s">
        <v>19</v>
      </c>
      <c r="Y46" s="128" t="s">
        <v>22</v>
      </c>
      <c r="Z46" s="128" t="s">
        <v>110</v>
      </c>
      <c r="AA46" s="130">
        <f t="shared" ref="AA46" si="56">IFERROR(IF(T46="Probabilidad",(L46-(+L46*W46)),IF(T46="Impacto",L46,"")),"")</f>
        <v>0.48</v>
      </c>
      <c r="AB46" s="131" t="str">
        <f t="shared" ref="AB46:AB48" si="57">IFERROR(IF(AA46="","",IF(AA46&lt;=0.2,"Muy Baja",IF(AA46&lt;=0.4,"Baja",IF(AA46&lt;=0.6,"Media",IF(AA46&lt;=0.8,"Alta","Muy Alta"))))),"")</f>
        <v>Media</v>
      </c>
      <c r="AC46" s="132">
        <f t="shared" ref="AC46:AC48" si="58">+AA46</f>
        <v>0.48</v>
      </c>
      <c r="AD46" s="131" t="str">
        <f t="shared" ref="AD46:AD48" ca="1" si="59">IFERROR(IF(AE46="","",IF(AE46&lt;=0.2,"Leve",IF(AE46&lt;=0.4,"Menor",IF(AE46&lt;=0.6,"Moderado",IF(AE46&lt;=0.8,"Mayor","Catastrófico"))))),"")</f>
        <v>Moderado</v>
      </c>
      <c r="AE46" s="132">
        <f t="shared" ref="AE46:AE48" ca="1" si="60">IFERROR(IF(T46="Impacto",(P46-(+P46*W46)),IF(T46="Probabilidad",P46,"")),"")</f>
        <v>0.6</v>
      </c>
      <c r="AF46" s="133" t="str">
        <f t="shared" ref="AF46:AF48" ca="1" si="61">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34" t="s">
        <v>122</v>
      </c>
      <c r="AH46" s="95" t="s">
        <v>256</v>
      </c>
      <c r="AI46" s="123" t="s">
        <v>204</v>
      </c>
      <c r="AJ46" s="135">
        <v>44562</v>
      </c>
      <c r="AK46" s="135">
        <v>44926</v>
      </c>
      <c r="AL46" s="95" t="s">
        <v>257</v>
      </c>
      <c r="AM46" s="123"/>
      <c r="AN46" s="216" t="s">
        <v>794</v>
      </c>
      <c r="AO46" s="216" t="s">
        <v>795</v>
      </c>
      <c r="AP46" s="264">
        <v>0.51</v>
      </c>
      <c r="AQ46" s="216" t="s">
        <v>670</v>
      </c>
      <c r="AR46" s="216" t="s">
        <v>671</v>
      </c>
      <c r="AS46" s="264">
        <v>0.66</v>
      </c>
      <c r="AT46" s="218"/>
      <c r="AU46" s="218" t="s">
        <v>618</v>
      </c>
      <c r="AV46" s="217" t="s">
        <v>615</v>
      </c>
      <c r="AW46" s="217" t="s">
        <v>615</v>
      </c>
      <c r="AX46" s="217" t="s">
        <v>615</v>
      </c>
      <c r="AY46" s="216" t="s">
        <v>793</v>
      </c>
    </row>
    <row r="47" spans="1:51" s="148" customFormat="1" ht="151.5" hidden="1" customHeight="1" x14ac:dyDescent="0.25">
      <c r="A47" s="430"/>
      <c r="B47" s="395"/>
      <c r="C47" s="429"/>
      <c r="D47" s="415"/>
      <c r="E47" s="405"/>
      <c r="F47" s="405"/>
      <c r="G47" s="405"/>
      <c r="H47" s="407"/>
      <c r="I47" s="405"/>
      <c r="J47" s="413"/>
      <c r="K47" s="419"/>
      <c r="L47" s="425"/>
      <c r="M47" s="428"/>
      <c r="N47" s="137"/>
      <c r="O47" s="419"/>
      <c r="P47" s="425"/>
      <c r="Q47" s="422"/>
      <c r="R47" s="126">
        <v>2</v>
      </c>
      <c r="S47" s="95"/>
      <c r="T47" s="127" t="str">
        <f t="shared" si="54"/>
        <v/>
      </c>
      <c r="U47" s="128"/>
      <c r="V47" s="128"/>
      <c r="W47" s="129"/>
      <c r="X47" s="128"/>
      <c r="Y47" s="128"/>
      <c r="Z47" s="128"/>
      <c r="AA47" s="130" t="str">
        <f>IFERROR(IF(T47="Probabilidad",(AA46-(+AA46*W47)),IF(T47="Impacto",L47,"")),"")</f>
        <v/>
      </c>
      <c r="AB47" s="131" t="str">
        <f t="shared" si="57"/>
        <v/>
      </c>
      <c r="AC47" s="132" t="str">
        <f t="shared" si="58"/>
        <v/>
      </c>
      <c r="AD47" s="131" t="str">
        <f t="shared" si="59"/>
        <v/>
      </c>
      <c r="AE47" s="132" t="str">
        <f t="shared" si="60"/>
        <v/>
      </c>
      <c r="AF47" s="133" t="str">
        <f t="shared" si="61"/>
        <v/>
      </c>
      <c r="AG47" s="134"/>
      <c r="AH47" s="95"/>
      <c r="AI47" s="123"/>
      <c r="AJ47" s="135"/>
      <c r="AK47" s="135"/>
      <c r="AL47" s="95"/>
      <c r="AM47" s="123"/>
      <c r="AN47" s="216"/>
      <c r="AO47" s="216"/>
      <c r="AP47" s="264"/>
      <c r="AQ47" s="216"/>
      <c r="AR47" s="216"/>
      <c r="AS47" s="264"/>
      <c r="AT47" s="218"/>
      <c r="AU47" s="218"/>
      <c r="AV47" s="217" t="s">
        <v>615</v>
      </c>
      <c r="AW47" s="217" t="s">
        <v>615</v>
      </c>
      <c r="AX47" s="217" t="s">
        <v>615</v>
      </c>
      <c r="AY47" s="216"/>
    </row>
    <row r="48" spans="1:51" s="148" customFormat="1" ht="151.5" hidden="1" customHeight="1" x14ac:dyDescent="0.25">
      <c r="A48" s="430"/>
      <c r="B48" s="396"/>
      <c r="C48" s="429"/>
      <c r="D48" s="415"/>
      <c r="E48" s="405"/>
      <c r="F48" s="405"/>
      <c r="G48" s="405"/>
      <c r="H48" s="407"/>
      <c r="I48" s="405"/>
      <c r="J48" s="413"/>
      <c r="K48" s="420"/>
      <c r="L48" s="426"/>
      <c r="M48" s="428"/>
      <c r="N48" s="137"/>
      <c r="O48" s="420"/>
      <c r="P48" s="426"/>
      <c r="Q48" s="423"/>
      <c r="R48" s="126">
        <v>3</v>
      </c>
      <c r="S48" s="95"/>
      <c r="T48" s="127" t="str">
        <f t="shared" si="54"/>
        <v/>
      </c>
      <c r="U48" s="128"/>
      <c r="V48" s="128"/>
      <c r="W48" s="129"/>
      <c r="X48" s="128"/>
      <c r="Y48" s="128"/>
      <c r="Z48" s="128"/>
      <c r="AA48" s="130" t="str">
        <f>IFERROR(IF(T48="Probabilidad",(AA47-(+AA47*W48)),IF(T48="Impacto",L48,"")),"")</f>
        <v/>
      </c>
      <c r="AB48" s="131" t="str">
        <f t="shared" si="57"/>
        <v/>
      </c>
      <c r="AC48" s="132" t="str">
        <f t="shared" si="58"/>
        <v/>
      </c>
      <c r="AD48" s="131" t="str">
        <f t="shared" si="59"/>
        <v/>
      </c>
      <c r="AE48" s="132" t="str">
        <f t="shared" si="60"/>
        <v/>
      </c>
      <c r="AF48" s="133" t="str">
        <f t="shared" si="61"/>
        <v/>
      </c>
      <c r="AG48" s="134"/>
      <c r="AH48" s="95"/>
      <c r="AI48" s="123"/>
      <c r="AJ48" s="135"/>
      <c r="AK48" s="135"/>
      <c r="AL48" s="95"/>
      <c r="AM48" s="123"/>
      <c r="AN48" s="216"/>
      <c r="AO48" s="216"/>
      <c r="AP48" s="264"/>
      <c r="AQ48" s="216"/>
      <c r="AR48" s="216"/>
      <c r="AS48" s="264"/>
      <c r="AT48" s="218"/>
      <c r="AU48" s="218"/>
      <c r="AV48" s="217" t="s">
        <v>615</v>
      </c>
      <c r="AW48" s="217" t="s">
        <v>615</v>
      </c>
      <c r="AX48" s="217" t="s">
        <v>615</v>
      </c>
      <c r="AY48" s="216"/>
    </row>
    <row r="49" spans="1:51" s="148" customFormat="1" ht="151.5" customHeight="1" x14ac:dyDescent="0.25">
      <c r="A49" s="430">
        <v>15</v>
      </c>
      <c r="B49" s="394" t="s">
        <v>244</v>
      </c>
      <c r="C49" s="414" t="s">
        <v>398</v>
      </c>
      <c r="D49" s="414" t="s">
        <v>251</v>
      </c>
      <c r="E49" s="404" t="s">
        <v>118</v>
      </c>
      <c r="F49" s="404" t="s">
        <v>258</v>
      </c>
      <c r="G49" s="404" t="s">
        <v>259</v>
      </c>
      <c r="H49" s="406" t="s">
        <v>587</v>
      </c>
      <c r="I49" s="404" t="s">
        <v>115</v>
      </c>
      <c r="J49" s="412">
        <v>40</v>
      </c>
      <c r="K49" s="418" t="str">
        <f>IF(J49&lt;=0,"",IF(J49&lt;=2,"Muy Baja",IF(J49&lt;=24,"Baja",IF(J49&lt;=500,"Media",IF(J49&lt;=5000,"Alta","Muy Alta")))))</f>
        <v>Media</v>
      </c>
      <c r="L49" s="424">
        <f>IF(K49="","",IF(K49="Muy Baja",0.2,IF(K49="Baja",0.4,IF(K49="Media",0.6,IF(K49="Alta",0.8,IF(K49="Muy Alta",1,))))))</f>
        <v>0.6</v>
      </c>
      <c r="M49" s="427" t="s">
        <v>516</v>
      </c>
      <c r="N49" s="125" t="str">
        <f ca="1">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418" t="str">
        <f ca="1">IF(OR(N49='Tabla Impacto'!$C$11,N49='Tabla Impacto'!$D$11),"Leve",IF(OR(N49='Tabla Impacto'!$C$12,N49='Tabla Impacto'!$D$12),"Menor",IF(OR(N49='Tabla Impacto'!$C$13,N49='Tabla Impacto'!$D$13),"Moderado",IF(OR(N49='Tabla Impacto'!$C$14,N49='Tabla Impacto'!$D$14),"Mayor",IF(OR(N49='Tabla Impacto'!$C$15,N49='Tabla Impacto'!$D$15),"Catastrófico","")))))</f>
        <v>Moderado</v>
      </c>
      <c r="P49" s="424">
        <f ca="1">IF(O49="","",IF(O49="Leve",0.2,IF(O49="Menor",0.4,IF(O49="Moderado",0.6,IF(O49="Mayor",0.8,IF(O49="Catastrófico",1,))))))</f>
        <v>0.6</v>
      </c>
      <c r="Q49" s="421"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26">
        <v>1</v>
      </c>
      <c r="S49" s="95" t="s">
        <v>588</v>
      </c>
      <c r="T49" s="127" t="str">
        <f t="shared" si="25"/>
        <v>Probabilidad</v>
      </c>
      <c r="U49" s="128" t="s">
        <v>14</v>
      </c>
      <c r="V49" s="128" t="s">
        <v>9</v>
      </c>
      <c r="W49" s="129" t="str">
        <f t="shared" si="26"/>
        <v>40%</v>
      </c>
      <c r="X49" s="128" t="s">
        <v>19</v>
      </c>
      <c r="Y49" s="128" t="s">
        <v>22</v>
      </c>
      <c r="Z49" s="128" t="s">
        <v>110</v>
      </c>
      <c r="AA49" s="130">
        <f t="shared" si="27"/>
        <v>0.36</v>
      </c>
      <c r="AB49" s="131" t="str">
        <f t="shared" si="28"/>
        <v>Baja</v>
      </c>
      <c r="AC49" s="132">
        <f t="shared" si="29"/>
        <v>0.36</v>
      </c>
      <c r="AD49" s="131" t="str">
        <f t="shared" ca="1" si="30"/>
        <v>Moderado</v>
      </c>
      <c r="AE49" s="132">
        <f t="shared" ca="1" si="31"/>
        <v>0.6</v>
      </c>
      <c r="AF49" s="133" t="str">
        <f t="shared" ca="1" si="32"/>
        <v>Moderado</v>
      </c>
      <c r="AG49" s="134" t="s">
        <v>122</v>
      </c>
      <c r="AH49" s="122" t="s">
        <v>261</v>
      </c>
      <c r="AI49" s="123" t="s">
        <v>262</v>
      </c>
      <c r="AJ49" s="135">
        <v>44562</v>
      </c>
      <c r="AK49" s="135">
        <v>44926</v>
      </c>
      <c r="AL49" s="95" t="s">
        <v>257</v>
      </c>
      <c r="AM49" s="123"/>
      <c r="AN49" s="216" t="s">
        <v>672</v>
      </c>
      <c r="AO49" s="216" t="s">
        <v>796</v>
      </c>
      <c r="AP49" s="264">
        <v>0.66</v>
      </c>
      <c r="AQ49" s="216" t="s">
        <v>673</v>
      </c>
      <c r="AR49" s="216" t="s">
        <v>836</v>
      </c>
      <c r="AS49" s="264">
        <v>0.66</v>
      </c>
      <c r="AT49" s="218"/>
      <c r="AU49" s="218" t="s">
        <v>618</v>
      </c>
      <c r="AV49" s="217" t="s">
        <v>615</v>
      </c>
      <c r="AW49" s="217" t="s">
        <v>615</v>
      </c>
      <c r="AX49" s="217" t="s">
        <v>615</v>
      </c>
      <c r="AY49" s="216"/>
    </row>
    <row r="50" spans="1:51" s="148" customFormat="1" ht="151.5" hidden="1" customHeight="1" x14ac:dyDescent="0.25">
      <c r="A50" s="430"/>
      <c r="B50" s="395"/>
      <c r="C50" s="429"/>
      <c r="D50" s="415"/>
      <c r="E50" s="405"/>
      <c r="F50" s="405"/>
      <c r="G50" s="405"/>
      <c r="H50" s="407"/>
      <c r="I50" s="405"/>
      <c r="J50" s="413"/>
      <c r="K50" s="419"/>
      <c r="L50" s="425"/>
      <c r="M50" s="428"/>
      <c r="N50" s="137"/>
      <c r="O50" s="419"/>
      <c r="P50" s="425"/>
      <c r="Q50" s="422"/>
      <c r="R50" s="126">
        <v>2</v>
      </c>
      <c r="S50" s="95"/>
      <c r="T50" s="127" t="str">
        <f t="shared" ref="T50:T51" si="62">IF(OR(U50="Preventivo",U50="Detectivo"),"Probabilidad",IF(U50="Correctivo","Impacto",""))</f>
        <v/>
      </c>
      <c r="U50" s="128"/>
      <c r="V50" s="128"/>
      <c r="W50" s="129"/>
      <c r="X50" s="128"/>
      <c r="Y50" s="128"/>
      <c r="Z50" s="128"/>
      <c r="AA50" s="130" t="str">
        <f>IFERROR(IF(T50="Probabilidad",(AA49-(+AA49*W50)),IF(T50="Impacto",L50,"")),"")</f>
        <v/>
      </c>
      <c r="AB50" s="131" t="str">
        <f t="shared" ref="AB50:AB51" si="63">IFERROR(IF(AA50="","",IF(AA50&lt;=0.2,"Muy Baja",IF(AA50&lt;=0.4,"Baja",IF(AA50&lt;=0.6,"Media",IF(AA50&lt;=0.8,"Alta","Muy Alta"))))),"")</f>
        <v/>
      </c>
      <c r="AC50" s="132" t="str">
        <f t="shared" ref="AC50:AC51" si="64">+AA50</f>
        <v/>
      </c>
      <c r="AD50" s="131" t="str">
        <f t="shared" ref="AD50:AD51" si="65">IFERROR(IF(AE50="","",IF(AE50&lt;=0.2,"Leve",IF(AE50&lt;=0.4,"Menor",IF(AE50&lt;=0.6,"Moderado",IF(AE50&lt;=0.8,"Mayor","Catastrófico"))))),"")</f>
        <v/>
      </c>
      <c r="AE50" s="132" t="str">
        <f t="shared" ref="AE50:AE51" si="66">IFERROR(IF(T50="Impacto",(P50-(+P50*W50)),IF(T50="Probabilidad",P50,"")),"")</f>
        <v/>
      </c>
      <c r="AF50" s="133" t="str">
        <f t="shared" ref="AF50:AF51" si="67">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4"/>
      <c r="AH50" s="95"/>
      <c r="AI50" s="123"/>
      <c r="AJ50" s="135"/>
      <c r="AK50" s="135"/>
      <c r="AL50" s="95"/>
      <c r="AM50" s="123"/>
      <c r="AN50" s="216"/>
      <c r="AO50" s="216"/>
      <c r="AP50" s="264"/>
      <c r="AQ50" s="216"/>
      <c r="AR50" s="216"/>
      <c r="AS50" s="264"/>
      <c r="AT50" s="218"/>
      <c r="AU50" s="218"/>
      <c r="AV50" s="217" t="s">
        <v>615</v>
      </c>
      <c r="AW50" s="217" t="s">
        <v>615</v>
      </c>
      <c r="AX50" s="217" t="s">
        <v>615</v>
      </c>
      <c r="AY50" s="216"/>
    </row>
    <row r="51" spans="1:51" s="148" customFormat="1" ht="151.5" hidden="1" customHeight="1" x14ac:dyDescent="0.25">
      <c r="A51" s="430"/>
      <c r="B51" s="396"/>
      <c r="C51" s="429"/>
      <c r="D51" s="415"/>
      <c r="E51" s="405"/>
      <c r="F51" s="405"/>
      <c r="G51" s="405"/>
      <c r="H51" s="407"/>
      <c r="I51" s="405"/>
      <c r="J51" s="413"/>
      <c r="K51" s="420"/>
      <c r="L51" s="426"/>
      <c r="M51" s="428"/>
      <c r="N51" s="137"/>
      <c r="O51" s="420"/>
      <c r="P51" s="426"/>
      <c r="Q51" s="423"/>
      <c r="R51" s="126">
        <v>3</v>
      </c>
      <c r="S51" s="95"/>
      <c r="T51" s="127" t="str">
        <f t="shared" si="62"/>
        <v/>
      </c>
      <c r="U51" s="128"/>
      <c r="V51" s="128"/>
      <c r="W51" s="129"/>
      <c r="X51" s="128"/>
      <c r="Y51" s="128"/>
      <c r="Z51" s="128"/>
      <c r="AA51" s="130" t="str">
        <f>IFERROR(IF(T51="Probabilidad",(AA50-(+AA50*W51)),IF(T51="Impacto",L51,"")),"")</f>
        <v/>
      </c>
      <c r="AB51" s="131" t="str">
        <f t="shared" si="63"/>
        <v/>
      </c>
      <c r="AC51" s="132" t="str">
        <f t="shared" si="64"/>
        <v/>
      </c>
      <c r="AD51" s="131" t="str">
        <f t="shared" si="65"/>
        <v/>
      </c>
      <c r="AE51" s="132" t="str">
        <f t="shared" si="66"/>
        <v/>
      </c>
      <c r="AF51" s="133" t="str">
        <f t="shared" si="67"/>
        <v/>
      </c>
      <c r="AG51" s="134"/>
      <c r="AH51" s="95"/>
      <c r="AI51" s="123"/>
      <c r="AJ51" s="135"/>
      <c r="AK51" s="135"/>
      <c r="AL51" s="95"/>
      <c r="AM51" s="123"/>
      <c r="AN51" s="216"/>
      <c r="AO51" s="216"/>
      <c r="AP51" s="264"/>
      <c r="AQ51" s="216"/>
      <c r="AR51" s="216"/>
      <c r="AS51" s="264"/>
      <c r="AT51" s="218"/>
      <c r="AU51" s="218"/>
      <c r="AV51" s="217" t="s">
        <v>615</v>
      </c>
      <c r="AW51" s="217" t="s">
        <v>615</v>
      </c>
      <c r="AX51" s="217" t="s">
        <v>615</v>
      </c>
      <c r="AY51" s="216"/>
    </row>
    <row r="52" spans="1:51" s="148" customFormat="1" ht="151.5" customHeight="1" x14ac:dyDescent="0.25">
      <c r="A52" s="430">
        <v>16</v>
      </c>
      <c r="B52" s="394" t="s">
        <v>244</v>
      </c>
      <c r="C52" s="414" t="s">
        <v>398</v>
      </c>
      <c r="D52" s="414" t="s">
        <v>251</v>
      </c>
      <c r="E52" s="404" t="s">
        <v>120</v>
      </c>
      <c r="F52" s="404" t="s">
        <v>462</v>
      </c>
      <c r="G52" s="404" t="s">
        <v>264</v>
      </c>
      <c r="H52" s="406" t="s">
        <v>263</v>
      </c>
      <c r="I52" s="404" t="s">
        <v>333</v>
      </c>
      <c r="J52" s="412" t="s">
        <v>260</v>
      </c>
      <c r="K52" s="418" t="str">
        <f>IF(J52&lt;=0,"",IF(J52&lt;=2,"Muy Baja",IF(J52&lt;=24,"Baja",IF(J52&lt;=500,"Media",IF(J52&lt;=5000,"Alta","Muy Alta")))))</f>
        <v>Muy Alta</v>
      </c>
      <c r="L52" s="424">
        <f>IF(K52="","",IF(K52="Muy Baja",0.2,IF(K52="Baja",0.4,IF(K52="Media",0.6,IF(K52="Alta",0.8,IF(K52="Muy Alta",1,))))))</f>
        <v>1</v>
      </c>
      <c r="M52" s="427" t="s">
        <v>523</v>
      </c>
      <c r="N52" s="125" t="str">
        <f ca="1">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418" t="str">
        <f ca="1">IF(OR(N52='Tabla Impacto'!$C$11,N52='Tabla Impacto'!$D$11),"Leve",IF(OR(N52='Tabla Impacto'!$C$12,N52='Tabla Impacto'!$D$12),"Menor",IF(OR(N52='Tabla Impacto'!$C$13,N52='Tabla Impacto'!$D$13),"Moderado",IF(OR(N52='Tabla Impacto'!$C$14,N52='Tabla Impacto'!$D$14),"Mayor",IF(OR(N52='Tabla Impacto'!$C$15,N52='Tabla Impacto'!$D$15),"Catastrófico","")))))</f>
        <v>Mayor</v>
      </c>
      <c r="P52" s="424">
        <f ca="1">IF(O52="","",IF(O52="Leve",0.2,IF(O52="Menor",0.4,IF(O52="Moderado",0.6,IF(O52="Mayor",0.8,IF(O52="Catastrófico",1,))))))</f>
        <v>0.8</v>
      </c>
      <c r="Q52" s="421"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26">
        <v>1</v>
      </c>
      <c r="S52" s="95" t="s">
        <v>265</v>
      </c>
      <c r="T52" s="127" t="str">
        <f t="shared" ref="T52:T54" si="68">IF(OR(U52="Preventivo",U52="Detectivo"),"Probabilidad",IF(U52="Correctivo","Impacto",""))</f>
        <v>Probabilidad</v>
      </c>
      <c r="U52" s="128" t="s">
        <v>14</v>
      </c>
      <c r="V52" s="128" t="s">
        <v>9</v>
      </c>
      <c r="W52" s="129" t="str">
        <f t="shared" ref="W52" si="69">IF(AND(U52="Preventivo",V52="Automático"),"50%",IF(AND(U52="Preventivo",V52="Manual"),"40%",IF(AND(U52="Detectivo",V52="Automático"),"40%",IF(AND(U52="Detectivo",V52="Manual"),"30%",IF(AND(U52="Correctivo",V52="Automático"),"35%",IF(AND(U52="Correctivo",V52="Manual"),"25%",""))))))</f>
        <v>40%</v>
      </c>
      <c r="X52" s="128" t="s">
        <v>19</v>
      </c>
      <c r="Y52" s="128" t="s">
        <v>22</v>
      </c>
      <c r="Z52" s="128" t="s">
        <v>110</v>
      </c>
      <c r="AA52" s="130">
        <f t="shared" ref="AA52" si="70">IFERROR(IF(T52="Probabilidad",(L52-(+L52*W52)),IF(T52="Impacto",L52,"")),"")</f>
        <v>0.6</v>
      </c>
      <c r="AB52" s="131" t="str">
        <f t="shared" ref="AB52:AB54" si="71">IFERROR(IF(AA52="","",IF(AA52&lt;=0.2,"Muy Baja",IF(AA52&lt;=0.4,"Baja",IF(AA52&lt;=0.6,"Media",IF(AA52&lt;=0.8,"Alta","Muy Alta"))))),"")</f>
        <v>Media</v>
      </c>
      <c r="AC52" s="132">
        <f t="shared" ref="AC52:AC54" si="72">+AA52</f>
        <v>0.6</v>
      </c>
      <c r="AD52" s="131" t="str">
        <f t="shared" ref="AD52:AD54" ca="1" si="73">IFERROR(IF(AE52="","",IF(AE52&lt;=0.2,"Leve",IF(AE52&lt;=0.4,"Menor",IF(AE52&lt;=0.6,"Moderado",IF(AE52&lt;=0.8,"Mayor","Catastrófico"))))),"")</f>
        <v>Mayor</v>
      </c>
      <c r="AE52" s="132">
        <f t="shared" ref="AE52:AE54" ca="1" si="74">IFERROR(IF(T52="Impacto",(P52-(+P52*W52)),IF(T52="Probabilidad",P52,"")),"")</f>
        <v>0.8</v>
      </c>
      <c r="AF52" s="133" t="str">
        <f t="shared" ref="AF52:AF54" ca="1" si="75">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Alto</v>
      </c>
      <c r="AG52" s="134" t="s">
        <v>122</v>
      </c>
      <c r="AH52" s="95" t="s">
        <v>555</v>
      </c>
      <c r="AI52" s="123" t="s">
        <v>204</v>
      </c>
      <c r="AJ52" s="135">
        <v>44562</v>
      </c>
      <c r="AK52" s="135">
        <v>44926</v>
      </c>
      <c r="AL52" s="122" t="s">
        <v>266</v>
      </c>
      <c r="AM52" s="123"/>
      <c r="AN52" s="216" t="s">
        <v>837</v>
      </c>
      <c r="AO52" s="216" t="s">
        <v>674</v>
      </c>
      <c r="AP52" s="264">
        <v>0.66</v>
      </c>
      <c r="AQ52" s="216" t="s">
        <v>838</v>
      </c>
      <c r="AR52" s="216" t="s">
        <v>675</v>
      </c>
      <c r="AS52" s="264">
        <v>0.66</v>
      </c>
      <c r="AT52" s="218"/>
      <c r="AU52" s="218" t="s">
        <v>618</v>
      </c>
      <c r="AV52" s="217" t="s">
        <v>615</v>
      </c>
      <c r="AW52" s="217" t="s">
        <v>615</v>
      </c>
      <c r="AX52" s="217" t="s">
        <v>615</v>
      </c>
      <c r="AY52" s="216"/>
    </row>
    <row r="53" spans="1:51" s="148" customFormat="1" ht="151.5" hidden="1" customHeight="1" x14ac:dyDescent="0.25">
      <c r="A53" s="430"/>
      <c r="B53" s="395"/>
      <c r="C53" s="429"/>
      <c r="D53" s="415"/>
      <c r="E53" s="405"/>
      <c r="F53" s="405"/>
      <c r="G53" s="405"/>
      <c r="H53" s="407"/>
      <c r="I53" s="405"/>
      <c r="J53" s="413"/>
      <c r="K53" s="419"/>
      <c r="L53" s="425"/>
      <c r="M53" s="428"/>
      <c r="N53" s="137"/>
      <c r="O53" s="419"/>
      <c r="P53" s="425"/>
      <c r="Q53" s="422"/>
      <c r="R53" s="126">
        <v>2</v>
      </c>
      <c r="S53" s="95"/>
      <c r="T53" s="127" t="str">
        <f t="shared" si="68"/>
        <v/>
      </c>
      <c r="U53" s="128"/>
      <c r="V53" s="128"/>
      <c r="W53" s="129"/>
      <c r="X53" s="128"/>
      <c r="Y53" s="128"/>
      <c r="Z53" s="128"/>
      <c r="AA53" s="130" t="str">
        <f>IFERROR(IF(T53="Probabilidad",(AA52-(+AA52*W53)),IF(T53="Impacto",L53,"")),"")</f>
        <v/>
      </c>
      <c r="AB53" s="131" t="str">
        <f t="shared" si="71"/>
        <v/>
      </c>
      <c r="AC53" s="132" t="str">
        <f t="shared" si="72"/>
        <v/>
      </c>
      <c r="AD53" s="131" t="str">
        <f t="shared" si="73"/>
        <v/>
      </c>
      <c r="AE53" s="132" t="str">
        <f t="shared" si="74"/>
        <v/>
      </c>
      <c r="AF53" s="133" t="str">
        <f t="shared" si="75"/>
        <v/>
      </c>
      <c r="AG53" s="134"/>
      <c r="AH53" s="95"/>
      <c r="AI53" s="123"/>
      <c r="AJ53" s="135"/>
      <c r="AK53" s="135"/>
      <c r="AL53" s="95"/>
      <c r="AM53" s="123"/>
      <c r="AN53" s="216"/>
      <c r="AO53" s="216"/>
      <c r="AP53" s="264"/>
      <c r="AQ53" s="216"/>
      <c r="AR53" s="216"/>
      <c r="AS53" s="264"/>
      <c r="AT53" s="218"/>
      <c r="AU53" s="218"/>
      <c r="AV53" s="217" t="s">
        <v>615</v>
      </c>
      <c r="AW53" s="217" t="s">
        <v>615</v>
      </c>
      <c r="AX53" s="217" t="s">
        <v>615</v>
      </c>
      <c r="AY53" s="216"/>
    </row>
    <row r="54" spans="1:51" s="148" customFormat="1" ht="151.5" hidden="1" customHeight="1" x14ac:dyDescent="0.25">
      <c r="A54" s="432"/>
      <c r="B54" s="396"/>
      <c r="C54" s="429"/>
      <c r="D54" s="415"/>
      <c r="E54" s="405"/>
      <c r="F54" s="405"/>
      <c r="G54" s="405"/>
      <c r="H54" s="407"/>
      <c r="I54" s="405"/>
      <c r="J54" s="413"/>
      <c r="K54" s="420"/>
      <c r="L54" s="426"/>
      <c r="M54" s="428"/>
      <c r="N54" s="137"/>
      <c r="O54" s="420"/>
      <c r="P54" s="426"/>
      <c r="Q54" s="423"/>
      <c r="R54" s="126">
        <v>3</v>
      </c>
      <c r="S54" s="95"/>
      <c r="T54" s="127" t="str">
        <f t="shared" si="68"/>
        <v/>
      </c>
      <c r="U54" s="128"/>
      <c r="V54" s="128"/>
      <c r="W54" s="129"/>
      <c r="X54" s="128"/>
      <c r="Y54" s="128"/>
      <c r="Z54" s="128"/>
      <c r="AA54" s="130" t="str">
        <f>IFERROR(IF(T54="Probabilidad",(AA53-(+AA53*W54)),IF(T54="Impacto",L54,"")),"")</f>
        <v/>
      </c>
      <c r="AB54" s="131" t="str">
        <f t="shared" si="71"/>
        <v/>
      </c>
      <c r="AC54" s="132" t="str">
        <f t="shared" si="72"/>
        <v/>
      </c>
      <c r="AD54" s="131" t="str">
        <f t="shared" si="73"/>
        <v/>
      </c>
      <c r="AE54" s="132" t="str">
        <f t="shared" si="74"/>
        <v/>
      </c>
      <c r="AF54" s="133" t="str">
        <f t="shared" si="75"/>
        <v/>
      </c>
      <c r="AG54" s="134"/>
      <c r="AH54" s="95"/>
      <c r="AI54" s="123"/>
      <c r="AJ54" s="135"/>
      <c r="AK54" s="135"/>
      <c r="AL54" s="95"/>
      <c r="AM54" s="123"/>
      <c r="AN54" s="216"/>
      <c r="AO54" s="216"/>
      <c r="AP54" s="264"/>
      <c r="AQ54" s="216"/>
      <c r="AR54" s="216"/>
      <c r="AS54" s="264"/>
      <c r="AT54" s="218"/>
      <c r="AU54" s="218"/>
      <c r="AV54" s="217" t="s">
        <v>615</v>
      </c>
      <c r="AW54" s="217" t="s">
        <v>615</v>
      </c>
      <c r="AX54" s="217" t="s">
        <v>615</v>
      </c>
      <c r="AY54" s="216"/>
    </row>
    <row r="55" spans="1:51" s="148" customFormat="1" ht="151.5" customHeight="1" x14ac:dyDescent="0.25">
      <c r="A55" s="431">
        <v>17</v>
      </c>
      <c r="B55" s="394" t="s">
        <v>244</v>
      </c>
      <c r="C55" s="414" t="s">
        <v>398</v>
      </c>
      <c r="D55" s="414" t="s">
        <v>251</v>
      </c>
      <c r="E55" s="404" t="s">
        <v>120</v>
      </c>
      <c r="F55" s="404" t="s">
        <v>463</v>
      </c>
      <c r="G55" s="404" t="s">
        <v>268</v>
      </c>
      <c r="H55" s="406" t="s">
        <v>267</v>
      </c>
      <c r="I55" s="404" t="s">
        <v>333</v>
      </c>
      <c r="J55" s="412">
        <v>60</v>
      </c>
      <c r="K55" s="418" t="str">
        <f>IF(J55&lt;=0,"",IF(J55&lt;=2,"Muy Baja",IF(J55&lt;=24,"Baja",IF(J55&lt;=500,"Media",IF(J55&lt;=5000,"Alta","Muy Alta")))))</f>
        <v>Media</v>
      </c>
      <c r="L55" s="424">
        <f>IF(K55="","",IF(K55="Muy Baja",0.2,IF(K55="Baja",0.4,IF(K55="Media",0.6,IF(K55="Alta",0.8,IF(K55="Muy Alta",1,))))))</f>
        <v>0.6</v>
      </c>
      <c r="M55" s="427" t="s">
        <v>516</v>
      </c>
      <c r="N55" s="125"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418" t="str">
        <f ca="1">IF(OR(N55='Tabla Impacto'!$C$11,N55='Tabla Impacto'!$D$11),"Leve",IF(OR(N55='Tabla Impacto'!$C$12,N55='Tabla Impacto'!$D$12),"Menor",IF(OR(N55='Tabla Impacto'!$C$13,N55='Tabla Impacto'!$D$13),"Moderado",IF(OR(N55='Tabla Impacto'!$C$14,N55='Tabla Impacto'!$D$14),"Mayor",IF(OR(N55='Tabla Impacto'!$C$15,N55='Tabla Impacto'!$D$15),"Catastrófico","")))))</f>
        <v>Moderado</v>
      </c>
      <c r="P55" s="424">
        <f ca="1">IF(O55="","",IF(O55="Leve",0.2,IF(O55="Menor",0.4,IF(O55="Moderado",0.6,IF(O55="Mayor",0.8,IF(O55="Catastrófico",1,))))))</f>
        <v>0.6</v>
      </c>
      <c r="Q55" s="421"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26">
        <v>1</v>
      </c>
      <c r="S55" s="95" t="s">
        <v>269</v>
      </c>
      <c r="T55" s="127" t="str">
        <f t="shared" si="25"/>
        <v>Probabilidad</v>
      </c>
      <c r="U55" s="128" t="s">
        <v>15</v>
      </c>
      <c r="V55" s="128" t="s">
        <v>9</v>
      </c>
      <c r="W55" s="129" t="str">
        <f t="shared" si="26"/>
        <v>30%</v>
      </c>
      <c r="X55" s="128" t="s">
        <v>19</v>
      </c>
      <c r="Y55" s="128" t="s">
        <v>22</v>
      </c>
      <c r="Z55" s="128" t="s">
        <v>110</v>
      </c>
      <c r="AA55" s="130">
        <f t="shared" si="27"/>
        <v>0.42</v>
      </c>
      <c r="AB55" s="131" t="str">
        <f t="shared" si="28"/>
        <v>Media</v>
      </c>
      <c r="AC55" s="132">
        <f t="shared" si="29"/>
        <v>0.42</v>
      </c>
      <c r="AD55" s="131" t="str">
        <f t="shared" ca="1" si="30"/>
        <v>Moderado</v>
      </c>
      <c r="AE55" s="132">
        <f t="shared" ca="1" si="31"/>
        <v>0.6</v>
      </c>
      <c r="AF55" s="133" t="str">
        <f t="shared" ca="1" si="32"/>
        <v>Moderado</v>
      </c>
      <c r="AG55" s="134" t="s">
        <v>122</v>
      </c>
      <c r="AH55" s="95" t="s">
        <v>271</v>
      </c>
      <c r="AI55" s="138" t="s">
        <v>272</v>
      </c>
      <c r="AJ55" s="135">
        <v>44562</v>
      </c>
      <c r="AK55" s="135">
        <v>44926</v>
      </c>
      <c r="AL55" s="95" t="s">
        <v>273</v>
      </c>
      <c r="AM55" s="123"/>
      <c r="AN55" s="216" t="s">
        <v>676</v>
      </c>
      <c r="AO55" s="216" t="s">
        <v>674</v>
      </c>
      <c r="AP55" s="264">
        <v>0.51</v>
      </c>
      <c r="AQ55" s="216" t="s">
        <v>839</v>
      </c>
      <c r="AR55" s="216" t="s">
        <v>840</v>
      </c>
      <c r="AS55" s="264">
        <v>0.33</v>
      </c>
      <c r="AT55" s="218"/>
      <c r="AU55" s="218" t="s">
        <v>618</v>
      </c>
      <c r="AV55" s="217" t="s">
        <v>615</v>
      </c>
      <c r="AW55" s="217" t="s">
        <v>615</v>
      </c>
      <c r="AX55" s="217" t="s">
        <v>615</v>
      </c>
      <c r="AY55" s="216" t="s">
        <v>797</v>
      </c>
    </row>
    <row r="56" spans="1:51" s="148" customFormat="1" ht="171.75" customHeight="1" x14ac:dyDescent="0.25">
      <c r="A56" s="430"/>
      <c r="B56" s="395"/>
      <c r="C56" s="429"/>
      <c r="D56" s="415"/>
      <c r="E56" s="405"/>
      <c r="F56" s="405"/>
      <c r="G56" s="405"/>
      <c r="H56" s="407"/>
      <c r="I56" s="405"/>
      <c r="J56" s="413"/>
      <c r="K56" s="419"/>
      <c r="L56" s="425"/>
      <c r="M56" s="428"/>
      <c r="N56" s="137"/>
      <c r="O56" s="419"/>
      <c r="P56" s="425"/>
      <c r="Q56" s="422"/>
      <c r="R56" s="126">
        <v>2</v>
      </c>
      <c r="S56" s="95" t="s">
        <v>270</v>
      </c>
      <c r="T56" s="127" t="str">
        <f t="shared" ref="T56:T57" si="76">IF(OR(U56="Preventivo",U56="Detectivo"),"Probabilidad",IF(U56="Correctivo","Impacto",""))</f>
        <v>Probabilidad</v>
      </c>
      <c r="U56" s="128" t="s">
        <v>15</v>
      </c>
      <c r="V56" s="128" t="s">
        <v>9</v>
      </c>
      <c r="W56" s="129" t="str">
        <f t="shared" ref="W56" si="77">IF(AND(U56="Preventivo",V56="Automático"),"50%",IF(AND(U56="Preventivo",V56="Manual"),"40%",IF(AND(U56="Detectivo",V56="Automático"),"40%",IF(AND(U56="Detectivo",V56="Manual"),"30%",IF(AND(U56="Correctivo",V56="Automático"),"35%",IF(AND(U56="Correctivo",V56="Manual"),"25%",""))))))</f>
        <v>30%</v>
      </c>
      <c r="X56" s="128" t="s">
        <v>19</v>
      </c>
      <c r="Y56" s="128" t="s">
        <v>22</v>
      </c>
      <c r="Z56" s="128" t="s">
        <v>110</v>
      </c>
      <c r="AA56" s="130">
        <f>IFERROR(IF(T56="Probabilidad",(AA55-(+AA55*W56)),IF(T56="Impacto",L56,"")),"")</f>
        <v>0.29399999999999998</v>
      </c>
      <c r="AB56" s="131" t="str">
        <f t="shared" ref="AB56:AB57" si="78">IFERROR(IF(AA56="","",IF(AA56&lt;=0.2,"Muy Baja",IF(AA56&lt;=0.4,"Baja",IF(AA56&lt;=0.6,"Media",IF(AA56&lt;=0.8,"Alta","Muy Alta"))))),"")</f>
        <v>Baja</v>
      </c>
      <c r="AC56" s="132">
        <f t="shared" ref="AC56:AC57" si="79">+AA56</f>
        <v>0.29399999999999998</v>
      </c>
      <c r="AD56" s="131" t="str">
        <f t="shared" ref="AD56:AD57" si="80">IFERROR(IF(AE56="","",IF(AE56&lt;=0.2,"Leve",IF(AE56&lt;=0.4,"Menor",IF(AE56&lt;=0.6,"Moderado",IF(AE56&lt;=0.8,"Mayor","Catastrófico"))))),"")</f>
        <v>Moderado</v>
      </c>
      <c r="AE56" s="132">
        <v>0.6</v>
      </c>
      <c r="AF56" s="133"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34" t="s">
        <v>122</v>
      </c>
      <c r="AH56" s="95" t="s">
        <v>271</v>
      </c>
      <c r="AI56" s="138" t="s">
        <v>272</v>
      </c>
      <c r="AJ56" s="135">
        <v>44562</v>
      </c>
      <c r="AK56" s="135">
        <v>44926</v>
      </c>
      <c r="AL56" s="95" t="s">
        <v>273</v>
      </c>
      <c r="AM56" s="123"/>
      <c r="AN56" s="216" t="s">
        <v>676</v>
      </c>
      <c r="AO56" s="216" t="s">
        <v>674</v>
      </c>
      <c r="AP56" s="264">
        <v>0.33</v>
      </c>
      <c r="AQ56" s="216" t="s">
        <v>841</v>
      </c>
      <c r="AR56" s="216" t="s">
        <v>677</v>
      </c>
      <c r="AS56" s="264">
        <v>0.33</v>
      </c>
      <c r="AT56" s="218"/>
      <c r="AU56" s="218" t="s">
        <v>618</v>
      </c>
      <c r="AV56" s="217" t="s">
        <v>615</v>
      </c>
      <c r="AW56" s="217" t="s">
        <v>615</v>
      </c>
      <c r="AX56" s="217" t="s">
        <v>615</v>
      </c>
      <c r="AY56" s="216" t="s">
        <v>798</v>
      </c>
    </row>
    <row r="57" spans="1:51" s="148" customFormat="1" ht="151.5" hidden="1" customHeight="1" x14ac:dyDescent="0.25">
      <c r="A57" s="430"/>
      <c r="B57" s="396"/>
      <c r="C57" s="429"/>
      <c r="D57" s="415"/>
      <c r="E57" s="405"/>
      <c r="F57" s="405"/>
      <c r="G57" s="405"/>
      <c r="H57" s="407"/>
      <c r="I57" s="405"/>
      <c r="J57" s="413"/>
      <c r="K57" s="420"/>
      <c r="L57" s="426"/>
      <c r="M57" s="428"/>
      <c r="N57" s="137"/>
      <c r="O57" s="420"/>
      <c r="P57" s="426"/>
      <c r="Q57" s="423"/>
      <c r="R57" s="126">
        <v>3</v>
      </c>
      <c r="S57" s="95"/>
      <c r="T57" s="127" t="str">
        <f t="shared" si="76"/>
        <v/>
      </c>
      <c r="U57" s="128"/>
      <c r="V57" s="128"/>
      <c r="W57" s="129"/>
      <c r="X57" s="128"/>
      <c r="Y57" s="128"/>
      <c r="Z57" s="128"/>
      <c r="AA57" s="130" t="str">
        <f>IFERROR(IF(T57="Probabilidad",(AA56-(+AA56*W57)),IF(T57="Impacto",L57,"")),"")</f>
        <v/>
      </c>
      <c r="AB57" s="131" t="str">
        <f t="shared" si="78"/>
        <v/>
      </c>
      <c r="AC57" s="132" t="str">
        <f t="shared" si="79"/>
        <v/>
      </c>
      <c r="AD57" s="131" t="str">
        <f t="shared" si="80"/>
        <v/>
      </c>
      <c r="AE57" s="132" t="str">
        <f t="shared" ref="AE57" si="82">IFERROR(IF(T57="Impacto",(P57-(+P57*W57)),IF(T57="Probabilidad",P57,"")),"")</f>
        <v/>
      </c>
      <c r="AF57" s="133" t="str">
        <f t="shared" si="81"/>
        <v/>
      </c>
      <c r="AG57" s="134"/>
      <c r="AH57" s="95"/>
      <c r="AI57" s="123"/>
      <c r="AJ57" s="135"/>
      <c r="AK57" s="135"/>
      <c r="AL57" s="95"/>
      <c r="AM57" s="123"/>
      <c r="AN57" s="216"/>
      <c r="AO57" s="216"/>
      <c r="AP57" s="264"/>
      <c r="AQ57" s="216"/>
      <c r="AR57" s="216"/>
      <c r="AS57" s="264"/>
      <c r="AT57" s="218"/>
      <c r="AU57" s="218"/>
      <c r="AV57" s="217" t="s">
        <v>615</v>
      </c>
      <c r="AW57" s="217" t="s">
        <v>615</v>
      </c>
      <c r="AX57" s="217" t="s">
        <v>615</v>
      </c>
      <c r="AY57" s="216"/>
    </row>
    <row r="58" spans="1:51" s="148" customFormat="1" ht="151.5" customHeight="1" x14ac:dyDescent="0.25">
      <c r="A58" s="430">
        <v>18</v>
      </c>
      <c r="B58" s="394" t="s">
        <v>274</v>
      </c>
      <c r="C58" s="414" t="s">
        <v>275</v>
      </c>
      <c r="D58" s="414" t="s">
        <v>400</v>
      </c>
      <c r="E58" s="404" t="s">
        <v>120</v>
      </c>
      <c r="F58" s="404" t="s">
        <v>276</v>
      </c>
      <c r="G58" s="404" t="s">
        <v>277</v>
      </c>
      <c r="H58" s="406" t="s">
        <v>464</v>
      </c>
      <c r="I58" s="404" t="s">
        <v>117</v>
      </c>
      <c r="J58" s="412">
        <v>360</v>
      </c>
      <c r="K58" s="418" t="str">
        <f>IF(J58&lt;=0,"",IF(J58&lt;=2,"Muy Baja",IF(J58&lt;=24,"Baja",IF(J58&lt;=500,"Media",IF(J58&lt;=5000,"Alta","Muy Alta")))))</f>
        <v>Media</v>
      </c>
      <c r="L58" s="424">
        <f>IF(K58="","",IF(K58="Muy Baja",0.2,IF(K58="Baja",0.4,IF(K58="Media",0.6,IF(K58="Alta",0.8,IF(K58="Muy Alta",1,))))))</f>
        <v>0.6</v>
      </c>
      <c r="M58" s="427" t="s">
        <v>516</v>
      </c>
      <c r="N58" s="125" t="str">
        <f ca="1">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418" t="str">
        <f ca="1">IF(OR(N58='Tabla Impacto'!$C$11,N58='Tabla Impacto'!$D$11),"Leve",IF(OR(N58='Tabla Impacto'!$C$12,N58='Tabla Impacto'!$D$12),"Menor",IF(OR(N58='Tabla Impacto'!$C$13,N58='Tabla Impacto'!$D$13),"Moderado",IF(OR(N58='Tabla Impacto'!$C$14,N58='Tabla Impacto'!$D$14),"Mayor",IF(OR(N58='Tabla Impacto'!$C$15,N58='Tabla Impacto'!$D$15),"Catastrófico","")))))</f>
        <v>Moderado</v>
      </c>
      <c r="P58" s="424">
        <f ca="1">IF(O58="","",IF(O58="Leve",0.2,IF(O58="Menor",0.4,IF(O58="Moderado",0.6,IF(O58="Mayor",0.8,IF(O58="Catastrófico",1,))))))</f>
        <v>0.6</v>
      </c>
      <c r="Q58" s="421"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26">
        <v>1</v>
      </c>
      <c r="S58" s="95" t="s">
        <v>278</v>
      </c>
      <c r="T58" s="127" t="str">
        <f t="shared" si="25"/>
        <v>Probabilidad</v>
      </c>
      <c r="U58" s="128" t="s">
        <v>15</v>
      </c>
      <c r="V58" s="128" t="s">
        <v>9</v>
      </c>
      <c r="W58" s="129" t="str">
        <f t="shared" si="26"/>
        <v>30%</v>
      </c>
      <c r="X58" s="128" t="s">
        <v>20</v>
      </c>
      <c r="Y58" s="128" t="s">
        <v>22</v>
      </c>
      <c r="Z58" s="128" t="s">
        <v>110</v>
      </c>
      <c r="AA58" s="130">
        <f t="shared" si="27"/>
        <v>0.42</v>
      </c>
      <c r="AB58" s="131" t="str">
        <f t="shared" si="28"/>
        <v>Media</v>
      </c>
      <c r="AC58" s="132">
        <f t="shared" si="29"/>
        <v>0.42</v>
      </c>
      <c r="AD58" s="131" t="str">
        <f t="shared" ca="1" si="30"/>
        <v>Moderado</v>
      </c>
      <c r="AE58" s="132">
        <f t="shared" ca="1" si="31"/>
        <v>0.6</v>
      </c>
      <c r="AF58" s="133" t="str">
        <f t="shared" ca="1" si="32"/>
        <v>Moderado</v>
      </c>
      <c r="AG58" s="134" t="s">
        <v>122</v>
      </c>
      <c r="AH58" s="95" t="s">
        <v>399</v>
      </c>
      <c r="AI58" s="123" t="s">
        <v>199</v>
      </c>
      <c r="AJ58" s="135">
        <v>44562</v>
      </c>
      <c r="AK58" s="135">
        <v>44926</v>
      </c>
      <c r="AL58" s="95" t="s">
        <v>279</v>
      </c>
      <c r="AM58" s="123"/>
      <c r="AN58" s="216" t="s">
        <v>811</v>
      </c>
      <c r="AO58" s="216" t="s">
        <v>842</v>
      </c>
      <c r="AP58" s="264">
        <v>0.5</v>
      </c>
      <c r="AQ58" s="216" t="s">
        <v>787</v>
      </c>
      <c r="AR58" s="216" t="s">
        <v>843</v>
      </c>
      <c r="AS58" s="264">
        <v>0.5</v>
      </c>
      <c r="AT58" s="218"/>
      <c r="AU58" s="218" t="s">
        <v>618</v>
      </c>
      <c r="AV58" s="217" t="s">
        <v>615</v>
      </c>
      <c r="AW58" s="217" t="s">
        <v>615</v>
      </c>
      <c r="AX58" s="217" t="s">
        <v>615</v>
      </c>
      <c r="AY58" s="216" t="s">
        <v>844</v>
      </c>
    </row>
    <row r="59" spans="1:51" s="148" customFormat="1" ht="151.5" hidden="1" customHeight="1" x14ac:dyDescent="0.25">
      <c r="A59" s="430"/>
      <c r="B59" s="395"/>
      <c r="C59" s="415"/>
      <c r="D59" s="429"/>
      <c r="E59" s="405"/>
      <c r="F59" s="405"/>
      <c r="G59" s="405"/>
      <c r="H59" s="407"/>
      <c r="I59" s="405"/>
      <c r="J59" s="413"/>
      <c r="K59" s="419"/>
      <c r="L59" s="425"/>
      <c r="M59" s="428"/>
      <c r="N59" s="137"/>
      <c r="O59" s="419"/>
      <c r="P59" s="425"/>
      <c r="Q59" s="422"/>
      <c r="R59" s="126">
        <v>2</v>
      </c>
      <c r="S59" s="95"/>
      <c r="T59" s="127" t="str">
        <f t="shared" ref="T59:T60" si="83">IF(OR(U59="Preventivo",U59="Detectivo"),"Probabilidad",IF(U59="Correctivo","Impacto",""))</f>
        <v/>
      </c>
      <c r="U59" s="128"/>
      <c r="V59" s="128"/>
      <c r="W59" s="129"/>
      <c r="X59" s="128"/>
      <c r="Y59" s="128"/>
      <c r="Z59" s="128"/>
      <c r="AA59" s="130" t="str">
        <f>IFERROR(IF(T59="Probabilidad",(AA58-(+AA58*W59)),IF(T59="Impacto",L59,"")),"")</f>
        <v/>
      </c>
      <c r="AB59" s="131" t="str">
        <f t="shared" ref="AB59:AB60" si="84">IFERROR(IF(AA59="","",IF(AA59&lt;=0.2,"Muy Baja",IF(AA59&lt;=0.4,"Baja",IF(AA59&lt;=0.6,"Media",IF(AA59&lt;=0.8,"Alta","Muy Alta"))))),"")</f>
        <v/>
      </c>
      <c r="AC59" s="132" t="str">
        <f t="shared" ref="AC59:AC60" si="85">+AA59</f>
        <v/>
      </c>
      <c r="AD59" s="131" t="str">
        <f t="shared" ref="AD59:AD60" si="86">IFERROR(IF(AE59="","",IF(AE59&lt;=0.2,"Leve",IF(AE59&lt;=0.4,"Menor",IF(AE59&lt;=0.6,"Moderado",IF(AE59&lt;=0.8,"Mayor","Catastrófico"))))),"")</f>
        <v/>
      </c>
      <c r="AE59" s="132" t="str">
        <f t="shared" ref="AE59:AE60" si="87">IFERROR(IF(T59="Impacto",(P59-(+P59*W59)),IF(T59="Probabilidad",P59,"")),"")</f>
        <v/>
      </c>
      <c r="AF59" s="133" t="str">
        <f t="shared" ref="AF59:AF60" si="88">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4"/>
      <c r="AH59" s="95"/>
      <c r="AI59" s="123"/>
      <c r="AJ59" s="135"/>
      <c r="AK59" s="135"/>
      <c r="AL59" s="95"/>
      <c r="AM59" s="123"/>
      <c r="AN59" s="216"/>
      <c r="AO59" s="216"/>
      <c r="AP59" s="264"/>
      <c r="AQ59" s="216"/>
      <c r="AR59" s="216"/>
      <c r="AS59" s="264"/>
      <c r="AT59" s="218"/>
      <c r="AU59" s="218"/>
      <c r="AV59" s="217" t="s">
        <v>615</v>
      </c>
      <c r="AW59" s="217" t="s">
        <v>615</v>
      </c>
      <c r="AX59" s="217" t="s">
        <v>615</v>
      </c>
      <c r="AY59" s="216"/>
    </row>
    <row r="60" spans="1:51" s="148" customFormat="1" ht="151.5" hidden="1" customHeight="1" x14ac:dyDescent="0.25">
      <c r="A60" s="430"/>
      <c r="B60" s="396"/>
      <c r="C60" s="415"/>
      <c r="D60" s="429"/>
      <c r="E60" s="405"/>
      <c r="F60" s="405"/>
      <c r="G60" s="405"/>
      <c r="H60" s="407"/>
      <c r="I60" s="405"/>
      <c r="J60" s="413"/>
      <c r="K60" s="420"/>
      <c r="L60" s="426"/>
      <c r="M60" s="433"/>
      <c r="N60" s="137"/>
      <c r="O60" s="420"/>
      <c r="P60" s="426"/>
      <c r="Q60" s="423"/>
      <c r="R60" s="126">
        <v>3</v>
      </c>
      <c r="S60" s="95"/>
      <c r="T60" s="127" t="str">
        <f t="shared" si="83"/>
        <v/>
      </c>
      <c r="U60" s="128"/>
      <c r="V60" s="128"/>
      <c r="W60" s="129"/>
      <c r="X60" s="128"/>
      <c r="Y60" s="128"/>
      <c r="Z60" s="128"/>
      <c r="AA60" s="130" t="str">
        <f>IFERROR(IF(T60="Probabilidad",(AA59-(+AA59*W60)),IF(T60="Impacto",L60,"")),"")</f>
        <v/>
      </c>
      <c r="AB60" s="131" t="str">
        <f t="shared" si="84"/>
        <v/>
      </c>
      <c r="AC60" s="132" t="str">
        <f t="shared" si="85"/>
        <v/>
      </c>
      <c r="AD60" s="131" t="str">
        <f t="shared" si="86"/>
        <v/>
      </c>
      <c r="AE60" s="132" t="str">
        <f t="shared" si="87"/>
        <v/>
      </c>
      <c r="AF60" s="133" t="str">
        <f t="shared" si="88"/>
        <v/>
      </c>
      <c r="AG60" s="134"/>
      <c r="AH60" s="95"/>
      <c r="AI60" s="123"/>
      <c r="AJ60" s="135"/>
      <c r="AK60" s="135"/>
      <c r="AL60" s="95"/>
      <c r="AM60" s="123"/>
      <c r="AN60" s="216"/>
      <c r="AO60" s="216"/>
      <c r="AP60" s="264"/>
      <c r="AQ60" s="216"/>
      <c r="AR60" s="216"/>
      <c r="AS60" s="264"/>
      <c r="AT60" s="218"/>
      <c r="AU60" s="218"/>
      <c r="AV60" s="217" t="s">
        <v>615</v>
      </c>
      <c r="AW60" s="217" t="s">
        <v>615</v>
      </c>
      <c r="AX60" s="217" t="s">
        <v>615</v>
      </c>
      <c r="AY60" s="216"/>
    </row>
    <row r="61" spans="1:51" s="148" customFormat="1" ht="174" customHeight="1" x14ac:dyDescent="0.25">
      <c r="A61" s="430">
        <v>19</v>
      </c>
      <c r="B61" s="394" t="s">
        <v>274</v>
      </c>
      <c r="C61" s="414" t="s">
        <v>275</v>
      </c>
      <c r="D61" s="414" t="s">
        <v>400</v>
      </c>
      <c r="E61" s="404" t="s">
        <v>120</v>
      </c>
      <c r="F61" s="417" t="s">
        <v>280</v>
      </c>
      <c r="G61" s="404" t="s">
        <v>281</v>
      </c>
      <c r="H61" s="406" t="s">
        <v>591</v>
      </c>
      <c r="I61" s="404" t="s">
        <v>115</v>
      </c>
      <c r="J61" s="412">
        <v>246</v>
      </c>
      <c r="K61" s="418" t="str">
        <f>IF(J61&lt;=0,"",IF(J61&lt;=2,"Muy Baja",IF(J61&lt;=24,"Baja",IF(J61&lt;=500,"Media",IF(J61&lt;=5000,"Alta","Muy Alta")))))</f>
        <v>Media</v>
      </c>
      <c r="L61" s="424">
        <f>IF(K61="","",IF(K61="Muy Baja",0.2,IF(K61="Baja",0.4,IF(K61="Media",0.6,IF(K61="Alta",0.8,IF(K61="Muy Alta",1,))))))</f>
        <v>0.6</v>
      </c>
      <c r="M61" s="427" t="s">
        <v>523</v>
      </c>
      <c r="N61" s="125" t="str">
        <f ca="1">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418" t="str">
        <f ca="1">IF(OR(N61='Tabla Impacto'!$C$11,N61='Tabla Impacto'!$D$11),"Leve",IF(OR(N61='Tabla Impacto'!$C$12,N61='Tabla Impacto'!$D$12),"Menor",IF(OR(N61='Tabla Impacto'!$C$13,N61='Tabla Impacto'!$D$13),"Moderado",IF(OR(N61='Tabla Impacto'!$C$14,N61='Tabla Impacto'!$D$14),"Mayor",IF(OR(N61='Tabla Impacto'!$C$15,N61='Tabla Impacto'!$D$15),"Catastrófico","")))))</f>
        <v>Mayor</v>
      </c>
      <c r="P61" s="424">
        <f ca="1">IF(O61="","",IF(O61="Leve",0.2,IF(O61="Menor",0.4,IF(O61="Moderado",0.6,IF(O61="Mayor",0.8,IF(O61="Catastrófico",1,))))))</f>
        <v>0.8</v>
      </c>
      <c r="Q61" s="421"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26">
        <v>1</v>
      </c>
      <c r="S61" s="95" t="s">
        <v>584</v>
      </c>
      <c r="T61" s="127" t="str">
        <f t="shared" si="25"/>
        <v>Probabilidad</v>
      </c>
      <c r="U61" s="128" t="s">
        <v>14</v>
      </c>
      <c r="V61" s="128" t="s">
        <v>9</v>
      </c>
      <c r="W61" s="129" t="str">
        <f t="shared" si="26"/>
        <v>40%</v>
      </c>
      <c r="X61" s="128" t="s">
        <v>20</v>
      </c>
      <c r="Y61" s="128" t="s">
        <v>22</v>
      </c>
      <c r="Z61" s="128" t="s">
        <v>110</v>
      </c>
      <c r="AA61" s="130">
        <f t="shared" si="27"/>
        <v>0.36</v>
      </c>
      <c r="AB61" s="131" t="str">
        <f t="shared" si="28"/>
        <v>Baja</v>
      </c>
      <c r="AC61" s="132">
        <f t="shared" si="29"/>
        <v>0.36</v>
      </c>
      <c r="AD61" s="131" t="str">
        <f t="shared" ca="1" si="30"/>
        <v>Mayor</v>
      </c>
      <c r="AE61" s="132">
        <f t="shared" ca="1" si="31"/>
        <v>0.8</v>
      </c>
      <c r="AF61" s="133" t="str">
        <f t="shared" ca="1" si="32"/>
        <v>Alto</v>
      </c>
      <c r="AG61" s="134" t="s">
        <v>122</v>
      </c>
      <c r="AH61" s="122" t="s">
        <v>384</v>
      </c>
      <c r="AI61" s="117" t="s">
        <v>213</v>
      </c>
      <c r="AJ61" s="124">
        <v>44562</v>
      </c>
      <c r="AK61" s="140" t="s">
        <v>386</v>
      </c>
      <c r="AL61" s="95" t="s">
        <v>282</v>
      </c>
      <c r="AM61" s="123"/>
      <c r="AN61" s="229" t="s">
        <v>777</v>
      </c>
      <c r="AO61" s="262" t="s">
        <v>658</v>
      </c>
      <c r="AP61" s="264">
        <v>0.66</v>
      </c>
      <c r="AQ61" s="229" t="s">
        <v>778</v>
      </c>
      <c r="AR61" s="262" t="s">
        <v>779</v>
      </c>
      <c r="AS61" s="264">
        <v>0.33</v>
      </c>
      <c r="AT61" s="218"/>
      <c r="AU61" s="218" t="s">
        <v>618</v>
      </c>
      <c r="AV61" s="217" t="s">
        <v>615</v>
      </c>
      <c r="AW61" s="217" t="s">
        <v>615</v>
      </c>
      <c r="AX61" s="217" t="s">
        <v>615</v>
      </c>
      <c r="AY61" s="216" t="s">
        <v>845</v>
      </c>
    </row>
    <row r="62" spans="1:51" s="148" customFormat="1" ht="151.5" hidden="1" customHeight="1" x14ac:dyDescent="0.25">
      <c r="A62" s="430"/>
      <c r="B62" s="395"/>
      <c r="C62" s="415"/>
      <c r="D62" s="429"/>
      <c r="E62" s="405"/>
      <c r="F62" s="405"/>
      <c r="G62" s="405"/>
      <c r="H62" s="407"/>
      <c r="I62" s="405"/>
      <c r="J62" s="413"/>
      <c r="K62" s="419"/>
      <c r="L62" s="425"/>
      <c r="M62" s="428"/>
      <c r="N62" s="137"/>
      <c r="O62" s="419"/>
      <c r="P62" s="425"/>
      <c r="Q62" s="422"/>
      <c r="R62" s="126">
        <v>2</v>
      </c>
      <c r="S62" s="95"/>
      <c r="T62" s="127" t="str">
        <f t="shared" ref="T62:T63" si="89">IF(OR(U62="Preventivo",U62="Detectivo"),"Probabilidad",IF(U62="Correctivo","Impacto",""))</f>
        <v/>
      </c>
      <c r="U62" s="128"/>
      <c r="V62" s="128"/>
      <c r="W62" s="129"/>
      <c r="X62" s="128"/>
      <c r="Y62" s="128"/>
      <c r="Z62" s="128"/>
      <c r="AA62" s="130" t="str">
        <f>IFERROR(IF(T62="Probabilidad",(AA61-(+AA61*W62)),IF(T62="Impacto",L62,"")),"")</f>
        <v/>
      </c>
      <c r="AB62" s="131" t="str">
        <f t="shared" ref="AB62:AB63" si="90">IFERROR(IF(AA62="","",IF(AA62&lt;=0.2,"Muy Baja",IF(AA62&lt;=0.4,"Baja",IF(AA62&lt;=0.6,"Media",IF(AA62&lt;=0.8,"Alta","Muy Alta"))))),"")</f>
        <v/>
      </c>
      <c r="AC62" s="132" t="str">
        <f t="shared" ref="AC62:AC63" si="91">+AA62</f>
        <v/>
      </c>
      <c r="AD62" s="131" t="str">
        <f t="shared" ref="AD62:AD63" si="92">IFERROR(IF(AE62="","",IF(AE62&lt;=0.2,"Leve",IF(AE62&lt;=0.4,"Menor",IF(AE62&lt;=0.6,"Moderado",IF(AE62&lt;=0.8,"Mayor","Catastrófico"))))),"")</f>
        <v/>
      </c>
      <c r="AE62" s="132" t="str">
        <f t="shared" ref="AE62:AE63" si="93">IFERROR(IF(T62="Impacto",(P62-(+P62*W62)),IF(T62="Probabilidad",P62,"")),"")</f>
        <v/>
      </c>
      <c r="AF62" s="133" t="str">
        <f t="shared" ref="AF62:AF63" si="94">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4"/>
      <c r="AH62" s="95"/>
      <c r="AI62" s="123"/>
      <c r="AJ62" s="135"/>
      <c r="AK62" s="135"/>
      <c r="AL62" s="95"/>
      <c r="AM62" s="123"/>
      <c r="AN62" s="216"/>
      <c r="AO62" s="216"/>
      <c r="AP62" s="264"/>
      <c r="AQ62" s="216"/>
      <c r="AR62" s="216"/>
      <c r="AS62" s="264"/>
      <c r="AT62" s="218"/>
      <c r="AU62" s="218"/>
      <c r="AV62" s="217" t="s">
        <v>615</v>
      </c>
      <c r="AW62" s="217" t="s">
        <v>615</v>
      </c>
      <c r="AX62" s="217" t="s">
        <v>615</v>
      </c>
      <c r="AY62" s="216"/>
    </row>
    <row r="63" spans="1:51" s="148" customFormat="1" ht="151.5" hidden="1" customHeight="1" x14ac:dyDescent="0.25">
      <c r="A63" s="430"/>
      <c r="B63" s="396"/>
      <c r="C63" s="415"/>
      <c r="D63" s="429"/>
      <c r="E63" s="405"/>
      <c r="F63" s="405"/>
      <c r="G63" s="405"/>
      <c r="H63" s="407"/>
      <c r="I63" s="405"/>
      <c r="J63" s="413"/>
      <c r="K63" s="420"/>
      <c r="L63" s="426"/>
      <c r="M63" s="428"/>
      <c r="N63" s="137"/>
      <c r="O63" s="420"/>
      <c r="P63" s="426"/>
      <c r="Q63" s="423"/>
      <c r="R63" s="126">
        <v>3</v>
      </c>
      <c r="S63" s="95"/>
      <c r="T63" s="127" t="str">
        <f t="shared" si="89"/>
        <v/>
      </c>
      <c r="U63" s="128"/>
      <c r="V63" s="128"/>
      <c r="W63" s="129"/>
      <c r="X63" s="128"/>
      <c r="Y63" s="128"/>
      <c r="Z63" s="128"/>
      <c r="AA63" s="130" t="str">
        <f>IFERROR(IF(T63="Probabilidad",(AA62-(+AA62*W63)),IF(T63="Impacto",L63,"")),"")</f>
        <v/>
      </c>
      <c r="AB63" s="131" t="str">
        <f t="shared" si="90"/>
        <v/>
      </c>
      <c r="AC63" s="132" t="str">
        <f t="shared" si="91"/>
        <v/>
      </c>
      <c r="AD63" s="131" t="str">
        <f t="shared" si="92"/>
        <v/>
      </c>
      <c r="AE63" s="132" t="str">
        <f t="shared" si="93"/>
        <v/>
      </c>
      <c r="AF63" s="133" t="str">
        <f t="shared" si="94"/>
        <v/>
      </c>
      <c r="AG63" s="134"/>
      <c r="AH63" s="95"/>
      <c r="AI63" s="123"/>
      <c r="AJ63" s="135"/>
      <c r="AK63" s="135"/>
      <c r="AL63" s="95"/>
      <c r="AM63" s="123"/>
      <c r="AN63" s="216"/>
      <c r="AO63" s="216"/>
      <c r="AP63" s="264"/>
      <c r="AQ63" s="216"/>
      <c r="AR63" s="216"/>
      <c r="AS63" s="264"/>
      <c r="AT63" s="218"/>
      <c r="AU63" s="218"/>
      <c r="AV63" s="217" t="s">
        <v>615</v>
      </c>
      <c r="AW63" s="217" t="s">
        <v>615</v>
      </c>
      <c r="AX63" s="217" t="s">
        <v>615</v>
      </c>
      <c r="AY63" s="216"/>
    </row>
    <row r="64" spans="1:51" s="148" customFormat="1" ht="151.5" customHeight="1" x14ac:dyDescent="0.25">
      <c r="A64" s="430">
        <v>20</v>
      </c>
      <c r="B64" s="394" t="s">
        <v>283</v>
      </c>
      <c r="C64" s="414" t="s">
        <v>366</v>
      </c>
      <c r="D64" s="414" t="s">
        <v>401</v>
      </c>
      <c r="E64" s="404" t="s">
        <v>120</v>
      </c>
      <c r="F64" s="417" t="s">
        <v>567</v>
      </c>
      <c r="G64" s="417" t="s">
        <v>568</v>
      </c>
      <c r="H64" s="406" t="s">
        <v>566</v>
      </c>
      <c r="I64" s="404" t="s">
        <v>335</v>
      </c>
      <c r="J64" s="412">
        <v>4</v>
      </c>
      <c r="K64" s="418" t="str">
        <f>IF(J64&lt;=0,"",IF(J64&lt;=2,"Muy Baja",IF(J64&lt;=24,"Baja",IF(J64&lt;=500,"Media",IF(J64&lt;=5000,"Alta","Muy Alta")))))</f>
        <v>Baja</v>
      </c>
      <c r="L64" s="424">
        <f>IF(K64="","",IF(K64="Muy Baja",0.2,IF(K64="Baja",0.4,IF(K64="Media",0.6,IF(K64="Alta",0.8,IF(K64="Muy Alta",1,))))))</f>
        <v>0.4</v>
      </c>
      <c r="M64" s="427" t="s">
        <v>512</v>
      </c>
      <c r="N64" s="125" t="str">
        <f ca="1">IF(NOT(ISERROR(MATCH(M64,'Tabla Impacto'!$B$221:$B$223,0))),'Tabla Impacto'!$F$223&amp;"Por favor no seleccionar los criterios de impacto(Afectación Económica o presupuestal y Pérdida Reputacional)",M64)</f>
        <v xml:space="preserve"> Afectación menor a 10 SMLMV .</v>
      </c>
      <c r="O64" s="418" t="str">
        <f ca="1">IF(OR(N64='Tabla Impacto'!$C$11,N64='Tabla Impacto'!$D$11),"Leve",IF(OR(N64='Tabla Impacto'!$C$12,N64='Tabla Impacto'!$D$12),"Menor",IF(OR(N64='Tabla Impacto'!$C$13,N64='Tabla Impacto'!$D$13),"Moderado",IF(OR(N64='Tabla Impacto'!$C$14,N64='Tabla Impacto'!$D$14),"Mayor",IF(OR(N64='Tabla Impacto'!$C$15,N64='Tabla Impacto'!$D$15),"Catastrófico","")))))</f>
        <v>Leve</v>
      </c>
      <c r="P64" s="424">
        <f ca="1">IF(O64="","",IF(O64="Leve",0.2,IF(O64="Menor",0.4,IF(O64="Moderado",0.6,IF(O64="Mayor",0.8,IF(O64="Catastrófico",1,))))))</f>
        <v>0.2</v>
      </c>
      <c r="Q64" s="421"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Bajo</v>
      </c>
      <c r="R64" s="126">
        <v>1</v>
      </c>
      <c r="S64" s="95" t="s">
        <v>569</v>
      </c>
      <c r="T64" s="127" t="str">
        <f t="shared" si="25"/>
        <v>Probabilidad</v>
      </c>
      <c r="U64" s="128" t="s">
        <v>14</v>
      </c>
      <c r="V64" s="128" t="s">
        <v>9</v>
      </c>
      <c r="W64" s="129" t="str">
        <f t="shared" si="26"/>
        <v>40%</v>
      </c>
      <c r="X64" s="128" t="s">
        <v>19</v>
      </c>
      <c r="Y64" s="128" t="s">
        <v>22</v>
      </c>
      <c r="Z64" s="128" t="s">
        <v>110</v>
      </c>
      <c r="AA64" s="130">
        <f t="shared" si="27"/>
        <v>0.24</v>
      </c>
      <c r="AB64" s="131" t="str">
        <f t="shared" si="28"/>
        <v>Baja</v>
      </c>
      <c r="AC64" s="132">
        <f t="shared" si="29"/>
        <v>0.24</v>
      </c>
      <c r="AD64" s="131" t="str">
        <f t="shared" ca="1" si="30"/>
        <v>Leve</v>
      </c>
      <c r="AE64" s="132">
        <f t="shared" ca="1" si="31"/>
        <v>0.2</v>
      </c>
      <c r="AF64" s="133" t="str">
        <f t="shared" ca="1" si="32"/>
        <v>Bajo</v>
      </c>
      <c r="AG64" s="134" t="s">
        <v>122</v>
      </c>
      <c r="AH64" s="95" t="s">
        <v>570</v>
      </c>
      <c r="AI64" s="123" t="s">
        <v>213</v>
      </c>
      <c r="AJ64" s="135" t="s">
        <v>288</v>
      </c>
      <c r="AK64" s="135" t="s">
        <v>289</v>
      </c>
      <c r="AL64" s="144" t="s">
        <v>579</v>
      </c>
      <c r="AM64" s="123"/>
      <c r="AN64" s="216" t="s">
        <v>679</v>
      </c>
      <c r="AO64" s="216" t="s">
        <v>846</v>
      </c>
      <c r="AP64" s="264">
        <v>0.66</v>
      </c>
      <c r="AQ64" s="231" t="s">
        <v>680</v>
      </c>
      <c r="AR64" s="216" t="s">
        <v>681</v>
      </c>
      <c r="AS64" s="264" t="s">
        <v>620</v>
      </c>
      <c r="AT64" s="218"/>
      <c r="AU64" s="218" t="s">
        <v>618</v>
      </c>
      <c r="AV64" s="217" t="s">
        <v>615</v>
      </c>
      <c r="AW64" s="217" t="s">
        <v>615</v>
      </c>
      <c r="AX64" s="217" t="s">
        <v>615</v>
      </c>
      <c r="AY64" s="216"/>
    </row>
    <row r="65" spans="1:51" s="148" customFormat="1" ht="151.5" hidden="1" customHeight="1" x14ac:dyDescent="0.25">
      <c r="A65" s="430"/>
      <c r="B65" s="395"/>
      <c r="C65" s="429"/>
      <c r="D65" s="429"/>
      <c r="E65" s="405"/>
      <c r="F65" s="405"/>
      <c r="G65" s="405"/>
      <c r="H65" s="407"/>
      <c r="I65" s="405"/>
      <c r="J65" s="413"/>
      <c r="K65" s="419"/>
      <c r="L65" s="425"/>
      <c r="M65" s="428"/>
      <c r="N65" s="137"/>
      <c r="O65" s="419"/>
      <c r="P65" s="425"/>
      <c r="Q65" s="422"/>
      <c r="R65" s="126">
        <v>2</v>
      </c>
      <c r="S65" s="95"/>
      <c r="T65" s="127"/>
      <c r="U65" s="128"/>
      <c r="V65" s="128"/>
      <c r="W65" s="129"/>
      <c r="X65" s="128"/>
      <c r="Y65" s="128"/>
      <c r="Z65" s="128"/>
      <c r="AA65" s="130"/>
      <c r="AB65" s="131"/>
      <c r="AC65" s="132"/>
      <c r="AD65" s="131"/>
      <c r="AE65" s="132"/>
      <c r="AF65" s="133"/>
      <c r="AG65" s="134"/>
      <c r="AH65" s="95"/>
      <c r="AI65" s="123"/>
      <c r="AJ65" s="135"/>
      <c r="AK65" s="135"/>
      <c r="AL65" s="144"/>
      <c r="AM65" s="123"/>
      <c r="AN65" s="216"/>
      <c r="AO65" s="216"/>
      <c r="AP65" s="264"/>
      <c r="AQ65" s="216"/>
      <c r="AR65" s="216"/>
      <c r="AS65" s="264"/>
      <c r="AT65" s="218"/>
      <c r="AU65" s="218"/>
      <c r="AV65" s="217" t="s">
        <v>615</v>
      </c>
      <c r="AW65" s="217" t="s">
        <v>615</v>
      </c>
      <c r="AX65" s="217" t="s">
        <v>615</v>
      </c>
      <c r="AY65" s="216"/>
    </row>
    <row r="66" spans="1:51" s="148" customFormat="1" ht="151.5" hidden="1" customHeight="1" x14ac:dyDescent="0.25">
      <c r="A66" s="430"/>
      <c r="B66" s="396"/>
      <c r="C66" s="429"/>
      <c r="D66" s="429"/>
      <c r="E66" s="405"/>
      <c r="F66" s="405"/>
      <c r="G66" s="405"/>
      <c r="H66" s="407"/>
      <c r="I66" s="405"/>
      <c r="J66" s="413"/>
      <c r="K66" s="420"/>
      <c r="L66" s="426"/>
      <c r="M66" s="428"/>
      <c r="N66" s="137"/>
      <c r="O66" s="420"/>
      <c r="P66" s="426"/>
      <c r="Q66" s="423"/>
      <c r="R66" s="126">
        <v>3</v>
      </c>
      <c r="S66" s="95"/>
      <c r="T66" s="127" t="str">
        <f t="shared" ref="T66" si="95">IF(OR(U66="Preventivo",U66="Detectivo"),"Probabilidad",IF(U66="Correctivo","Impacto",""))</f>
        <v/>
      </c>
      <c r="U66" s="128"/>
      <c r="V66" s="128"/>
      <c r="W66" s="129"/>
      <c r="X66" s="128"/>
      <c r="Y66" s="128"/>
      <c r="Z66" s="128"/>
      <c r="AA66" s="130"/>
      <c r="AB66" s="131"/>
      <c r="AC66" s="132"/>
      <c r="AD66" s="131"/>
      <c r="AE66" s="132"/>
      <c r="AF66" s="133"/>
      <c r="AG66" s="134"/>
      <c r="AH66" s="95"/>
      <c r="AI66" s="123"/>
      <c r="AJ66" s="135"/>
      <c r="AK66" s="135"/>
      <c r="AL66" s="95"/>
      <c r="AM66" s="123"/>
      <c r="AN66" s="216"/>
      <c r="AO66" s="216"/>
      <c r="AP66" s="264"/>
      <c r="AQ66" s="216"/>
      <c r="AR66" s="216"/>
      <c r="AS66" s="264"/>
      <c r="AT66" s="218"/>
      <c r="AU66" s="218"/>
      <c r="AV66" s="217" t="s">
        <v>615</v>
      </c>
      <c r="AW66" s="217" t="s">
        <v>615</v>
      </c>
      <c r="AX66" s="217" t="s">
        <v>615</v>
      </c>
      <c r="AY66" s="216"/>
    </row>
    <row r="67" spans="1:51" s="148" customFormat="1" ht="151.5" customHeight="1" x14ac:dyDescent="0.25">
      <c r="A67" s="430">
        <v>21</v>
      </c>
      <c r="B67" s="394" t="s">
        <v>283</v>
      </c>
      <c r="C67" s="414" t="s">
        <v>366</v>
      </c>
      <c r="D67" s="414" t="s">
        <v>401</v>
      </c>
      <c r="E67" s="404" t="s">
        <v>118</v>
      </c>
      <c r="F67" s="404" t="s">
        <v>465</v>
      </c>
      <c r="G67" s="404" t="s">
        <v>286</v>
      </c>
      <c r="H67" s="406" t="s">
        <v>285</v>
      </c>
      <c r="I67" s="404" t="s">
        <v>333</v>
      </c>
      <c r="J67" s="412">
        <v>12</v>
      </c>
      <c r="K67" s="418" t="str">
        <f>IF(J67&lt;=0,"",IF(J67&lt;=2,"Muy Baja",IF(J67&lt;=24,"Baja",IF(J67&lt;=500,"Media",IF(J67&lt;=5000,"Alta","Muy Alta")))))</f>
        <v>Baja</v>
      </c>
      <c r="L67" s="424">
        <f>IF(K67="","",IF(K67="Muy Baja",0.2,IF(K67="Baja",0.4,IF(K67="Media",0.6,IF(K67="Alta",0.8,IF(K67="Muy Alta",1,))))))</f>
        <v>0.4</v>
      </c>
      <c r="M67" s="427" t="s">
        <v>521</v>
      </c>
      <c r="N67" s="125" t="str">
        <f ca="1">IF(NOT(ISERROR(MATCH(M67,'Tabla Impacto'!$B$221:$B$223,0))),'Tabla Impacto'!$F$223&amp;"Por favor no seleccionar los criterios de impacto(Afectación Económica o presupuestal y Pérdida Reputacional)",M67)</f>
        <v xml:space="preserve"> El riesgo afecta la imagen de la entidad internamente, de conocimiento general, nivel interno, de junta directiva y accionistas y/o de proveedores</v>
      </c>
      <c r="O67" s="418" t="str">
        <f ca="1">IF(OR(N67='Tabla Impacto'!$C$11,N67='Tabla Impacto'!$D$11),"Leve",IF(OR(N67='Tabla Impacto'!$C$12,N67='Tabla Impacto'!$D$12),"Menor",IF(OR(N67='Tabla Impacto'!$C$13,N67='Tabla Impacto'!$D$13),"Moderado",IF(OR(N67='Tabla Impacto'!$C$14,N67='Tabla Impacto'!$D$14),"Mayor",IF(OR(N67='Tabla Impacto'!$C$15,N67='Tabla Impacto'!$D$15),"Catastrófico","")))))</f>
        <v>Menor</v>
      </c>
      <c r="P67" s="424">
        <f ca="1">IF(O67="","",IF(O67="Leve",0.2,IF(O67="Menor",0.4,IF(O67="Moderado",0.6,IF(O67="Mayor",0.8,IF(O67="Catastrófico",1,))))))</f>
        <v>0.4</v>
      </c>
      <c r="Q67" s="421"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26">
        <v>1</v>
      </c>
      <c r="S67" s="95" t="s">
        <v>571</v>
      </c>
      <c r="T67" s="127" t="str">
        <f t="shared" si="25"/>
        <v>Probabilidad</v>
      </c>
      <c r="U67" s="128" t="s">
        <v>15</v>
      </c>
      <c r="V67" s="128" t="s">
        <v>9</v>
      </c>
      <c r="W67" s="129" t="str">
        <f t="shared" si="26"/>
        <v>30%</v>
      </c>
      <c r="X67" s="128" t="s">
        <v>19</v>
      </c>
      <c r="Y67" s="128" t="s">
        <v>22</v>
      </c>
      <c r="Z67" s="128" t="s">
        <v>110</v>
      </c>
      <c r="AA67" s="130">
        <f t="shared" si="27"/>
        <v>0.28000000000000003</v>
      </c>
      <c r="AB67" s="131" t="str">
        <f t="shared" si="28"/>
        <v>Baja</v>
      </c>
      <c r="AC67" s="132">
        <f t="shared" si="29"/>
        <v>0.28000000000000003</v>
      </c>
      <c r="AD67" s="131" t="str">
        <f t="shared" ca="1" si="30"/>
        <v>Menor</v>
      </c>
      <c r="AE67" s="132">
        <f t="shared" ca="1" si="31"/>
        <v>0.4</v>
      </c>
      <c r="AF67" s="133" t="str">
        <f t="shared" ca="1" si="32"/>
        <v>Moderado</v>
      </c>
      <c r="AG67" s="134" t="s">
        <v>122</v>
      </c>
      <c r="AH67" s="95" t="s">
        <v>572</v>
      </c>
      <c r="AI67" s="123" t="s">
        <v>262</v>
      </c>
      <c r="AJ67" s="135" t="s">
        <v>288</v>
      </c>
      <c r="AK67" s="135" t="s">
        <v>289</v>
      </c>
      <c r="AL67" s="95" t="s">
        <v>573</v>
      </c>
      <c r="AM67" s="123"/>
      <c r="AN67" s="216" t="s">
        <v>682</v>
      </c>
      <c r="AO67" s="216" t="s">
        <v>683</v>
      </c>
      <c r="AP67" s="264">
        <v>0.51</v>
      </c>
      <c r="AQ67" s="216" t="s">
        <v>684</v>
      </c>
      <c r="AR67" s="216" t="s">
        <v>685</v>
      </c>
      <c r="AS67" s="264">
        <v>0.51</v>
      </c>
      <c r="AT67" s="218"/>
      <c r="AU67" s="218" t="s">
        <v>618</v>
      </c>
      <c r="AV67" s="217" t="s">
        <v>615</v>
      </c>
      <c r="AW67" s="217" t="s">
        <v>615</v>
      </c>
      <c r="AX67" s="217" t="s">
        <v>615</v>
      </c>
      <c r="AY67" s="216" t="s">
        <v>812</v>
      </c>
    </row>
    <row r="68" spans="1:51" s="148" customFormat="1" ht="151.5" hidden="1" customHeight="1" x14ac:dyDescent="0.25">
      <c r="A68" s="430"/>
      <c r="B68" s="395"/>
      <c r="C68" s="429"/>
      <c r="D68" s="429"/>
      <c r="E68" s="405"/>
      <c r="F68" s="405"/>
      <c r="G68" s="405"/>
      <c r="H68" s="407"/>
      <c r="I68" s="405"/>
      <c r="J68" s="413"/>
      <c r="K68" s="419"/>
      <c r="L68" s="425"/>
      <c r="M68" s="428"/>
      <c r="N68" s="137"/>
      <c r="O68" s="419"/>
      <c r="P68" s="425"/>
      <c r="Q68" s="422"/>
      <c r="R68" s="126">
        <v>2</v>
      </c>
      <c r="S68" s="95"/>
      <c r="T68" s="127"/>
      <c r="U68" s="128"/>
      <c r="V68" s="128"/>
      <c r="W68" s="129"/>
      <c r="X68" s="128"/>
      <c r="Y68" s="128"/>
      <c r="Z68" s="128"/>
      <c r="AA68" s="130"/>
      <c r="AB68" s="131"/>
      <c r="AC68" s="132"/>
      <c r="AD68" s="131"/>
      <c r="AE68" s="132"/>
      <c r="AF68" s="133"/>
      <c r="AG68" s="134"/>
      <c r="AH68" s="95"/>
      <c r="AI68" s="123"/>
      <c r="AJ68" s="135"/>
      <c r="AK68" s="135"/>
      <c r="AL68" s="95"/>
      <c r="AM68" s="123"/>
      <c r="AN68" s="216"/>
      <c r="AO68" s="216"/>
      <c r="AP68" s="264"/>
      <c r="AQ68" s="216"/>
      <c r="AR68" s="216"/>
      <c r="AS68" s="264"/>
      <c r="AT68" s="218"/>
      <c r="AU68" s="218"/>
      <c r="AV68" s="217" t="s">
        <v>615</v>
      </c>
      <c r="AW68" s="217" t="s">
        <v>615</v>
      </c>
      <c r="AX68" s="217" t="s">
        <v>615</v>
      </c>
      <c r="AY68" s="216"/>
    </row>
    <row r="69" spans="1:51" s="148" customFormat="1" ht="151.5" hidden="1" customHeight="1" x14ac:dyDescent="0.25">
      <c r="A69" s="430"/>
      <c r="B69" s="396"/>
      <c r="C69" s="429"/>
      <c r="D69" s="429"/>
      <c r="E69" s="405"/>
      <c r="F69" s="405"/>
      <c r="G69" s="405"/>
      <c r="H69" s="407"/>
      <c r="I69" s="405"/>
      <c r="J69" s="413"/>
      <c r="K69" s="420"/>
      <c r="L69" s="426"/>
      <c r="M69" s="428"/>
      <c r="N69" s="137"/>
      <c r="O69" s="420"/>
      <c r="P69" s="426"/>
      <c r="Q69" s="423"/>
      <c r="R69" s="126">
        <v>3</v>
      </c>
      <c r="S69" s="95"/>
      <c r="T69" s="127"/>
      <c r="U69" s="128"/>
      <c r="V69" s="128"/>
      <c r="W69" s="129"/>
      <c r="X69" s="128"/>
      <c r="Y69" s="128"/>
      <c r="Z69" s="128"/>
      <c r="AA69" s="130"/>
      <c r="AB69" s="131"/>
      <c r="AC69" s="132"/>
      <c r="AD69" s="131"/>
      <c r="AE69" s="132"/>
      <c r="AF69" s="133"/>
      <c r="AG69" s="134"/>
      <c r="AH69" s="95"/>
      <c r="AI69" s="123"/>
      <c r="AJ69" s="135"/>
      <c r="AK69" s="135"/>
      <c r="AL69" s="95"/>
      <c r="AM69" s="123"/>
      <c r="AN69" s="216"/>
      <c r="AO69" s="216"/>
      <c r="AP69" s="264"/>
      <c r="AQ69" s="216"/>
      <c r="AR69" s="216"/>
      <c r="AS69" s="264"/>
      <c r="AT69" s="218"/>
      <c r="AU69" s="218"/>
      <c r="AV69" s="217" t="s">
        <v>615</v>
      </c>
      <c r="AW69" s="217" t="s">
        <v>615</v>
      </c>
      <c r="AX69" s="217" t="s">
        <v>615</v>
      </c>
      <c r="AY69" s="216"/>
    </row>
    <row r="70" spans="1:51" s="204" customFormat="1" ht="151.5" customHeight="1" x14ac:dyDescent="0.25">
      <c r="A70" s="447">
        <v>22</v>
      </c>
      <c r="B70" s="448" t="s">
        <v>283</v>
      </c>
      <c r="C70" s="451" t="s">
        <v>366</v>
      </c>
      <c r="D70" s="451" t="s">
        <v>401</v>
      </c>
      <c r="E70" s="406" t="s">
        <v>120</v>
      </c>
      <c r="F70" s="406" t="s">
        <v>575</v>
      </c>
      <c r="G70" s="406" t="s">
        <v>375</v>
      </c>
      <c r="H70" s="406" t="s">
        <v>574</v>
      </c>
      <c r="I70" s="406" t="s">
        <v>115</v>
      </c>
      <c r="J70" s="434">
        <v>20</v>
      </c>
      <c r="K70" s="436" t="str">
        <f>IF(J70&lt;=0,"",IF(J70&lt;=2,"Muy Baja",IF(J70&lt;=24,"Baja",IF(J70&lt;=500,"Media",IF(J70&lt;=5000,"Alta","Muy Alta")))))</f>
        <v>Baja</v>
      </c>
      <c r="L70" s="439">
        <f>IF(K70="","",IF(K70="Muy Baja",0.2,IF(K70="Baja",0.4,IF(K70="Media",0.6,IF(K70="Alta",0.8,IF(K70="Muy Alta",1,))))))</f>
        <v>0.4</v>
      </c>
      <c r="M70" s="442" t="s">
        <v>516</v>
      </c>
      <c r="N70" s="192" t="str">
        <f ca="1">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436" t="str">
        <f ca="1">IF(OR(N70='Tabla Impacto'!$C$11,N70='Tabla Impacto'!$D$11),"Leve",IF(OR(N70='Tabla Impacto'!$C$12,N70='Tabla Impacto'!$D$12),"Menor",IF(OR(N70='Tabla Impacto'!$C$13,N70='Tabla Impacto'!$D$13),"Moderado",IF(OR(N70='Tabla Impacto'!$C$14,N70='Tabla Impacto'!$D$14),"Mayor",IF(OR(N70='Tabla Impacto'!$C$15,N70='Tabla Impacto'!$D$15),"Catastrófico","")))))</f>
        <v>Moderado</v>
      </c>
      <c r="P70" s="439">
        <f ca="1">IF(O70="","",IF(O70="Leve",0.2,IF(O70="Menor",0.4,IF(O70="Moderado",0.6,IF(O70="Mayor",0.8,IF(O70="Catastrófico",1,))))))</f>
        <v>0.6</v>
      </c>
      <c r="Q70" s="444"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94">
        <v>1</v>
      </c>
      <c r="S70" s="122" t="s">
        <v>576</v>
      </c>
      <c r="T70" s="195" t="str">
        <f t="shared" ref="T70:T76" si="96">IF(OR(U70="Preventivo",U70="Detectivo"),"Probabilidad",IF(U70="Correctivo","Impacto",""))</f>
        <v>Probabilidad</v>
      </c>
      <c r="U70" s="196" t="s">
        <v>15</v>
      </c>
      <c r="V70" s="196" t="s">
        <v>9</v>
      </c>
      <c r="W70" s="197" t="str">
        <f t="shared" ref="W70:W76" si="97">IF(AND(U70="Preventivo",V70="Automático"),"50%",IF(AND(U70="Preventivo",V70="Manual"),"40%",IF(AND(U70="Detectivo",V70="Automático"),"40%",IF(AND(U70="Detectivo",V70="Manual"),"30%",IF(AND(U70="Correctivo",V70="Automático"),"35%",IF(AND(U70="Correctivo",V70="Manual"),"25%",""))))))</f>
        <v>30%</v>
      </c>
      <c r="X70" s="196" t="s">
        <v>19</v>
      </c>
      <c r="Y70" s="196" t="s">
        <v>22</v>
      </c>
      <c r="Z70" s="196" t="s">
        <v>110</v>
      </c>
      <c r="AA70" s="145">
        <f t="shared" ref="AA70" si="98">IFERROR(IF(T70="Probabilidad",(L70-(+L70*W70)),IF(T70="Impacto",L70,"")),"")</f>
        <v>0.28000000000000003</v>
      </c>
      <c r="AB70" s="198" t="str">
        <f t="shared" ref="AB70:AB76" si="99">IFERROR(IF(AA70="","",IF(AA70&lt;=0.2,"Muy Baja",IF(AA70&lt;=0.4,"Baja",IF(AA70&lt;=0.6,"Media",IF(AA70&lt;=0.8,"Alta","Muy Alta"))))),"")</f>
        <v>Baja</v>
      </c>
      <c r="AC70" s="199">
        <f t="shared" ref="AC70:AC76" si="100">+AA70</f>
        <v>0.28000000000000003</v>
      </c>
      <c r="AD70" s="198" t="str">
        <f t="shared" ref="AD70:AD76" ca="1" si="101">IFERROR(IF(AE70="","",IF(AE70&lt;=0.2,"Leve",IF(AE70&lt;=0.4,"Menor",IF(AE70&lt;=0.6,"Moderado",IF(AE70&lt;=0.8,"Mayor","Catastrófico"))))),"")</f>
        <v>Moderado</v>
      </c>
      <c r="AE70" s="199">
        <f t="shared" ref="AE70" ca="1" si="102">IFERROR(IF(T70="Impacto",(P70-(+P70*W70)),IF(T70="Probabilidad",P70,"")),"")</f>
        <v>0.6</v>
      </c>
      <c r="AF70" s="200" t="str">
        <f t="shared" ref="AF70:AF76" ca="1" si="103">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Moderado</v>
      </c>
      <c r="AG70" s="201" t="s">
        <v>122</v>
      </c>
      <c r="AH70" s="122" t="s">
        <v>577</v>
      </c>
      <c r="AI70" s="117" t="s">
        <v>213</v>
      </c>
      <c r="AJ70" s="124" t="s">
        <v>288</v>
      </c>
      <c r="AK70" s="124" t="s">
        <v>289</v>
      </c>
      <c r="AL70" s="122" t="s">
        <v>578</v>
      </c>
      <c r="AM70" s="190"/>
      <c r="AN70" s="216" t="s">
        <v>686</v>
      </c>
      <c r="AO70" s="216" t="s">
        <v>687</v>
      </c>
      <c r="AP70" s="264">
        <v>0.66</v>
      </c>
      <c r="AQ70" s="216" t="s">
        <v>847</v>
      </c>
      <c r="AR70" s="216" t="s">
        <v>688</v>
      </c>
      <c r="AS70" s="264" t="s">
        <v>620</v>
      </c>
      <c r="AT70" s="218"/>
      <c r="AU70" s="218" t="s">
        <v>618</v>
      </c>
      <c r="AV70" s="217" t="s">
        <v>615</v>
      </c>
      <c r="AW70" s="217" t="s">
        <v>615</v>
      </c>
      <c r="AX70" s="217" t="s">
        <v>615</v>
      </c>
      <c r="AY70" s="216" t="s">
        <v>813</v>
      </c>
    </row>
    <row r="71" spans="1:51" s="204" customFormat="1" ht="151.5" hidden="1" customHeight="1" x14ac:dyDescent="0.25">
      <c r="A71" s="447"/>
      <c r="B71" s="449"/>
      <c r="C71" s="452"/>
      <c r="D71" s="452"/>
      <c r="E71" s="407"/>
      <c r="F71" s="407"/>
      <c r="G71" s="407"/>
      <c r="H71" s="407"/>
      <c r="I71" s="407"/>
      <c r="J71" s="435"/>
      <c r="K71" s="437"/>
      <c r="L71" s="440"/>
      <c r="M71" s="443"/>
      <c r="N71" s="193"/>
      <c r="O71" s="437"/>
      <c r="P71" s="440"/>
      <c r="Q71" s="445"/>
      <c r="R71" s="194">
        <v>2</v>
      </c>
      <c r="S71" s="189"/>
      <c r="T71" s="181"/>
      <c r="U71" s="182"/>
      <c r="V71" s="182"/>
      <c r="W71" s="183"/>
      <c r="X71" s="182"/>
      <c r="Y71" s="182"/>
      <c r="Z71" s="182"/>
      <c r="AA71" s="184"/>
      <c r="AB71" s="185"/>
      <c r="AC71" s="186"/>
      <c r="AD71" s="185"/>
      <c r="AE71" s="186"/>
      <c r="AF71" s="187"/>
      <c r="AG71" s="188"/>
      <c r="AH71" s="189"/>
      <c r="AI71" s="190"/>
      <c r="AJ71" s="191"/>
      <c r="AK71" s="191"/>
      <c r="AL71" s="189"/>
      <c r="AM71" s="190"/>
      <c r="AN71" s="216"/>
      <c r="AO71" s="216"/>
      <c r="AP71" s="264"/>
      <c r="AQ71" s="216"/>
      <c r="AR71" s="216"/>
      <c r="AS71" s="264"/>
      <c r="AT71" s="218"/>
      <c r="AU71" s="218"/>
      <c r="AV71" s="217" t="s">
        <v>615</v>
      </c>
      <c r="AW71" s="217" t="s">
        <v>615</v>
      </c>
      <c r="AX71" s="217" t="s">
        <v>615</v>
      </c>
      <c r="AY71" s="216"/>
    </row>
    <row r="72" spans="1:51" s="204" customFormat="1" ht="151.5" hidden="1" customHeight="1" x14ac:dyDescent="0.25">
      <c r="A72" s="447"/>
      <c r="B72" s="450"/>
      <c r="C72" s="452"/>
      <c r="D72" s="452"/>
      <c r="E72" s="407"/>
      <c r="F72" s="407"/>
      <c r="G72" s="407"/>
      <c r="H72" s="407"/>
      <c r="I72" s="407"/>
      <c r="J72" s="435"/>
      <c r="K72" s="438"/>
      <c r="L72" s="441"/>
      <c r="M72" s="443"/>
      <c r="N72" s="193"/>
      <c r="O72" s="438"/>
      <c r="P72" s="441"/>
      <c r="Q72" s="446"/>
      <c r="R72" s="194">
        <v>3</v>
      </c>
      <c r="S72" s="189"/>
      <c r="T72" s="181"/>
      <c r="U72" s="182"/>
      <c r="V72" s="182"/>
      <c r="W72" s="183"/>
      <c r="X72" s="182"/>
      <c r="Y72" s="182"/>
      <c r="Z72" s="182"/>
      <c r="AA72" s="184"/>
      <c r="AB72" s="185"/>
      <c r="AC72" s="186"/>
      <c r="AD72" s="185"/>
      <c r="AE72" s="186"/>
      <c r="AF72" s="187"/>
      <c r="AG72" s="188"/>
      <c r="AH72" s="189"/>
      <c r="AI72" s="190"/>
      <c r="AJ72" s="191"/>
      <c r="AK72" s="191"/>
      <c r="AL72" s="189"/>
      <c r="AM72" s="190"/>
      <c r="AN72" s="216"/>
      <c r="AO72" s="216"/>
      <c r="AP72" s="264"/>
      <c r="AQ72" s="216"/>
      <c r="AR72" s="216"/>
      <c r="AS72" s="264"/>
      <c r="AT72" s="218"/>
      <c r="AU72" s="218"/>
      <c r="AV72" s="217" t="s">
        <v>615</v>
      </c>
      <c r="AW72" s="217" t="s">
        <v>615</v>
      </c>
      <c r="AX72" s="217" t="s">
        <v>615</v>
      </c>
      <c r="AY72" s="216"/>
    </row>
    <row r="73" spans="1:51" s="148" customFormat="1" ht="151.5" customHeight="1" x14ac:dyDescent="0.25">
      <c r="A73" s="430">
        <v>23</v>
      </c>
      <c r="B73" s="394" t="s">
        <v>287</v>
      </c>
      <c r="C73" s="414" t="s">
        <v>402</v>
      </c>
      <c r="D73" s="414" t="s">
        <v>403</v>
      </c>
      <c r="E73" s="404" t="s">
        <v>118</v>
      </c>
      <c r="F73" s="404" t="s">
        <v>336</v>
      </c>
      <c r="G73" s="404" t="s">
        <v>466</v>
      </c>
      <c r="H73" s="406" t="s">
        <v>592</v>
      </c>
      <c r="I73" s="404" t="s">
        <v>115</v>
      </c>
      <c r="J73" s="412">
        <v>30</v>
      </c>
      <c r="K73" s="418" t="str">
        <f>IF(J73&lt;=0,"",IF(J73&lt;=2,"Muy Baja",IF(J73&lt;=24,"Baja",IF(J73&lt;=500,"Media",IF(J73&lt;=5000,"Alta","Muy Alta")))))</f>
        <v>Media</v>
      </c>
      <c r="L73" s="424">
        <f>IF(K73="","",IF(K73="Muy Baja",0.2,IF(K73="Baja",0.4,IF(K73="Media",0.6,IF(K73="Alta",0.8,IF(K73="Muy Alta",1,))))))</f>
        <v>0.6</v>
      </c>
      <c r="M73" s="427" t="s">
        <v>523</v>
      </c>
      <c r="N73" s="125" t="str">
        <f ca="1">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418" t="str">
        <f ca="1">IF(OR(N73='Tabla Impacto'!$C$11,N73='Tabla Impacto'!$D$11),"Leve",IF(OR(N73='Tabla Impacto'!$C$12,N73='Tabla Impacto'!$D$12),"Menor",IF(OR(N73='Tabla Impacto'!$C$13,N73='Tabla Impacto'!$D$13),"Moderado",IF(OR(N73='Tabla Impacto'!$C$14,N73='Tabla Impacto'!$D$14),"Mayor",IF(OR(N73='Tabla Impacto'!$C$15,N73='Tabla Impacto'!$D$15),"Catastrófico","")))))</f>
        <v>Mayor</v>
      </c>
      <c r="P73" s="424">
        <f ca="1">IF(O73="","",IF(O73="Leve",0.2,IF(O73="Menor",0.4,IF(O73="Moderado",0.6,IF(O73="Mayor",0.8,IF(O73="Catastrófico",1,))))))</f>
        <v>0.8</v>
      </c>
      <c r="Q73" s="421"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26">
        <v>1</v>
      </c>
      <c r="S73" s="95" t="s">
        <v>346</v>
      </c>
      <c r="T73" s="127" t="str">
        <f t="shared" si="96"/>
        <v>Probabilidad</v>
      </c>
      <c r="U73" s="128" t="s">
        <v>14</v>
      </c>
      <c r="V73" s="128" t="s">
        <v>9</v>
      </c>
      <c r="W73" s="129" t="str">
        <f t="shared" si="97"/>
        <v>40%</v>
      </c>
      <c r="X73" s="128" t="s">
        <v>19</v>
      </c>
      <c r="Y73" s="128" t="s">
        <v>23</v>
      </c>
      <c r="Z73" s="128" t="s">
        <v>110</v>
      </c>
      <c r="AA73" s="130">
        <f t="shared" ref="AA73:AA76" si="104">IFERROR(IF(T73="Probabilidad",(L73-(+L73*W73)),IF(T73="Impacto",L73,"")),"")</f>
        <v>0.36</v>
      </c>
      <c r="AB73" s="131" t="str">
        <f t="shared" si="99"/>
        <v>Baja</v>
      </c>
      <c r="AC73" s="132">
        <f t="shared" si="100"/>
        <v>0.36</v>
      </c>
      <c r="AD73" s="131" t="str">
        <f t="shared" ca="1" si="101"/>
        <v>Mayor</v>
      </c>
      <c r="AE73" s="132">
        <f t="shared" ref="AE73:AE76" ca="1" si="105">IFERROR(IF(T73="Impacto",(P73-(+P73*W73)),IF(T73="Probabilidad",P73,"")),"")</f>
        <v>0.8</v>
      </c>
      <c r="AF73" s="133" t="str">
        <f t="shared" ca="1" si="103"/>
        <v>Alto</v>
      </c>
      <c r="AG73" s="134" t="s">
        <v>122</v>
      </c>
      <c r="AH73" s="122" t="s">
        <v>347</v>
      </c>
      <c r="AI73" s="117" t="s">
        <v>262</v>
      </c>
      <c r="AJ73" s="124" t="s">
        <v>288</v>
      </c>
      <c r="AK73" s="124" t="s">
        <v>289</v>
      </c>
      <c r="AL73" s="122" t="s">
        <v>406</v>
      </c>
      <c r="AM73" s="123"/>
      <c r="AN73" s="216" t="s">
        <v>689</v>
      </c>
      <c r="AO73" s="216" t="s">
        <v>690</v>
      </c>
      <c r="AP73" s="264">
        <v>0.33</v>
      </c>
      <c r="AQ73" s="218" t="s">
        <v>691</v>
      </c>
      <c r="AR73" s="216" t="s">
        <v>690</v>
      </c>
      <c r="AS73" s="264">
        <v>0.66</v>
      </c>
      <c r="AT73" s="218"/>
      <c r="AU73" s="218" t="s">
        <v>618</v>
      </c>
      <c r="AV73" s="217" t="s">
        <v>615</v>
      </c>
      <c r="AW73" s="217" t="s">
        <v>615</v>
      </c>
      <c r="AX73" s="217" t="s">
        <v>615</v>
      </c>
      <c r="AY73" s="216" t="s">
        <v>848</v>
      </c>
    </row>
    <row r="74" spans="1:51" s="148" customFormat="1" ht="151.5" customHeight="1" x14ac:dyDescent="0.25">
      <c r="A74" s="430"/>
      <c r="B74" s="395"/>
      <c r="C74" s="415"/>
      <c r="D74" s="429"/>
      <c r="E74" s="405"/>
      <c r="F74" s="405"/>
      <c r="G74" s="405"/>
      <c r="H74" s="407"/>
      <c r="I74" s="405"/>
      <c r="J74" s="413"/>
      <c r="K74" s="419"/>
      <c r="L74" s="425"/>
      <c r="M74" s="428"/>
      <c r="N74" s="137"/>
      <c r="O74" s="419"/>
      <c r="P74" s="425"/>
      <c r="Q74" s="422"/>
      <c r="R74" s="126">
        <v>2</v>
      </c>
      <c r="S74" s="95" t="s">
        <v>348</v>
      </c>
      <c r="T74" s="127" t="str">
        <f t="shared" si="96"/>
        <v>Probabilidad</v>
      </c>
      <c r="U74" s="128" t="s">
        <v>14</v>
      </c>
      <c r="V74" s="128" t="s">
        <v>9</v>
      </c>
      <c r="W74" s="129" t="str">
        <f t="shared" si="97"/>
        <v>40%</v>
      </c>
      <c r="X74" s="128" t="s">
        <v>19</v>
      </c>
      <c r="Y74" s="128" t="s">
        <v>22</v>
      </c>
      <c r="Z74" s="128" t="s">
        <v>110</v>
      </c>
      <c r="AA74" s="130">
        <f>IFERROR(IF(T74="Probabilidad",(AA73-(+AA73*W74)),IF(T74="Impacto",L74,"")),"")</f>
        <v>0.216</v>
      </c>
      <c r="AB74" s="131" t="str">
        <f t="shared" si="99"/>
        <v>Baja</v>
      </c>
      <c r="AC74" s="132">
        <f t="shared" si="100"/>
        <v>0.216</v>
      </c>
      <c r="AD74" s="131" t="str">
        <f t="shared" si="101"/>
        <v>Mayor</v>
      </c>
      <c r="AE74" s="132">
        <v>0.8</v>
      </c>
      <c r="AF74" s="133" t="str">
        <f t="shared" si="103"/>
        <v>Alto</v>
      </c>
      <c r="AG74" s="134" t="s">
        <v>122</v>
      </c>
      <c r="AH74" s="122" t="s">
        <v>290</v>
      </c>
      <c r="AI74" s="117" t="s">
        <v>262</v>
      </c>
      <c r="AJ74" s="124" t="s">
        <v>288</v>
      </c>
      <c r="AK74" s="124" t="s">
        <v>289</v>
      </c>
      <c r="AL74" s="122" t="s">
        <v>406</v>
      </c>
      <c r="AM74" s="123"/>
      <c r="AN74" s="232" t="s">
        <v>692</v>
      </c>
      <c r="AO74" s="148" t="s">
        <v>693</v>
      </c>
      <c r="AP74" s="269">
        <v>0.66</v>
      </c>
      <c r="AQ74" s="232" t="s">
        <v>694</v>
      </c>
      <c r="AR74" s="232" t="s">
        <v>695</v>
      </c>
      <c r="AS74" s="274">
        <v>0.66</v>
      </c>
      <c r="AT74" s="218"/>
      <c r="AU74" s="218" t="s">
        <v>618</v>
      </c>
      <c r="AV74" s="217" t="s">
        <v>615</v>
      </c>
      <c r="AW74" s="217" t="s">
        <v>615</v>
      </c>
      <c r="AX74" s="217" t="s">
        <v>615</v>
      </c>
      <c r="AY74" s="216"/>
    </row>
    <row r="75" spans="1:51" s="148" customFormat="1" ht="151.5" customHeight="1" x14ac:dyDescent="0.25">
      <c r="A75" s="432"/>
      <c r="B75" s="396"/>
      <c r="C75" s="415"/>
      <c r="D75" s="429"/>
      <c r="E75" s="405"/>
      <c r="F75" s="405"/>
      <c r="G75" s="405"/>
      <c r="H75" s="407"/>
      <c r="I75" s="405"/>
      <c r="J75" s="413"/>
      <c r="K75" s="420"/>
      <c r="L75" s="426"/>
      <c r="M75" s="428"/>
      <c r="N75" s="137"/>
      <c r="O75" s="420"/>
      <c r="P75" s="426"/>
      <c r="Q75" s="423"/>
      <c r="R75" s="126">
        <v>3</v>
      </c>
      <c r="S75" s="95" t="s">
        <v>404</v>
      </c>
      <c r="T75" s="127" t="str">
        <f t="shared" si="96"/>
        <v>Probabilidad</v>
      </c>
      <c r="U75" s="128" t="s">
        <v>15</v>
      </c>
      <c r="V75" s="128" t="s">
        <v>9</v>
      </c>
      <c r="W75" s="129" t="str">
        <f t="shared" si="97"/>
        <v>30%</v>
      </c>
      <c r="X75" s="128" t="s">
        <v>19</v>
      </c>
      <c r="Y75" s="128" t="s">
        <v>22</v>
      </c>
      <c r="Z75" s="128" t="s">
        <v>110</v>
      </c>
      <c r="AA75" s="130">
        <f>IFERROR(IF(T75="Probabilidad",(AA74-(+AA74*W75)),IF(T75="Impacto",L75,"")),"")</f>
        <v>0.1512</v>
      </c>
      <c r="AB75" s="131" t="str">
        <f t="shared" si="99"/>
        <v>Muy Baja</v>
      </c>
      <c r="AC75" s="132">
        <f t="shared" si="100"/>
        <v>0.1512</v>
      </c>
      <c r="AD75" s="131" t="str">
        <f t="shared" si="101"/>
        <v>Mayor</v>
      </c>
      <c r="AE75" s="132">
        <v>0.8</v>
      </c>
      <c r="AF75" s="133" t="str">
        <f t="shared" si="103"/>
        <v>Alto</v>
      </c>
      <c r="AG75" s="134" t="s">
        <v>122</v>
      </c>
      <c r="AH75" s="122" t="s">
        <v>405</v>
      </c>
      <c r="AI75" s="117" t="s">
        <v>262</v>
      </c>
      <c r="AJ75" s="124" t="s">
        <v>288</v>
      </c>
      <c r="AK75" s="124" t="s">
        <v>289</v>
      </c>
      <c r="AL75" s="122" t="s">
        <v>406</v>
      </c>
      <c r="AM75" s="123"/>
      <c r="AN75" s="216" t="s">
        <v>696</v>
      </c>
      <c r="AO75" s="216" t="s">
        <v>697</v>
      </c>
      <c r="AP75" s="264">
        <v>0.66</v>
      </c>
      <c r="AQ75" s="216" t="s">
        <v>698</v>
      </c>
      <c r="AR75" s="216" t="s">
        <v>697</v>
      </c>
      <c r="AS75" s="264">
        <v>0.51</v>
      </c>
      <c r="AT75" s="218"/>
      <c r="AU75" s="218" t="s">
        <v>618</v>
      </c>
      <c r="AV75" s="217" t="s">
        <v>615</v>
      </c>
      <c r="AW75" s="217" t="s">
        <v>615</v>
      </c>
      <c r="AX75" s="217" t="s">
        <v>615</v>
      </c>
      <c r="AY75" s="216" t="s">
        <v>849</v>
      </c>
    </row>
    <row r="76" spans="1:51" s="148" customFormat="1" ht="151.5" customHeight="1" x14ac:dyDescent="0.25">
      <c r="A76" s="431">
        <v>24</v>
      </c>
      <c r="B76" s="394" t="s">
        <v>287</v>
      </c>
      <c r="C76" s="414" t="s">
        <v>402</v>
      </c>
      <c r="D76" s="414" t="s">
        <v>403</v>
      </c>
      <c r="E76" s="404" t="s">
        <v>118</v>
      </c>
      <c r="F76" s="404" t="s">
        <v>291</v>
      </c>
      <c r="G76" s="404" t="s">
        <v>467</v>
      </c>
      <c r="H76" s="406" t="s">
        <v>407</v>
      </c>
      <c r="I76" s="404" t="s">
        <v>333</v>
      </c>
      <c r="J76" s="412">
        <v>12</v>
      </c>
      <c r="K76" s="418" t="str">
        <f>IF(J76&lt;=0,"",IF(J76&lt;=2,"Muy Baja",IF(J76&lt;=24,"Baja",IF(J76&lt;=500,"Media",IF(J76&lt;=5000,"Alta","Muy Alta")))))</f>
        <v>Baja</v>
      </c>
      <c r="L76" s="424">
        <f>IF(K76="","",IF(K76="Muy Baja",0.2,IF(K76="Baja",0.4,IF(K76="Media",0.6,IF(K76="Alta",0.8,IF(K76="Muy Alta",1,))))))</f>
        <v>0.4</v>
      </c>
      <c r="M76" s="427" t="s">
        <v>516</v>
      </c>
      <c r="N76" s="125"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418" t="str">
        <f ca="1">IF(OR(N76='Tabla Impacto'!$C$11,N76='Tabla Impacto'!$D$11),"Leve",IF(OR(N76='Tabla Impacto'!$C$12,N76='Tabla Impacto'!$D$12),"Menor",IF(OR(N76='Tabla Impacto'!$C$13,N76='Tabla Impacto'!$D$13),"Moderado",IF(OR(N76='Tabla Impacto'!$C$14,N76='Tabla Impacto'!$D$14),"Mayor",IF(OR(N76='Tabla Impacto'!$C$15,N76='Tabla Impacto'!$D$15),"Catastrófico","")))))</f>
        <v>Moderado</v>
      </c>
      <c r="P76" s="424">
        <f ca="1">IF(O76="","",IF(O76="Leve",0.2,IF(O76="Menor",0.4,IF(O76="Moderado",0.6,IF(O76="Mayor",0.8,IF(O76="Catastrófico",1,))))))</f>
        <v>0.6</v>
      </c>
      <c r="Q76" s="421"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26">
        <v>1</v>
      </c>
      <c r="S76" s="95" t="s">
        <v>408</v>
      </c>
      <c r="T76" s="127" t="str">
        <f t="shared" si="96"/>
        <v>Probabilidad</v>
      </c>
      <c r="U76" s="128" t="s">
        <v>14</v>
      </c>
      <c r="V76" s="128" t="s">
        <v>9</v>
      </c>
      <c r="W76" s="129" t="str">
        <f t="shared" si="97"/>
        <v>40%</v>
      </c>
      <c r="X76" s="128" t="s">
        <v>19</v>
      </c>
      <c r="Y76" s="128" t="s">
        <v>22</v>
      </c>
      <c r="Z76" s="128" t="s">
        <v>110</v>
      </c>
      <c r="AA76" s="130">
        <f t="shared" si="104"/>
        <v>0.24</v>
      </c>
      <c r="AB76" s="131" t="str">
        <f t="shared" si="99"/>
        <v>Baja</v>
      </c>
      <c r="AC76" s="132">
        <f t="shared" si="100"/>
        <v>0.24</v>
      </c>
      <c r="AD76" s="131" t="str">
        <f t="shared" ca="1" si="101"/>
        <v>Moderado</v>
      </c>
      <c r="AE76" s="132">
        <f t="shared" ca="1" si="105"/>
        <v>0.6</v>
      </c>
      <c r="AF76" s="133" t="str">
        <f t="shared" ca="1" si="103"/>
        <v>Moderado</v>
      </c>
      <c r="AG76" s="134" t="s">
        <v>122</v>
      </c>
      <c r="AH76" s="95" t="s">
        <v>409</v>
      </c>
      <c r="AI76" s="123" t="s">
        <v>199</v>
      </c>
      <c r="AJ76" s="135" t="s">
        <v>200</v>
      </c>
      <c r="AK76" s="135" t="s">
        <v>200</v>
      </c>
      <c r="AL76" s="95" t="s">
        <v>292</v>
      </c>
      <c r="AM76" s="123"/>
      <c r="AN76" s="233" t="s">
        <v>699</v>
      </c>
      <c r="AO76" s="233" t="s">
        <v>700</v>
      </c>
      <c r="AP76" s="270">
        <v>0.66</v>
      </c>
      <c r="AQ76" s="233" t="s">
        <v>701</v>
      </c>
      <c r="AR76" s="233" t="s">
        <v>702</v>
      </c>
      <c r="AS76" s="270">
        <v>0.66</v>
      </c>
      <c r="AT76" s="218"/>
      <c r="AU76" s="218" t="s">
        <v>618</v>
      </c>
      <c r="AV76" s="217" t="s">
        <v>615</v>
      </c>
      <c r="AW76" s="217" t="s">
        <v>615</v>
      </c>
      <c r="AX76" s="217" t="s">
        <v>615</v>
      </c>
      <c r="AY76" s="216"/>
    </row>
    <row r="77" spans="1:51" s="148" customFormat="1" ht="151.5" hidden="1" customHeight="1" x14ac:dyDescent="0.25">
      <c r="A77" s="430"/>
      <c r="B77" s="395"/>
      <c r="C77" s="415"/>
      <c r="D77" s="429"/>
      <c r="E77" s="405"/>
      <c r="F77" s="405"/>
      <c r="G77" s="405"/>
      <c r="H77" s="407"/>
      <c r="I77" s="405"/>
      <c r="J77" s="413"/>
      <c r="K77" s="419"/>
      <c r="L77" s="425"/>
      <c r="M77" s="428"/>
      <c r="N77" s="137"/>
      <c r="O77" s="419"/>
      <c r="P77" s="425"/>
      <c r="Q77" s="422"/>
      <c r="R77" s="126">
        <v>2</v>
      </c>
      <c r="S77" s="95"/>
      <c r="T77" s="127" t="str">
        <f t="shared" ref="T77:T78" si="106">IF(OR(U77="Preventivo",U77="Detectivo"),"Probabilidad",IF(U77="Correctivo","Impacto",""))</f>
        <v/>
      </c>
      <c r="U77" s="128"/>
      <c r="V77" s="128"/>
      <c r="W77" s="129"/>
      <c r="X77" s="128"/>
      <c r="Y77" s="128"/>
      <c r="Z77" s="128"/>
      <c r="AA77" s="130" t="str">
        <f>IFERROR(IF(T77="Probabilidad",(AA76-(+AA76*W77)),IF(T77="Impacto",L77,"")),"")</f>
        <v/>
      </c>
      <c r="AB77" s="131" t="str">
        <f t="shared" ref="AB77:AB78" si="107">IFERROR(IF(AA77="","",IF(AA77&lt;=0.2,"Muy Baja",IF(AA77&lt;=0.4,"Baja",IF(AA77&lt;=0.6,"Media",IF(AA77&lt;=0.8,"Alta","Muy Alta"))))),"")</f>
        <v/>
      </c>
      <c r="AC77" s="132" t="str">
        <f t="shared" ref="AC77:AC78" si="108">+AA77</f>
        <v/>
      </c>
      <c r="AD77" s="131" t="str">
        <f t="shared" ref="AD77:AD78" si="109">IFERROR(IF(AE77="","",IF(AE77&lt;=0.2,"Leve",IF(AE77&lt;=0.4,"Menor",IF(AE77&lt;=0.6,"Moderado",IF(AE77&lt;=0.8,"Mayor","Catastrófico"))))),"")</f>
        <v/>
      </c>
      <c r="AE77" s="132" t="str">
        <f t="shared" ref="AE77:AE78" si="110">IFERROR(IF(T77="Impacto",(P77-(+P77*W77)),IF(T77="Probabilidad",P77,"")),"")</f>
        <v/>
      </c>
      <c r="AF77" s="133" t="str">
        <f t="shared" ref="AF77:AF78" si="111">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34"/>
      <c r="AH77" s="95"/>
      <c r="AI77" s="123"/>
      <c r="AJ77" s="135"/>
      <c r="AK77" s="135"/>
      <c r="AL77" s="95"/>
      <c r="AM77" s="123"/>
      <c r="AN77" s="216"/>
      <c r="AO77" s="216"/>
      <c r="AP77" s="264"/>
      <c r="AQ77" s="216"/>
      <c r="AR77" s="216"/>
      <c r="AS77" s="264"/>
      <c r="AT77" s="218"/>
      <c r="AU77" s="218"/>
      <c r="AV77" s="217" t="s">
        <v>615</v>
      </c>
      <c r="AW77" s="217" t="s">
        <v>615</v>
      </c>
      <c r="AX77" s="217" t="s">
        <v>615</v>
      </c>
      <c r="AY77" s="216"/>
    </row>
    <row r="78" spans="1:51" s="148" customFormat="1" ht="151.5" hidden="1" customHeight="1" x14ac:dyDescent="0.25">
      <c r="A78" s="430"/>
      <c r="B78" s="396"/>
      <c r="C78" s="415"/>
      <c r="D78" s="429"/>
      <c r="E78" s="405"/>
      <c r="F78" s="405"/>
      <c r="G78" s="405"/>
      <c r="H78" s="407"/>
      <c r="I78" s="405"/>
      <c r="J78" s="413"/>
      <c r="K78" s="420"/>
      <c r="L78" s="426"/>
      <c r="M78" s="428"/>
      <c r="N78" s="137"/>
      <c r="O78" s="420"/>
      <c r="P78" s="426"/>
      <c r="Q78" s="423"/>
      <c r="R78" s="126">
        <v>3</v>
      </c>
      <c r="S78" s="95"/>
      <c r="T78" s="127" t="str">
        <f t="shared" si="106"/>
        <v/>
      </c>
      <c r="U78" s="128"/>
      <c r="V78" s="128"/>
      <c r="W78" s="129"/>
      <c r="X78" s="128"/>
      <c r="Y78" s="128"/>
      <c r="Z78" s="128"/>
      <c r="AA78" s="130" t="str">
        <f>IFERROR(IF(T78="Probabilidad",(AA77-(+AA77*W78)),IF(T78="Impacto",L78,"")),"")</f>
        <v/>
      </c>
      <c r="AB78" s="131" t="str">
        <f t="shared" si="107"/>
        <v/>
      </c>
      <c r="AC78" s="132" t="str">
        <f t="shared" si="108"/>
        <v/>
      </c>
      <c r="AD78" s="131" t="str">
        <f t="shared" si="109"/>
        <v/>
      </c>
      <c r="AE78" s="132" t="str">
        <f t="shared" si="110"/>
        <v/>
      </c>
      <c r="AF78" s="133" t="str">
        <f t="shared" si="111"/>
        <v/>
      </c>
      <c r="AG78" s="134"/>
      <c r="AH78" s="95"/>
      <c r="AI78" s="123"/>
      <c r="AJ78" s="135"/>
      <c r="AK78" s="135"/>
      <c r="AL78" s="95"/>
      <c r="AM78" s="123"/>
      <c r="AN78" s="216"/>
      <c r="AO78" s="216"/>
      <c r="AP78" s="264"/>
      <c r="AQ78" s="216"/>
      <c r="AR78" s="216"/>
      <c r="AS78" s="264"/>
      <c r="AT78" s="218"/>
      <c r="AU78" s="218"/>
      <c r="AV78" s="217" t="s">
        <v>615</v>
      </c>
      <c r="AW78" s="217" t="s">
        <v>615</v>
      </c>
      <c r="AX78" s="217" t="s">
        <v>615</v>
      </c>
      <c r="AY78" s="216"/>
    </row>
    <row r="79" spans="1:51" s="148" customFormat="1" ht="151.5" customHeight="1" x14ac:dyDescent="0.25">
      <c r="A79" s="430">
        <v>25</v>
      </c>
      <c r="B79" s="394" t="s">
        <v>287</v>
      </c>
      <c r="C79" s="414" t="s">
        <v>402</v>
      </c>
      <c r="D79" s="414" t="s">
        <v>403</v>
      </c>
      <c r="E79" s="404" t="s">
        <v>120</v>
      </c>
      <c r="F79" s="404" t="s">
        <v>469</v>
      </c>
      <c r="G79" s="404" t="s">
        <v>468</v>
      </c>
      <c r="H79" s="406" t="s">
        <v>413</v>
      </c>
      <c r="I79" s="404" t="s">
        <v>333</v>
      </c>
      <c r="J79" s="412">
        <v>12</v>
      </c>
      <c r="K79" s="418" t="str">
        <f>IF(J79&lt;=0,"",IF(J79&lt;=2,"Muy Baja",IF(J79&lt;=24,"Baja",IF(J79&lt;=500,"Media",IF(J79&lt;=5000,"Alta","Muy Alta")))))</f>
        <v>Baja</v>
      </c>
      <c r="L79" s="424">
        <f>IF(K79="","",IF(K79="Muy Baja",0.2,IF(K79="Baja",0.4,IF(K79="Media",0.6,IF(K79="Alta",0.8,IF(K79="Muy Alta",1,))))))</f>
        <v>0.4</v>
      </c>
      <c r="M79" s="427" t="s">
        <v>516</v>
      </c>
      <c r="N79" s="125" t="str">
        <f ca="1">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418" t="str">
        <f ca="1">IF(OR(N79='Tabla Impacto'!$C$11,N79='Tabla Impacto'!$D$11),"Leve",IF(OR(N79='Tabla Impacto'!$C$12,N79='Tabla Impacto'!$D$12),"Menor",IF(OR(N79='Tabla Impacto'!$C$13,N79='Tabla Impacto'!$D$13),"Moderado",IF(OR(N79='Tabla Impacto'!$C$14,N79='Tabla Impacto'!$D$14),"Mayor",IF(OR(N79='Tabla Impacto'!$C$15,N79='Tabla Impacto'!$D$15),"Catastrófico","")))))</f>
        <v>Moderado</v>
      </c>
      <c r="P79" s="424">
        <f ca="1">IF(O79="","",IF(O79="Leve",0.2,IF(O79="Menor",0.4,IF(O79="Moderado",0.6,IF(O79="Mayor",0.8,IF(O79="Catastrófico",1,))))))</f>
        <v>0.6</v>
      </c>
      <c r="Q79" s="421"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26">
        <v>1</v>
      </c>
      <c r="S79" s="95" t="s">
        <v>349</v>
      </c>
      <c r="T79" s="127" t="str">
        <f t="shared" si="25"/>
        <v>Probabilidad</v>
      </c>
      <c r="U79" s="128" t="s">
        <v>14</v>
      </c>
      <c r="V79" s="128" t="s">
        <v>9</v>
      </c>
      <c r="W79" s="129" t="str">
        <f t="shared" si="26"/>
        <v>40%</v>
      </c>
      <c r="X79" s="128" t="s">
        <v>19</v>
      </c>
      <c r="Y79" s="128" t="s">
        <v>22</v>
      </c>
      <c r="Z79" s="128" t="s">
        <v>110</v>
      </c>
      <c r="AA79" s="130">
        <f t="shared" si="27"/>
        <v>0.24</v>
      </c>
      <c r="AB79" s="131" t="str">
        <f t="shared" si="28"/>
        <v>Baja</v>
      </c>
      <c r="AC79" s="132">
        <f t="shared" si="29"/>
        <v>0.24</v>
      </c>
      <c r="AD79" s="131" t="str">
        <f t="shared" ca="1" si="30"/>
        <v>Moderado</v>
      </c>
      <c r="AE79" s="132">
        <f t="shared" ca="1" si="31"/>
        <v>0.6</v>
      </c>
      <c r="AF79" s="133" t="str">
        <f t="shared" ca="1" si="32"/>
        <v>Moderado</v>
      </c>
      <c r="AG79" s="134" t="s">
        <v>122</v>
      </c>
      <c r="AH79" s="95" t="s">
        <v>293</v>
      </c>
      <c r="AI79" s="138" t="s">
        <v>262</v>
      </c>
      <c r="AJ79" s="135" t="s">
        <v>288</v>
      </c>
      <c r="AK79" s="135" t="s">
        <v>289</v>
      </c>
      <c r="AL79" s="95" t="s">
        <v>294</v>
      </c>
      <c r="AM79" s="123"/>
      <c r="AN79" s="234" t="s">
        <v>703</v>
      </c>
      <c r="AO79" s="216" t="s">
        <v>704</v>
      </c>
      <c r="AP79" s="264">
        <v>0.66</v>
      </c>
      <c r="AQ79" s="235" t="s">
        <v>850</v>
      </c>
      <c r="AR79" s="218" t="s">
        <v>705</v>
      </c>
      <c r="AS79" s="264">
        <v>0.66</v>
      </c>
      <c r="AT79" s="218"/>
      <c r="AU79" s="218" t="s">
        <v>618</v>
      </c>
      <c r="AV79" s="217" t="s">
        <v>615</v>
      </c>
      <c r="AW79" s="217" t="s">
        <v>615</v>
      </c>
      <c r="AX79" s="217" t="s">
        <v>615</v>
      </c>
      <c r="AY79" s="216"/>
    </row>
    <row r="80" spans="1:51" s="148" customFormat="1" ht="151.5" customHeight="1" x14ac:dyDescent="0.25">
      <c r="A80" s="430"/>
      <c r="B80" s="395"/>
      <c r="C80" s="415"/>
      <c r="D80" s="429"/>
      <c r="E80" s="405"/>
      <c r="F80" s="405"/>
      <c r="G80" s="405"/>
      <c r="H80" s="407"/>
      <c r="I80" s="405"/>
      <c r="J80" s="413"/>
      <c r="K80" s="419"/>
      <c r="L80" s="425"/>
      <c r="M80" s="428"/>
      <c r="N80" s="137"/>
      <c r="O80" s="419"/>
      <c r="P80" s="425"/>
      <c r="Q80" s="422"/>
      <c r="R80" s="126">
        <v>2</v>
      </c>
      <c r="S80" s="95" t="s">
        <v>410</v>
      </c>
      <c r="T80" s="127" t="str">
        <f t="shared" ref="T80:T81" si="112">IF(OR(U80="Preventivo",U80="Detectivo"),"Probabilidad",IF(U80="Correctivo","Impacto",""))</f>
        <v>Probabilidad</v>
      </c>
      <c r="U80" s="128" t="s">
        <v>15</v>
      </c>
      <c r="V80" s="128" t="s">
        <v>9</v>
      </c>
      <c r="W80" s="129" t="str">
        <f t="shared" ref="W80:W81" si="113">IF(AND(U80="Preventivo",V80="Automático"),"50%",IF(AND(U80="Preventivo",V80="Manual"),"40%",IF(AND(U80="Detectivo",V80="Automático"),"40%",IF(AND(U80="Detectivo",V80="Manual"),"30%",IF(AND(U80="Correctivo",V80="Automático"),"35%",IF(AND(U80="Correctivo",V80="Manual"),"25%",""))))))</f>
        <v>30%</v>
      </c>
      <c r="X80" s="128" t="s">
        <v>20</v>
      </c>
      <c r="Y80" s="128" t="s">
        <v>23</v>
      </c>
      <c r="Z80" s="128" t="s">
        <v>110</v>
      </c>
      <c r="AA80" s="130">
        <f>IFERROR(IF(T80="Probabilidad",(AA79-(+AA79*W80)),IF(T80="Impacto",L80,"")),"")</f>
        <v>0.16799999999999998</v>
      </c>
      <c r="AB80" s="131" t="str">
        <f t="shared" ref="AB80:AB81" si="114">IFERROR(IF(AA80="","",IF(AA80&lt;=0.2,"Muy Baja",IF(AA80&lt;=0.4,"Baja",IF(AA80&lt;=0.6,"Media",IF(AA80&lt;=0.8,"Alta","Muy Alta"))))),"")</f>
        <v>Muy Baja</v>
      </c>
      <c r="AC80" s="132">
        <f t="shared" ref="AC80:AC81" si="115">+AA80</f>
        <v>0.16799999999999998</v>
      </c>
      <c r="AD80" s="131" t="str">
        <f t="shared" ref="AD80:AD81" si="116">IFERROR(IF(AE80="","",IF(AE80&lt;=0.2,"Leve",IF(AE80&lt;=0.4,"Menor",IF(AE80&lt;=0.6,"Moderado",IF(AE80&lt;=0.8,"Mayor","Catastrófico"))))),"")</f>
        <v>Moderado</v>
      </c>
      <c r="AE80" s="132">
        <v>0.6</v>
      </c>
      <c r="AF80" s="133" t="str">
        <f t="shared" ref="AF80:AF81" si="117">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4" t="s">
        <v>122</v>
      </c>
      <c r="AH80" s="95" t="s">
        <v>411</v>
      </c>
      <c r="AI80" s="138" t="s">
        <v>262</v>
      </c>
      <c r="AJ80" s="135" t="s">
        <v>288</v>
      </c>
      <c r="AK80" s="135" t="s">
        <v>289</v>
      </c>
      <c r="AL80" s="95" t="s">
        <v>294</v>
      </c>
      <c r="AM80" s="123"/>
      <c r="AN80" s="216" t="s">
        <v>706</v>
      </c>
      <c r="AO80" s="216" t="s">
        <v>697</v>
      </c>
      <c r="AP80" s="264">
        <v>0.66</v>
      </c>
      <c r="AQ80" s="216" t="s">
        <v>707</v>
      </c>
      <c r="AR80" s="216" t="s">
        <v>697</v>
      </c>
      <c r="AS80" s="264">
        <v>0.66</v>
      </c>
      <c r="AT80" s="218"/>
      <c r="AU80" s="218" t="s">
        <v>618</v>
      </c>
      <c r="AV80" s="217" t="s">
        <v>615</v>
      </c>
      <c r="AW80" s="217" t="s">
        <v>615</v>
      </c>
      <c r="AX80" s="217" t="s">
        <v>615</v>
      </c>
      <c r="AY80" s="216"/>
    </row>
    <row r="81" spans="1:51" s="148" customFormat="1" ht="151.5" customHeight="1" x14ac:dyDescent="0.25">
      <c r="A81" s="430"/>
      <c r="B81" s="396"/>
      <c r="C81" s="415"/>
      <c r="D81" s="429"/>
      <c r="E81" s="405"/>
      <c r="F81" s="405"/>
      <c r="G81" s="405"/>
      <c r="H81" s="407"/>
      <c r="I81" s="405"/>
      <c r="J81" s="413"/>
      <c r="K81" s="420"/>
      <c r="L81" s="426"/>
      <c r="M81" s="428"/>
      <c r="N81" s="137"/>
      <c r="O81" s="420"/>
      <c r="P81" s="426"/>
      <c r="Q81" s="423"/>
      <c r="R81" s="126">
        <v>3</v>
      </c>
      <c r="S81" s="95" t="s">
        <v>350</v>
      </c>
      <c r="T81" s="127" t="str">
        <f t="shared" si="112"/>
        <v>Probabilidad</v>
      </c>
      <c r="U81" s="128" t="s">
        <v>14</v>
      </c>
      <c r="V81" s="128" t="s">
        <v>9</v>
      </c>
      <c r="W81" s="129" t="str">
        <f t="shared" si="113"/>
        <v>40%</v>
      </c>
      <c r="X81" s="128" t="s">
        <v>19</v>
      </c>
      <c r="Y81" s="128" t="s">
        <v>22</v>
      </c>
      <c r="Z81" s="128" t="s">
        <v>110</v>
      </c>
      <c r="AA81" s="130">
        <f>IFERROR(IF(T81="Probabilidad",(AA80-(+AA80*W81)),IF(T81="Impacto",L81,"")),"")</f>
        <v>0.10079999999999999</v>
      </c>
      <c r="AB81" s="131" t="str">
        <f t="shared" si="114"/>
        <v>Muy Baja</v>
      </c>
      <c r="AC81" s="132">
        <f t="shared" si="115"/>
        <v>0.10079999999999999</v>
      </c>
      <c r="AD81" s="131" t="str">
        <f t="shared" si="116"/>
        <v>Moderado</v>
      </c>
      <c r="AE81" s="132">
        <v>0.6</v>
      </c>
      <c r="AF81" s="133" t="str">
        <f t="shared" si="117"/>
        <v>Moderado</v>
      </c>
      <c r="AG81" s="134" t="s">
        <v>122</v>
      </c>
      <c r="AH81" s="95" t="s">
        <v>412</v>
      </c>
      <c r="AI81" s="138" t="s">
        <v>262</v>
      </c>
      <c r="AJ81" s="135" t="s">
        <v>288</v>
      </c>
      <c r="AK81" s="135" t="s">
        <v>289</v>
      </c>
      <c r="AL81" s="95" t="s">
        <v>294</v>
      </c>
      <c r="AM81" s="123"/>
      <c r="AN81" s="216" t="s">
        <v>708</v>
      </c>
      <c r="AO81" s="216" t="s">
        <v>709</v>
      </c>
      <c r="AP81" s="264">
        <v>0.66</v>
      </c>
      <c r="AQ81" s="216" t="s">
        <v>710</v>
      </c>
      <c r="AR81" s="216" t="s">
        <v>709</v>
      </c>
      <c r="AS81" s="264">
        <v>0.66</v>
      </c>
      <c r="AT81" s="218"/>
      <c r="AU81" s="218" t="s">
        <v>618</v>
      </c>
      <c r="AV81" s="217" t="s">
        <v>615</v>
      </c>
      <c r="AW81" s="217" t="s">
        <v>615</v>
      </c>
      <c r="AX81" s="217" t="s">
        <v>615</v>
      </c>
      <c r="AY81" s="216"/>
    </row>
    <row r="82" spans="1:51" s="148" customFormat="1" ht="151.5" customHeight="1" x14ac:dyDescent="0.25">
      <c r="A82" s="430">
        <v>26</v>
      </c>
      <c r="B82" s="372" t="s">
        <v>295</v>
      </c>
      <c r="C82" s="414" t="s">
        <v>367</v>
      </c>
      <c r="D82" s="414" t="s">
        <v>414</v>
      </c>
      <c r="E82" s="404" t="s">
        <v>120</v>
      </c>
      <c r="F82" s="404" t="s">
        <v>296</v>
      </c>
      <c r="G82" s="404" t="s">
        <v>297</v>
      </c>
      <c r="H82" s="406" t="s">
        <v>593</v>
      </c>
      <c r="I82" s="404" t="s">
        <v>115</v>
      </c>
      <c r="J82" s="412">
        <v>2</v>
      </c>
      <c r="K82" s="418" t="str">
        <f>IF(J82&lt;=0,"",IF(J82&lt;=2,"Muy Baja",IF(J82&lt;=24,"Baja",IF(J82&lt;=500,"Media",IF(J82&lt;=5000,"Alta","Muy Alta")))))</f>
        <v>Muy Baja</v>
      </c>
      <c r="L82" s="424">
        <f>IF(K82="","",IF(K82="Muy Baja",0.2,IF(K82="Baja",0.4,IF(K82="Media",0.6,IF(K82="Alta",0.8,IF(K82="Muy Alta",1,))))))</f>
        <v>0.2</v>
      </c>
      <c r="M82" s="427" t="s">
        <v>515</v>
      </c>
      <c r="N82" s="125" t="str">
        <f ca="1">IF(NOT(ISERROR(MATCH(M82,'Tabla Impacto'!$B$221:$B$223,0))),'Tabla Impacto'!$F$223&amp;"Por favor no seleccionar los criterios de impacto(Afectación Económica o presupuestal y Pérdida Reputacional)",M82)</f>
        <v xml:space="preserve"> Entre 50 y 100 SMLMV </v>
      </c>
      <c r="O82" s="418" t="str">
        <f ca="1">IF(OR(N82='Tabla Impacto'!$C$11,N82='Tabla Impacto'!$D$11),"Leve",IF(OR(N82='Tabla Impacto'!$C$12,N82='Tabla Impacto'!$D$12),"Menor",IF(OR(N82='Tabla Impacto'!$C$13,N82='Tabla Impacto'!$D$13),"Moderado",IF(OR(N82='Tabla Impacto'!$C$14,N82='Tabla Impacto'!$D$14),"Mayor",IF(OR(N82='Tabla Impacto'!$C$15,N82='Tabla Impacto'!$D$15),"Catastrófico","")))))</f>
        <v>Moderado</v>
      </c>
      <c r="P82" s="424">
        <f ca="1">IF(O82="","",IF(O82="Leve",0.2,IF(O82="Menor",0.4,IF(O82="Moderado",0.6,IF(O82="Mayor",0.8,IF(O82="Catastrófico",1,))))))</f>
        <v>0.6</v>
      </c>
      <c r="Q82" s="421"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26">
        <v>1</v>
      </c>
      <c r="S82" s="95" t="s">
        <v>470</v>
      </c>
      <c r="T82" s="127" t="str">
        <f t="shared" si="25"/>
        <v>Probabilidad</v>
      </c>
      <c r="U82" s="128" t="s">
        <v>14</v>
      </c>
      <c r="V82" s="128" t="s">
        <v>9</v>
      </c>
      <c r="W82" s="129" t="str">
        <f t="shared" si="26"/>
        <v>40%</v>
      </c>
      <c r="X82" s="128" t="s">
        <v>20</v>
      </c>
      <c r="Y82" s="128" t="s">
        <v>22</v>
      </c>
      <c r="Z82" s="128" t="s">
        <v>110</v>
      </c>
      <c r="AA82" s="130">
        <f t="shared" si="27"/>
        <v>0.12</v>
      </c>
      <c r="AB82" s="131" t="str">
        <f t="shared" si="28"/>
        <v>Muy Baja</v>
      </c>
      <c r="AC82" s="132">
        <f t="shared" si="29"/>
        <v>0.12</v>
      </c>
      <c r="AD82" s="131" t="str">
        <f t="shared" ca="1" si="30"/>
        <v>Moderado</v>
      </c>
      <c r="AE82" s="132">
        <f t="shared" ca="1" si="31"/>
        <v>0.6</v>
      </c>
      <c r="AF82" s="133" t="str">
        <f t="shared" ca="1" si="32"/>
        <v>Moderado</v>
      </c>
      <c r="AG82" s="134" t="s">
        <v>122</v>
      </c>
      <c r="AH82" s="95" t="s">
        <v>472</v>
      </c>
      <c r="AI82" s="123" t="s">
        <v>415</v>
      </c>
      <c r="AJ82" s="124">
        <v>44562</v>
      </c>
      <c r="AK82" s="140" t="s">
        <v>386</v>
      </c>
      <c r="AL82" s="95" t="s">
        <v>473</v>
      </c>
      <c r="AM82" s="123"/>
      <c r="AN82" s="216" t="s">
        <v>851</v>
      </c>
      <c r="AO82" s="216" t="s">
        <v>622</v>
      </c>
      <c r="AP82" s="264">
        <v>0.66</v>
      </c>
      <c r="AQ82" s="216" t="s">
        <v>852</v>
      </c>
      <c r="AR82" s="216" t="s">
        <v>622</v>
      </c>
      <c r="AS82" s="264">
        <v>0.66</v>
      </c>
      <c r="AT82" s="218"/>
      <c r="AU82" s="218" t="s">
        <v>618</v>
      </c>
      <c r="AV82" s="217" t="s">
        <v>615</v>
      </c>
      <c r="AW82" s="217" t="s">
        <v>615</v>
      </c>
      <c r="AX82" s="217" t="s">
        <v>615</v>
      </c>
      <c r="AY82" s="216"/>
    </row>
    <row r="83" spans="1:51" s="148" customFormat="1" ht="151.5" customHeight="1" x14ac:dyDescent="0.25">
      <c r="A83" s="430"/>
      <c r="B83" s="373"/>
      <c r="C83" s="429"/>
      <c r="D83" s="429"/>
      <c r="E83" s="405"/>
      <c r="F83" s="405"/>
      <c r="G83" s="405"/>
      <c r="H83" s="407"/>
      <c r="I83" s="405"/>
      <c r="J83" s="413"/>
      <c r="K83" s="419"/>
      <c r="L83" s="425"/>
      <c r="M83" s="428"/>
      <c r="N83" s="137"/>
      <c r="O83" s="419"/>
      <c r="P83" s="425"/>
      <c r="Q83" s="422"/>
      <c r="R83" s="126">
        <v>2</v>
      </c>
      <c r="S83" s="95" t="s">
        <v>351</v>
      </c>
      <c r="T83" s="127" t="str">
        <f t="shared" ref="T83:T85" si="118">IF(OR(U83="Preventivo",U83="Detectivo"),"Probabilidad",IF(U83="Correctivo","Impacto",""))</f>
        <v>Probabilidad</v>
      </c>
      <c r="U83" s="128" t="s">
        <v>14</v>
      </c>
      <c r="V83" s="128" t="s">
        <v>9</v>
      </c>
      <c r="W83" s="129" t="str">
        <f t="shared" ref="W83:W85" si="119">IF(AND(U83="Preventivo",V83="Automático"),"50%",IF(AND(U83="Preventivo",V83="Manual"),"40%",IF(AND(U83="Detectivo",V83="Automático"),"40%",IF(AND(U83="Detectivo",V83="Manual"),"30%",IF(AND(U83="Correctivo",V83="Automático"),"35%",IF(AND(U83="Correctivo",V83="Manual"),"25%",""))))))</f>
        <v>40%</v>
      </c>
      <c r="X83" s="128" t="s">
        <v>19</v>
      </c>
      <c r="Y83" s="128" t="s">
        <v>22</v>
      </c>
      <c r="Z83" s="128" t="s">
        <v>110</v>
      </c>
      <c r="AA83" s="130">
        <f>IFERROR(IF(T83="Probabilidad",(AA82-(+AA82*W83)),IF(T83="Impacto",L83,"")),"")</f>
        <v>7.1999999999999995E-2</v>
      </c>
      <c r="AB83" s="131" t="str">
        <f t="shared" ref="AB83:AB85" si="120">IFERROR(IF(AA83="","",IF(AA83&lt;=0.2,"Muy Baja",IF(AA83&lt;=0.4,"Baja",IF(AA83&lt;=0.6,"Media",IF(AA83&lt;=0.8,"Alta","Muy Alta"))))),"")</f>
        <v>Muy Baja</v>
      </c>
      <c r="AC83" s="132">
        <f t="shared" ref="AC83:AC85" si="121">+AA83</f>
        <v>7.1999999999999995E-2</v>
      </c>
      <c r="AD83" s="131" t="str">
        <f t="shared" ref="AD83:AD85" ca="1" si="122">IFERROR(IF(AE83="","",IF(AE83&lt;=0.2,"Leve",IF(AE83&lt;=0.4,"Menor",IF(AE83&lt;=0.6,"Moderado",IF(AE83&lt;=0.8,"Mayor","Catastrófico"))))),"")</f>
        <v>Moderado</v>
      </c>
      <c r="AE83" s="132">
        <f ca="1">+AE82</f>
        <v>0.6</v>
      </c>
      <c r="AF83" s="133" t="str">
        <f t="shared" ref="AF83:AF85" ca="1" si="123">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34" t="s">
        <v>122</v>
      </c>
      <c r="AH83" s="95" t="s">
        <v>527</v>
      </c>
      <c r="AI83" s="123" t="s">
        <v>415</v>
      </c>
      <c r="AJ83" s="124">
        <v>44562</v>
      </c>
      <c r="AK83" s="140" t="s">
        <v>386</v>
      </c>
      <c r="AL83" s="95" t="s">
        <v>473</v>
      </c>
      <c r="AM83" s="123"/>
      <c r="AN83" s="216" t="s">
        <v>853</v>
      </c>
      <c r="AO83" s="216" t="s">
        <v>623</v>
      </c>
      <c r="AP83" s="264">
        <v>0.66</v>
      </c>
      <c r="AQ83" s="216" t="s">
        <v>624</v>
      </c>
      <c r="AR83" s="216" t="s">
        <v>854</v>
      </c>
      <c r="AS83" s="264">
        <v>0.66</v>
      </c>
      <c r="AT83" s="218"/>
      <c r="AU83" s="218" t="s">
        <v>618</v>
      </c>
      <c r="AV83" s="217" t="s">
        <v>615</v>
      </c>
      <c r="AW83" s="217" t="s">
        <v>615</v>
      </c>
      <c r="AX83" s="217" t="s">
        <v>615</v>
      </c>
      <c r="AY83" s="216" t="s">
        <v>814</v>
      </c>
    </row>
    <row r="84" spans="1:51" s="148" customFormat="1" ht="151.5" customHeight="1" x14ac:dyDescent="0.25">
      <c r="A84" s="430"/>
      <c r="B84" s="374"/>
      <c r="C84" s="429"/>
      <c r="D84" s="429"/>
      <c r="E84" s="405"/>
      <c r="F84" s="405"/>
      <c r="G84" s="405"/>
      <c r="H84" s="407"/>
      <c r="I84" s="405"/>
      <c r="J84" s="413"/>
      <c r="K84" s="420"/>
      <c r="L84" s="426"/>
      <c r="M84" s="428"/>
      <c r="N84" s="137"/>
      <c r="O84" s="420"/>
      <c r="P84" s="426"/>
      <c r="Q84" s="423"/>
      <c r="R84" s="126">
        <v>3</v>
      </c>
      <c r="S84" s="95" t="s">
        <v>471</v>
      </c>
      <c r="T84" s="127" t="str">
        <f t="shared" si="118"/>
        <v>Probabilidad</v>
      </c>
      <c r="U84" s="128" t="s">
        <v>15</v>
      </c>
      <c r="V84" s="128" t="s">
        <v>9</v>
      </c>
      <c r="W84" s="129" t="str">
        <f t="shared" si="119"/>
        <v>30%</v>
      </c>
      <c r="X84" s="128" t="s">
        <v>20</v>
      </c>
      <c r="Y84" s="128" t="s">
        <v>23</v>
      </c>
      <c r="Z84" s="128" t="s">
        <v>111</v>
      </c>
      <c r="AA84" s="130">
        <f>IFERROR(IF(T84="Probabilidad",(AA83-(+AA83*W84)),IF(T84="Impacto",L84,"")),"")</f>
        <v>5.04E-2</v>
      </c>
      <c r="AB84" s="131" t="str">
        <f t="shared" si="120"/>
        <v>Muy Baja</v>
      </c>
      <c r="AC84" s="132">
        <f t="shared" si="121"/>
        <v>5.04E-2</v>
      </c>
      <c r="AD84" s="131" t="str">
        <f t="shared" ca="1" si="122"/>
        <v>Moderado</v>
      </c>
      <c r="AE84" s="132">
        <f ca="1">+P82</f>
        <v>0.6</v>
      </c>
      <c r="AF84" s="133" t="str">
        <f t="shared" ca="1" si="123"/>
        <v>Moderado</v>
      </c>
      <c r="AG84" s="134" t="s">
        <v>122</v>
      </c>
      <c r="AH84" s="95" t="s">
        <v>528</v>
      </c>
      <c r="AI84" s="123" t="s">
        <v>415</v>
      </c>
      <c r="AJ84" s="124">
        <v>44562</v>
      </c>
      <c r="AK84" s="140" t="s">
        <v>386</v>
      </c>
      <c r="AL84" s="95" t="s">
        <v>473</v>
      </c>
      <c r="AM84" s="123"/>
      <c r="AN84" s="216" t="s">
        <v>625</v>
      </c>
      <c r="AO84" s="216" t="s">
        <v>626</v>
      </c>
      <c r="AP84" s="264">
        <v>0.66</v>
      </c>
      <c r="AQ84" s="216" t="s">
        <v>855</v>
      </c>
      <c r="AR84" s="216" t="s">
        <v>626</v>
      </c>
      <c r="AS84" s="264">
        <v>0.66</v>
      </c>
      <c r="AT84" s="218"/>
      <c r="AU84" s="218" t="s">
        <v>618</v>
      </c>
      <c r="AV84" s="217" t="s">
        <v>615</v>
      </c>
      <c r="AW84" s="217" t="s">
        <v>615</v>
      </c>
      <c r="AX84" s="217" t="s">
        <v>615</v>
      </c>
      <c r="AY84" s="216" t="s">
        <v>814</v>
      </c>
    </row>
    <row r="85" spans="1:51" s="148" customFormat="1" ht="151.5" customHeight="1" x14ac:dyDescent="0.25">
      <c r="A85" s="430">
        <v>27</v>
      </c>
      <c r="B85" s="372" t="s">
        <v>295</v>
      </c>
      <c r="C85" s="414" t="s">
        <v>367</v>
      </c>
      <c r="D85" s="414" t="s">
        <v>414</v>
      </c>
      <c r="E85" s="404" t="s">
        <v>118</v>
      </c>
      <c r="F85" s="404" t="s">
        <v>474</v>
      </c>
      <c r="G85" s="404" t="s">
        <v>475</v>
      </c>
      <c r="H85" s="406" t="s">
        <v>476</v>
      </c>
      <c r="I85" s="404" t="s">
        <v>333</v>
      </c>
      <c r="J85" s="412">
        <v>10</v>
      </c>
      <c r="K85" s="418" t="str">
        <f>IF(J85&lt;=0,"",IF(J85&lt;=2,"Muy Baja",IF(J85&lt;=24,"Baja",IF(J85&lt;=500,"Media",IF(J85&lt;=5000,"Alta","Muy Alta")))))</f>
        <v>Baja</v>
      </c>
      <c r="L85" s="424">
        <f>IF(K85="","",IF(K85="Muy Baja",0.2,IF(K85="Baja",0.4,IF(K85="Media",0.6,IF(K85="Alta",0.8,IF(K85="Muy Alta",1,))))))</f>
        <v>0.4</v>
      </c>
      <c r="M85" s="427" t="s">
        <v>516</v>
      </c>
      <c r="N85" s="125" t="str">
        <f ca="1">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418" t="str">
        <f ca="1">IF(OR(N85='Tabla Impacto'!$C$11,N85='Tabla Impacto'!$D$11),"Leve",IF(OR(N85='Tabla Impacto'!$C$12,N85='Tabla Impacto'!$D$12),"Menor",IF(OR(N85='Tabla Impacto'!$C$13,N85='Tabla Impacto'!$D$13),"Moderado",IF(OR(N85='Tabla Impacto'!$C$14,N85='Tabla Impacto'!$D$14),"Mayor",IF(OR(N85='Tabla Impacto'!$C$15,N85='Tabla Impacto'!$D$15),"Catastrófico","")))))</f>
        <v>Moderado</v>
      </c>
      <c r="P85" s="424">
        <f ca="1">IF(O85="","",IF(O85="Leve",0.2,IF(O85="Menor",0.4,IF(O85="Moderado",0.6,IF(O85="Mayor",0.8,IF(O85="Catastrófico",1,))))))</f>
        <v>0.6</v>
      </c>
      <c r="Q85" s="421"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26">
        <v>1</v>
      </c>
      <c r="S85" s="95" t="s">
        <v>481</v>
      </c>
      <c r="T85" s="127" t="str">
        <f t="shared" si="118"/>
        <v>Probabilidad</v>
      </c>
      <c r="U85" s="128" t="s">
        <v>15</v>
      </c>
      <c r="V85" s="128" t="s">
        <v>9</v>
      </c>
      <c r="W85" s="129" t="str">
        <f t="shared" si="119"/>
        <v>30%</v>
      </c>
      <c r="X85" s="128" t="s">
        <v>20</v>
      </c>
      <c r="Y85" s="128" t="s">
        <v>23</v>
      </c>
      <c r="Z85" s="128" t="s">
        <v>111</v>
      </c>
      <c r="AA85" s="141">
        <f t="shared" ref="AA85" si="124">IFERROR(IF(T85="Probabilidad",(L85-(+L85*W85)),IF(T85="Impacto",L85,"")),"")</f>
        <v>0.28000000000000003</v>
      </c>
      <c r="AB85" s="131" t="str">
        <f t="shared" si="120"/>
        <v>Baja</v>
      </c>
      <c r="AC85" s="132">
        <f t="shared" si="121"/>
        <v>0.28000000000000003</v>
      </c>
      <c r="AD85" s="131" t="str">
        <f t="shared" ca="1" si="122"/>
        <v>Moderado</v>
      </c>
      <c r="AE85" s="132">
        <f t="shared" ref="AE85" ca="1" si="125">IFERROR(IF(T85="Impacto",(P85-(+P85*W85)),IF(T85="Probabilidad",P85,"")),"")</f>
        <v>0.6</v>
      </c>
      <c r="AF85" s="133" t="str">
        <f t="shared" ca="1" si="123"/>
        <v>Moderado</v>
      </c>
      <c r="AG85" s="134" t="s">
        <v>122</v>
      </c>
      <c r="AH85" s="95" t="s">
        <v>529</v>
      </c>
      <c r="AI85" s="123" t="s">
        <v>415</v>
      </c>
      <c r="AJ85" s="124">
        <v>44562</v>
      </c>
      <c r="AK85" s="140" t="s">
        <v>386</v>
      </c>
      <c r="AL85" s="95" t="s">
        <v>477</v>
      </c>
      <c r="AM85" s="123"/>
      <c r="AN85" s="216" t="s">
        <v>856</v>
      </c>
      <c r="AO85" s="216" t="s">
        <v>627</v>
      </c>
      <c r="AP85" s="264">
        <v>0.66</v>
      </c>
      <c r="AQ85" s="216" t="s">
        <v>857</v>
      </c>
      <c r="AR85" s="216" t="s">
        <v>628</v>
      </c>
      <c r="AS85" s="264">
        <v>0.66</v>
      </c>
      <c r="AT85" s="218"/>
      <c r="AU85" s="218" t="s">
        <v>618</v>
      </c>
      <c r="AV85" s="217" t="s">
        <v>615</v>
      </c>
      <c r="AW85" s="217" t="s">
        <v>615</v>
      </c>
      <c r="AX85" s="217" t="s">
        <v>615</v>
      </c>
      <c r="AY85" s="216" t="s">
        <v>814</v>
      </c>
    </row>
    <row r="86" spans="1:51" s="148" customFormat="1" ht="151.5" hidden="1" customHeight="1" x14ac:dyDescent="0.25">
      <c r="A86" s="430"/>
      <c r="B86" s="373"/>
      <c r="C86" s="429"/>
      <c r="D86" s="429"/>
      <c r="E86" s="405"/>
      <c r="F86" s="405"/>
      <c r="G86" s="405"/>
      <c r="H86" s="407"/>
      <c r="I86" s="405"/>
      <c r="J86" s="413"/>
      <c r="K86" s="419"/>
      <c r="L86" s="425"/>
      <c r="M86" s="428"/>
      <c r="N86" s="137"/>
      <c r="O86" s="419"/>
      <c r="P86" s="425"/>
      <c r="Q86" s="422"/>
      <c r="R86" s="126">
        <v>2</v>
      </c>
      <c r="S86" s="95"/>
      <c r="T86" s="127"/>
      <c r="U86" s="128"/>
      <c r="V86" s="128"/>
      <c r="W86" s="129"/>
      <c r="X86" s="128"/>
      <c r="Y86" s="128"/>
      <c r="Z86" s="128"/>
      <c r="AA86" s="141"/>
      <c r="AB86" s="131"/>
      <c r="AC86" s="132"/>
      <c r="AD86" s="131"/>
      <c r="AE86" s="132"/>
      <c r="AF86" s="133"/>
      <c r="AG86" s="134"/>
      <c r="AH86" s="95"/>
      <c r="AI86" s="123"/>
      <c r="AJ86" s="124"/>
      <c r="AK86" s="140"/>
      <c r="AL86" s="95"/>
      <c r="AM86" s="123"/>
      <c r="AN86" s="216"/>
      <c r="AO86" s="216"/>
      <c r="AP86" s="264"/>
      <c r="AQ86" s="216"/>
      <c r="AR86" s="216"/>
      <c r="AS86" s="264"/>
      <c r="AT86" s="218"/>
      <c r="AU86" s="218"/>
      <c r="AV86" s="217" t="s">
        <v>615</v>
      </c>
      <c r="AW86" s="217" t="s">
        <v>615</v>
      </c>
      <c r="AX86" s="217" t="s">
        <v>615</v>
      </c>
      <c r="AY86" s="216"/>
    </row>
    <row r="87" spans="1:51" s="148" customFormat="1" ht="151.5" hidden="1" customHeight="1" x14ac:dyDescent="0.25">
      <c r="A87" s="430"/>
      <c r="B87" s="374"/>
      <c r="C87" s="429"/>
      <c r="D87" s="429"/>
      <c r="E87" s="405"/>
      <c r="F87" s="405"/>
      <c r="G87" s="405"/>
      <c r="H87" s="407"/>
      <c r="I87" s="405"/>
      <c r="J87" s="413"/>
      <c r="K87" s="420"/>
      <c r="L87" s="426"/>
      <c r="M87" s="428"/>
      <c r="N87" s="137"/>
      <c r="O87" s="420"/>
      <c r="P87" s="426"/>
      <c r="Q87" s="423"/>
      <c r="R87" s="126">
        <v>3</v>
      </c>
      <c r="S87" s="95"/>
      <c r="T87" s="127"/>
      <c r="U87" s="128"/>
      <c r="V87" s="128"/>
      <c r="W87" s="129"/>
      <c r="X87" s="128"/>
      <c r="Y87" s="128"/>
      <c r="Z87" s="128"/>
      <c r="AA87" s="141"/>
      <c r="AB87" s="131"/>
      <c r="AC87" s="132"/>
      <c r="AD87" s="131"/>
      <c r="AE87" s="132"/>
      <c r="AF87" s="133"/>
      <c r="AG87" s="134"/>
      <c r="AH87" s="95"/>
      <c r="AI87" s="123"/>
      <c r="AJ87" s="124"/>
      <c r="AK87" s="140"/>
      <c r="AL87" s="95"/>
      <c r="AM87" s="123"/>
      <c r="AN87" s="216"/>
      <c r="AO87" s="216"/>
      <c r="AP87" s="264"/>
      <c r="AQ87" s="216"/>
      <c r="AR87" s="216"/>
      <c r="AS87" s="264"/>
      <c r="AT87" s="218"/>
      <c r="AU87" s="218"/>
      <c r="AV87" s="217" t="s">
        <v>615</v>
      </c>
      <c r="AW87" s="217" t="s">
        <v>615</v>
      </c>
      <c r="AX87" s="217" t="s">
        <v>615</v>
      </c>
      <c r="AY87" s="216"/>
    </row>
    <row r="88" spans="1:51" s="148" customFormat="1" ht="151.5" customHeight="1" x14ac:dyDescent="0.25">
      <c r="A88" s="430">
        <v>28</v>
      </c>
      <c r="B88" s="394" t="s">
        <v>299</v>
      </c>
      <c r="C88" s="414" t="s">
        <v>298</v>
      </c>
      <c r="D88" s="414" t="s">
        <v>300</v>
      </c>
      <c r="E88" s="404" t="s">
        <v>118</v>
      </c>
      <c r="F88" s="404" t="s">
        <v>301</v>
      </c>
      <c r="G88" s="404" t="s">
        <v>478</v>
      </c>
      <c r="H88" s="406" t="s">
        <v>302</v>
      </c>
      <c r="I88" s="404" t="s">
        <v>115</v>
      </c>
      <c r="J88" s="412">
        <v>355</v>
      </c>
      <c r="K88" s="418" t="str">
        <f>IF(J88&lt;=0,"",IF(J88&lt;=2,"Muy Baja",IF(J88&lt;=24,"Baja",IF(J88&lt;=500,"Media",IF(J88&lt;=5000,"Alta","Muy Alta")))))</f>
        <v>Media</v>
      </c>
      <c r="L88" s="424">
        <f>IF(K88="","",IF(K88="Muy Baja",0.2,IF(K88="Baja",0.4,IF(K88="Media",0.6,IF(K88="Alta",0.8,IF(K88="Muy Alta",1,))))))</f>
        <v>0.6</v>
      </c>
      <c r="M88" s="427" t="s">
        <v>523</v>
      </c>
      <c r="N88" s="125"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418" t="str">
        <f ca="1">IF(OR(N88='Tabla Impacto'!$C$11,N88='Tabla Impacto'!$D$11),"Leve",IF(OR(N88='Tabla Impacto'!$C$12,N88='Tabla Impacto'!$D$12),"Menor",IF(OR(N88='Tabla Impacto'!$C$13,N88='Tabla Impacto'!$D$13),"Moderado",IF(OR(N88='Tabla Impacto'!$C$14,N88='Tabla Impacto'!$D$14),"Mayor",IF(OR(N88='Tabla Impacto'!$C$15,N88='Tabla Impacto'!$D$15),"Catastrófico","")))))</f>
        <v>Mayor</v>
      </c>
      <c r="P88" s="424">
        <f ca="1">IF(O88="","",IF(O88="Leve",0.2,IF(O88="Menor",0.4,IF(O88="Moderado",0.6,IF(O88="Mayor",0.8,IF(O88="Catastrófico",1,))))))</f>
        <v>0.8</v>
      </c>
      <c r="Q88" s="421"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26">
        <v>1</v>
      </c>
      <c r="S88" s="95" t="s">
        <v>479</v>
      </c>
      <c r="T88" s="127" t="str">
        <f t="shared" si="25"/>
        <v>Probabilidad</v>
      </c>
      <c r="U88" s="128" t="s">
        <v>14</v>
      </c>
      <c r="V88" s="128" t="s">
        <v>9</v>
      </c>
      <c r="W88" s="129" t="str">
        <f t="shared" si="26"/>
        <v>40%</v>
      </c>
      <c r="X88" s="128" t="s">
        <v>20</v>
      </c>
      <c r="Y88" s="128" t="s">
        <v>22</v>
      </c>
      <c r="Z88" s="128" t="s">
        <v>110</v>
      </c>
      <c r="AA88" s="130">
        <f t="shared" si="27"/>
        <v>0.36</v>
      </c>
      <c r="AB88" s="131" t="str">
        <f t="shared" si="28"/>
        <v>Baja</v>
      </c>
      <c r="AC88" s="132">
        <f t="shared" si="29"/>
        <v>0.36</v>
      </c>
      <c r="AD88" s="131" t="str">
        <f t="shared" ca="1" si="30"/>
        <v>Mayor</v>
      </c>
      <c r="AE88" s="132">
        <f t="shared" ca="1" si="31"/>
        <v>0.8</v>
      </c>
      <c r="AF88" s="133" t="str">
        <f t="shared" ca="1" si="32"/>
        <v>Alto</v>
      </c>
      <c r="AG88" s="134" t="s">
        <v>122</v>
      </c>
      <c r="AH88" s="95" t="s">
        <v>480</v>
      </c>
      <c r="AI88" s="123" t="s">
        <v>262</v>
      </c>
      <c r="AJ88" s="135" t="s">
        <v>200</v>
      </c>
      <c r="AK88" s="135" t="s">
        <v>200</v>
      </c>
      <c r="AL88" s="122" t="s">
        <v>303</v>
      </c>
      <c r="AM88" s="123"/>
      <c r="AN88" s="216" t="s">
        <v>858</v>
      </c>
      <c r="AO88" s="216" t="s">
        <v>653</v>
      </c>
      <c r="AP88" s="264">
        <v>0.66</v>
      </c>
      <c r="AQ88" s="216" t="s">
        <v>859</v>
      </c>
      <c r="AR88" s="216" t="s">
        <v>860</v>
      </c>
      <c r="AS88" s="264">
        <v>0.66</v>
      </c>
      <c r="AT88" s="218"/>
      <c r="AU88" s="218" t="s">
        <v>618</v>
      </c>
      <c r="AV88" s="217" t="s">
        <v>615</v>
      </c>
      <c r="AW88" s="217" t="s">
        <v>615</v>
      </c>
      <c r="AX88" s="217" t="s">
        <v>615</v>
      </c>
      <c r="AY88" s="216"/>
    </row>
    <row r="89" spans="1:51" s="148" customFormat="1" ht="151.5" hidden="1" customHeight="1" x14ac:dyDescent="0.25">
      <c r="A89" s="430"/>
      <c r="B89" s="395"/>
      <c r="C89" s="415"/>
      <c r="D89" s="415"/>
      <c r="E89" s="405"/>
      <c r="F89" s="405"/>
      <c r="G89" s="405"/>
      <c r="H89" s="407"/>
      <c r="I89" s="405"/>
      <c r="J89" s="413"/>
      <c r="K89" s="419"/>
      <c r="L89" s="425"/>
      <c r="M89" s="428"/>
      <c r="N89" s="137"/>
      <c r="O89" s="419"/>
      <c r="P89" s="425"/>
      <c r="Q89" s="422"/>
      <c r="R89" s="126">
        <v>2</v>
      </c>
      <c r="S89" s="95"/>
      <c r="T89" s="127" t="str">
        <f t="shared" ref="T89:T90" si="126">IF(OR(U89="Preventivo",U89="Detectivo"),"Probabilidad",IF(U89="Correctivo","Impacto",""))</f>
        <v/>
      </c>
      <c r="U89" s="128"/>
      <c r="V89" s="128"/>
      <c r="W89" s="129"/>
      <c r="X89" s="128"/>
      <c r="Y89" s="128"/>
      <c r="Z89" s="128"/>
      <c r="AA89" s="130" t="str">
        <f>IFERROR(IF(T89="Probabilidad",(AA88-(+AA88*W89)),IF(T89="Impacto",L89,"")),"")</f>
        <v/>
      </c>
      <c r="AB89" s="131" t="str">
        <f t="shared" ref="AB89:AB90" si="127">IFERROR(IF(AA89="","",IF(AA89&lt;=0.2,"Muy Baja",IF(AA89&lt;=0.4,"Baja",IF(AA89&lt;=0.6,"Media",IF(AA89&lt;=0.8,"Alta","Muy Alta"))))),"")</f>
        <v/>
      </c>
      <c r="AC89" s="132" t="str">
        <f t="shared" ref="AC89:AC90" si="128">+AA89</f>
        <v/>
      </c>
      <c r="AD89" s="131" t="str">
        <f t="shared" ref="AD89:AD90" si="129">IFERROR(IF(AE89="","",IF(AE89&lt;=0.2,"Leve",IF(AE89&lt;=0.4,"Menor",IF(AE89&lt;=0.6,"Moderado",IF(AE89&lt;=0.8,"Mayor","Catastrófico"))))),"")</f>
        <v/>
      </c>
      <c r="AE89" s="132" t="str">
        <f t="shared" ref="AE89:AE90" si="130">IFERROR(IF(T89="Impacto",(P89-(+P89*W89)),IF(T89="Probabilidad",P89,"")),"")</f>
        <v/>
      </c>
      <c r="AF89" s="133" t="str">
        <f t="shared" ref="AF89:AF90" si="131">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4"/>
      <c r="AH89" s="95"/>
      <c r="AI89" s="123"/>
      <c r="AJ89" s="135"/>
      <c r="AK89" s="135"/>
      <c r="AL89" s="95"/>
      <c r="AM89" s="123"/>
      <c r="AN89" s="216"/>
      <c r="AO89" s="216"/>
      <c r="AP89" s="264"/>
      <c r="AQ89" s="216"/>
      <c r="AR89" s="216"/>
      <c r="AS89" s="264"/>
      <c r="AT89" s="218"/>
      <c r="AU89" s="218"/>
      <c r="AV89" s="217" t="s">
        <v>615</v>
      </c>
      <c r="AW89" s="217" t="s">
        <v>615</v>
      </c>
      <c r="AX89" s="217" t="s">
        <v>615</v>
      </c>
      <c r="AY89" s="216"/>
    </row>
    <row r="90" spans="1:51" s="148" customFormat="1" ht="151.5" hidden="1" customHeight="1" x14ac:dyDescent="0.25">
      <c r="A90" s="430"/>
      <c r="B90" s="396"/>
      <c r="C90" s="416"/>
      <c r="D90" s="415"/>
      <c r="E90" s="405"/>
      <c r="F90" s="405"/>
      <c r="G90" s="405"/>
      <c r="H90" s="407"/>
      <c r="I90" s="405"/>
      <c r="J90" s="413"/>
      <c r="K90" s="420"/>
      <c r="L90" s="426"/>
      <c r="M90" s="428"/>
      <c r="N90" s="137"/>
      <c r="O90" s="420"/>
      <c r="P90" s="426"/>
      <c r="Q90" s="423"/>
      <c r="R90" s="126">
        <v>3</v>
      </c>
      <c r="S90" s="95"/>
      <c r="T90" s="127" t="str">
        <f t="shared" si="126"/>
        <v/>
      </c>
      <c r="U90" s="128"/>
      <c r="V90" s="128"/>
      <c r="W90" s="129"/>
      <c r="X90" s="128"/>
      <c r="Y90" s="128"/>
      <c r="Z90" s="128"/>
      <c r="AA90" s="130" t="str">
        <f>IFERROR(IF(T90="Probabilidad",(AA89-(+AA89*W90)),IF(T90="Impacto",L90,"")),"")</f>
        <v/>
      </c>
      <c r="AB90" s="131" t="str">
        <f t="shared" si="127"/>
        <v/>
      </c>
      <c r="AC90" s="132" t="str">
        <f t="shared" si="128"/>
        <v/>
      </c>
      <c r="AD90" s="131" t="str">
        <f t="shared" si="129"/>
        <v/>
      </c>
      <c r="AE90" s="132" t="str">
        <f t="shared" si="130"/>
        <v/>
      </c>
      <c r="AF90" s="133" t="str">
        <f t="shared" si="131"/>
        <v/>
      </c>
      <c r="AG90" s="134"/>
      <c r="AH90" s="95"/>
      <c r="AI90" s="123"/>
      <c r="AJ90" s="135"/>
      <c r="AK90" s="135"/>
      <c r="AL90" s="95"/>
      <c r="AM90" s="123"/>
      <c r="AN90" s="216"/>
      <c r="AO90" s="216"/>
      <c r="AP90" s="264"/>
      <c r="AQ90" s="216"/>
      <c r="AR90" s="216"/>
      <c r="AS90" s="264"/>
      <c r="AT90" s="218"/>
      <c r="AU90" s="218"/>
      <c r="AV90" s="217" t="s">
        <v>615</v>
      </c>
      <c r="AW90" s="217" t="s">
        <v>615</v>
      </c>
      <c r="AX90" s="217" t="s">
        <v>615</v>
      </c>
      <c r="AY90" s="216"/>
    </row>
    <row r="91" spans="1:51" s="148" customFormat="1" ht="176.45" customHeight="1" x14ac:dyDescent="0.25">
      <c r="A91" s="430">
        <v>29</v>
      </c>
      <c r="B91" s="394" t="s">
        <v>299</v>
      </c>
      <c r="C91" s="414" t="s">
        <v>298</v>
      </c>
      <c r="D91" s="414" t="s">
        <v>300</v>
      </c>
      <c r="E91" s="404" t="s">
        <v>118</v>
      </c>
      <c r="F91" s="404" t="s">
        <v>482</v>
      </c>
      <c r="G91" s="404" t="s">
        <v>483</v>
      </c>
      <c r="H91" s="406" t="s">
        <v>530</v>
      </c>
      <c r="I91" s="404" t="s">
        <v>333</v>
      </c>
      <c r="J91" s="412">
        <v>355</v>
      </c>
      <c r="K91" s="418" t="str">
        <f>IF(J91&lt;=0,"",IF(J91&lt;=2,"Muy Baja",IF(J91&lt;=24,"Baja",IF(J91&lt;=500,"Media",IF(J91&lt;=5000,"Alta","Muy Alta")))))</f>
        <v>Media</v>
      </c>
      <c r="L91" s="424">
        <f>IF(K91="","",IF(K91="Muy Baja",0.2,IF(K91="Baja",0.4,IF(K91="Media",0.6,IF(K91="Alta",0.8,IF(K91="Muy Alta",1,))))))</f>
        <v>0.6</v>
      </c>
      <c r="M91" s="427" t="s">
        <v>523</v>
      </c>
      <c r="N91" s="125"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418" t="str">
        <f ca="1">IF(OR(N91='Tabla Impacto'!$C$11,N91='Tabla Impacto'!$D$11),"Leve",IF(OR(N91='Tabla Impacto'!$C$12,N91='Tabla Impacto'!$D$12),"Menor",IF(OR(N91='Tabla Impacto'!$C$13,N91='Tabla Impacto'!$D$13),"Moderado",IF(OR(N91='Tabla Impacto'!$C$14,N91='Tabla Impacto'!$D$14),"Mayor",IF(OR(N91='Tabla Impacto'!$C$15,N91='Tabla Impacto'!$D$15),"Catastrófico","")))))</f>
        <v>Mayor</v>
      </c>
      <c r="P91" s="424">
        <f ca="1">IF(O91="","",IF(O91="Leve",0.2,IF(O91="Menor",0.4,IF(O91="Moderado",0.6,IF(O91="Mayor",0.8,IF(O91="Catastrófico",1,))))))</f>
        <v>0.8</v>
      </c>
      <c r="Q91" s="421"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26">
        <v>1</v>
      </c>
      <c r="S91" s="95" t="s">
        <v>484</v>
      </c>
      <c r="T91" s="127" t="str">
        <f t="shared" si="25"/>
        <v>Probabilidad</v>
      </c>
      <c r="U91" s="128" t="s">
        <v>14</v>
      </c>
      <c r="V91" s="128" t="s">
        <v>9</v>
      </c>
      <c r="W91" s="129" t="str">
        <f t="shared" si="26"/>
        <v>40%</v>
      </c>
      <c r="X91" s="128" t="s">
        <v>19</v>
      </c>
      <c r="Y91" s="128" t="s">
        <v>22</v>
      </c>
      <c r="Z91" s="128" t="s">
        <v>110</v>
      </c>
      <c r="AA91" s="145">
        <f t="shared" ref="AA91" si="132">IFERROR(IF(T91="Probabilidad",(L91-(+L91*W91)),IF(T91="Impacto",L91,"")),"")</f>
        <v>0.36</v>
      </c>
      <c r="AB91" s="131" t="str">
        <f t="shared" si="28"/>
        <v>Baja</v>
      </c>
      <c r="AC91" s="132">
        <f t="shared" si="29"/>
        <v>0.36</v>
      </c>
      <c r="AD91" s="131" t="str">
        <f t="shared" ca="1" si="30"/>
        <v>Mayor</v>
      </c>
      <c r="AE91" s="132">
        <f t="shared" ca="1" si="31"/>
        <v>0.8</v>
      </c>
      <c r="AF91" s="133" t="str">
        <f t="shared" ca="1" si="32"/>
        <v>Alto</v>
      </c>
      <c r="AG91" s="134" t="s">
        <v>122</v>
      </c>
      <c r="AH91" s="95" t="s">
        <v>304</v>
      </c>
      <c r="AI91" s="117" t="s">
        <v>262</v>
      </c>
      <c r="AJ91" s="124" t="s">
        <v>200</v>
      </c>
      <c r="AK91" s="124" t="s">
        <v>200</v>
      </c>
      <c r="AL91" s="122" t="s">
        <v>416</v>
      </c>
      <c r="AM91" s="123"/>
      <c r="AN91" s="121" t="s">
        <v>654</v>
      </c>
      <c r="AO91" s="216" t="s">
        <v>655</v>
      </c>
      <c r="AP91" s="264">
        <v>0.66</v>
      </c>
      <c r="AQ91" s="216" t="s">
        <v>656</v>
      </c>
      <c r="AR91" s="216" t="s">
        <v>657</v>
      </c>
      <c r="AS91" s="264">
        <v>0.66</v>
      </c>
      <c r="AT91" s="218"/>
      <c r="AU91" s="218" t="s">
        <v>618</v>
      </c>
      <c r="AV91" s="217" t="s">
        <v>615</v>
      </c>
      <c r="AW91" s="217" t="s">
        <v>615</v>
      </c>
      <c r="AX91" s="217" t="s">
        <v>615</v>
      </c>
      <c r="AY91" s="216"/>
    </row>
    <row r="92" spans="1:51" s="148" customFormat="1" ht="151.5" customHeight="1" x14ac:dyDescent="0.25">
      <c r="A92" s="430"/>
      <c r="B92" s="395"/>
      <c r="C92" s="415"/>
      <c r="D92" s="415"/>
      <c r="E92" s="405"/>
      <c r="F92" s="405"/>
      <c r="G92" s="405"/>
      <c r="H92" s="407"/>
      <c r="I92" s="405"/>
      <c r="J92" s="413"/>
      <c r="K92" s="419"/>
      <c r="L92" s="425"/>
      <c r="M92" s="428"/>
      <c r="N92" s="137"/>
      <c r="O92" s="419"/>
      <c r="P92" s="425"/>
      <c r="Q92" s="422"/>
      <c r="R92" s="126">
        <v>2</v>
      </c>
      <c r="S92" s="95" t="s">
        <v>352</v>
      </c>
      <c r="T92" s="127" t="str">
        <f t="shared" ref="T92:T93" si="133">IF(OR(U92="Preventivo",U92="Detectivo"),"Probabilidad",IF(U92="Correctivo","Impacto",""))</f>
        <v/>
      </c>
      <c r="U92" s="128" t="s">
        <v>337</v>
      </c>
      <c r="V92" s="128" t="s">
        <v>9</v>
      </c>
      <c r="W92" s="129" t="str">
        <f t="shared" ref="W92" si="134">IF(AND(U92="Preventivo",V92="Automático"),"50%",IF(AND(U92="Preventivo",V92="Manual"),"40%",IF(AND(U92="Detectivo",V92="Automático"),"40%",IF(AND(U92="Detectivo",V92="Manual"),"30%",IF(AND(U92="Correctivo",V92="Automático"),"35%",IF(AND(U92="Correctivo",V92="Manual"),"25%",""))))))</f>
        <v/>
      </c>
      <c r="X92" s="128" t="s">
        <v>20</v>
      </c>
      <c r="Y92" s="128" t="s">
        <v>22</v>
      </c>
      <c r="Z92" s="128" t="s">
        <v>110</v>
      </c>
      <c r="AA92" s="146" t="str">
        <f>IFERROR(IF(T92="Probabilidad",(AA91-(+AA91*W92)),IF(T92="Impacto",L92,"")),"")</f>
        <v/>
      </c>
      <c r="AB92" s="131" t="str">
        <f t="shared" ref="AB92:AB93" si="135">IFERROR(IF(AA92="","",IF(AA92&lt;=0.2,"Muy Baja",IF(AA92&lt;=0.4,"Baja",IF(AA92&lt;=0.6,"Media",IF(AA92&lt;=0.8,"Alta","Muy Alta"))))),"")</f>
        <v/>
      </c>
      <c r="AC92" s="132" t="str">
        <f t="shared" ref="AC92:AC93" si="136">+AA92</f>
        <v/>
      </c>
      <c r="AD92" s="131" t="str">
        <f t="shared" ref="AD92:AD93" si="137">IFERROR(IF(AE92="","",IF(AE92&lt;=0.2,"Leve",IF(AE92&lt;=0.4,"Menor",IF(AE92&lt;=0.6,"Moderado",IF(AE92&lt;=0.8,"Mayor","Catastrófico"))))),"")</f>
        <v/>
      </c>
      <c r="AE92" s="132" t="str">
        <f t="shared" ref="AE92:AE93" si="138">IFERROR(IF(T92="Impacto",(P92-(+P92*W92)),IF(T92="Probabilidad",P92,"")),"")</f>
        <v/>
      </c>
      <c r="AF92" s="133" t="str">
        <f t="shared" ref="AF92:AF93" si="139">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34" t="s">
        <v>122</v>
      </c>
      <c r="AH92" s="95" t="s">
        <v>304</v>
      </c>
      <c r="AI92" s="117" t="s">
        <v>262</v>
      </c>
      <c r="AJ92" s="124" t="s">
        <v>200</v>
      </c>
      <c r="AK92" s="124" t="s">
        <v>200</v>
      </c>
      <c r="AL92" s="122" t="s">
        <v>416</v>
      </c>
      <c r="AM92" s="123"/>
      <c r="AN92" s="121" t="s">
        <v>654</v>
      </c>
      <c r="AO92" s="216" t="s">
        <v>655</v>
      </c>
      <c r="AP92" s="264">
        <v>0.66</v>
      </c>
      <c r="AQ92" s="216" t="s">
        <v>656</v>
      </c>
      <c r="AR92" s="216" t="s">
        <v>657</v>
      </c>
      <c r="AS92" s="264">
        <v>0.66</v>
      </c>
      <c r="AT92" s="218"/>
      <c r="AU92" s="218" t="s">
        <v>618</v>
      </c>
      <c r="AV92" s="217" t="s">
        <v>615</v>
      </c>
      <c r="AW92" s="217" t="s">
        <v>615</v>
      </c>
      <c r="AX92" s="217" t="s">
        <v>615</v>
      </c>
      <c r="AY92" s="216"/>
    </row>
    <row r="93" spans="1:51" s="148" customFormat="1" ht="151.5" hidden="1" customHeight="1" x14ac:dyDescent="0.25">
      <c r="A93" s="430"/>
      <c r="B93" s="396"/>
      <c r="C93" s="416"/>
      <c r="D93" s="415"/>
      <c r="E93" s="405"/>
      <c r="F93" s="405"/>
      <c r="G93" s="405"/>
      <c r="H93" s="407"/>
      <c r="I93" s="405"/>
      <c r="J93" s="413"/>
      <c r="K93" s="420"/>
      <c r="L93" s="426"/>
      <c r="M93" s="428"/>
      <c r="N93" s="137"/>
      <c r="O93" s="420"/>
      <c r="P93" s="426"/>
      <c r="Q93" s="423"/>
      <c r="R93" s="126">
        <v>3</v>
      </c>
      <c r="S93" s="95"/>
      <c r="T93" s="127" t="str">
        <f t="shared" si="133"/>
        <v/>
      </c>
      <c r="U93" s="128"/>
      <c r="V93" s="128"/>
      <c r="W93" s="129"/>
      <c r="X93" s="128"/>
      <c r="Y93" s="128"/>
      <c r="Z93" s="128"/>
      <c r="AA93" s="130" t="str">
        <f>IFERROR(IF(T93="Probabilidad",(AA92-(+AA92*W93)),IF(T93="Impacto",L93,"")),"")</f>
        <v/>
      </c>
      <c r="AB93" s="131" t="str">
        <f t="shared" si="135"/>
        <v/>
      </c>
      <c r="AC93" s="132" t="str">
        <f t="shared" si="136"/>
        <v/>
      </c>
      <c r="AD93" s="131" t="str">
        <f t="shared" si="137"/>
        <v/>
      </c>
      <c r="AE93" s="132" t="str">
        <f t="shared" si="138"/>
        <v/>
      </c>
      <c r="AF93" s="133" t="str">
        <f t="shared" si="139"/>
        <v/>
      </c>
      <c r="AG93" s="134"/>
      <c r="AH93" s="95"/>
      <c r="AI93" s="123"/>
      <c r="AJ93" s="135"/>
      <c r="AK93" s="135"/>
      <c r="AL93" s="95"/>
      <c r="AM93" s="123"/>
      <c r="AN93" s="216"/>
      <c r="AO93" s="216"/>
      <c r="AP93" s="264"/>
      <c r="AQ93" s="216"/>
      <c r="AR93" s="216"/>
      <c r="AS93" s="264"/>
      <c r="AT93" s="218"/>
      <c r="AU93" s="218"/>
      <c r="AV93" s="217" t="s">
        <v>615</v>
      </c>
      <c r="AW93" s="217" t="s">
        <v>615</v>
      </c>
      <c r="AX93" s="217" t="s">
        <v>615</v>
      </c>
      <c r="AY93" s="216"/>
    </row>
    <row r="94" spans="1:51" s="148" customFormat="1" ht="151.5" customHeight="1" x14ac:dyDescent="0.25">
      <c r="A94" s="430">
        <v>30</v>
      </c>
      <c r="B94" s="394" t="s">
        <v>305</v>
      </c>
      <c r="C94" s="414" t="s">
        <v>368</v>
      </c>
      <c r="D94" s="414" t="s">
        <v>417</v>
      </c>
      <c r="E94" s="404" t="s">
        <v>120</v>
      </c>
      <c r="F94" s="417" t="s">
        <v>486</v>
      </c>
      <c r="G94" s="417" t="s">
        <v>485</v>
      </c>
      <c r="H94" s="406" t="s">
        <v>306</v>
      </c>
      <c r="I94" s="404" t="s">
        <v>333</v>
      </c>
      <c r="J94" s="412">
        <v>850</v>
      </c>
      <c r="K94" s="418" t="str">
        <f>IF(J94&lt;=0,"",IF(J94&lt;=2,"Muy Baja",IF(J94&lt;=24,"Baja",IF(J94&lt;=500,"Media",IF(J94&lt;=5000,"Alta","Muy Alta")))))</f>
        <v>Alta</v>
      </c>
      <c r="L94" s="424">
        <f>IF(K94="","",IF(K94="Muy Baja",0.2,IF(K94="Baja",0.4,IF(K94="Media",0.6,IF(K94="Alta",0.8,IF(K94="Muy Alta",1,))))))</f>
        <v>0.8</v>
      </c>
      <c r="M94" s="427" t="s">
        <v>523</v>
      </c>
      <c r="N94" s="125" t="str">
        <f ca="1">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418" t="str">
        <f ca="1">IF(OR(N94='Tabla Impacto'!$C$11,N94='Tabla Impacto'!$D$11),"Leve",IF(OR(N94='Tabla Impacto'!$C$12,N94='Tabla Impacto'!$D$12),"Menor",IF(OR(N94='Tabla Impacto'!$C$13,N94='Tabla Impacto'!$D$13),"Moderado",IF(OR(N94='Tabla Impacto'!$C$14,N94='Tabla Impacto'!$D$14),"Mayor",IF(OR(N94='Tabla Impacto'!$C$15,N94='Tabla Impacto'!$D$15),"Catastrófico","")))))</f>
        <v>Mayor</v>
      </c>
      <c r="P94" s="424">
        <f ca="1">IF(O94="","",IF(O94="Leve",0.2,IF(O94="Menor",0.4,IF(O94="Moderado",0.6,IF(O94="Mayor",0.8,IF(O94="Catastrófico",1,))))))</f>
        <v>0.8</v>
      </c>
      <c r="Q94" s="421"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26">
        <v>1</v>
      </c>
      <c r="S94" s="95" t="s">
        <v>307</v>
      </c>
      <c r="T94" s="127" t="str">
        <f t="shared" ref="T94:T96" si="140">IF(OR(U94="Preventivo",U94="Detectivo"),"Probabilidad",IF(U94="Correctivo","Impacto",""))</f>
        <v>Probabilidad</v>
      </c>
      <c r="U94" s="128" t="s">
        <v>14</v>
      </c>
      <c r="V94" s="128" t="s">
        <v>9</v>
      </c>
      <c r="W94" s="129" t="str">
        <f t="shared" ref="W94:W95" si="141">IF(AND(U94="Preventivo",V94="Automático"),"50%",IF(AND(U94="Preventivo",V94="Manual"),"40%",IF(AND(U94="Detectivo",V94="Automático"),"40%",IF(AND(U94="Detectivo",V94="Manual"),"30%",IF(AND(U94="Correctivo",V94="Automático"),"35%",IF(AND(U94="Correctivo",V94="Manual"),"25%",""))))))</f>
        <v>40%</v>
      </c>
      <c r="X94" s="128" t="s">
        <v>20</v>
      </c>
      <c r="Y94" s="128" t="s">
        <v>22</v>
      </c>
      <c r="Z94" s="128" t="s">
        <v>110</v>
      </c>
      <c r="AA94" s="130">
        <f t="shared" ref="AA94" si="142">IFERROR(IF(T94="Probabilidad",(L94-(+L94*W94)),IF(T94="Impacto",L94,"")),"")</f>
        <v>0.48</v>
      </c>
      <c r="AB94" s="131" t="str">
        <f t="shared" ref="AB94:AB96" si="143">IFERROR(IF(AA94="","",IF(AA94&lt;=0.2,"Muy Baja",IF(AA94&lt;=0.4,"Baja",IF(AA94&lt;=0.6,"Media",IF(AA94&lt;=0.8,"Alta","Muy Alta"))))),"")</f>
        <v>Media</v>
      </c>
      <c r="AC94" s="132">
        <f t="shared" ref="AC94:AC96" si="144">+AA94</f>
        <v>0.48</v>
      </c>
      <c r="AD94" s="131" t="str">
        <f t="shared" ref="AD94:AD96" ca="1" si="145">IFERROR(IF(AE94="","",IF(AE94&lt;=0.2,"Leve",IF(AE94&lt;=0.4,"Menor",IF(AE94&lt;=0.6,"Moderado",IF(AE94&lt;=0.8,"Mayor","Catastrófico"))))),"")</f>
        <v>Mayor</v>
      </c>
      <c r="AE94" s="132">
        <f t="shared" ref="AE94:AE96" ca="1" si="146">IFERROR(IF(T94="Impacto",(P94-(+P94*W94)),IF(T94="Probabilidad",P94,"")),"")</f>
        <v>0.8</v>
      </c>
      <c r="AF94" s="133" t="str">
        <f t="shared" ref="AF94:AF96" ca="1" si="147">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34" t="s">
        <v>122</v>
      </c>
      <c r="AH94" s="147" t="s">
        <v>309</v>
      </c>
      <c r="AI94" s="123" t="s">
        <v>199</v>
      </c>
      <c r="AJ94" s="124">
        <v>44562</v>
      </c>
      <c r="AK94" s="124" t="s">
        <v>386</v>
      </c>
      <c r="AL94" s="95" t="s">
        <v>310</v>
      </c>
      <c r="AM94" s="123"/>
      <c r="AN94" s="216" t="s">
        <v>711</v>
      </c>
      <c r="AO94" s="216" t="s">
        <v>712</v>
      </c>
      <c r="AP94" s="264">
        <v>0.66</v>
      </c>
      <c r="AQ94" s="216" t="s">
        <v>861</v>
      </c>
      <c r="AR94" s="216" t="s">
        <v>713</v>
      </c>
      <c r="AS94" s="264">
        <v>0.66</v>
      </c>
      <c r="AT94" s="218"/>
      <c r="AU94" s="218" t="s">
        <v>618</v>
      </c>
      <c r="AV94" s="217" t="s">
        <v>615</v>
      </c>
      <c r="AW94" s="217" t="s">
        <v>615</v>
      </c>
      <c r="AX94" s="217" t="s">
        <v>615</v>
      </c>
      <c r="AY94" s="216"/>
    </row>
    <row r="95" spans="1:51" s="148" customFormat="1" ht="151.5" customHeight="1" x14ac:dyDescent="0.25">
      <c r="A95" s="430"/>
      <c r="B95" s="395"/>
      <c r="C95" s="415"/>
      <c r="D95" s="415"/>
      <c r="E95" s="405"/>
      <c r="F95" s="405"/>
      <c r="G95" s="405"/>
      <c r="H95" s="407"/>
      <c r="I95" s="405"/>
      <c r="J95" s="413"/>
      <c r="K95" s="419"/>
      <c r="L95" s="425"/>
      <c r="M95" s="428"/>
      <c r="N95" s="137"/>
      <c r="O95" s="419"/>
      <c r="P95" s="425"/>
      <c r="Q95" s="422"/>
      <c r="R95" s="126">
        <v>2</v>
      </c>
      <c r="S95" s="95" t="s">
        <v>308</v>
      </c>
      <c r="T95" s="127" t="str">
        <f t="shared" si="140"/>
        <v>Probabilidad</v>
      </c>
      <c r="U95" s="128" t="s">
        <v>14</v>
      </c>
      <c r="V95" s="128" t="s">
        <v>9</v>
      </c>
      <c r="W95" s="129" t="str">
        <f t="shared" si="141"/>
        <v>40%</v>
      </c>
      <c r="X95" s="128" t="s">
        <v>20</v>
      </c>
      <c r="Y95" s="128" t="s">
        <v>22</v>
      </c>
      <c r="Z95" s="128" t="s">
        <v>110</v>
      </c>
      <c r="AA95" s="130">
        <f>IFERROR(IF(T95="Probabilidad",(AA94-(+AA94*W95)),IF(T95="Impacto",L95,"")),"")</f>
        <v>0.28799999999999998</v>
      </c>
      <c r="AB95" s="131" t="str">
        <f t="shared" si="143"/>
        <v>Baja</v>
      </c>
      <c r="AC95" s="132">
        <f t="shared" si="144"/>
        <v>0.28799999999999998</v>
      </c>
      <c r="AD95" s="131" t="str">
        <f t="shared" si="145"/>
        <v>Mayor</v>
      </c>
      <c r="AE95" s="132">
        <v>0.8</v>
      </c>
      <c r="AF95" s="133" t="str">
        <f t="shared" si="147"/>
        <v>Alto</v>
      </c>
      <c r="AG95" s="134" t="s">
        <v>122</v>
      </c>
      <c r="AH95" s="122" t="s">
        <v>311</v>
      </c>
      <c r="AI95" s="117" t="s">
        <v>199</v>
      </c>
      <c r="AJ95" s="124">
        <v>44562</v>
      </c>
      <c r="AK95" s="124" t="s">
        <v>386</v>
      </c>
      <c r="AL95" s="122" t="s">
        <v>310</v>
      </c>
      <c r="AM95" s="123"/>
      <c r="AN95" s="216" t="s">
        <v>714</v>
      </c>
      <c r="AO95" s="216" t="s">
        <v>715</v>
      </c>
      <c r="AP95" s="264">
        <v>0.66</v>
      </c>
      <c r="AQ95" s="216" t="s">
        <v>716</v>
      </c>
      <c r="AR95" s="216" t="s">
        <v>717</v>
      </c>
      <c r="AS95" s="264">
        <v>0.66</v>
      </c>
      <c r="AT95" s="218"/>
      <c r="AU95" s="218" t="s">
        <v>618</v>
      </c>
      <c r="AV95" s="217" t="s">
        <v>615</v>
      </c>
      <c r="AW95" s="217" t="s">
        <v>615</v>
      </c>
      <c r="AX95" s="217" t="s">
        <v>615</v>
      </c>
      <c r="AY95" s="216"/>
    </row>
    <row r="96" spans="1:51" s="148" customFormat="1" ht="151.5" hidden="1" customHeight="1" x14ac:dyDescent="0.25">
      <c r="A96" s="432"/>
      <c r="B96" s="396"/>
      <c r="C96" s="415"/>
      <c r="D96" s="415"/>
      <c r="E96" s="405"/>
      <c r="F96" s="405"/>
      <c r="G96" s="405"/>
      <c r="H96" s="407"/>
      <c r="I96" s="405"/>
      <c r="J96" s="413"/>
      <c r="K96" s="420"/>
      <c r="L96" s="426"/>
      <c r="M96" s="428"/>
      <c r="N96" s="137"/>
      <c r="O96" s="420"/>
      <c r="P96" s="426"/>
      <c r="Q96" s="423"/>
      <c r="R96" s="126">
        <v>3</v>
      </c>
      <c r="S96" s="95"/>
      <c r="T96" s="127" t="str">
        <f t="shared" si="140"/>
        <v/>
      </c>
      <c r="U96" s="128"/>
      <c r="V96" s="128"/>
      <c r="W96" s="129"/>
      <c r="X96" s="128"/>
      <c r="Y96" s="128"/>
      <c r="Z96" s="128"/>
      <c r="AA96" s="130" t="str">
        <f>IFERROR(IF(T96="Probabilidad",(AA95-(+AA95*W96)),IF(T96="Impacto",L96,"")),"")</f>
        <v/>
      </c>
      <c r="AB96" s="131" t="str">
        <f t="shared" si="143"/>
        <v/>
      </c>
      <c r="AC96" s="132" t="str">
        <f t="shared" si="144"/>
        <v/>
      </c>
      <c r="AD96" s="131" t="str">
        <f t="shared" si="145"/>
        <v/>
      </c>
      <c r="AE96" s="132" t="str">
        <f t="shared" si="146"/>
        <v/>
      </c>
      <c r="AF96" s="133" t="str">
        <f t="shared" si="147"/>
        <v/>
      </c>
      <c r="AG96" s="134"/>
      <c r="AH96" s="95"/>
      <c r="AI96" s="123"/>
      <c r="AJ96" s="135"/>
      <c r="AK96" s="135"/>
      <c r="AL96" s="95"/>
      <c r="AM96" s="123"/>
      <c r="AN96" s="216"/>
      <c r="AO96" s="216"/>
      <c r="AP96" s="264"/>
      <c r="AQ96" s="216"/>
      <c r="AR96" s="216"/>
      <c r="AS96" s="264"/>
      <c r="AT96" s="218"/>
      <c r="AU96" s="218"/>
      <c r="AV96" s="217" t="s">
        <v>615</v>
      </c>
      <c r="AW96" s="217" t="s">
        <v>615</v>
      </c>
      <c r="AX96" s="217" t="s">
        <v>615</v>
      </c>
      <c r="AY96" s="216"/>
    </row>
    <row r="97" spans="1:51" s="148" customFormat="1" ht="151.5" customHeight="1" x14ac:dyDescent="0.25">
      <c r="A97" s="390">
        <v>31</v>
      </c>
      <c r="B97" s="372" t="s">
        <v>312</v>
      </c>
      <c r="C97" s="391" t="s">
        <v>369</v>
      </c>
      <c r="D97" s="391" t="s">
        <v>418</v>
      </c>
      <c r="E97" s="380" t="s">
        <v>118</v>
      </c>
      <c r="F97" s="393" t="s">
        <v>487</v>
      </c>
      <c r="G97" s="393" t="s">
        <v>499</v>
      </c>
      <c r="H97" s="383" t="s">
        <v>498</v>
      </c>
      <c r="I97" s="380" t="s">
        <v>333</v>
      </c>
      <c r="J97" s="360">
        <v>12</v>
      </c>
      <c r="K97" s="362" t="str">
        <f>IF(J97&lt;=0,"",IF(J97&lt;=2,"Muy Baja",IF(J97&lt;=24,"Baja",IF(J97&lt;=500,"Media",IF(J97&lt;=5000,"Alta","Muy Alta")))))</f>
        <v>Baja</v>
      </c>
      <c r="L97" s="365">
        <f>IF(K97="","",IF(K97="Muy Baja",0.2,IF(K97="Baja",0.4,IF(K97="Media",0.6,IF(K97="Alta",0.8,IF(K97="Muy Alta",1,))))))</f>
        <v>0.4</v>
      </c>
      <c r="M97" s="386" t="s">
        <v>516</v>
      </c>
      <c r="N97" s="162" t="str">
        <f ca="1">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62" t="str">
        <f ca="1">IF(OR(N97='Tabla Impacto'!$C$11,N97='Tabla Impacto'!$D$11),"Leve",IF(OR(N97='Tabla Impacto'!$C$12,N97='Tabla Impacto'!$D$12),"Menor",IF(OR(N97='Tabla Impacto'!$C$13,N97='Tabla Impacto'!$D$13),"Moderado",IF(OR(N97='Tabla Impacto'!$C$14,N97='Tabla Impacto'!$D$14),"Mayor",IF(OR(N97='Tabla Impacto'!$C$15,N97='Tabla Impacto'!$D$15),"Catastrófico","")))))</f>
        <v>Moderado</v>
      </c>
      <c r="P97" s="365">
        <f ca="1">IF(O97="","",IF(O97="Leve",0.2,IF(O97="Menor",0.4,IF(O97="Moderado",0.6,IF(O97="Mayor",0.8,IF(O97="Catastrófico",1,))))))</f>
        <v>0.6</v>
      </c>
      <c r="Q97" s="376" t="str">
        <f ca="1">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58">
        <v>1</v>
      </c>
      <c r="S97" s="159" t="s">
        <v>419</v>
      </c>
      <c r="T97" s="160" t="str">
        <f t="shared" si="25"/>
        <v>Probabilidad</v>
      </c>
      <c r="U97" s="163" t="s">
        <v>14</v>
      </c>
      <c r="V97" s="163" t="s">
        <v>9</v>
      </c>
      <c r="W97" s="164" t="str">
        <f t="shared" si="26"/>
        <v>40%</v>
      </c>
      <c r="X97" s="163" t="s">
        <v>19</v>
      </c>
      <c r="Y97" s="163" t="s">
        <v>22</v>
      </c>
      <c r="Z97" s="163" t="s">
        <v>110</v>
      </c>
      <c r="AA97" s="143">
        <f t="shared" si="27"/>
        <v>0.24</v>
      </c>
      <c r="AB97" s="153" t="str">
        <f t="shared" si="28"/>
        <v>Baja</v>
      </c>
      <c r="AC97" s="154">
        <f t="shared" si="29"/>
        <v>0.24</v>
      </c>
      <c r="AD97" s="153" t="str">
        <f t="shared" ca="1" si="30"/>
        <v>Moderado</v>
      </c>
      <c r="AE97" s="154">
        <f t="shared" ca="1" si="31"/>
        <v>0.6</v>
      </c>
      <c r="AF97" s="155" t="str">
        <f t="shared" ca="1" si="32"/>
        <v>Moderado</v>
      </c>
      <c r="AG97" s="156" t="s">
        <v>122</v>
      </c>
      <c r="AH97" s="175" t="s">
        <v>497</v>
      </c>
      <c r="AI97" s="149" t="s">
        <v>213</v>
      </c>
      <c r="AJ97" s="150" t="s">
        <v>200</v>
      </c>
      <c r="AK97" s="150" t="s">
        <v>200</v>
      </c>
      <c r="AL97" s="159" t="s">
        <v>500</v>
      </c>
      <c r="AM97" s="149"/>
      <c r="AN97" s="216" t="s">
        <v>780</v>
      </c>
      <c r="AO97" s="216" t="s">
        <v>629</v>
      </c>
      <c r="AP97" s="264">
        <v>0.66</v>
      </c>
      <c r="AQ97" s="216" t="s">
        <v>862</v>
      </c>
      <c r="AR97" s="216" t="s">
        <v>629</v>
      </c>
      <c r="AS97" s="264">
        <v>0.66</v>
      </c>
      <c r="AT97" s="218"/>
      <c r="AU97" s="218"/>
      <c r="AV97" s="217" t="s">
        <v>615</v>
      </c>
      <c r="AW97" s="217" t="s">
        <v>615</v>
      </c>
      <c r="AX97" s="217" t="s">
        <v>615</v>
      </c>
      <c r="AY97" s="216"/>
    </row>
    <row r="98" spans="1:51" s="148" customFormat="1" ht="151.5" customHeight="1" x14ac:dyDescent="0.25">
      <c r="A98" s="375"/>
      <c r="B98" s="373"/>
      <c r="C98" s="392"/>
      <c r="D98" s="392"/>
      <c r="E98" s="381"/>
      <c r="F98" s="411"/>
      <c r="G98" s="411"/>
      <c r="H98" s="384"/>
      <c r="I98" s="381"/>
      <c r="J98" s="361"/>
      <c r="K98" s="363"/>
      <c r="L98" s="366"/>
      <c r="M98" s="387"/>
      <c r="N98" s="168"/>
      <c r="O98" s="363"/>
      <c r="P98" s="366"/>
      <c r="Q98" s="377"/>
      <c r="R98" s="158">
        <v>2</v>
      </c>
      <c r="S98" s="159" t="s">
        <v>531</v>
      </c>
      <c r="T98" s="160" t="str">
        <f>IF(OR(U98="Preventivo",U98="Detectivo"),"Probabilidad",IF(U98="Correctivo","Impacto",""))</f>
        <v>Probabilidad</v>
      </c>
      <c r="U98" s="163" t="s">
        <v>14</v>
      </c>
      <c r="V98" s="163" t="s">
        <v>9</v>
      </c>
      <c r="W98" s="164" t="str">
        <f>IF(AND(U98="Preventivo",V98="Automático"),"50%",IF(AND(U98="Preventivo",V98="Manual"),"40%",IF(AND(U98="Detectivo",V98="Automático"),"40%",IF(AND(U98="Detectivo",V98="Manual"),"30%",IF(AND(U98="Correctivo",V98="Automático"),"35%",IF(AND(U98="Correctivo",V98="Manual"),"25%",""))))))</f>
        <v>40%</v>
      </c>
      <c r="X98" s="163" t="s">
        <v>19</v>
      </c>
      <c r="Y98" s="163" t="s">
        <v>22</v>
      </c>
      <c r="Z98" s="163" t="s">
        <v>110</v>
      </c>
      <c r="AA98" s="143">
        <f>IFERROR(IF(T98="Probabilidad",(AA97-(+AA97*W98)),IF(T98="Impacto",L99,"")),"")</f>
        <v>0.14399999999999999</v>
      </c>
      <c r="AB98" s="153" t="str">
        <f>IFERROR(IF(AA98="","",IF(AA98&lt;=0.2,"Muy Baja",IF(AA98&lt;=0.4,"Baja",IF(AA98&lt;=0.6,"Media",IF(AA98&lt;=0.8,"Alta","Muy Alta"))))),"")</f>
        <v>Muy Baja</v>
      </c>
      <c r="AC98" s="154">
        <f>+AA98</f>
        <v>0.14399999999999999</v>
      </c>
      <c r="AD98" s="153" t="str">
        <f>IFERROR(IF(AE98="","",IF(AE98&lt;=0.2,"Leve",IF(AE98&lt;=0.4,"Menor",IF(AE98&lt;=0.6,"Moderado",IF(AE98&lt;=0.8,"Mayor","Catastrófico"))))),"")</f>
        <v>Moderado</v>
      </c>
      <c r="AE98" s="154">
        <v>0.6</v>
      </c>
      <c r="AF98" s="155" t="str">
        <f>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56" t="s">
        <v>122</v>
      </c>
      <c r="AH98" s="175" t="s">
        <v>560</v>
      </c>
      <c r="AI98" s="176" t="s">
        <v>200</v>
      </c>
      <c r="AJ98" s="150" t="s">
        <v>200</v>
      </c>
      <c r="AK98" s="150" t="s">
        <v>200</v>
      </c>
      <c r="AL98" s="159" t="s">
        <v>501</v>
      </c>
      <c r="AM98" s="149"/>
      <c r="AN98" s="216" t="s">
        <v>863</v>
      </c>
      <c r="AO98" s="216" t="s">
        <v>630</v>
      </c>
      <c r="AP98" s="264">
        <v>0.66</v>
      </c>
      <c r="AQ98" s="216" t="s">
        <v>783</v>
      </c>
      <c r="AR98" s="263" t="s">
        <v>630</v>
      </c>
      <c r="AS98" s="271">
        <v>0.66</v>
      </c>
      <c r="AT98" s="218"/>
      <c r="AU98" s="218"/>
      <c r="AV98" s="217" t="s">
        <v>615</v>
      </c>
      <c r="AW98" s="217" t="s">
        <v>615</v>
      </c>
      <c r="AX98" s="217" t="s">
        <v>615</v>
      </c>
      <c r="AY98" s="216" t="s">
        <v>814</v>
      </c>
    </row>
    <row r="99" spans="1:51" s="148" customFormat="1" ht="151.5" hidden="1" customHeight="1" x14ac:dyDescent="0.25">
      <c r="A99" s="375"/>
      <c r="B99" s="373"/>
      <c r="C99" s="399"/>
      <c r="D99" s="399"/>
      <c r="E99" s="381"/>
      <c r="F99" s="381"/>
      <c r="G99" s="381"/>
      <c r="H99" s="384"/>
      <c r="I99" s="381"/>
      <c r="J99" s="361"/>
      <c r="K99" s="363"/>
      <c r="L99" s="366"/>
      <c r="M99" s="387"/>
      <c r="N99" s="168"/>
      <c r="O99" s="363"/>
      <c r="P99" s="366"/>
      <c r="Q99" s="377"/>
      <c r="R99" s="136">
        <v>3</v>
      </c>
      <c r="S99" s="159"/>
      <c r="T99" s="160"/>
      <c r="U99" s="163"/>
      <c r="V99" s="163"/>
      <c r="W99" s="164"/>
      <c r="X99" s="163"/>
      <c r="Y99" s="163"/>
      <c r="Z99" s="163"/>
      <c r="AA99" s="143"/>
      <c r="AB99" s="153"/>
      <c r="AC99" s="154"/>
      <c r="AD99" s="153"/>
      <c r="AE99" s="154"/>
      <c r="AF99" s="155"/>
      <c r="AG99" s="156"/>
      <c r="AH99" s="175"/>
      <c r="AI99" s="149"/>
      <c r="AJ99" s="150"/>
      <c r="AK99" s="150"/>
      <c r="AL99" s="159"/>
      <c r="AM99" s="149"/>
      <c r="AN99" s="216"/>
      <c r="AO99" s="216"/>
      <c r="AP99" s="264">
        <v>0.66</v>
      </c>
      <c r="AQ99" s="216"/>
      <c r="AR99" s="216"/>
      <c r="AS99" s="271"/>
      <c r="AT99" s="218"/>
      <c r="AU99" s="218"/>
      <c r="AV99" s="217" t="s">
        <v>615</v>
      </c>
      <c r="AW99" s="217" t="s">
        <v>615</v>
      </c>
      <c r="AX99" s="217" t="s">
        <v>615</v>
      </c>
      <c r="AY99" s="216"/>
    </row>
    <row r="100" spans="1:51" s="148" customFormat="1" ht="151.5" customHeight="1" x14ac:dyDescent="0.25">
      <c r="A100" s="375">
        <v>32</v>
      </c>
      <c r="B100" s="372" t="s">
        <v>312</v>
      </c>
      <c r="C100" s="414" t="s">
        <v>363</v>
      </c>
      <c r="D100" s="414" t="s">
        <v>418</v>
      </c>
      <c r="E100" s="404" t="s">
        <v>118</v>
      </c>
      <c r="F100" s="404" t="s">
        <v>488</v>
      </c>
      <c r="G100" s="404" t="s">
        <v>489</v>
      </c>
      <c r="H100" s="406" t="s">
        <v>420</v>
      </c>
      <c r="I100" s="404" t="s">
        <v>333</v>
      </c>
      <c r="J100" s="412">
        <v>1096</v>
      </c>
      <c r="K100" s="362" t="str">
        <f>IF(J100&lt;=0,"",IF(J100&lt;=2,"Muy Baja",IF(J100&lt;=24,"Baja",IF(J100&lt;=500,"Media",IF(J100&lt;=5000,"Alta","Muy Alta")))))</f>
        <v>Alta</v>
      </c>
      <c r="L100" s="365">
        <f>IF(K100="","",IF(K100="Muy Baja",0.2,IF(K100="Baja",0.4,IF(K100="Media",0.6,IF(K100="Alta",0.8,IF(K100="Muy Alta",1,))))))</f>
        <v>0.8</v>
      </c>
      <c r="M100" s="386" t="s">
        <v>516</v>
      </c>
      <c r="N100" s="365"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62"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65">
        <f ca="1">IF(O100="","",IF(O100="Leve",0.2,IF(O100="Menor",0.4,IF(O100="Moderado",0.6,IF(O100="Mayor",0.8,IF(O100="Catastrófico",1,))))))</f>
        <v>0.6</v>
      </c>
      <c r="Q100" s="376"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58">
        <v>1</v>
      </c>
      <c r="S100" s="159" t="s">
        <v>359</v>
      </c>
      <c r="T100" s="160" t="str">
        <f t="shared" ref="T100" si="148">IF(OR(U100="Preventivo",U100="Detectivo"),"Probabilidad",IF(U100="Correctivo","Impacto",""))</f>
        <v>Probabilidad</v>
      </c>
      <c r="U100" s="163" t="s">
        <v>14</v>
      </c>
      <c r="V100" s="163" t="s">
        <v>9</v>
      </c>
      <c r="W100" s="164" t="str">
        <f t="shared" ref="W100" si="149">IF(AND(U100="Preventivo",V100="Automático"),"50%",IF(AND(U100="Preventivo",V100="Manual"),"40%",IF(AND(U100="Detectivo",V100="Automático"),"40%",IF(AND(U100="Detectivo",V100="Manual"),"30%",IF(AND(U100="Correctivo",V100="Automático"),"35%",IF(AND(U100="Correctivo",V100="Manual"),"25%",""))))))</f>
        <v>40%</v>
      </c>
      <c r="X100" s="163" t="s">
        <v>20</v>
      </c>
      <c r="Y100" s="163" t="s">
        <v>22</v>
      </c>
      <c r="Z100" s="163" t="s">
        <v>110</v>
      </c>
      <c r="AA100" s="143">
        <f t="shared" ref="AA100" si="150">IFERROR(IF(T100="Probabilidad",(L100-(+L100*W100)),IF(T100="Impacto",L100,"")),"")</f>
        <v>0.48</v>
      </c>
      <c r="AB100" s="153" t="str">
        <f t="shared" ref="AB100" si="151">IFERROR(IF(AA100="","",IF(AA100&lt;=0.2,"Muy Baja",IF(AA100&lt;=0.4,"Baja",IF(AA100&lt;=0.6,"Media",IF(AA100&lt;=0.8,"Alta","Muy Alta"))))),"")</f>
        <v>Media</v>
      </c>
      <c r="AC100" s="154">
        <f t="shared" ref="AC100" si="152">+AA100</f>
        <v>0.48</v>
      </c>
      <c r="AD100" s="153" t="str">
        <f t="shared" ref="AD100" ca="1" si="153">IFERROR(IF(AE100="","",IF(AE100&lt;=0.2,"Leve",IF(AE100&lt;=0.4,"Menor",IF(AE100&lt;=0.6,"Moderado",IF(AE100&lt;=0.8,"Mayor","Catastrófico"))))),"")</f>
        <v>Moderado</v>
      </c>
      <c r="AE100" s="154">
        <f t="shared" ref="AE100" ca="1" si="154">IFERROR(IF(T100="Impacto",(P100-(+P100*W100)),IF(T100="Probabilidad",P100,"")),"")</f>
        <v>0.6</v>
      </c>
      <c r="AF100" s="155" t="str">
        <f t="shared" ref="AF100" ca="1"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56" t="s">
        <v>122</v>
      </c>
      <c r="AH100" s="159" t="s">
        <v>421</v>
      </c>
      <c r="AI100" s="149" t="s">
        <v>313</v>
      </c>
      <c r="AJ100" s="150">
        <v>44562</v>
      </c>
      <c r="AK100" s="150">
        <v>44926</v>
      </c>
      <c r="AL100" s="159" t="s">
        <v>502</v>
      </c>
      <c r="AM100" s="149"/>
      <c r="AN100" s="216" t="s">
        <v>864</v>
      </c>
      <c r="AO100" s="216" t="s">
        <v>781</v>
      </c>
      <c r="AP100" s="264">
        <v>0.66</v>
      </c>
      <c r="AQ100" s="216" t="s">
        <v>815</v>
      </c>
      <c r="AR100" s="263" t="s">
        <v>784</v>
      </c>
      <c r="AS100" s="271">
        <v>0.66</v>
      </c>
      <c r="AT100" s="218"/>
      <c r="AU100" s="218"/>
      <c r="AV100" s="217" t="s">
        <v>615</v>
      </c>
      <c r="AW100" s="217" t="s">
        <v>615</v>
      </c>
      <c r="AX100" s="217" t="s">
        <v>615</v>
      </c>
      <c r="AY100" s="216"/>
    </row>
    <row r="101" spans="1:51" s="148" customFormat="1" ht="151.5" customHeight="1" x14ac:dyDescent="0.25">
      <c r="A101" s="375"/>
      <c r="B101" s="373"/>
      <c r="C101" s="415"/>
      <c r="D101" s="415"/>
      <c r="E101" s="405"/>
      <c r="F101" s="405"/>
      <c r="G101" s="405"/>
      <c r="H101" s="407"/>
      <c r="I101" s="405"/>
      <c r="J101" s="413"/>
      <c r="K101" s="363"/>
      <c r="L101" s="366"/>
      <c r="M101" s="387"/>
      <c r="N101" s="366"/>
      <c r="O101" s="363"/>
      <c r="P101" s="366"/>
      <c r="Q101" s="377"/>
      <c r="R101" s="158">
        <v>2</v>
      </c>
      <c r="S101" s="159" t="s">
        <v>338</v>
      </c>
      <c r="T101" s="160" t="str">
        <f t="shared" ref="T101:T103" si="156">IF(OR(U101="Preventivo",U101="Detectivo"),"Probabilidad",IF(U101="Correctivo","Impacto",""))</f>
        <v>Probabilidad</v>
      </c>
      <c r="U101" s="163" t="s">
        <v>14</v>
      </c>
      <c r="V101" s="163" t="s">
        <v>9</v>
      </c>
      <c r="W101" s="164" t="str">
        <f t="shared" ref="W101:W103" si="157">IF(AND(U101="Preventivo",V101="Automático"),"50%",IF(AND(U101="Preventivo",V101="Manual"),"40%",IF(AND(U101="Detectivo",V101="Automático"),"40%",IF(AND(U101="Detectivo",V101="Manual"),"30%",IF(AND(U101="Correctivo",V101="Automático"),"35%",IF(AND(U101="Correctivo",V101="Manual"),"25%",""))))))</f>
        <v>40%</v>
      </c>
      <c r="X101" s="163" t="s">
        <v>19</v>
      </c>
      <c r="Y101" s="163" t="s">
        <v>22</v>
      </c>
      <c r="Z101" s="163" t="s">
        <v>110</v>
      </c>
      <c r="AA101" s="143">
        <f>IFERROR(IF(T101="Probabilidad",(AA98-(+AA98*W101)),IF(T101="Impacto",L101,"")),"")</f>
        <v>8.6399999999999991E-2</v>
      </c>
      <c r="AB101" s="153" t="str">
        <f t="shared" ref="AB101:AB103" si="158">IFERROR(IF(AA101="","",IF(AA101&lt;=0.2,"Muy Baja",IF(AA101&lt;=0.4,"Baja",IF(AA101&lt;=0.6,"Media",IF(AA101&lt;=0.8,"Alta","Muy Alta"))))),"")</f>
        <v>Muy Baja</v>
      </c>
      <c r="AC101" s="154">
        <f t="shared" ref="AC101:AC103" si="159">+AA101</f>
        <v>8.6399999999999991E-2</v>
      </c>
      <c r="AD101" s="153" t="str">
        <f t="shared" ref="AD101:AD103" si="160">IFERROR(IF(AE101="","",IF(AE101&lt;=0.2,"Leve",IF(AE101&lt;=0.4,"Menor",IF(AE101&lt;=0.6,"Moderado",IF(AE101&lt;=0.8,"Mayor","Catastrófico"))))),"")</f>
        <v>Moderado</v>
      </c>
      <c r="AE101" s="154">
        <v>0.6</v>
      </c>
      <c r="AF101" s="155" t="str">
        <f t="shared" ref="AF101:AF103" si="161">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Moderado</v>
      </c>
      <c r="AG101" s="156" t="s">
        <v>122</v>
      </c>
      <c r="AH101" s="159" t="s">
        <v>314</v>
      </c>
      <c r="AI101" s="149" t="s">
        <v>315</v>
      </c>
      <c r="AJ101" s="150" t="s">
        <v>200</v>
      </c>
      <c r="AK101" s="150" t="s">
        <v>200</v>
      </c>
      <c r="AL101" s="159" t="s">
        <v>503</v>
      </c>
      <c r="AM101" s="149"/>
      <c r="AN101" s="216" t="s">
        <v>816</v>
      </c>
      <c r="AO101" s="216" t="s">
        <v>631</v>
      </c>
      <c r="AP101" s="264">
        <v>0.66</v>
      </c>
      <c r="AQ101" s="216" t="s">
        <v>865</v>
      </c>
      <c r="AR101" s="216" t="s">
        <v>785</v>
      </c>
      <c r="AS101" s="264">
        <v>0.66</v>
      </c>
      <c r="AT101" s="218"/>
      <c r="AU101" s="218"/>
      <c r="AV101" s="217" t="s">
        <v>615</v>
      </c>
      <c r="AW101" s="217" t="s">
        <v>615</v>
      </c>
      <c r="AX101" s="217" t="s">
        <v>615</v>
      </c>
      <c r="AY101" s="216"/>
    </row>
    <row r="102" spans="1:51" s="148" customFormat="1" ht="151.5" hidden="1" customHeight="1" x14ac:dyDescent="0.25">
      <c r="A102" s="375"/>
      <c r="B102" s="374"/>
      <c r="C102" s="416"/>
      <c r="D102" s="415"/>
      <c r="E102" s="405"/>
      <c r="F102" s="405"/>
      <c r="G102" s="405"/>
      <c r="H102" s="407"/>
      <c r="I102" s="405"/>
      <c r="J102" s="413"/>
      <c r="K102" s="364"/>
      <c r="L102" s="367"/>
      <c r="M102" s="388"/>
      <c r="N102" s="367"/>
      <c r="O102" s="364"/>
      <c r="P102" s="367"/>
      <c r="Q102" s="378"/>
      <c r="R102" s="158">
        <v>3</v>
      </c>
      <c r="S102" s="159"/>
      <c r="T102" s="160"/>
      <c r="U102" s="163"/>
      <c r="V102" s="163"/>
      <c r="W102" s="164"/>
      <c r="X102" s="163"/>
      <c r="Y102" s="163"/>
      <c r="Z102" s="163"/>
      <c r="AA102" s="143"/>
      <c r="AB102" s="153"/>
      <c r="AC102" s="154"/>
      <c r="AD102" s="153"/>
      <c r="AE102" s="154"/>
      <c r="AF102" s="155"/>
      <c r="AG102" s="156"/>
      <c r="AH102" s="159"/>
      <c r="AI102" s="149"/>
      <c r="AJ102" s="150"/>
      <c r="AK102" s="150"/>
      <c r="AL102" s="159"/>
      <c r="AM102" s="149"/>
      <c r="AN102" s="219"/>
      <c r="AO102" s="219"/>
      <c r="AP102" s="264">
        <v>0.66</v>
      </c>
      <c r="AQ102" s="219"/>
      <c r="AR102" s="219"/>
      <c r="AS102" s="272"/>
      <c r="AT102" s="218"/>
      <c r="AU102" s="218"/>
      <c r="AV102" s="217" t="s">
        <v>615</v>
      </c>
      <c r="AW102" s="217" t="s">
        <v>615</v>
      </c>
      <c r="AX102" s="217" t="s">
        <v>615</v>
      </c>
      <c r="AY102" s="216"/>
    </row>
    <row r="103" spans="1:51" s="148" customFormat="1" ht="151.5" customHeight="1" x14ac:dyDescent="0.25">
      <c r="A103" s="375">
        <v>33</v>
      </c>
      <c r="B103" s="372" t="s">
        <v>312</v>
      </c>
      <c r="C103" s="372" t="s">
        <v>363</v>
      </c>
      <c r="D103" s="372" t="s">
        <v>418</v>
      </c>
      <c r="E103" s="380" t="s">
        <v>118</v>
      </c>
      <c r="F103" s="380" t="s">
        <v>556</v>
      </c>
      <c r="G103" s="380" t="s">
        <v>557</v>
      </c>
      <c r="H103" s="383" t="s">
        <v>559</v>
      </c>
      <c r="I103" s="383" t="s">
        <v>333</v>
      </c>
      <c r="J103" s="408">
        <v>1096</v>
      </c>
      <c r="K103" s="362" t="str">
        <f>IF(J103&lt;=0,"",IF(J103&lt;=2,"Muy Baja",IF(J103&lt;=24,"Baja",IF(J103&lt;=500,"Media",IF(J103&lt;=5000,"Alta","Muy Alta")))))</f>
        <v>Alta</v>
      </c>
      <c r="L103" s="365">
        <f>IF(K103="","",IF(K103="Muy Baja",0.2,IF(K103="Baja",0.4,IF(K103="Media",0.6,IF(K103="Alta",0.8,IF(K103="Muy Alta",1,))))))</f>
        <v>0.8</v>
      </c>
      <c r="M103" s="401" t="s">
        <v>516</v>
      </c>
      <c r="N103" s="365" t="str">
        <f>IF(NOT(ISERROR(MATCH(M103,'[2]Tabla Impacto'!$B$221:$B$223,0))),'[2]Tabla Impacto'!$F$223&amp;"Por favor no seleccionar los criterios de impacto(Afectación Económica o presupuestal y Pérdida Reputacional)",M103)</f>
        <v xml:space="preserve"> El riesgo afecta la imagen de la entidad con algunos usuarios de relevancia frente al logro de los objetivos</v>
      </c>
      <c r="O103" s="362" t="str">
        <f>IF(OR(N103='[2]Tabla Impacto'!$C$11,N103='[2]Tabla Impacto'!$D$11),"Leve",IF(OR(N103='[2]Tabla Impacto'!$C$12,N103='[2]Tabla Impacto'!$D$12),"Menor",IF(OR(N103='[2]Tabla Impacto'!$C$13,N103='[2]Tabla Impacto'!$D$13),"Moderado",IF(OR(N103='[2]Tabla Impacto'!$C$14,N103='[2]Tabla Impacto'!$D$14),"Mayor",IF(OR(N103='[2]Tabla Impacto'!$C$15,N103='[2]Tabla Impacto'!$D$15),"Catastrófico","")))))</f>
        <v>Moderado</v>
      </c>
      <c r="P103" s="365">
        <f>IF(O103="","",IF(O103="Leve",0.2,IF(O103="Menor",0.4,IF(O103="Moderado",0.6,IF(O103="Mayor",0.8,IF(O103="Catastrófico",1,))))))</f>
        <v>0.6</v>
      </c>
      <c r="Q103" s="376"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Alto</v>
      </c>
      <c r="R103" s="158">
        <v>1</v>
      </c>
      <c r="S103" s="159" t="s">
        <v>558</v>
      </c>
      <c r="T103" s="206" t="str">
        <f t="shared" si="156"/>
        <v>Probabilidad</v>
      </c>
      <c r="U103" s="207" t="s">
        <v>14</v>
      </c>
      <c r="V103" s="207" t="s">
        <v>9</v>
      </c>
      <c r="W103" s="208" t="str">
        <f t="shared" si="157"/>
        <v>40%</v>
      </c>
      <c r="X103" s="207" t="s">
        <v>20</v>
      </c>
      <c r="Y103" s="207" t="s">
        <v>22</v>
      </c>
      <c r="Z103" s="207" t="s">
        <v>110</v>
      </c>
      <c r="AA103" s="209">
        <f t="shared" ref="AA103" si="162">IFERROR(IF(T103="Probabilidad",(L103-(+L103*W103)),IF(T103="Impacto",L103,"")),"")</f>
        <v>0.48</v>
      </c>
      <c r="AB103" s="210" t="str">
        <f t="shared" si="158"/>
        <v>Media</v>
      </c>
      <c r="AC103" s="211">
        <f t="shared" si="159"/>
        <v>0.48</v>
      </c>
      <c r="AD103" s="210" t="str">
        <f t="shared" si="160"/>
        <v>Moderado</v>
      </c>
      <c r="AE103" s="211">
        <f t="shared" ref="AE103" si="163">IFERROR(IF(T103="Impacto",(P103-(+P103*W103)),IF(T103="Probabilidad",P103,"")),"")</f>
        <v>0.6</v>
      </c>
      <c r="AF103" s="212" t="str">
        <f t="shared" si="161"/>
        <v>Moderado</v>
      </c>
      <c r="AG103" s="213" t="s">
        <v>122</v>
      </c>
      <c r="AH103" s="157" t="s">
        <v>561</v>
      </c>
      <c r="AI103" s="149" t="s">
        <v>313</v>
      </c>
      <c r="AJ103" s="150">
        <v>44713</v>
      </c>
      <c r="AK103" s="150">
        <v>44926</v>
      </c>
      <c r="AL103" s="151" t="s">
        <v>562</v>
      </c>
      <c r="AM103" s="149"/>
      <c r="AN103" s="216" t="s">
        <v>866</v>
      </c>
      <c r="AO103" s="216" t="s">
        <v>782</v>
      </c>
      <c r="AP103" s="264">
        <v>0.66</v>
      </c>
      <c r="AQ103" s="216" t="s">
        <v>867</v>
      </c>
      <c r="AR103" s="216" t="s">
        <v>786</v>
      </c>
      <c r="AS103" s="264">
        <v>0.66</v>
      </c>
      <c r="AT103" s="218"/>
      <c r="AU103" s="218" t="s">
        <v>618</v>
      </c>
      <c r="AV103" s="217" t="s">
        <v>615</v>
      </c>
      <c r="AW103" s="217" t="s">
        <v>615</v>
      </c>
      <c r="AX103" s="217" t="s">
        <v>615</v>
      </c>
      <c r="AY103" s="216"/>
    </row>
    <row r="104" spans="1:51" s="148" customFormat="1" ht="151.5" hidden="1" customHeight="1" x14ac:dyDescent="0.25">
      <c r="A104" s="375"/>
      <c r="B104" s="373"/>
      <c r="C104" s="373"/>
      <c r="D104" s="373"/>
      <c r="E104" s="381"/>
      <c r="F104" s="381"/>
      <c r="G104" s="381"/>
      <c r="H104" s="384"/>
      <c r="I104" s="384"/>
      <c r="J104" s="409"/>
      <c r="K104" s="363"/>
      <c r="L104" s="366"/>
      <c r="M104" s="402"/>
      <c r="N104" s="366"/>
      <c r="O104" s="363"/>
      <c r="P104" s="366"/>
      <c r="Q104" s="377"/>
      <c r="R104" s="158">
        <v>2</v>
      </c>
      <c r="S104" s="159"/>
      <c r="T104" s="160"/>
      <c r="U104" s="152"/>
      <c r="V104" s="152"/>
      <c r="W104" s="161"/>
      <c r="X104" s="152"/>
      <c r="Y104" s="152"/>
      <c r="Z104" s="152"/>
      <c r="AA104" s="143"/>
      <c r="AB104" s="153"/>
      <c r="AC104" s="154"/>
      <c r="AD104" s="153"/>
      <c r="AE104" s="154"/>
      <c r="AF104" s="155"/>
      <c r="AG104" s="156"/>
      <c r="AH104" s="177"/>
      <c r="AI104" s="178"/>
      <c r="AJ104" s="179"/>
      <c r="AK104" s="179"/>
      <c r="AL104" s="180"/>
      <c r="AM104" s="149"/>
      <c r="AN104" s="216"/>
      <c r="AO104" s="216"/>
      <c r="AP104" s="264"/>
      <c r="AQ104" s="216"/>
      <c r="AR104" s="216"/>
      <c r="AS104" s="264"/>
      <c r="AT104" s="218"/>
      <c r="AU104" s="218"/>
      <c r="AV104" s="217" t="s">
        <v>615</v>
      </c>
      <c r="AW104" s="217" t="s">
        <v>615</v>
      </c>
      <c r="AX104" s="217" t="s">
        <v>615</v>
      </c>
      <c r="AY104" s="216"/>
    </row>
    <row r="105" spans="1:51" s="148" customFormat="1" ht="151.5" hidden="1" customHeight="1" x14ac:dyDescent="0.25">
      <c r="A105" s="375"/>
      <c r="B105" s="374"/>
      <c r="C105" s="374"/>
      <c r="D105" s="374"/>
      <c r="E105" s="382"/>
      <c r="F105" s="382"/>
      <c r="G105" s="382"/>
      <c r="H105" s="385"/>
      <c r="I105" s="385"/>
      <c r="J105" s="410"/>
      <c r="K105" s="364"/>
      <c r="L105" s="367"/>
      <c r="M105" s="403"/>
      <c r="N105" s="367"/>
      <c r="O105" s="364"/>
      <c r="P105" s="367"/>
      <c r="Q105" s="378"/>
      <c r="R105" s="158">
        <v>3</v>
      </c>
      <c r="S105" s="159"/>
      <c r="T105" s="160"/>
      <c r="U105" s="152"/>
      <c r="V105" s="152"/>
      <c r="W105" s="161"/>
      <c r="X105" s="152"/>
      <c r="Y105" s="152"/>
      <c r="Z105" s="152"/>
      <c r="AA105" s="143"/>
      <c r="AB105" s="153"/>
      <c r="AC105" s="154"/>
      <c r="AD105" s="153"/>
      <c r="AE105" s="154"/>
      <c r="AF105" s="155"/>
      <c r="AG105" s="156"/>
      <c r="AH105" s="177"/>
      <c r="AI105" s="178"/>
      <c r="AJ105" s="179"/>
      <c r="AK105" s="179"/>
      <c r="AL105" s="180"/>
      <c r="AM105" s="149"/>
      <c r="AN105" s="216"/>
      <c r="AO105" s="216"/>
      <c r="AP105" s="264"/>
      <c r="AQ105" s="216"/>
      <c r="AR105" s="216"/>
      <c r="AS105" s="264"/>
      <c r="AT105" s="218"/>
      <c r="AU105" s="218"/>
      <c r="AV105" s="217" t="s">
        <v>615</v>
      </c>
      <c r="AW105" s="217" t="s">
        <v>615</v>
      </c>
      <c r="AX105" s="217" t="s">
        <v>615</v>
      </c>
      <c r="AY105" s="216"/>
    </row>
    <row r="106" spans="1:51" s="148" customFormat="1" ht="151.5" customHeight="1" x14ac:dyDescent="0.25">
      <c r="A106" s="375">
        <v>34</v>
      </c>
      <c r="B106" s="372" t="s">
        <v>316</v>
      </c>
      <c r="C106" s="391" t="s">
        <v>370</v>
      </c>
      <c r="D106" s="391" t="s">
        <v>422</v>
      </c>
      <c r="E106" s="380" t="s">
        <v>118</v>
      </c>
      <c r="F106" s="380" t="s">
        <v>317</v>
      </c>
      <c r="G106" s="380" t="s">
        <v>491</v>
      </c>
      <c r="H106" s="383" t="s">
        <v>490</v>
      </c>
      <c r="I106" s="380" t="s">
        <v>117</v>
      </c>
      <c r="J106" s="360">
        <v>365</v>
      </c>
      <c r="K106" s="362" t="str">
        <f>IF(J106&lt;=0,"",IF(J106&lt;=2,"Muy Baja",IF(J106&lt;=24,"Baja",IF(J106&lt;=500,"Media",IF(J106&lt;=5000,"Alta","Muy Alta")))))</f>
        <v>Media</v>
      </c>
      <c r="L106" s="365">
        <f>IF(K106="","",IF(K106="Muy Baja",0.2,IF(K106="Baja",0.4,IF(K106="Media",0.6,IF(K106="Alta",0.8,IF(K106="Muy Alta",1,))))))</f>
        <v>0.6</v>
      </c>
      <c r="M106" s="386" t="s">
        <v>516</v>
      </c>
      <c r="N106" s="162" t="str">
        <f ca="1">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62" t="str">
        <f ca="1">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65">
        <f ca="1">IF(O106="","",IF(O106="Leve",0.2,IF(O106="Menor",0.4,IF(O106="Moderado",0.6,IF(O106="Mayor",0.8,IF(O106="Catastrófico",1,))))))</f>
        <v>0.6</v>
      </c>
      <c r="Q106" s="376"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58">
        <v>1</v>
      </c>
      <c r="S106" s="159" t="s">
        <v>353</v>
      </c>
      <c r="T106" s="160" t="str">
        <f t="shared" ref="T106:T108" si="164">IF(OR(U106="Preventivo",U106="Detectivo"),"Probabilidad",IF(U106="Correctivo","Impacto",""))</f>
        <v>Probabilidad</v>
      </c>
      <c r="U106" s="163" t="s">
        <v>15</v>
      </c>
      <c r="V106" s="163" t="s">
        <v>9</v>
      </c>
      <c r="W106" s="164" t="str">
        <f t="shared" ref="W106:W107" si="165">IF(AND(U106="Preventivo",V106="Automático"),"50%",IF(AND(U106="Preventivo",V106="Manual"),"40%",IF(AND(U106="Detectivo",V106="Automático"),"40%",IF(AND(U106="Detectivo",V106="Manual"),"30%",IF(AND(U106="Correctivo",V106="Automático"),"35%",IF(AND(U106="Correctivo",V106="Manual"),"25%",""))))))</f>
        <v>30%</v>
      </c>
      <c r="X106" s="163" t="s">
        <v>19</v>
      </c>
      <c r="Y106" s="163" t="s">
        <v>22</v>
      </c>
      <c r="Z106" s="163" t="s">
        <v>110</v>
      </c>
      <c r="AA106" s="143">
        <f t="shared" ref="AA106" si="166">IFERROR(IF(T106="Probabilidad",(L106-(+L106*W106)),IF(T106="Impacto",L106,"")),"")</f>
        <v>0.42</v>
      </c>
      <c r="AB106" s="153" t="str">
        <f t="shared" ref="AB106:AB108" si="167">IFERROR(IF(AA106="","",IF(AA106&lt;=0.2,"Muy Baja",IF(AA106&lt;=0.4,"Baja",IF(AA106&lt;=0.6,"Media",IF(AA106&lt;=0.8,"Alta","Muy Alta"))))),"")</f>
        <v>Media</v>
      </c>
      <c r="AC106" s="154">
        <f t="shared" ref="AC106:AC108" si="168">+AA106</f>
        <v>0.42</v>
      </c>
      <c r="AD106" s="153" t="str">
        <f t="shared" ref="AD106:AD108" ca="1" si="169">IFERROR(IF(AE106="","",IF(AE106&lt;=0.2,"Leve",IF(AE106&lt;=0.4,"Menor",IF(AE106&lt;=0.6,"Moderado",IF(AE106&lt;=0.8,"Mayor","Catastrófico"))))),"")</f>
        <v>Moderado</v>
      </c>
      <c r="AE106" s="154">
        <f t="shared" ref="AE106:AE108" ca="1" si="170">IFERROR(IF(T106="Impacto",(P106-(+P106*W106)),IF(T106="Probabilidad",P106,"")),"")</f>
        <v>0.6</v>
      </c>
      <c r="AF106" s="155" t="str">
        <f t="shared" ref="AF106:AF108" ca="1" si="171">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56" t="s">
        <v>122</v>
      </c>
      <c r="AH106" s="165" t="s">
        <v>423</v>
      </c>
      <c r="AI106" s="166" t="s">
        <v>204</v>
      </c>
      <c r="AJ106" s="167" t="s">
        <v>200</v>
      </c>
      <c r="AK106" s="167" t="s">
        <v>200</v>
      </c>
      <c r="AL106" s="165" t="s">
        <v>425</v>
      </c>
      <c r="AM106" s="149"/>
      <c r="AN106" s="216" t="s">
        <v>718</v>
      </c>
      <c r="AO106" s="216" t="s">
        <v>868</v>
      </c>
      <c r="AP106" s="264">
        <v>0.66</v>
      </c>
      <c r="AQ106" s="216" t="s">
        <v>719</v>
      </c>
      <c r="AR106" s="216" t="s">
        <v>720</v>
      </c>
      <c r="AS106" s="264">
        <v>0.66</v>
      </c>
      <c r="AT106" s="218"/>
      <c r="AU106" s="218" t="s">
        <v>618</v>
      </c>
      <c r="AV106" s="217" t="s">
        <v>615</v>
      </c>
      <c r="AW106" s="217" t="s">
        <v>615</v>
      </c>
      <c r="AX106" s="217" t="s">
        <v>615</v>
      </c>
      <c r="AY106" s="216"/>
    </row>
    <row r="107" spans="1:51" s="148" customFormat="1" ht="151.5" customHeight="1" x14ac:dyDescent="0.25">
      <c r="A107" s="375"/>
      <c r="B107" s="373"/>
      <c r="C107" s="399"/>
      <c r="D107" s="399"/>
      <c r="E107" s="381"/>
      <c r="F107" s="381"/>
      <c r="G107" s="381"/>
      <c r="H107" s="384"/>
      <c r="I107" s="381"/>
      <c r="J107" s="361"/>
      <c r="K107" s="363"/>
      <c r="L107" s="366"/>
      <c r="M107" s="387"/>
      <c r="N107" s="168"/>
      <c r="O107" s="363"/>
      <c r="P107" s="366"/>
      <c r="Q107" s="377"/>
      <c r="R107" s="158">
        <v>2</v>
      </c>
      <c r="S107" s="159" t="s">
        <v>360</v>
      </c>
      <c r="T107" s="160" t="str">
        <f t="shared" si="164"/>
        <v>Probabilidad</v>
      </c>
      <c r="U107" s="163" t="s">
        <v>14</v>
      </c>
      <c r="V107" s="163" t="s">
        <v>9</v>
      </c>
      <c r="W107" s="164" t="str">
        <f t="shared" si="165"/>
        <v>40%</v>
      </c>
      <c r="X107" s="163" t="s">
        <v>19</v>
      </c>
      <c r="Y107" s="163" t="s">
        <v>23</v>
      </c>
      <c r="Z107" s="163" t="s">
        <v>110</v>
      </c>
      <c r="AA107" s="143">
        <f>IFERROR(IF(T107="Probabilidad",(AA106-(+AA106*W107)),IF(T107="Impacto",L107,"")),"")</f>
        <v>0.252</v>
      </c>
      <c r="AB107" s="153" t="str">
        <f t="shared" si="167"/>
        <v>Baja</v>
      </c>
      <c r="AC107" s="154">
        <f t="shared" si="168"/>
        <v>0.252</v>
      </c>
      <c r="AD107" s="153" t="str">
        <f t="shared" si="169"/>
        <v>Moderado</v>
      </c>
      <c r="AE107" s="154">
        <v>0.6</v>
      </c>
      <c r="AF107" s="155" t="str">
        <f t="shared" si="171"/>
        <v>Moderado</v>
      </c>
      <c r="AG107" s="156" t="s">
        <v>122</v>
      </c>
      <c r="AH107" s="165" t="s">
        <v>318</v>
      </c>
      <c r="AI107" s="166" t="s">
        <v>213</v>
      </c>
      <c r="AJ107" s="167" t="s">
        <v>200</v>
      </c>
      <c r="AK107" s="167" t="s">
        <v>200</v>
      </c>
      <c r="AL107" s="165" t="s">
        <v>424</v>
      </c>
      <c r="AM107" s="149"/>
      <c r="AN107" s="216" t="s">
        <v>869</v>
      </c>
      <c r="AO107" s="216" t="s">
        <v>721</v>
      </c>
      <c r="AP107" s="264">
        <v>0.66</v>
      </c>
      <c r="AQ107" s="216" t="s">
        <v>722</v>
      </c>
      <c r="AR107" s="216" t="s">
        <v>723</v>
      </c>
      <c r="AS107" s="264">
        <v>0.66</v>
      </c>
      <c r="AT107" s="218"/>
      <c r="AU107" s="218" t="s">
        <v>618</v>
      </c>
      <c r="AV107" s="217" t="s">
        <v>615</v>
      </c>
      <c r="AW107" s="217" t="s">
        <v>615</v>
      </c>
      <c r="AX107" s="217" t="s">
        <v>615</v>
      </c>
      <c r="AY107" s="216"/>
    </row>
    <row r="108" spans="1:51" s="148" customFormat="1" ht="99.75" hidden="1" customHeight="1" x14ac:dyDescent="0.25">
      <c r="A108" s="375"/>
      <c r="B108" s="374"/>
      <c r="C108" s="399"/>
      <c r="D108" s="399"/>
      <c r="E108" s="381"/>
      <c r="F108" s="381"/>
      <c r="G108" s="381"/>
      <c r="H108" s="384"/>
      <c r="I108" s="381"/>
      <c r="J108" s="361"/>
      <c r="K108" s="364"/>
      <c r="L108" s="367"/>
      <c r="M108" s="387"/>
      <c r="N108" s="168"/>
      <c r="O108" s="364"/>
      <c r="P108" s="367"/>
      <c r="Q108" s="378"/>
      <c r="R108" s="158">
        <v>3</v>
      </c>
      <c r="S108" s="159"/>
      <c r="T108" s="160" t="str">
        <f t="shared" si="164"/>
        <v/>
      </c>
      <c r="U108" s="163"/>
      <c r="V108" s="163"/>
      <c r="W108" s="164"/>
      <c r="X108" s="163"/>
      <c r="Y108" s="163"/>
      <c r="Z108" s="163"/>
      <c r="AA108" s="143" t="str">
        <f>IFERROR(IF(T108="Probabilidad",(AA107-(+AA107*W108)),IF(T108="Impacto",L108,"")),"")</f>
        <v/>
      </c>
      <c r="AB108" s="153" t="str">
        <f t="shared" si="167"/>
        <v/>
      </c>
      <c r="AC108" s="154" t="str">
        <f t="shared" si="168"/>
        <v/>
      </c>
      <c r="AD108" s="153" t="str">
        <f t="shared" si="169"/>
        <v/>
      </c>
      <c r="AE108" s="154" t="str">
        <f t="shared" si="170"/>
        <v/>
      </c>
      <c r="AF108" s="155" t="str">
        <f t="shared" si="171"/>
        <v/>
      </c>
      <c r="AG108" s="156"/>
      <c r="AH108" s="159"/>
      <c r="AI108" s="149"/>
      <c r="AJ108" s="150"/>
      <c r="AK108" s="150"/>
      <c r="AL108" s="159"/>
      <c r="AM108" s="149"/>
      <c r="AN108" s="216"/>
      <c r="AO108" s="216"/>
      <c r="AP108" s="264"/>
      <c r="AQ108" s="216"/>
      <c r="AR108" s="216"/>
      <c r="AS108" s="264"/>
      <c r="AT108" s="218"/>
      <c r="AU108" s="218"/>
      <c r="AV108" s="217" t="s">
        <v>615</v>
      </c>
      <c r="AW108" s="217" t="s">
        <v>615</v>
      </c>
      <c r="AX108" s="217" t="s">
        <v>615</v>
      </c>
      <c r="AY108" s="216"/>
    </row>
    <row r="109" spans="1:51" s="148" customFormat="1" ht="151.5" customHeight="1" x14ac:dyDescent="0.25">
      <c r="A109" s="375">
        <v>35</v>
      </c>
      <c r="B109" s="372" t="s">
        <v>316</v>
      </c>
      <c r="C109" s="391" t="s">
        <v>370</v>
      </c>
      <c r="D109" s="391" t="s">
        <v>422</v>
      </c>
      <c r="E109" s="380" t="s">
        <v>118</v>
      </c>
      <c r="F109" s="380" t="s">
        <v>319</v>
      </c>
      <c r="G109" s="380" t="s">
        <v>339</v>
      </c>
      <c r="H109" s="383" t="s">
        <v>426</v>
      </c>
      <c r="I109" s="380" t="s">
        <v>333</v>
      </c>
      <c r="J109" s="360">
        <v>365</v>
      </c>
      <c r="K109" s="362" t="str">
        <f>IF(J109&lt;=0,"",IF(J109&lt;=2,"Muy Baja",IF(J109&lt;=24,"Baja",IF(J109&lt;=500,"Media",IF(J109&lt;=5000,"Alta","Muy Alta")))))</f>
        <v>Media</v>
      </c>
      <c r="L109" s="365">
        <f>IF(K109="","",IF(K109="Muy Baja",0.2,IF(K109="Baja",0.4,IF(K109="Media",0.6,IF(K109="Alta",0.8,IF(K109="Muy Alta",1,))))))</f>
        <v>0.6</v>
      </c>
      <c r="M109" s="386" t="s">
        <v>516</v>
      </c>
      <c r="N109" s="162" t="str">
        <f ca="1">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362" t="str">
        <f ca="1">IF(OR(N109='Tabla Impacto'!$C$11,N109='Tabla Impacto'!$D$11),"Leve",IF(OR(N109='Tabla Impacto'!$C$12,N109='Tabla Impacto'!$D$12),"Menor",IF(OR(N109='Tabla Impacto'!$C$13,N109='Tabla Impacto'!$D$13),"Moderado",IF(OR(N109='Tabla Impacto'!$C$14,N109='Tabla Impacto'!$D$14),"Mayor",IF(OR(N109='Tabla Impacto'!$C$15,N109='Tabla Impacto'!$D$15),"Catastrófico","")))))</f>
        <v>Moderado</v>
      </c>
      <c r="P109" s="365">
        <f ca="1">IF(O109="","",IF(O109="Leve",0.2,IF(O109="Menor",0.4,IF(O109="Moderado",0.6,IF(O109="Mayor",0.8,IF(O109="Catastrófico",1,))))))</f>
        <v>0.6</v>
      </c>
      <c r="Q109" s="376"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8">
        <v>1</v>
      </c>
      <c r="S109" s="159" t="s">
        <v>340</v>
      </c>
      <c r="T109" s="160" t="str">
        <f t="shared" si="25"/>
        <v>Probabilidad</v>
      </c>
      <c r="U109" s="163" t="s">
        <v>14</v>
      </c>
      <c r="V109" s="163" t="s">
        <v>9</v>
      </c>
      <c r="W109" s="164" t="str">
        <f t="shared" si="26"/>
        <v>40%</v>
      </c>
      <c r="X109" s="163" t="s">
        <v>19</v>
      </c>
      <c r="Y109" s="163" t="s">
        <v>23</v>
      </c>
      <c r="Z109" s="163" t="s">
        <v>110</v>
      </c>
      <c r="AA109" s="143">
        <f t="shared" si="27"/>
        <v>0.36</v>
      </c>
      <c r="AB109" s="153" t="str">
        <f t="shared" si="28"/>
        <v>Baja</v>
      </c>
      <c r="AC109" s="154">
        <f t="shared" si="29"/>
        <v>0.36</v>
      </c>
      <c r="AD109" s="153" t="str">
        <f t="shared" ca="1" si="30"/>
        <v>Moderado</v>
      </c>
      <c r="AE109" s="154">
        <f t="shared" ca="1" si="31"/>
        <v>0.6</v>
      </c>
      <c r="AF109" s="155" t="str">
        <f t="shared" ca="1" si="32"/>
        <v>Moderado</v>
      </c>
      <c r="AG109" s="156" t="s">
        <v>122</v>
      </c>
      <c r="AH109" s="165" t="s">
        <v>341</v>
      </c>
      <c r="AI109" s="166" t="s">
        <v>284</v>
      </c>
      <c r="AJ109" s="167" t="s">
        <v>200</v>
      </c>
      <c r="AK109" s="167" t="s">
        <v>200</v>
      </c>
      <c r="AL109" s="165" t="s">
        <v>427</v>
      </c>
      <c r="AM109" s="149"/>
      <c r="AN109" s="216" t="s">
        <v>870</v>
      </c>
      <c r="AO109" s="216" t="s">
        <v>724</v>
      </c>
      <c r="AP109" s="264">
        <v>0.66</v>
      </c>
      <c r="AQ109" s="216" t="s">
        <v>725</v>
      </c>
      <c r="AR109" s="216" t="s">
        <v>726</v>
      </c>
      <c r="AS109" s="264">
        <v>0.66</v>
      </c>
      <c r="AT109" s="218"/>
      <c r="AU109" s="218" t="s">
        <v>618</v>
      </c>
      <c r="AV109" s="217" t="s">
        <v>615</v>
      </c>
      <c r="AW109" s="217" t="s">
        <v>615</v>
      </c>
      <c r="AX109" s="217" t="s">
        <v>615</v>
      </c>
      <c r="AY109" s="216"/>
    </row>
    <row r="110" spans="1:51" s="148" customFormat="1" ht="151.5" customHeight="1" x14ac:dyDescent="0.25">
      <c r="A110" s="375"/>
      <c r="B110" s="373"/>
      <c r="C110" s="399"/>
      <c r="D110" s="399"/>
      <c r="E110" s="381"/>
      <c r="F110" s="381"/>
      <c r="G110" s="381"/>
      <c r="H110" s="384"/>
      <c r="I110" s="381"/>
      <c r="J110" s="361"/>
      <c r="K110" s="363"/>
      <c r="L110" s="366"/>
      <c r="M110" s="387"/>
      <c r="N110" s="168"/>
      <c r="O110" s="363"/>
      <c r="P110" s="366"/>
      <c r="Q110" s="377"/>
      <c r="R110" s="158">
        <v>2</v>
      </c>
      <c r="S110" s="159" t="s">
        <v>354</v>
      </c>
      <c r="T110" s="160" t="str">
        <f t="shared" ref="T110:T111" si="172">IF(OR(U110="Preventivo",U110="Detectivo"),"Probabilidad",IF(U110="Correctivo","Impacto",""))</f>
        <v>Probabilidad</v>
      </c>
      <c r="U110" s="163" t="s">
        <v>14</v>
      </c>
      <c r="V110" s="163" t="s">
        <v>9</v>
      </c>
      <c r="W110" s="164" t="str">
        <f t="shared" ref="W110" si="173">IF(AND(U110="Preventivo",V110="Automático"),"50%",IF(AND(U110="Preventivo",V110="Manual"),"40%",IF(AND(U110="Detectivo",V110="Automático"),"40%",IF(AND(U110="Detectivo",V110="Manual"),"30%",IF(AND(U110="Correctivo",V110="Automático"),"35%",IF(AND(U110="Correctivo",V110="Manual"),"25%",""))))))</f>
        <v>40%</v>
      </c>
      <c r="X110" s="163" t="s">
        <v>20</v>
      </c>
      <c r="Y110" s="163" t="s">
        <v>22</v>
      </c>
      <c r="Z110" s="163" t="s">
        <v>110</v>
      </c>
      <c r="AA110" s="143">
        <f>IFERROR(IF(T110="Probabilidad",(AA109-(+AA109*W110)),IF(T110="Impacto",L110,"")),"")</f>
        <v>0.216</v>
      </c>
      <c r="AB110" s="153" t="str">
        <f t="shared" ref="AB110:AB111" si="174">IFERROR(IF(AA110="","",IF(AA110&lt;=0.2,"Muy Baja",IF(AA110&lt;=0.4,"Baja",IF(AA110&lt;=0.6,"Media",IF(AA110&lt;=0.8,"Alta","Muy Alta"))))),"")</f>
        <v>Baja</v>
      </c>
      <c r="AC110" s="154">
        <f t="shared" ref="AC110:AC111" si="175">+AA110</f>
        <v>0.216</v>
      </c>
      <c r="AD110" s="153" t="str">
        <f t="shared" ref="AD110:AD111" si="176">IFERROR(IF(AE110="","",IF(AE110&lt;=0.2,"Leve",IF(AE110&lt;=0.4,"Menor",IF(AE110&lt;=0.6,"Moderado",IF(AE110&lt;=0.8,"Mayor","Catastrófico"))))),"")</f>
        <v>Moderado</v>
      </c>
      <c r="AE110" s="154">
        <v>0.6</v>
      </c>
      <c r="AF110" s="155" t="str">
        <f t="shared" ref="AF110:AF111" si="177">IFERROR(IF(OR(AND(AB110="Muy Baja",AD110="Leve"),AND(AB110="Muy Baja",AD110="Menor"),AND(AB110="Baja",AD110="Leve")),"Bajo",IF(OR(AND(AB110="Muy baja",AD110="Moderado"),AND(AB110="Baja",AD110="Menor"),AND(AB110="Baja",AD110="Moderado"),AND(AB110="Media",AD110="Leve"),AND(AB110="Media",AD110="Menor"),AND(AB110="Media",AD110="Moderado"),AND(AB110="Alta",AD110="Leve"),AND(AB110="Alta",AD110="Menor")),"Moderado",IF(OR(AND(AB110="Muy Baja",AD110="Mayor"),AND(AB110="Baja",AD110="Mayor"),AND(AB110="Media",AD110="Mayor"),AND(AB110="Alta",AD110="Moderado"),AND(AB110="Alta",AD110="Mayor"),AND(AB110="Muy Alta",AD110="Leve"),AND(AB110="Muy Alta",AD110="Menor"),AND(AB110="Muy Alta",AD110="Moderado"),AND(AB110="Muy Alta",AD110="Mayor")),"Alto",IF(OR(AND(AB110="Muy Baja",AD110="Catastrófico"),AND(AB110="Baja",AD110="Catastrófico"),AND(AB110="Media",AD110="Catastrófico"),AND(AB110="Alta",AD110="Catastrófico"),AND(AB110="Muy Alta",AD110="Catastrófico")),"Extremo","")))),"")</f>
        <v>Moderado</v>
      </c>
      <c r="AG110" s="156" t="s">
        <v>122</v>
      </c>
      <c r="AH110" s="165" t="s">
        <v>423</v>
      </c>
      <c r="AI110" s="166" t="s">
        <v>204</v>
      </c>
      <c r="AJ110" s="167" t="s">
        <v>200</v>
      </c>
      <c r="AK110" s="167" t="s">
        <v>200</v>
      </c>
      <c r="AL110" s="165" t="s">
        <v>425</v>
      </c>
      <c r="AM110" s="149"/>
      <c r="AN110" s="216" t="s">
        <v>727</v>
      </c>
      <c r="AO110" s="218" t="s">
        <v>728</v>
      </c>
      <c r="AP110" s="264">
        <v>0.33</v>
      </c>
      <c r="AQ110" s="216" t="s">
        <v>722</v>
      </c>
      <c r="AR110" s="216" t="s">
        <v>729</v>
      </c>
      <c r="AS110" s="264">
        <v>0.66</v>
      </c>
      <c r="AT110" s="218"/>
      <c r="AU110" s="218" t="s">
        <v>618</v>
      </c>
      <c r="AV110" s="217" t="s">
        <v>615</v>
      </c>
      <c r="AW110" s="217" t="s">
        <v>615</v>
      </c>
      <c r="AX110" s="217" t="s">
        <v>615</v>
      </c>
      <c r="AY110" s="216"/>
    </row>
    <row r="111" spans="1:51" s="148" customFormat="1" ht="151.5" hidden="1" customHeight="1" x14ac:dyDescent="0.25">
      <c r="A111" s="375"/>
      <c r="B111" s="374"/>
      <c r="C111" s="399"/>
      <c r="D111" s="399"/>
      <c r="E111" s="381"/>
      <c r="F111" s="381"/>
      <c r="G111" s="381"/>
      <c r="H111" s="384"/>
      <c r="I111" s="381"/>
      <c r="J111" s="361"/>
      <c r="K111" s="364"/>
      <c r="L111" s="367"/>
      <c r="M111" s="387"/>
      <c r="N111" s="168"/>
      <c r="O111" s="364"/>
      <c r="P111" s="367"/>
      <c r="Q111" s="378"/>
      <c r="R111" s="158">
        <v>3</v>
      </c>
      <c r="S111" s="159"/>
      <c r="T111" s="160" t="str">
        <f t="shared" si="172"/>
        <v/>
      </c>
      <c r="U111" s="163"/>
      <c r="V111" s="163"/>
      <c r="W111" s="164"/>
      <c r="X111" s="163"/>
      <c r="Y111" s="163"/>
      <c r="Z111" s="163"/>
      <c r="AA111" s="143" t="str">
        <f>IFERROR(IF(T111="Probabilidad",(AA110-(+AA110*W111)),IF(T111="Impacto",L111,"")),"")</f>
        <v/>
      </c>
      <c r="AB111" s="153" t="str">
        <f t="shared" si="174"/>
        <v/>
      </c>
      <c r="AC111" s="154" t="str">
        <f t="shared" si="175"/>
        <v/>
      </c>
      <c r="AD111" s="153" t="str">
        <f t="shared" si="176"/>
        <v/>
      </c>
      <c r="AE111" s="154" t="str">
        <f t="shared" ref="AE111" si="178">IFERROR(IF(T111="Impacto",(P111-(+P111*W111)),IF(T111="Probabilidad",P111,"")),"")</f>
        <v/>
      </c>
      <c r="AF111" s="155" t="str">
        <f t="shared" si="177"/>
        <v/>
      </c>
      <c r="AG111" s="156"/>
      <c r="AH111" s="159"/>
      <c r="AI111" s="149"/>
      <c r="AJ111" s="150"/>
      <c r="AK111" s="150"/>
      <c r="AL111" s="159"/>
      <c r="AM111" s="149"/>
      <c r="AN111" s="219"/>
      <c r="AO111" s="216"/>
      <c r="AP111" s="264"/>
      <c r="AQ111" s="216"/>
      <c r="AR111" s="216"/>
      <c r="AS111" s="264"/>
      <c r="AT111" s="218"/>
      <c r="AU111" s="218"/>
      <c r="AV111" s="217" t="s">
        <v>615</v>
      </c>
      <c r="AW111" s="217" t="s">
        <v>615</v>
      </c>
      <c r="AX111" s="217" t="s">
        <v>615</v>
      </c>
      <c r="AY111" s="216"/>
    </row>
    <row r="112" spans="1:51" s="148" customFormat="1" ht="151.5" customHeight="1" x14ac:dyDescent="0.25">
      <c r="A112" s="375">
        <v>36</v>
      </c>
      <c r="B112" s="372" t="s">
        <v>316</v>
      </c>
      <c r="C112" s="391" t="s">
        <v>370</v>
      </c>
      <c r="D112" s="391" t="s">
        <v>422</v>
      </c>
      <c r="E112" s="380" t="s">
        <v>120</v>
      </c>
      <c r="F112" s="380" t="s">
        <v>321</v>
      </c>
      <c r="G112" s="380" t="s">
        <v>322</v>
      </c>
      <c r="H112" s="383" t="s">
        <v>320</v>
      </c>
      <c r="I112" s="380" t="s">
        <v>342</v>
      </c>
      <c r="J112" s="360">
        <v>365</v>
      </c>
      <c r="K112" s="362" t="str">
        <f>IF(J112&lt;=0,"",IF(J112&lt;=2,"Muy Baja",IF(J112&lt;=24,"Baja",IF(J112&lt;=500,"Media",IF(J112&lt;=5000,"Alta","Muy Alta")))))</f>
        <v>Media</v>
      </c>
      <c r="L112" s="365">
        <f>IF(K112="","",IF(K112="Muy Baja",0.2,IF(K112="Baja",0.4,IF(K112="Media",0.6,IF(K112="Alta",0.8,IF(K112="Muy Alta",1,))))))</f>
        <v>0.6</v>
      </c>
      <c r="M112" s="386" t="s">
        <v>523</v>
      </c>
      <c r="N112" s="162" t="str">
        <f ca="1">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362" t="str">
        <f ca="1">IF(OR(N112='Tabla Impacto'!$C$11,N112='Tabla Impacto'!$D$11),"Leve",IF(OR(N112='Tabla Impacto'!$C$12,N112='Tabla Impacto'!$D$12),"Menor",IF(OR(N112='Tabla Impacto'!$C$13,N112='Tabla Impacto'!$D$13),"Moderado",IF(OR(N112='Tabla Impacto'!$C$14,N112='Tabla Impacto'!$D$14),"Mayor",IF(OR(N112='Tabla Impacto'!$C$15,N112='Tabla Impacto'!$D$15),"Catastrófico","")))))</f>
        <v>Mayor</v>
      </c>
      <c r="P112" s="365">
        <f ca="1">IF(O112="","",IF(O112="Leve",0.2,IF(O112="Menor",0.4,IF(O112="Moderado",0.6,IF(O112="Mayor",0.8,IF(O112="Catastrófico",1,))))))</f>
        <v>0.8</v>
      </c>
      <c r="Q112" s="376"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58">
        <v>1</v>
      </c>
      <c r="S112" s="159" t="s">
        <v>361</v>
      </c>
      <c r="T112" s="160" t="str">
        <f t="shared" ref="T112:T114" si="179">IF(OR(U112="Preventivo",U112="Detectivo"),"Probabilidad",IF(U112="Correctivo","Impacto",""))</f>
        <v>Probabilidad</v>
      </c>
      <c r="U112" s="163" t="s">
        <v>14</v>
      </c>
      <c r="V112" s="163" t="s">
        <v>9</v>
      </c>
      <c r="W112" s="164" t="str">
        <f t="shared" ref="W112:W113" si="180">IF(AND(U112="Preventivo",V112="Automático"),"50%",IF(AND(U112="Preventivo",V112="Manual"),"40%",IF(AND(U112="Detectivo",V112="Automático"),"40%",IF(AND(U112="Detectivo",V112="Manual"),"30%",IF(AND(U112="Correctivo",V112="Automático"),"35%",IF(AND(U112="Correctivo",V112="Manual"),"25%",""))))))</f>
        <v>40%</v>
      </c>
      <c r="X112" s="163" t="s">
        <v>19</v>
      </c>
      <c r="Y112" s="163" t="s">
        <v>22</v>
      </c>
      <c r="Z112" s="163" t="s">
        <v>110</v>
      </c>
      <c r="AA112" s="143">
        <f t="shared" ref="AA112" si="181">IFERROR(IF(T112="Probabilidad",(L112-(+L112*W112)),IF(T112="Impacto",L112,"")),"")</f>
        <v>0.36</v>
      </c>
      <c r="AB112" s="153" t="str">
        <f t="shared" ref="AB112:AB114" si="182">IFERROR(IF(AA112="","",IF(AA112&lt;=0.2,"Muy Baja",IF(AA112&lt;=0.4,"Baja",IF(AA112&lt;=0.6,"Media",IF(AA112&lt;=0.8,"Alta","Muy Alta"))))),"")</f>
        <v>Baja</v>
      </c>
      <c r="AC112" s="154">
        <f t="shared" ref="AC112:AC114" si="183">+AA112</f>
        <v>0.36</v>
      </c>
      <c r="AD112" s="153" t="str">
        <f t="shared" ref="AD112:AD114" ca="1" si="184">IFERROR(IF(AE112="","",IF(AE112&lt;=0.2,"Leve",IF(AE112&lt;=0.4,"Menor",IF(AE112&lt;=0.6,"Moderado",IF(AE112&lt;=0.8,"Mayor","Catastrófico"))))),"")</f>
        <v>Mayor</v>
      </c>
      <c r="AE112" s="154">
        <f t="shared" ref="AE112:AE114" ca="1" si="185">IFERROR(IF(T112="Impacto",(P112-(+P112*W112)),IF(T112="Probabilidad",P112,"")),"")</f>
        <v>0.8</v>
      </c>
      <c r="AF112" s="155" t="str">
        <f t="shared" ref="AF112:AF114" ca="1" si="186">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Alto</v>
      </c>
      <c r="AG112" s="156" t="s">
        <v>122</v>
      </c>
      <c r="AH112" s="165" t="s">
        <v>318</v>
      </c>
      <c r="AI112" s="166" t="s">
        <v>213</v>
      </c>
      <c r="AJ112" s="167" t="s">
        <v>200</v>
      </c>
      <c r="AK112" s="167" t="s">
        <v>200</v>
      </c>
      <c r="AL112" s="165" t="s">
        <v>424</v>
      </c>
      <c r="AM112" s="149"/>
      <c r="AN112" s="216" t="s">
        <v>871</v>
      </c>
      <c r="AO112" s="216" t="s">
        <v>730</v>
      </c>
      <c r="AP112" s="264">
        <v>0.51</v>
      </c>
      <c r="AQ112" s="216" t="s">
        <v>722</v>
      </c>
      <c r="AR112" s="216" t="s">
        <v>729</v>
      </c>
      <c r="AS112" s="264">
        <v>0.66</v>
      </c>
      <c r="AT112" s="218"/>
      <c r="AU112" s="218" t="s">
        <v>618</v>
      </c>
      <c r="AV112" s="217" t="s">
        <v>615</v>
      </c>
      <c r="AW112" s="217" t="s">
        <v>615</v>
      </c>
      <c r="AX112" s="217" t="s">
        <v>615</v>
      </c>
      <c r="AY112" s="278"/>
    </row>
    <row r="113" spans="1:51" s="148" customFormat="1" ht="151.5" customHeight="1" x14ac:dyDescent="0.25">
      <c r="A113" s="375"/>
      <c r="B113" s="373"/>
      <c r="C113" s="399"/>
      <c r="D113" s="399"/>
      <c r="E113" s="381"/>
      <c r="F113" s="381"/>
      <c r="G113" s="381"/>
      <c r="H113" s="384"/>
      <c r="I113" s="381"/>
      <c r="J113" s="361"/>
      <c r="K113" s="363"/>
      <c r="L113" s="366"/>
      <c r="M113" s="387"/>
      <c r="N113" s="168"/>
      <c r="O113" s="363"/>
      <c r="P113" s="366"/>
      <c r="Q113" s="377"/>
      <c r="R113" s="158">
        <v>2</v>
      </c>
      <c r="S113" s="159" t="s">
        <v>355</v>
      </c>
      <c r="T113" s="160" t="str">
        <f t="shared" si="179"/>
        <v>Probabilidad</v>
      </c>
      <c r="U113" s="163" t="s">
        <v>15</v>
      </c>
      <c r="V113" s="163" t="s">
        <v>10</v>
      </c>
      <c r="W113" s="164" t="str">
        <f t="shared" si="180"/>
        <v>40%</v>
      </c>
      <c r="X113" s="163" t="s">
        <v>19</v>
      </c>
      <c r="Y113" s="163" t="s">
        <v>22</v>
      </c>
      <c r="Z113" s="163" t="s">
        <v>110</v>
      </c>
      <c r="AA113" s="143">
        <f>IFERROR(IF(T113="Probabilidad",(AA112-(+AA112*W113)),IF(T113="Impacto",L113,"")),"")</f>
        <v>0.216</v>
      </c>
      <c r="AB113" s="153" t="str">
        <f t="shared" si="182"/>
        <v>Baja</v>
      </c>
      <c r="AC113" s="154">
        <f t="shared" si="183"/>
        <v>0.216</v>
      </c>
      <c r="AD113" s="153" t="str">
        <f t="shared" si="184"/>
        <v>Mayor</v>
      </c>
      <c r="AE113" s="154">
        <v>0.8</v>
      </c>
      <c r="AF113" s="155" t="str">
        <f t="shared" si="186"/>
        <v>Alto</v>
      </c>
      <c r="AG113" s="156" t="s">
        <v>122</v>
      </c>
      <c r="AH113" s="169" t="s">
        <v>428</v>
      </c>
      <c r="AI113" s="166" t="s">
        <v>204</v>
      </c>
      <c r="AJ113" s="167" t="s">
        <v>200</v>
      </c>
      <c r="AK113" s="167" t="s">
        <v>200</v>
      </c>
      <c r="AL113" s="165" t="s">
        <v>429</v>
      </c>
      <c r="AM113" s="149"/>
      <c r="AN113" s="216" t="s">
        <v>731</v>
      </c>
      <c r="AO113" s="218" t="s">
        <v>728</v>
      </c>
      <c r="AP113" s="264">
        <v>0.66</v>
      </c>
      <c r="AQ113" s="216" t="s">
        <v>817</v>
      </c>
      <c r="AR113" s="216" t="s">
        <v>732</v>
      </c>
      <c r="AS113" s="264">
        <v>0.66</v>
      </c>
      <c r="AT113" s="218"/>
      <c r="AU113" s="218" t="s">
        <v>618</v>
      </c>
      <c r="AV113" s="217" t="s">
        <v>615</v>
      </c>
      <c r="AW113" s="217" t="s">
        <v>615</v>
      </c>
      <c r="AX113" s="217" t="s">
        <v>615</v>
      </c>
      <c r="AY113" s="216"/>
    </row>
    <row r="114" spans="1:51" s="148" customFormat="1" ht="151.5" hidden="1" customHeight="1" x14ac:dyDescent="0.25">
      <c r="A114" s="375"/>
      <c r="B114" s="374"/>
      <c r="C114" s="399"/>
      <c r="D114" s="399"/>
      <c r="E114" s="381"/>
      <c r="F114" s="381"/>
      <c r="G114" s="381"/>
      <c r="H114" s="384"/>
      <c r="I114" s="381"/>
      <c r="J114" s="361"/>
      <c r="K114" s="364"/>
      <c r="L114" s="367"/>
      <c r="M114" s="387"/>
      <c r="N114" s="168"/>
      <c r="O114" s="364"/>
      <c r="P114" s="367"/>
      <c r="Q114" s="378"/>
      <c r="R114" s="158">
        <v>3</v>
      </c>
      <c r="S114" s="159"/>
      <c r="T114" s="160" t="str">
        <f t="shared" si="179"/>
        <v/>
      </c>
      <c r="U114" s="163"/>
      <c r="V114" s="163"/>
      <c r="W114" s="164"/>
      <c r="X114" s="163"/>
      <c r="Y114" s="163"/>
      <c r="Z114" s="163"/>
      <c r="AA114" s="143" t="str">
        <f>IFERROR(IF(T114="Probabilidad",(AA113-(+AA113*W114)),IF(T114="Impacto",L114,"")),"")</f>
        <v/>
      </c>
      <c r="AB114" s="153" t="str">
        <f t="shared" si="182"/>
        <v/>
      </c>
      <c r="AC114" s="154" t="str">
        <f t="shared" si="183"/>
        <v/>
      </c>
      <c r="AD114" s="153" t="str">
        <f t="shared" si="184"/>
        <v/>
      </c>
      <c r="AE114" s="154" t="str">
        <f t="shared" si="185"/>
        <v/>
      </c>
      <c r="AF114" s="155" t="str">
        <f t="shared" si="186"/>
        <v/>
      </c>
      <c r="AG114" s="156"/>
      <c r="AH114" s="159"/>
      <c r="AI114" s="149"/>
      <c r="AJ114" s="150"/>
      <c r="AK114" s="150"/>
      <c r="AL114" s="159"/>
      <c r="AM114" s="149"/>
      <c r="AN114" s="216"/>
      <c r="AO114" s="216"/>
      <c r="AP114" s="264"/>
      <c r="AQ114" s="216"/>
      <c r="AR114" s="216"/>
      <c r="AS114" s="264"/>
      <c r="AT114" s="218"/>
      <c r="AU114" s="218"/>
      <c r="AV114" s="217" t="s">
        <v>615</v>
      </c>
      <c r="AW114" s="217" t="s">
        <v>615</v>
      </c>
      <c r="AX114" s="217" t="s">
        <v>615</v>
      </c>
      <c r="AY114" s="216"/>
    </row>
    <row r="115" spans="1:51" s="148" customFormat="1" ht="151.5" customHeight="1" x14ac:dyDescent="0.25">
      <c r="A115" s="375">
        <v>37</v>
      </c>
      <c r="B115" s="372" t="s">
        <v>323</v>
      </c>
      <c r="C115" s="391" t="s">
        <v>362</v>
      </c>
      <c r="D115" s="391" t="s">
        <v>430</v>
      </c>
      <c r="E115" s="380" t="s">
        <v>120</v>
      </c>
      <c r="F115" s="380" t="s">
        <v>492</v>
      </c>
      <c r="G115" s="380" t="s">
        <v>493</v>
      </c>
      <c r="H115" s="383" t="s">
        <v>431</v>
      </c>
      <c r="I115" s="380" t="s">
        <v>333</v>
      </c>
      <c r="J115" s="360">
        <v>35</v>
      </c>
      <c r="K115" s="362" t="str">
        <f>IF(J115&lt;=0,"",IF(J115&lt;=2,"Muy Baja",IF(J115&lt;=24,"Baja",IF(J115&lt;=500,"Media",IF(J115&lt;=5000,"Alta","Muy Alta")))))</f>
        <v>Media</v>
      </c>
      <c r="L115" s="365">
        <f>IF(K115="","",IF(K115="Muy Baja",0.2,IF(K115="Baja",0.4,IF(K115="Media",0.6,IF(K115="Alta",0.8,IF(K115="Muy Alta",1,))))))</f>
        <v>0.6</v>
      </c>
      <c r="M115" s="386" t="s">
        <v>521</v>
      </c>
      <c r="N115" s="162" t="str">
        <f ca="1">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362" t="str">
        <f ca="1">IF(OR(N115='Tabla Impacto'!$C$11,N115='Tabla Impacto'!$D$11),"Leve",IF(OR(N115='Tabla Impacto'!$C$12,N115='Tabla Impacto'!$D$12),"Menor",IF(OR(N115='Tabla Impacto'!$C$13,N115='Tabla Impacto'!$D$13),"Moderado",IF(OR(N115='Tabla Impacto'!$C$14,N115='Tabla Impacto'!$D$14),"Mayor",IF(OR(N115='Tabla Impacto'!$C$15,N115='Tabla Impacto'!$D$15),"Catastrófico","")))))</f>
        <v>Menor</v>
      </c>
      <c r="P115" s="365">
        <f ca="1">IF(O115="","",IF(O115="Leve",0.2,IF(O115="Menor",0.4,IF(O115="Moderado",0.6,IF(O115="Mayor",0.8,IF(O115="Catastrófico",1,))))))</f>
        <v>0.4</v>
      </c>
      <c r="Q115" s="376"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58">
        <v>1</v>
      </c>
      <c r="S115" s="159" t="s">
        <v>343</v>
      </c>
      <c r="T115" s="160" t="str">
        <f t="shared" ref="T115:T126" si="187">IF(OR(U115="Preventivo",U115="Detectivo"),"Probabilidad",IF(U115="Correctivo","Impacto",""))</f>
        <v>Probabilidad</v>
      </c>
      <c r="U115" s="163" t="s">
        <v>14</v>
      </c>
      <c r="V115" s="163" t="s">
        <v>9</v>
      </c>
      <c r="W115" s="164" t="str">
        <f t="shared" ref="W115:W125" si="188">IF(AND(U115="Preventivo",V115="Automático"),"50%",IF(AND(U115="Preventivo",V115="Manual"),"40%",IF(AND(U115="Detectivo",V115="Automático"),"40%",IF(AND(U115="Detectivo",V115="Manual"),"30%",IF(AND(U115="Correctivo",V115="Automático"),"35%",IF(AND(U115="Correctivo",V115="Manual"),"25%",""))))))</f>
        <v>40%</v>
      </c>
      <c r="X115" s="163" t="s">
        <v>19</v>
      </c>
      <c r="Y115" s="163" t="s">
        <v>22</v>
      </c>
      <c r="Z115" s="163" t="s">
        <v>110</v>
      </c>
      <c r="AA115" s="143">
        <f t="shared" ref="AA115:AA124" si="189">IFERROR(IF(T115="Probabilidad",(L115-(+L115*W115)),IF(T115="Impacto",L115,"")),"")</f>
        <v>0.36</v>
      </c>
      <c r="AB115" s="153" t="str">
        <f t="shared" ref="AB115:AB125" si="190">IFERROR(IF(AA115="","",IF(AA115&lt;=0.2,"Muy Baja",IF(AA115&lt;=0.4,"Baja",IF(AA115&lt;=0.6,"Media",IF(AA115&lt;=0.8,"Alta","Muy Alta"))))),"")</f>
        <v>Baja</v>
      </c>
      <c r="AC115" s="154">
        <f t="shared" ref="AC115:AC125" si="191">+AA115</f>
        <v>0.36</v>
      </c>
      <c r="AD115" s="153" t="str">
        <f t="shared" ref="AD115:AD125" ca="1" si="192">IFERROR(IF(AE115="","",IF(AE115&lt;=0.2,"Leve",IF(AE115&lt;=0.4,"Menor",IF(AE115&lt;=0.6,"Moderado",IF(AE115&lt;=0.8,"Mayor","Catastrófico"))))),"")</f>
        <v>Menor</v>
      </c>
      <c r="AE115" s="154">
        <f t="shared" ref="AE115:AE125" ca="1" si="193">IFERROR(IF(T115="Impacto",(P115-(+P115*W115)),IF(T115="Probabilidad",P115,"")),"")</f>
        <v>0.4</v>
      </c>
      <c r="AF115" s="155" t="str">
        <f t="shared" ref="AF115:AF125" ca="1" si="194">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56" t="s">
        <v>122</v>
      </c>
      <c r="AH115" s="159" t="s">
        <v>547</v>
      </c>
      <c r="AI115" s="149" t="s">
        <v>262</v>
      </c>
      <c r="AJ115" s="150">
        <v>44563</v>
      </c>
      <c r="AK115" s="150" t="s">
        <v>386</v>
      </c>
      <c r="AL115" s="159" t="s">
        <v>432</v>
      </c>
      <c r="AM115" s="149"/>
      <c r="AN115" s="216" t="s">
        <v>733</v>
      </c>
      <c r="AO115" s="216" t="s">
        <v>734</v>
      </c>
      <c r="AP115" s="264">
        <v>0.66</v>
      </c>
      <c r="AQ115" s="216" t="s">
        <v>735</v>
      </c>
      <c r="AR115" s="216" t="s">
        <v>736</v>
      </c>
      <c r="AS115" s="264">
        <v>0.66</v>
      </c>
      <c r="AT115" s="218"/>
      <c r="AU115" s="218" t="s">
        <v>618</v>
      </c>
      <c r="AV115" s="217" t="s">
        <v>615</v>
      </c>
      <c r="AW115" s="217" t="s">
        <v>615</v>
      </c>
      <c r="AX115" s="217" t="s">
        <v>615</v>
      </c>
      <c r="AY115" s="216"/>
    </row>
    <row r="116" spans="1:51" s="148" customFormat="1" ht="151.5" customHeight="1" x14ac:dyDescent="0.25">
      <c r="A116" s="375"/>
      <c r="B116" s="373"/>
      <c r="C116" s="392"/>
      <c r="D116" s="399"/>
      <c r="E116" s="381"/>
      <c r="F116" s="381"/>
      <c r="G116" s="381"/>
      <c r="H116" s="384"/>
      <c r="I116" s="381"/>
      <c r="J116" s="361"/>
      <c r="K116" s="363"/>
      <c r="L116" s="366"/>
      <c r="M116" s="387"/>
      <c r="N116" s="168"/>
      <c r="O116" s="363"/>
      <c r="P116" s="366"/>
      <c r="Q116" s="377"/>
      <c r="R116" s="158">
        <v>2</v>
      </c>
      <c r="S116" s="159" t="s">
        <v>356</v>
      </c>
      <c r="T116" s="160" t="str">
        <f t="shared" si="187"/>
        <v>Probabilidad</v>
      </c>
      <c r="U116" s="163" t="s">
        <v>15</v>
      </c>
      <c r="V116" s="163" t="s">
        <v>9</v>
      </c>
      <c r="W116" s="164" t="str">
        <f t="shared" si="188"/>
        <v>30%</v>
      </c>
      <c r="X116" s="163" t="s">
        <v>19</v>
      </c>
      <c r="Y116" s="163" t="s">
        <v>22</v>
      </c>
      <c r="Z116" s="163" t="s">
        <v>110</v>
      </c>
      <c r="AA116" s="143">
        <f>IFERROR(IF(T116="Probabilidad",(AA115-(+AA115*W116)),IF(T116="Impacto",L116,"")),"")</f>
        <v>0.252</v>
      </c>
      <c r="AB116" s="153" t="str">
        <f t="shared" si="190"/>
        <v>Baja</v>
      </c>
      <c r="AC116" s="154">
        <f t="shared" si="191"/>
        <v>0.252</v>
      </c>
      <c r="AD116" s="153" t="str">
        <f t="shared" si="192"/>
        <v>Menor</v>
      </c>
      <c r="AE116" s="154">
        <v>0.4</v>
      </c>
      <c r="AF116" s="155" t="str">
        <f t="shared" si="194"/>
        <v>Moderado</v>
      </c>
      <c r="AG116" s="156" t="s">
        <v>122</v>
      </c>
      <c r="AH116" s="159" t="s">
        <v>547</v>
      </c>
      <c r="AI116" s="149" t="s">
        <v>262</v>
      </c>
      <c r="AJ116" s="150">
        <v>44563</v>
      </c>
      <c r="AK116" s="150" t="s">
        <v>386</v>
      </c>
      <c r="AL116" s="159" t="s">
        <v>432</v>
      </c>
      <c r="AM116" s="149"/>
      <c r="AN116" s="216" t="s">
        <v>737</v>
      </c>
      <c r="AO116" s="216" t="s">
        <v>738</v>
      </c>
      <c r="AP116" s="264">
        <v>0.66</v>
      </c>
      <c r="AQ116" s="216" t="s">
        <v>739</v>
      </c>
      <c r="AR116" s="216" t="s">
        <v>738</v>
      </c>
      <c r="AS116" s="264">
        <v>0.66</v>
      </c>
      <c r="AT116" s="218"/>
      <c r="AU116" s="218" t="s">
        <v>618</v>
      </c>
      <c r="AV116" s="217" t="s">
        <v>615</v>
      </c>
      <c r="AW116" s="217" t="s">
        <v>615</v>
      </c>
      <c r="AX116" s="217" t="s">
        <v>615</v>
      </c>
      <c r="AY116" s="216" t="s">
        <v>814</v>
      </c>
    </row>
    <row r="117" spans="1:51" s="148" customFormat="1" ht="151.5" hidden="1" customHeight="1" x14ac:dyDescent="0.25">
      <c r="A117" s="375"/>
      <c r="B117" s="374"/>
      <c r="C117" s="392"/>
      <c r="D117" s="399"/>
      <c r="E117" s="381"/>
      <c r="F117" s="381"/>
      <c r="G117" s="381"/>
      <c r="H117" s="384"/>
      <c r="I117" s="381"/>
      <c r="J117" s="361"/>
      <c r="K117" s="364"/>
      <c r="L117" s="367"/>
      <c r="M117" s="387"/>
      <c r="N117" s="168"/>
      <c r="O117" s="364"/>
      <c r="P117" s="367"/>
      <c r="Q117" s="378"/>
      <c r="R117" s="158">
        <v>3</v>
      </c>
      <c r="S117" s="159"/>
      <c r="T117" s="160" t="str">
        <f t="shared" si="187"/>
        <v/>
      </c>
      <c r="U117" s="163"/>
      <c r="V117" s="163"/>
      <c r="W117" s="164"/>
      <c r="X117" s="163"/>
      <c r="Y117" s="163"/>
      <c r="Z117" s="163"/>
      <c r="AA117" s="143" t="str">
        <f>IFERROR(IF(T117="Probabilidad",(AA116-(+AA116*W117)),IF(T117="Impacto",L117,"")),"")</f>
        <v/>
      </c>
      <c r="AB117" s="153" t="str">
        <f t="shared" si="190"/>
        <v/>
      </c>
      <c r="AC117" s="154" t="str">
        <f t="shared" si="191"/>
        <v/>
      </c>
      <c r="AD117" s="153" t="str">
        <f t="shared" si="192"/>
        <v/>
      </c>
      <c r="AE117" s="154" t="str">
        <f t="shared" si="193"/>
        <v/>
      </c>
      <c r="AF117" s="155" t="str">
        <f t="shared" si="194"/>
        <v/>
      </c>
      <c r="AG117" s="156"/>
      <c r="AH117" s="159"/>
      <c r="AI117" s="149"/>
      <c r="AJ117" s="150"/>
      <c r="AK117" s="150"/>
      <c r="AL117" s="159"/>
      <c r="AM117" s="149"/>
      <c r="AN117" s="216"/>
      <c r="AO117" s="216"/>
      <c r="AP117" s="264"/>
      <c r="AQ117" s="216"/>
      <c r="AR117" s="216"/>
      <c r="AS117" s="264"/>
      <c r="AT117" s="218"/>
      <c r="AU117" s="218"/>
      <c r="AV117" s="217" t="s">
        <v>615</v>
      </c>
      <c r="AW117" s="217" t="s">
        <v>615</v>
      </c>
      <c r="AX117" s="217" t="s">
        <v>615</v>
      </c>
      <c r="AY117" s="216"/>
    </row>
    <row r="118" spans="1:51" s="148" customFormat="1" ht="151.5" customHeight="1" x14ac:dyDescent="0.25">
      <c r="A118" s="375">
        <v>38</v>
      </c>
      <c r="B118" s="372" t="s">
        <v>323</v>
      </c>
      <c r="C118" s="391" t="s">
        <v>362</v>
      </c>
      <c r="D118" s="391" t="s">
        <v>430</v>
      </c>
      <c r="E118" s="380" t="s">
        <v>120</v>
      </c>
      <c r="F118" s="380" t="s">
        <v>494</v>
      </c>
      <c r="G118" s="380" t="s">
        <v>495</v>
      </c>
      <c r="H118" s="383" t="s">
        <v>344</v>
      </c>
      <c r="I118" s="380" t="s">
        <v>333</v>
      </c>
      <c r="J118" s="360">
        <v>12</v>
      </c>
      <c r="K118" s="362" t="str">
        <f>IF(J118&lt;=0,"",IF(J118&lt;=2,"Muy Baja",IF(J118&lt;=24,"Baja",IF(J118&lt;=500,"Media",IF(J118&lt;=5000,"Alta","Muy Alta")))))</f>
        <v>Baja</v>
      </c>
      <c r="L118" s="365">
        <f>IF(K118="","",IF(K118="Muy Baja",0.2,IF(K118="Baja",0.4,IF(K118="Media",0.6,IF(K118="Alta",0.8,IF(K118="Muy Alta",1,))))))</f>
        <v>0.4</v>
      </c>
      <c r="M118" s="386" t="s">
        <v>521</v>
      </c>
      <c r="N118" s="162" t="str">
        <f ca="1">IF(NOT(ISERROR(MATCH(M118,'Tabla Impacto'!$B$221:$B$223,0))),'Tabla Impacto'!$F$223&amp;"Por favor no seleccionar los criterios de impacto(Afectación Económica o presupuestal y Pérdida Reputacional)",M118)</f>
        <v xml:space="preserve"> El riesgo afecta la imagen de la entidad internamente, de conocimiento general, nivel interno, de junta directiva y accionistas y/o de proveedores</v>
      </c>
      <c r="O118" s="362" t="str">
        <f ca="1">IF(OR(N118='Tabla Impacto'!$C$11,N118='Tabla Impacto'!$D$11),"Leve",IF(OR(N118='Tabla Impacto'!$C$12,N118='Tabla Impacto'!$D$12),"Menor",IF(OR(N118='Tabla Impacto'!$C$13,N118='Tabla Impacto'!$D$13),"Moderado",IF(OR(N118='Tabla Impacto'!$C$14,N118='Tabla Impacto'!$D$14),"Mayor",IF(OR(N118='Tabla Impacto'!$C$15,N118='Tabla Impacto'!$D$15),"Catastrófico","")))))</f>
        <v>Menor</v>
      </c>
      <c r="P118" s="365">
        <f ca="1">IF(O118="","",IF(O118="Leve",0.2,IF(O118="Menor",0.4,IF(O118="Moderado",0.6,IF(O118="Mayor",0.8,IF(O118="Catastrófico",1,))))))</f>
        <v>0.4</v>
      </c>
      <c r="Q118" s="376"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8">
        <v>1</v>
      </c>
      <c r="S118" s="159" t="s">
        <v>548</v>
      </c>
      <c r="T118" s="160" t="str">
        <f t="shared" si="187"/>
        <v>Probabilidad</v>
      </c>
      <c r="U118" s="163" t="s">
        <v>14</v>
      </c>
      <c r="V118" s="163" t="s">
        <v>9</v>
      </c>
      <c r="W118" s="164" t="str">
        <f t="shared" si="188"/>
        <v>40%</v>
      </c>
      <c r="X118" s="163" t="s">
        <v>19</v>
      </c>
      <c r="Y118" s="163" t="s">
        <v>22</v>
      </c>
      <c r="Z118" s="163" t="s">
        <v>110</v>
      </c>
      <c r="AA118" s="143">
        <f t="shared" si="189"/>
        <v>0.24</v>
      </c>
      <c r="AB118" s="153" t="str">
        <f t="shared" si="190"/>
        <v>Baja</v>
      </c>
      <c r="AC118" s="154">
        <f t="shared" si="191"/>
        <v>0.24</v>
      </c>
      <c r="AD118" s="153" t="str">
        <f t="shared" ca="1" si="192"/>
        <v>Menor</v>
      </c>
      <c r="AE118" s="154">
        <f t="shared" ca="1" si="193"/>
        <v>0.4</v>
      </c>
      <c r="AF118" s="155" t="str">
        <f t="shared" ca="1" si="194"/>
        <v>Moderado</v>
      </c>
      <c r="AG118" s="156" t="s">
        <v>122</v>
      </c>
      <c r="AH118" s="159" t="s">
        <v>549</v>
      </c>
      <c r="AI118" s="149" t="s">
        <v>204</v>
      </c>
      <c r="AJ118" s="150">
        <v>44568</v>
      </c>
      <c r="AK118" s="150" t="s">
        <v>386</v>
      </c>
      <c r="AL118" s="159" t="s">
        <v>433</v>
      </c>
      <c r="AM118" s="149"/>
      <c r="AN118" s="216" t="s">
        <v>740</v>
      </c>
      <c r="AO118" s="216" t="s">
        <v>741</v>
      </c>
      <c r="AP118" s="264">
        <v>0.66</v>
      </c>
      <c r="AQ118" s="216" t="s">
        <v>742</v>
      </c>
      <c r="AR118" s="216" t="s">
        <v>743</v>
      </c>
      <c r="AS118" s="264">
        <v>0.66</v>
      </c>
      <c r="AT118" s="218"/>
      <c r="AU118" s="218" t="s">
        <v>618</v>
      </c>
      <c r="AV118" s="217" t="s">
        <v>615</v>
      </c>
      <c r="AW118" s="217" t="s">
        <v>615</v>
      </c>
      <c r="AX118" s="217" t="s">
        <v>615</v>
      </c>
      <c r="AY118" s="216"/>
    </row>
    <row r="119" spans="1:51" s="148" customFormat="1" ht="151.5" customHeight="1" x14ac:dyDescent="0.25">
      <c r="A119" s="375"/>
      <c r="B119" s="373"/>
      <c r="C119" s="392"/>
      <c r="D119" s="399"/>
      <c r="E119" s="381"/>
      <c r="F119" s="381"/>
      <c r="G119" s="381"/>
      <c r="H119" s="384"/>
      <c r="I119" s="381"/>
      <c r="J119" s="361"/>
      <c r="K119" s="363"/>
      <c r="L119" s="366"/>
      <c r="M119" s="387"/>
      <c r="N119" s="168"/>
      <c r="O119" s="363"/>
      <c r="P119" s="366"/>
      <c r="Q119" s="377"/>
      <c r="R119" s="158">
        <v>2</v>
      </c>
      <c r="S119" s="159" t="s">
        <v>371</v>
      </c>
      <c r="T119" s="160" t="str">
        <f t="shared" si="187"/>
        <v>Probabilidad</v>
      </c>
      <c r="U119" s="163" t="s">
        <v>15</v>
      </c>
      <c r="V119" s="163" t="s">
        <v>9</v>
      </c>
      <c r="W119" s="164" t="str">
        <f t="shared" si="188"/>
        <v>30%</v>
      </c>
      <c r="X119" s="163" t="s">
        <v>19</v>
      </c>
      <c r="Y119" s="163" t="s">
        <v>22</v>
      </c>
      <c r="Z119" s="163" t="s">
        <v>110</v>
      </c>
      <c r="AA119" s="143">
        <f>IFERROR(IF(T119="Probabilidad",(AA118-(+AA118*W119)),IF(T119="Impacto",L119,"")),"")</f>
        <v>0.16799999999999998</v>
      </c>
      <c r="AB119" s="153" t="str">
        <f t="shared" si="190"/>
        <v>Muy Baja</v>
      </c>
      <c r="AC119" s="154">
        <f t="shared" si="191"/>
        <v>0.16799999999999998</v>
      </c>
      <c r="AD119" s="153" t="str">
        <f t="shared" si="192"/>
        <v>Menor</v>
      </c>
      <c r="AE119" s="154">
        <v>0.4</v>
      </c>
      <c r="AF119" s="155" t="str">
        <f t="shared" si="194"/>
        <v>Bajo</v>
      </c>
      <c r="AG119" s="156" t="s">
        <v>122</v>
      </c>
      <c r="AH119" s="159" t="s">
        <v>550</v>
      </c>
      <c r="AI119" s="149" t="s">
        <v>204</v>
      </c>
      <c r="AJ119" s="150">
        <v>44564</v>
      </c>
      <c r="AK119" s="150" t="s">
        <v>386</v>
      </c>
      <c r="AL119" s="159" t="s">
        <v>433</v>
      </c>
      <c r="AM119" s="149"/>
      <c r="AN119" s="216" t="s">
        <v>744</v>
      </c>
      <c r="AO119" s="216" t="s">
        <v>745</v>
      </c>
      <c r="AP119" s="264">
        <v>0.66</v>
      </c>
      <c r="AQ119" s="216" t="s">
        <v>746</v>
      </c>
      <c r="AR119" s="216" t="s">
        <v>747</v>
      </c>
      <c r="AS119" s="264">
        <v>0.66</v>
      </c>
      <c r="AT119" s="218"/>
      <c r="AU119" s="218" t="s">
        <v>618</v>
      </c>
      <c r="AV119" s="217" t="s">
        <v>615</v>
      </c>
      <c r="AW119" s="217" t="s">
        <v>615</v>
      </c>
      <c r="AX119" s="217" t="s">
        <v>615</v>
      </c>
      <c r="AY119" s="216"/>
    </row>
    <row r="120" spans="1:51" s="148" customFormat="1" ht="151.5" hidden="1" customHeight="1" x14ac:dyDescent="0.25">
      <c r="A120" s="375"/>
      <c r="B120" s="374"/>
      <c r="C120" s="392"/>
      <c r="D120" s="399"/>
      <c r="E120" s="381"/>
      <c r="F120" s="381"/>
      <c r="G120" s="381"/>
      <c r="H120" s="384"/>
      <c r="I120" s="381"/>
      <c r="J120" s="361"/>
      <c r="K120" s="364"/>
      <c r="L120" s="367"/>
      <c r="M120" s="387"/>
      <c r="N120" s="168"/>
      <c r="O120" s="364"/>
      <c r="P120" s="367"/>
      <c r="Q120" s="378"/>
      <c r="R120" s="158">
        <v>3</v>
      </c>
      <c r="S120" s="159"/>
      <c r="T120" s="160" t="str">
        <f t="shared" si="187"/>
        <v/>
      </c>
      <c r="U120" s="163"/>
      <c r="V120" s="163"/>
      <c r="W120" s="164"/>
      <c r="X120" s="163"/>
      <c r="Y120" s="163"/>
      <c r="Z120" s="163"/>
      <c r="AA120" s="143" t="str">
        <f>IFERROR(IF(T120="Probabilidad",(AA119-(+AA119*W120)),IF(T120="Impacto",L120,"")),"")</f>
        <v/>
      </c>
      <c r="AB120" s="153" t="str">
        <f t="shared" si="190"/>
        <v/>
      </c>
      <c r="AC120" s="154" t="str">
        <f t="shared" si="191"/>
        <v/>
      </c>
      <c r="AD120" s="153" t="str">
        <f t="shared" si="192"/>
        <v/>
      </c>
      <c r="AE120" s="154" t="str">
        <f t="shared" si="193"/>
        <v/>
      </c>
      <c r="AF120" s="155" t="str">
        <f t="shared" si="194"/>
        <v/>
      </c>
      <c r="AG120" s="156"/>
      <c r="AH120" s="159"/>
      <c r="AI120" s="149"/>
      <c r="AJ120" s="150"/>
      <c r="AK120" s="150"/>
      <c r="AL120" s="159"/>
      <c r="AM120" s="149"/>
      <c r="AN120" s="216"/>
      <c r="AO120" s="216"/>
      <c r="AP120" s="264"/>
      <c r="AQ120" s="216"/>
      <c r="AR120" s="216"/>
      <c r="AS120" s="264"/>
      <c r="AT120" s="218"/>
      <c r="AU120" s="218"/>
      <c r="AV120" s="217" t="s">
        <v>615</v>
      </c>
      <c r="AW120" s="217" t="s">
        <v>615</v>
      </c>
      <c r="AX120" s="217" t="s">
        <v>615</v>
      </c>
      <c r="AY120" s="216"/>
    </row>
    <row r="121" spans="1:51" s="148" customFormat="1" ht="151.5" customHeight="1" x14ac:dyDescent="0.25">
      <c r="A121" s="375">
        <v>39</v>
      </c>
      <c r="B121" s="394" t="s">
        <v>323</v>
      </c>
      <c r="C121" s="391" t="s">
        <v>362</v>
      </c>
      <c r="D121" s="391" t="s">
        <v>434</v>
      </c>
      <c r="E121" s="380" t="s">
        <v>120</v>
      </c>
      <c r="F121" s="380" t="s">
        <v>496</v>
      </c>
      <c r="G121" s="380" t="s">
        <v>585</v>
      </c>
      <c r="H121" s="383" t="s">
        <v>600</v>
      </c>
      <c r="I121" s="380" t="s">
        <v>115</v>
      </c>
      <c r="J121" s="360">
        <v>3000</v>
      </c>
      <c r="K121" s="362" t="str">
        <f>IF(J121&lt;=0,"",IF(J121&lt;=2,"Muy Baja",IF(J121&lt;=24,"Baja",IF(J121&lt;=500,"Media",IF(J121&lt;=5000,"Alta","Muy Alta")))))</f>
        <v>Alta</v>
      </c>
      <c r="L121" s="365">
        <f>IF(K121="","",IF(K121="Muy Baja",0.2,IF(K121="Baja",0.4,IF(K121="Media",0.6,IF(K121="Alta",0.8,IF(K121="Muy Alta",1,))))))</f>
        <v>0.8</v>
      </c>
      <c r="M121" s="386" t="s">
        <v>515</v>
      </c>
      <c r="N121" s="162" t="str">
        <f ca="1">IF(NOT(ISERROR(MATCH(M121,'Tabla Impacto'!$B$221:$B$223,0))),'Tabla Impacto'!$F$223&amp;"Por favor no seleccionar los criterios de impacto(Afectación Económica o presupuestal y Pérdida Reputacional)",M121)</f>
        <v xml:space="preserve"> Entre 50 y 100 SMLMV </v>
      </c>
      <c r="O121" s="362"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65">
        <f ca="1">IF(O121="","",IF(O121="Leve",0.2,IF(O121="Menor",0.4,IF(O121="Moderado",0.6,IF(O121="Mayor",0.8,IF(O121="Catastrófico",1,))))))</f>
        <v>0.6</v>
      </c>
      <c r="Q121" s="376"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58">
        <v>1</v>
      </c>
      <c r="S121" s="159" t="s">
        <v>372</v>
      </c>
      <c r="T121" s="160" t="str">
        <f t="shared" si="187"/>
        <v>Probabilidad</v>
      </c>
      <c r="U121" s="163" t="s">
        <v>14</v>
      </c>
      <c r="V121" s="163" t="s">
        <v>9</v>
      </c>
      <c r="W121" s="164" t="str">
        <f t="shared" si="188"/>
        <v>40%</v>
      </c>
      <c r="X121" s="163" t="s">
        <v>19</v>
      </c>
      <c r="Y121" s="163" t="s">
        <v>22</v>
      </c>
      <c r="Z121" s="163" t="s">
        <v>110</v>
      </c>
      <c r="AA121" s="143">
        <f t="shared" si="189"/>
        <v>0.48</v>
      </c>
      <c r="AB121" s="153" t="str">
        <f t="shared" si="190"/>
        <v>Media</v>
      </c>
      <c r="AC121" s="154">
        <f t="shared" si="191"/>
        <v>0.48</v>
      </c>
      <c r="AD121" s="153" t="str">
        <f t="shared" ca="1" si="192"/>
        <v>Moderado</v>
      </c>
      <c r="AE121" s="154">
        <f t="shared" ca="1" si="193"/>
        <v>0.6</v>
      </c>
      <c r="AF121" s="155" t="str">
        <f t="shared" ca="1" si="194"/>
        <v>Moderado</v>
      </c>
      <c r="AG121" s="156" t="s">
        <v>122</v>
      </c>
      <c r="AH121" s="159" t="s">
        <v>551</v>
      </c>
      <c r="AI121" s="149" t="s">
        <v>204</v>
      </c>
      <c r="AJ121" s="150">
        <v>44564</v>
      </c>
      <c r="AK121" s="150" t="s">
        <v>386</v>
      </c>
      <c r="AL121" s="159" t="s">
        <v>432</v>
      </c>
      <c r="AM121" s="149"/>
      <c r="AN121" s="216" t="s">
        <v>748</v>
      </c>
      <c r="AO121" s="216" t="s">
        <v>749</v>
      </c>
      <c r="AP121" s="264">
        <v>0.66</v>
      </c>
      <c r="AQ121" s="216" t="s">
        <v>750</v>
      </c>
      <c r="AR121" s="216" t="s">
        <v>751</v>
      </c>
      <c r="AS121" s="264">
        <v>0.66</v>
      </c>
      <c r="AT121" s="218"/>
      <c r="AU121" s="218" t="s">
        <v>618</v>
      </c>
      <c r="AV121" s="217" t="s">
        <v>615</v>
      </c>
      <c r="AW121" s="217" t="s">
        <v>615</v>
      </c>
      <c r="AX121" s="217" t="s">
        <v>615</v>
      </c>
      <c r="AY121" s="216"/>
    </row>
    <row r="122" spans="1:51" s="148" customFormat="1" ht="151.5" customHeight="1" x14ac:dyDescent="0.25">
      <c r="A122" s="375"/>
      <c r="B122" s="395"/>
      <c r="C122" s="392"/>
      <c r="D122" s="399"/>
      <c r="E122" s="381"/>
      <c r="F122" s="381"/>
      <c r="G122" s="381"/>
      <c r="H122" s="384"/>
      <c r="I122" s="381"/>
      <c r="J122" s="361"/>
      <c r="K122" s="363"/>
      <c r="L122" s="366"/>
      <c r="M122" s="387"/>
      <c r="N122" s="168"/>
      <c r="O122" s="363"/>
      <c r="P122" s="366"/>
      <c r="Q122" s="377"/>
      <c r="R122" s="158">
        <v>2</v>
      </c>
      <c r="S122" s="159" t="s">
        <v>435</v>
      </c>
      <c r="T122" s="160" t="str">
        <f t="shared" si="187"/>
        <v>Probabilidad</v>
      </c>
      <c r="U122" s="163" t="s">
        <v>14</v>
      </c>
      <c r="V122" s="163" t="s">
        <v>9</v>
      </c>
      <c r="W122" s="164" t="str">
        <f t="shared" si="188"/>
        <v>40%</v>
      </c>
      <c r="X122" s="163" t="s">
        <v>19</v>
      </c>
      <c r="Y122" s="163" t="s">
        <v>22</v>
      </c>
      <c r="Z122" s="163" t="s">
        <v>110</v>
      </c>
      <c r="AA122" s="143">
        <f>IFERROR(IF(T122="Probabilidad",(AA121-(+AA121*W122)),IF(T122="Impacto",L122,"")),"")</f>
        <v>0.28799999999999998</v>
      </c>
      <c r="AB122" s="153" t="str">
        <f t="shared" si="190"/>
        <v>Baja</v>
      </c>
      <c r="AC122" s="154">
        <f t="shared" si="191"/>
        <v>0.28799999999999998</v>
      </c>
      <c r="AD122" s="153" t="str">
        <f t="shared" si="192"/>
        <v>Menor</v>
      </c>
      <c r="AE122" s="154">
        <v>0.4</v>
      </c>
      <c r="AF122" s="155" t="str">
        <f t="shared" si="194"/>
        <v>Moderado</v>
      </c>
      <c r="AG122" s="156" t="s">
        <v>122</v>
      </c>
      <c r="AH122" s="159" t="s">
        <v>551</v>
      </c>
      <c r="AI122" s="149" t="s">
        <v>204</v>
      </c>
      <c r="AJ122" s="150">
        <v>44564</v>
      </c>
      <c r="AK122" s="150" t="s">
        <v>386</v>
      </c>
      <c r="AL122" s="159" t="s">
        <v>432</v>
      </c>
      <c r="AM122" s="149"/>
      <c r="AN122" s="216" t="s">
        <v>752</v>
      </c>
      <c r="AO122" s="216" t="s">
        <v>753</v>
      </c>
      <c r="AP122" s="264">
        <v>0.66</v>
      </c>
      <c r="AQ122" s="216" t="s">
        <v>750</v>
      </c>
      <c r="AR122" s="216" t="s">
        <v>751</v>
      </c>
      <c r="AS122" s="264">
        <v>0.66</v>
      </c>
      <c r="AT122" s="218"/>
      <c r="AU122" s="218" t="s">
        <v>618</v>
      </c>
      <c r="AV122" s="217" t="s">
        <v>615</v>
      </c>
      <c r="AW122" s="217" t="s">
        <v>615</v>
      </c>
      <c r="AX122" s="217" t="s">
        <v>615</v>
      </c>
      <c r="AY122" s="216"/>
    </row>
    <row r="123" spans="1:51" s="148" customFormat="1" ht="151.5" customHeight="1" x14ac:dyDescent="0.25">
      <c r="A123" s="375"/>
      <c r="B123" s="396"/>
      <c r="C123" s="392"/>
      <c r="D123" s="399"/>
      <c r="E123" s="381"/>
      <c r="F123" s="381"/>
      <c r="G123" s="381"/>
      <c r="H123" s="384"/>
      <c r="I123" s="381"/>
      <c r="J123" s="361"/>
      <c r="K123" s="364"/>
      <c r="L123" s="367"/>
      <c r="M123" s="387"/>
      <c r="N123" s="168"/>
      <c r="O123" s="364"/>
      <c r="P123" s="367"/>
      <c r="Q123" s="378"/>
      <c r="R123" s="158">
        <v>3</v>
      </c>
      <c r="S123" s="159" t="s">
        <v>373</v>
      </c>
      <c r="T123" s="160" t="str">
        <f t="shared" si="187"/>
        <v>Probabilidad</v>
      </c>
      <c r="U123" s="163" t="s">
        <v>14</v>
      </c>
      <c r="V123" s="163" t="s">
        <v>9</v>
      </c>
      <c r="W123" s="164" t="str">
        <f t="shared" si="188"/>
        <v>40%</v>
      </c>
      <c r="X123" s="163" t="s">
        <v>19</v>
      </c>
      <c r="Y123" s="163" t="s">
        <v>22</v>
      </c>
      <c r="Z123" s="163" t="s">
        <v>110</v>
      </c>
      <c r="AA123" s="143">
        <f>IFERROR(IF(T123="Probabilidad",(AA122-(+A122*W123)),IF(T123="Impacto",L123,"")),"")</f>
        <v>0.28799999999999998</v>
      </c>
      <c r="AB123" s="153" t="str">
        <f t="shared" si="190"/>
        <v>Baja</v>
      </c>
      <c r="AC123" s="154">
        <f t="shared" si="191"/>
        <v>0.28799999999999998</v>
      </c>
      <c r="AD123" s="153" t="str">
        <f t="shared" si="192"/>
        <v>Menor</v>
      </c>
      <c r="AE123" s="154">
        <v>0.4</v>
      </c>
      <c r="AF123" s="155" t="str">
        <f t="shared" si="194"/>
        <v>Moderado</v>
      </c>
      <c r="AG123" s="156" t="s">
        <v>122</v>
      </c>
      <c r="AH123" s="159" t="s">
        <v>551</v>
      </c>
      <c r="AI123" s="149" t="s">
        <v>204</v>
      </c>
      <c r="AJ123" s="150">
        <v>44564</v>
      </c>
      <c r="AK123" s="150" t="s">
        <v>386</v>
      </c>
      <c r="AL123" s="159" t="s">
        <v>432</v>
      </c>
      <c r="AM123" s="149"/>
      <c r="AN123" s="216" t="s">
        <v>752</v>
      </c>
      <c r="AO123" s="216" t="s">
        <v>753</v>
      </c>
      <c r="AP123" s="264">
        <v>0.66</v>
      </c>
      <c r="AQ123" s="216" t="s">
        <v>750</v>
      </c>
      <c r="AR123" s="216" t="s">
        <v>751</v>
      </c>
      <c r="AS123" s="264">
        <v>0.66</v>
      </c>
      <c r="AT123" s="218"/>
      <c r="AU123" s="218" t="s">
        <v>618</v>
      </c>
      <c r="AV123" s="217" t="s">
        <v>615</v>
      </c>
      <c r="AW123" s="217" t="s">
        <v>615</v>
      </c>
      <c r="AX123" s="217" t="s">
        <v>615</v>
      </c>
      <c r="AY123" s="216"/>
    </row>
    <row r="124" spans="1:51" s="148" customFormat="1" ht="151.5" customHeight="1" x14ac:dyDescent="0.25">
      <c r="A124" s="375">
        <v>40</v>
      </c>
      <c r="B124" s="372" t="s">
        <v>436</v>
      </c>
      <c r="C124" s="398" t="s">
        <v>437</v>
      </c>
      <c r="D124" s="391" t="s">
        <v>438</v>
      </c>
      <c r="E124" s="380" t="s">
        <v>120</v>
      </c>
      <c r="F124" s="393" t="s">
        <v>532</v>
      </c>
      <c r="G124" s="393" t="s">
        <v>439</v>
      </c>
      <c r="H124" s="383" t="s">
        <v>533</v>
      </c>
      <c r="I124" s="380" t="s">
        <v>333</v>
      </c>
      <c r="J124" s="360">
        <v>49</v>
      </c>
      <c r="K124" s="362" t="str">
        <f>IF(J124&lt;=0,"",IF(J124&lt;=2,"Muy Baja",IF(J124&lt;=24,"Baja",IF(J124&lt;=500,"Media",IF(J124&lt;=5000,"Alta","Muy Alta")))))</f>
        <v>Media</v>
      </c>
      <c r="L124" s="365">
        <f>IF(K124="","",IF(K124="Muy Baja",0.2,IF(K124="Baja",0.4,IF(K124="Media",0.6,IF(K124="Alta",0.8,IF(K124="Muy Alta",1,))))))</f>
        <v>0.6</v>
      </c>
      <c r="M124" s="386" t="s">
        <v>516</v>
      </c>
      <c r="N124" s="162"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62"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65">
        <f ca="1">IF(O124="","",IF(O124="Leve",0.2,IF(O124="Menor",0.4,IF(O124="Moderado",0.6,IF(O124="Mayor",0.8,IF(O124="Catastrófico",1,))))))</f>
        <v>0.6</v>
      </c>
      <c r="Q124" s="376"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8">
        <v>1</v>
      </c>
      <c r="S124" s="170" t="s">
        <v>534</v>
      </c>
      <c r="T124" s="160" t="str">
        <f t="shared" si="187"/>
        <v>Probabilidad</v>
      </c>
      <c r="U124" s="163" t="s">
        <v>14</v>
      </c>
      <c r="V124" s="163" t="s">
        <v>9</v>
      </c>
      <c r="W124" s="164" t="str">
        <f t="shared" si="188"/>
        <v>40%</v>
      </c>
      <c r="X124" s="163" t="s">
        <v>19</v>
      </c>
      <c r="Y124" s="163" t="s">
        <v>22</v>
      </c>
      <c r="Z124" s="163" t="s">
        <v>110</v>
      </c>
      <c r="AA124" s="143">
        <f t="shared" si="189"/>
        <v>0.36</v>
      </c>
      <c r="AB124" s="153" t="str">
        <f t="shared" si="190"/>
        <v>Baja</v>
      </c>
      <c r="AC124" s="154">
        <f t="shared" si="191"/>
        <v>0.36</v>
      </c>
      <c r="AD124" s="153" t="str">
        <f t="shared" ca="1" si="192"/>
        <v>Moderado</v>
      </c>
      <c r="AE124" s="154">
        <f t="shared" ca="1" si="193"/>
        <v>0.6</v>
      </c>
      <c r="AF124" s="155" t="str">
        <f t="shared" ca="1" si="194"/>
        <v>Moderado</v>
      </c>
      <c r="AG124" s="156" t="s">
        <v>122</v>
      </c>
      <c r="AH124" s="171" t="s">
        <v>441</v>
      </c>
      <c r="AI124" s="151" t="s">
        <v>440</v>
      </c>
      <c r="AJ124" s="150" t="s">
        <v>197</v>
      </c>
      <c r="AK124" s="150" t="s">
        <v>442</v>
      </c>
      <c r="AL124" s="157" t="s">
        <v>594</v>
      </c>
      <c r="AM124" s="149"/>
      <c r="AN124" s="216" t="s">
        <v>754</v>
      </c>
      <c r="AO124" s="216" t="s">
        <v>755</v>
      </c>
      <c r="AP124" s="264">
        <v>0.66</v>
      </c>
      <c r="AQ124" s="216" t="s">
        <v>756</v>
      </c>
      <c r="AR124" s="216" t="s">
        <v>757</v>
      </c>
      <c r="AS124" s="264">
        <v>0.66</v>
      </c>
      <c r="AT124" s="218"/>
      <c r="AU124" s="218" t="s">
        <v>618</v>
      </c>
      <c r="AV124" s="217" t="s">
        <v>615</v>
      </c>
      <c r="AW124" s="217" t="s">
        <v>615</v>
      </c>
      <c r="AX124" s="217" t="s">
        <v>615</v>
      </c>
      <c r="AY124" s="216"/>
    </row>
    <row r="125" spans="1:51" s="148" customFormat="1" ht="151.5" customHeight="1" x14ac:dyDescent="0.25">
      <c r="A125" s="375"/>
      <c r="B125" s="373"/>
      <c r="C125" s="399"/>
      <c r="D125" s="399"/>
      <c r="E125" s="381"/>
      <c r="F125" s="381"/>
      <c r="G125" s="381"/>
      <c r="H125" s="384"/>
      <c r="I125" s="381"/>
      <c r="J125" s="361"/>
      <c r="K125" s="363"/>
      <c r="L125" s="366"/>
      <c r="M125" s="387"/>
      <c r="N125" s="168"/>
      <c r="O125" s="363"/>
      <c r="P125" s="366"/>
      <c r="Q125" s="377"/>
      <c r="R125" s="158">
        <v>2</v>
      </c>
      <c r="S125" s="172" t="s">
        <v>564</v>
      </c>
      <c r="T125" s="160" t="str">
        <f t="shared" si="187"/>
        <v>Probabilidad</v>
      </c>
      <c r="U125" s="163" t="s">
        <v>15</v>
      </c>
      <c r="V125" s="163" t="s">
        <v>9</v>
      </c>
      <c r="W125" s="164" t="str">
        <f t="shared" si="188"/>
        <v>30%</v>
      </c>
      <c r="X125" s="163" t="s">
        <v>19</v>
      </c>
      <c r="Y125" s="163" t="s">
        <v>23</v>
      </c>
      <c r="Z125" s="163" t="s">
        <v>110</v>
      </c>
      <c r="AA125" s="143">
        <f>IFERROR(IF(T125="Probabilidad",(AA124-(+AA124*W125)),IF(T125="Impacto",L125,"")),"")</f>
        <v>0.252</v>
      </c>
      <c r="AB125" s="153" t="str">
        <f t="shared" si="190"/>
        <v>Baja</v>
      </c>
      <c r="AC125" s="154">
        <f t="shared" si="191"/>
        <v>0.252</v>
      </c>
      <c r="AD125" s="153" t="str">
        <f t="shared" si="192"/>
        <v>Leve</v>
      </c>
      <c r="AE125" s="154">
        <f t="shared" si="193"/>
        <v>0</v>
      </c>
      <c r="AF125" s="155" t="str">
        <f t="shared" si="194"/>
        <v>Bajo</v>
      </c>
      <c r="AG125" s="156" t="s">
        <v>122</v>
      </c>
      <c r="AH125" s="205" t="s">
        <v>535</v>
      </c>
      <c r="AI125" s="173" t="s">
        <v>204</v>
      </c>
      <c r="AJ125" s="150" t="s">
        <v>197</v>
      </c>
      <c r="AK125" s="150" t="s">
        <v>197</v>
      </c>
      <c r="AL125" s="171" t="s">
        <v>443</v>
      </c>
      <c r="AM125" s="149"/>
      <c r="AN125" s="216" t="s">
        <v>758</v>
      </c>
      <c r="AO125" s="216" t="s">
        <v>759</v>
      </c>
      <c r="AP125" s="264">
        <v>0.66</v>
      </c>
      <c r="AQ125" s="216" t="s">
        <v>760</v>
      </c>
      <c r="AR125" s="216" t="s">
        <v>759</v>
      </c>
      <c r="AS125" s="264">
        <v>0.66</v>
      </c>
      <c r="AT125" s="218"/>
      <c r="AU125" s="218" t="s">
        <v>618</v>
      </c>
      <c r="AV125" s="217" t="s">
        <v>615</v>
      </c>
      <c r="AW125" s="217" t="s">
        <v>615</v>
      </c>
      <c r="AX125" s="217" t="s">
        <v>615</v>
      </c>
      <c r="AY125" s="216"/>
    </row>
    <row r="126" spans="1:51" s="148" customFormat="1" ht="151.5" hidden="1" customHeight="1" x14ac:dyDescent="0.25">
      <c r="A126" s="375"/>
      <c r="B126" s="374"/>
      <c r="C126" s="399"/>
      <c r="D126" s="399"/>
      <c r="E126" s="381"/>
      <c r="F126" s="381"/>
      <c r="G126" s="381"/>
      <c r="H126" s="384"/>
      <c r="I126" s="381"/>
      <c r="J126" s="361"/>
      <c r="K126" s="364"/>
      <c r="L126" s="367"/>
      <c r="M126" s="387"/>
      <c r="N126" s="168"/>
      <c r="O126" s="364"/>
      <c r="P126" s="367"/>
      <c r="Q126" s="378"/>
      <c r="R126" s="158">
        <v>3</v>
      </c>
      <c r="S126" s="159"/>
      <c r="T126" s="160" t="str">
        <f t="shared" si="187"/>
        <v/>
      </c>
      <c r="U126" s="163"/>
      <c r="V126" s="163"/>
      <c r="W126" s="164"/>
      <c r="X126" s="163"/>
      <c r="Y126" s="163"/>
      <c r="Z126" s="163"/>
      <c r="AA126" s="143"/>
      <c r="AB126" s="153"/>
      <c r="AC126" s="154"/>
      <c r="AD126" s="153"/>
      <c r="AE126" s="154"/>
      <c r="AF126" s="155"/>
      <c r="AG126" s="156"/>
      <c r="AH126" s="159"/>
      <c r="AI126" s="149"/>
      <c r="AJ126" s="150"/>
      <c r="AK126" s="150"/>
      <c r="AL126" s="159"/>
      <c r="AM126" s="149"/>
      <c r="AN126" s="216"/>
      <c r="AO126" s="216"/>
      <c r="AP126" s="264"/>
      <c r="AQ126" s="216"/>
      <c r="AR126" s="216"/>
      <c r="AS126" s="264"/>
      <c r="AT126" s="218"/>
      <c r="AU126" s="218"/>
      <c r="AV126" s="217" t="s">
        <v>615</v>
      </c>
      <c r="AW126" s="217" t="s">
        <v>615</v>
      </c>
      <c r="AX126" s="217" t="s">
        <v>615</v>
      </c>
      <c r="AY126" s="216"/>
    </row>
    <row r="127" spans="1:51" s="148" customFormat="1" ht="151.5" customHeight="1" x14ac:dyDescent="0.25">
      <c r="A127" s="375">
        <v>41</v>
      </c>
      <c r="B127" s="372" t="s">
        <v>436</v>
      </c>
      <c r="C127" s="398" t="s">
        <v>437</v>
      </c>
      <c r="D127" s="391" t="s">
        <v>438</v>
      </c>
      <c r="E127" s="380" t="s">
        <v>120</v>
      </c>
      <c r="F127" s="393" t="s">
        <v>536</v>
      </c>
      <c r="G127" s="393" t="s">
        <v>537</v>
      </c>
      <c r="H127" s="383" t="s">
        <v>538</v>
      </c>
      <c r="I127" s="380" t="s">
        <v>333</v>
      </c>
      <c r="J127" s="360">
        <v>60</v>
      </c>
      <c r="K127" s="362" t="str">
        <f>IF(J127&lt;=0,"",IF(J127&lt;=2,"Muy Baja",IF(J127&lt;=24,"Baja",IF(J127&lt;=500,"Media",IF(J127&lt;=5000,"Alta","Muy Alta")))))</f>
        <v>Media</v>
      </c>
      <c r="L127" s="365">
        <f>IF(K127="","",IF(K127="Muy Baja",0.2,IF(K127="Baja",0.4,IF(K127="Media",0.6,IF(K127="Alta",0.8,IF(K127="Muy Alta",1,))))))</f>
        <v>0.6</v>
      </c>
      <c r="M127" s="386" t="s">
        <v>516</v>
      </c>
      <c r="N127" s="162" t="str">
        <f ca="1">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62" t="str">
        <f ca="1">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65">
        <f ca="1">IF(O127="","",IF(O127="Leve",0.2,IF(O127="Menor",0.4,IF(O127="Moderado",0.6,IF(O127="Mayor",0.8,IF(O127="Catastrófico",1,))))))</f>
        <v>0.6</v>
      </c>
      <c r="Q127" s="376"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58">
        <v>1</v>
      </c>
      <c r="S127" s="159" t="s">
        <v>546</v>
      </c>
      <c r="T127" s="160" t="str">
        <f t="shared" ref="T127:T156" si="195">IF(OR(U127="Preventivo",U127="Detectivo"),"Probabilidad",IF(U127="Correctivo","Impacto",""))</f>
        <v>Probabilidad</v>
      </c>
      <c r="U127" s="163" t="s">
        <v>15</v>
      </c>
      <c r="V127" s="163" t="s">
        <v>9</v>
      </c>
      <c r="W127" s="164" t="str">
        <f t="shared" ref="W127:W156" si="196">IF(AND(U127="Preventivo",V127="Automático"),"50%",IF(AND(U127="Preventivo",V127="Manual"),"40%",IF(AND(U127="Detectivo",V127="Automático"),"40%",IF(AND(U127="Detectivo",V127="Manual"),"30%",IF(AND(U127="Correctivo",V127="Automático"),"35%",IF(AND(U127="Correctivo",V127="Manual"),"25%",""))))))</f>
        <v>30%</v>
      </c>
      <c r="X127" s="163" t="s">
        <v>20</v>
      </c>
      <c r="Y127" s="163" t="s">
        <v>23</v>
      </c>
      <c r="Z127" s="163" t="s">
        <v>111</v>
      </c>
      <c r="AA127" s="143">
        <f t="shared" ref="AA127:AA156" si="197">IFERROR(IF(T127="Probabilidad",(L127-(+L127*W127)),IF(T127="Impacto",L127,"")),"")</f>
        <v>0.42</v>
      </c>
      <c r="AB127" s="153" t="str">
        <f t="shared" ref="AB127:AB156" si="198">IFERROR(IF(AA127="","",IF(AA127&lt;=0.2,"Muy Baja",IF(AA127&lt;=0.4,"Baja",IF(AA127&lt;=0.6,"Media",IF(AA127&lt;=0.8,"Alta","Muy Alta"))))),"")</f>
        <v>Media</v>
      </c>
      <c r="AC127" s="154">
        <f t="shared" ref="AC127:AC156" si="199">+AA127</f>
        <v>0.42</v>
      </c>
      <c r="AD127" s="153" t="str">
        <f t="shared" ref="AD127:AD156" ca="1" si="200">IFERROR(IF(AE127="","",IF(AE127&lt;=0.2,"Leve",IF(AE127&lt;=0.4,"Menor",IF(AE127&lt;=0.6,"Moderado",IF(AE127&lt;=0.8,"Mayor","Catastrófico"))))),"")</f>
        <v>Moderado</v>
      </c>
      <c r="AE127" s="154">
        <f t="shared" ref="AE127:AE156" ca="1" si="201">IFERROR(IF(T127="Impacto",(P127-(+P127*W127)),IF(T127="Probabilidad",P127,"")),"")</f>
        <v>0.6</v>
      </c>
      <c r="AF127" s="155" t="str">
        <f t="shared" ref="AF127:AF156" ca="1" si="202">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56" t="s">
        <v>122</v>
      </c>
      <c r="AH127" s="159" t="s">
        <v>539</v>
      </c>
      <c r="AI127" s="149" t="s">
        <v>440</v>
      </c>
      <c r="AJ127" s="150" t="s">
        <v>197</v>
      </c>
      <c r="AK127" s="150" t="s">
        <v>197</v>
      </c>
      <c r="AL127" s="159" t="s">
        <v>444</v>
      </c>
      <c r="AM127" s="149"/>
      <c r="AN127" s="216" t="s">
        <v>872</v>
      </c>
      <c r="AO127" s="216" t="s">
        <v>761</v>
      </c>
      <c r="AP127" s="264">
        <v>0.66</v>
      </c>
      <c r="AQ127" s="216" t="s">
        <v>762</v>
      </c>
      <c r="AR127" s="216" t="s">
        <v>763</v>
      </c>
      <c r="AS127" s="264">
        <v>0.66</v>
      </c>
      <c r="AT127" s="218"/>
      <c r="AU127" s="218" t="s">
        <v>618</v>
      </c>
      <c r="AV127" s="217" t="s">
        <v>615</v>
      </c>
      <c r="AW127" s="217" t="s">
        <v>615</v>
      </c>
      <c r="AX127" s="217" t="s">
        <v>615</v>
      </c>
      <c r="AY127" s="216"/>
    </row>
    <row r="128" spans="1:51" s="148" customFormat="1" ht="151.5" customHeight="1" x14ac:dyDescent="0.25">
      <c r="A128" s="375"/>
      <c r="B128" s="373"/>
      <c r="C128" s="399"/>
      <c r="D128" s="399"/>
      <c r="E128" s="381"/>
      <c r="F128" s="381"/>
      <c r="G128" s="381"/>
      <c r="H128" s="384"/>
      <c r="I128" s="381"/>
      <c r="J128" s="361"/>
      <c r="K128" s="363"/>
      <c r="L128" s="366"/>
      <c r="M128" s="387"/>
      <c r="N128" s="168"/>
      <c r="O128" s="363"/>
      <c r="P128" s="366"/>
      <c r="Q128" s="377"/>
      <c r="R128" s="158">
        <v>2</v>
      </c>
      <c r="S128" s="159"/>
      <c r="T128" s="160" t="str">
        <f t="shared" si="195"/>
        <v/>
      </c>
      <c r="U128" s="163"/>
      <c r="V128" s="163"/>
      <c r="W128" s="164"/>
      <c r="X128" s="163"/>
      <c r="Y128" s="163"/>
      <c r="Z128" s="163"/>
      <c r="AA128" s="143" t="str">
        <f>IFERROR(IF(T128="Probabilidad",(AA127-(+AA127*W128)),IF(T128="Impacto",L128,"")),"")</f>
        <v/>
      </c>
      <c r="AB128" s="153" t="str">
        <f t="shared" si="198"/>
        <v/>
      </c>
      <c r="AC128" s="154" t="str">
        <f t="shared" si="199"/>
        <v/>
      </c>
      <c r="AD128" s="153" t="str">
        <f t="shared" si="200"/>
        <v/>
      </c>
      <c r="AE128" s="154" t="str">
        <f t="shared" si="201"/>
        <v/>
      </c>
      <c r="AF128" s="155" t="str">
        <f t="shared" si="202"/>
        <v/>
      </c>
      <c r="AG128" s="156"/>
      <c r="AH128" s="95" t="s">
        <v>601</v>
      </c>
      <c r="AI128" s="138" t="s">
        <v>565</v>
      </c>
      <c r="AJ128" s="135" t="s">
        <v>197</v>
      </c>
      <c r="AK128" s="135" t="s">
        <v>197</v>
      </c>
      <c r="AL128" s="95" t="s">
        <v>444</v>
      </c>
      <c r="AM128" s="149"/>
      <c r="AN128" s="218" t="s">
        <v>620</v>
      </c>
      <c r="AO128" s="218" t="s">
        <v>620</v>
      </c>
      <c r="AP128" s="264" t="s">
        <v>620</v>
      </c>
      <c r="AQ128" s="216" t="s">
        <v>873</v>
      </c>
      <c r="AR128" s="216" t="s">
        <v>874</v>
      </c>
      <c r="AS128" s="264" t="s">
        <v>620</v>
      </c>
      <c r="AT128" s="218"/>
      <c r="AU128" s="218" t="s">
        <v>618</v>
      </c>
      <c r="AV128" s="217" t="s">
        <v>615</v>
      </c>
      <c r="AW128" s="217" t="s">
        <v>615</v>
      </c>
      <c r="AX128" s="217" t="s">
        <v>615</v>
      </c>
      <c r="AY128" s="216"/>
    </row>
    <row r="129" spans="1:51" s="148" customFormat="1" ht="151.5" hidden="1" customHeight="1" x14ac:dyDescent="0.25">
      <c r="A129" s="375"/>
      <c r="B129" s="374"/>
      <c r="C129" s="399"/>
      <c r="D129" s="399"/>
      <c r="E129" s="381"/>
      <c r="F129" s="381"/>
      <c r="G129" s="381"/>
      <c r="H129" s="384"/>
      <c r="I129" s="381"/>
      <c r="J129" s="361"/>
      <c r="K129" s="364"/>
      <c r="L129" s="367"/>
      <c r="M129" s="387"/>
      <c r="N129" s="168"/>
      <c r="O129" s="364"/>
      <c r="P129" s="367"/>
      <c r="Q129" s="378"/>
      <c r="R129" s="158">
        <v>3</v>
      </c>
      <c r="S129" s="159"/>
      <c r="T129" s="160" t="str">
        <f t="shared" si="195"/>
        <v/>
      </c>
      <c r="U129" s="163"/>
      <c r="V129" s="163"/>
      <c r="W129" s="164"/>
      <c r="X129" s="163"/>
      <c r="Y129" s="163"/>
      <c r="Z129" s="163"/>
      <c r="AA129" s="143" t="str">
        <f>IFERROR(IF(T129="Probabilidad",(AA128-(+AA128*W129)),IF(T129="Impacto",L129,"")),"")</f>
        <v/>
      </c>
      <c r="AB129" s="153" t="str">
        <f t="shared" si="198"/>
        <v/>
      </c>
      <c r="AC129" s="154" t="str">
        <f t="shared" si="199"/>
        <v/>
      </c>
      <c r="AD129" s="153" t="str">
        <f t="shared" si="200"/>
        <v/>
      </c>
      <c r="AE129" s="154" t="str">
        <f t="shared" si="201"/>
        <v/>
      </c>
      <c r="AF129" s="155" t="str">
        <f t="shared" si="202"/>
        <v/>
      </c>
      <c r="AG129" s="156"/>
      <c r="AH129" s="159"/>
      <c r="AI129" s="149"/>
      <c r="AJ129" s="150"/>
      <c r="AK129" s="150"/>
      <c r="AL129" s="159"/>
      <c r="AM129" s="149"/>
      <c r="AN129" s="216"/>
      <c r="AO129" s="216"/>
      <c r="AP129" s="264"/>
      <c r="AQ129" s="216"/>
      <c r="AR129" s="216"/>
      <c r="AS129" s="264"/>
      <c r="AT129" s="218"/>
      <c r="AU129" s="218"/>
      <c r="AV129" s="217" t="s">
        <v>615</v>
      </c>
      <c r="AW129" s="217" t="s">
        <v>615</v>
      </c>
      <c r="AX129" s="217" t="s">
        <v>615</v>
      </c>
      <c r="AY129" s="216"/>
    </row>
    <row r="130" spans="1:51" s="148" customFormat="1" ht="151.5" customHeight="1" x14ac:dyDescent="0.25">
      <c r="A130" s="375">
        <v>42</v>
      </c>
      <c r="B130" s="372" t="s">
        <v>436</v>
      </c>
      <c r="C130" s="398" t="s">
        <v>437</v>
      </c>
      <c r="D130" s="391" t="s">
        <v>438</v>
      </c>
      <c r="E130" s="380" t="s">
        <v>120</v>
      </c>
      <c r="F130" s="393" t="s">
        <v>445</v>
      </c>
      <c r="G130" s="380" t="s">
        <v>525</v>
      </c>
      <c r="H130" s="400" t="s">
        <v>526</v>
      </c>
      <c r="I130" s="380" t="s">
        <v>116</v>
      </c>
      <c r="J130" s="360">
        <v>13</v>
      </c>
      <c r="K130" s="362" t="str">
        <f>IF(J130&lt;=0,"",IF(J130&lt;=2,"Muy Baja",IF(J130&lt;=24,"Baja",IF(J130&lt;=500,"Media",IF(J130&lt;=5000,"Alta","Muy Alta")))))</f>
        <v>Baja</v>
      </c>
      <c r="L130" s="365">
        <f>IF(K130="","",IF(K130="Muy Baja",0.2,IF(K130="Baja",0.4,IF(K130="Media",0.6,IF(K130="Alta",0.8,IF(K130="Muy Alta",1,))))))</f>
        <v>0.4</v>
      </c>
      <c r="M130" s="386" t="s">
        <v>516</v>
      </c>
      <c r="N130" s="162"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62"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65">
        <f ca="1">IF(O130="","",IF(O130="Leve",0.2,IF(O130="Menor",0.4,IF(O130="Moderado",0.6,IF(O130="Mayor",0.8,IF(O130="Catastrófico",1,))))))</f>
        <v>0.6</v>
      </c>
      <c r="Q130" s="376"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8">
        <v>1</v>
      </c>
      <c r="S130" s="174" t="s">
        <v>540</v>
      </c>
      <c r="T130" s="160" t="str">
        <f t="shared" si="195"/>
        <v>Probabilidad</v>
      </c>
      <c r="U130" s="163" t="s">
        <v>15</v>
      </c>
      <c r="V130" s="163" t="s">
        <v>9</v>
      </c>
      <c r="W130" s="164" t="str">
        <f t="shared" si="196"/>
        <v>30%</v>
      </c>
      <c r="X130" s="163" t="s">
        <v>20</v>
      </c>
      <c r="Y130" s="163" t="s">
        <v>22</v>
      </c>
      <c r="Z130" s="163" t="s">
        <v>110</v>
      </c>
      <c r="AA130" s="143">
        <f t="shared" si="197"/>
        <v>0.28000000000000003</v>
      </c>
      <c r="AB130" s="153" t="str">
        <f t="shared" si="198"/>
        <v>Baja</v>
      </c>
      <c r="AC130" s="154">
        <f t="shared" si="199"/>
        <v>0.28000000000000003</v>
      </c>
      <c r="AD130" s="153" t="str">
        <f t="shared" ca="1" si="200"/>
        <v>Moderado</v>
      </c>
      <c r="AE130" s="154">
        <f t="shared" ca="1" si="201"/>
        <v>0.6</v>
      </c>
      <c r="AF130" s="155" t="str">
        <f t="shared" ca="1" si="202"/>
        <v>Moderado</v>
      </c>
      <c r="AG130" s="156" t="s">
        <v>122</v>
      </c>
      <c r="AH130" s="159" t="s">
        <v>541</v>
      </c>
      <c r="AI130" s="149" t="s">
        <v>213</v>
      </c>
      <c r="AJ130" s="150" t="s">
        <v>197</v>
      </c>
      <c r="AK130" s="150" t="s">
        <v>197</v>
      </c>
      <c r="AL130" s="159" t="s">
        <v>446</v>
      </c>
      <c r="AM130" s="149"/>
      <c r="AN130" s="216" t="s">
        <v>764</v>
      </c>
      <c r="AO130" s="216" t="s">
        <v>765</v>
      </c>
      <c r="AP130" s="264">
        <v>0.66</v>
      </c>
      <c r="AQ130" s="216" t="s">
        <v>766</v>
      </c>
      <c r="AR130" s="216" t="s">
        <v>767</v>
      </c>
      <c r="AS130" s="264">
        <v>0.66</v>
      </c>
      <c r="AT130" s="218"/>
      <c r="AU130" s="218" t="s">
        <v>618</v>
      </c>
      <c r="AV130" s="217" t="s">
        <v>615</v>
      </c>
      <c r="AW130" s="217" t="s">
        <v>615</v>
      </c>
      <c r="AX130" s="217" t="s">
        <v>615</v>
      </c>
      <c r="AY130" s="216"/>
    </row>
    <row r="131" spans="1:51" s="148" customFormat="1" ht="151.5" hidden="1" customHeight="1" x14ac:dyDescent="0.25">
      <c r="A131" s="375"/>
      <c r="B131" s="373"/>
      <c r="C131" s="399"/>
      <c r="D131" s="399"/>
      <c r="E131" s="381"/>
      <c r="F131" s="381"/>
      <c r="G131" s="381"/>
      <c r="H131" s="384"/>
      <c r="I131" s="381"/>
      <c r="J131" s="361"/>
      <c r="K131" s="363"/>
      <c r="L131" s="366"/>
      <c r="M131" s="387"/>
      <c r="N131" s="168"/>
      <c r="O131" s="363"/>
      <c r="P131" s="366"/>
      <c r="Q131" s="377"/>
      <c r="R131" s="158">
        <v>2</v>
      </c>
      <c r="S131" s="159"/>
      <c r="T131" s="160" t="str">
        <f t="shared" si="195"/>
        <v/>
      </c>
      <c r="U131" s="163"/>
      <c r="V131" s="163"/>
      <c r="W131" s="164"/>
      <c r="X131" s="163"/>
      <c r="Y131" s="163"/>
      <c r="Z131" s="163"/>
      <c r="AA131" s="143" t="str">
        <f>IFERROR(IF(T131="Probabilidad",(AA130-(+AA130*W131)),IF(T131="Impacto",L131,"")),"")</f>
        <v/>
      </c>
      <c r="AB131" s="153" t="str">
        <f t="shared" si="198"/>
        <v/>
      </c>
      <c r="AC131" s="154" t="str">
        <f t="shared" si="199"/>
        <v/>
      </c>
      <c r="AD131" s="153" t="str">
        <f t="shared" si="200"/>
        <v/>
      </c>
      <c r="AE131" s="154" t="str">
        <f t="shared" si="201"/>
        <v/>
      </c>
      <c r="AF131" s="155" t="str">
        <f t="shared" si="202"/>
        <v/>
      </c>
      <c r="AG131" s="156"/>
      <c r="AH131" s="159"/>
      <c r="AI131" s="149"/>
      <c r="AJ131" s="150"/>
      <c r="AK131" s="150"/>
      <c r="AL131" s="159"/>
      <c r="AM131" s="149"/>
      <c r="AN131" s="216"/>
      <c r="AO131" s="216"/>
      <c r="AP131" s="264"/>
      <c r="AQ131" s="216"/>
      <c r="AR131" s="216"/>
      <c r="AS131" s="264"/>
      <c r="AT131" s="218"/>
      <c r="AU131" s="218"/>
      <c r="AV131" s="217" t="s">
        <v>615</v>
      </c>
      <c r="AW131" s="217" t="s">
        <v>615</v>
      </c>
      <c r="AX131" s="217" t="s">
        <v>615</v>
      </c>
      <c r="AY131" s="216"/>
    </row>
    <row r="132" spans="1:51" s="148" customFormat="1" ht="151.5" hidden="1" customHeight="1" x14ac:dyDescent="0.25">
      <c r="A132" s="375"/>
      <c r="B132" s="374"/>
      <c r="C132" s="399"/>
      <c r="D132" s="399"/>
      <c r="E132" s="381"/>
      <c r="F132" s="381"/>
      <c r="G132" s="381"/>
      <c r="H132" s="384"/>
      <c r="I132" s="381"/>
      <c r="J132" s="361"/>
      <c r="K132" s="364"/>
      <c r="L132" s="367"/>
      <c r="M132" s="387"/>
      <c r="N132" s="168"/>
      <c r="O132" s="364"/>
      <c r="P132" s="367"/>
      <c r="Q132" s="378"/>
      <c r="R132" s="158">
        <v>3</v>
      </c>
      <c r="S132" s="159"/>
      <c r="T132" s="160" t="str">
        <f t="shared" si="195"/>
        <v/>
      </c>
      <c r="U132" s="163"/>
      <c r="V132" s="163"/>
      <c r="W132" s="164"/>
      <c r="X132" s="163"/>
      <c r="Y132" s="163"/>
      <c r="Z132" s="163"/>
      <c r="AA132" s="143" t="str">
        <f>IFERROR(IF(T132="Probabilidad",(AA131-(+AA131*W132)),IF(T132="Impacto",L132,"")),"")</f>
        <v/>
      </c>
      <c r="AB132" s="153" t="str">
        <f t="shared" si="198"/>
        <v/>
      </c>
      <c r="AC132" s="154" t="str">
        <f t="shared" si="199"/>
        <v/>
      </c>
      <c r="AD132" s="153" t="str">
        <f t="shared" si="200"/>
        <v/>
      </c>
      <c r="AE132" s="154" t="str">
        <f t="shared" si="201"/>
        <v/>
      </c>
      <c r="AF132" s="155" t="str">
        <f t="shared" si="202"/>
        <v/>
      </c>
      <c r="AG132" s="156"/>
      <c r="AH132" s="159"/>
      <c r="AI132" s="149"/>
      <c r="AJ132" s="150"/>
      <c r="AK132" s="150"/>
      <c r="AL132" s="159"/>
      <c r="AM132" s="149"/>
      <c r="AN132" s="216"/>
      <c r="AO132" s="216"/>
      <c r="AP132" s="264"/>
      <c r="AQ132" s="216"/>
      <c r="AR132" s="216"/>
      <c r="AS132" s="264"/>
      <c r="AT132" s="218"/>
      <c r="AU132" s="218"/>
      <c r="AV132" s="217" t="s">
        <v>615</v>
      </c>
      <c r="AW132" s="217" t="s">
        <v>615</v>
      </c>
      <c r="AX132" s="217" t="s">
        <v>615</v>
      </c>
      <c r="AY132" s="216"/>
    </row>
    <row r="133" spans="1:51" s="148" customFormat="1" ht="151.5" customHeight="1" x14ac:dyDescent="0.25">
      <c r="A133" s="375">
        <v>43</v>
      </c>
      <c r="B133" s="372" t="s">
        <v>324</v>
      </c>
      <c r="C133" s="391" t="s">
        <v>325</v>
      </c>
      <c r="D133" s="391" t="s">
        <v>326</v>
      </c>
      <c r="E133" s="380" t="s">
        <v>120</v>
      </c>
      <c r="F133" s="393" t="s">
        <v>504</v>
      </c>
      <c r="G133" s="380" t="s">
        <v>447</v>
      </c>
      <c r="H133" s="383" t="s">
        <v>448</v>
      </c>
      <c r="I133" s="380" t="s">
        <v>115</v>
      </c>
      <c r="J133" s="360">
        <v>53</v>
      </c>
      <c r="K133" s="362" t="str">
        <f>IF(J133&lt;=0,"",IF(J133&lt;=2,"Muy Baja",IF(J133&lt;=24,"Baja",IF(J133&lt;=500,"Media",IF(J133&lt;=5000,"Alta","Muy Alta")))))</f>
        <v>Media</v>
      </c>
      <c r="L133" s="365">
        <f>IF(K133="","",IF(K133="Muy Baja",0.2,IF(K133="Baja",0.4,IF(K133="Media",0.6,IF(K133="Alta",0.8,IF(K133="Muy Alta",1,))))))</f>
        <v>0.6</v>
      </c>
      <c r="M133" s="386" t="s">
        <v>523</v>
      </c>
      <c r="N133" s="162"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62"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365">
        <f ca="1">IF(O133="","",IF(O133="Leve",0.2,IF(O133="Menor",0.4,IF(O133="Moderado",0.6,IF(O133="Mayor",0.8,IF(O133="Catastrófico",1,))))))</f>
        <v>0.8</v>
      </c>
      <c r="Q133" s="376"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8">
        <v>1</v>
      </c>
      <c r="S133" s="159" t="s">
        <v>505</v>
      </c>
      <c r="T133" s="160" t="str">
        <f t="shared" si="195"/>
        <v>Probabilidad</v>
      </c>
      <c r="U133" s="163" t="s">
        <v>15</v>
      </c>
      <c r="V133" s="163" t="s">
        <v>9</v>
      </c>
      <c r="W133" s="164" t="str">
        <f t="shared" si="196"/>
        <v>30%</v>
      </c>
      <c r="X133" s="163" t="s">
        <v>19</v>
      </c>
      <c r="Y133" s="163" t="s">
        <v>22</v>
      </c>
      <c r="Z133" s="163" t="s">
        <v>110</v>
      </c>
      <c r="AA133" s="143">
        <f t="shared" si="197"/>
        <v>0.42</v>
      </c>
      <c r="AB133" s="153" t="str">
        <f t="shared" si="198"/>
        <v>Media</v>
      </c>
      <c r="AC133" s="154">
        <f t="shared" si="199"/>
        <v>0.42</v>
      </c>
      <c r="AD133" s="153" t="str">
        <f t="shared" ca="1" si="200"/>
        <v>Mayor</v>
      </c>
      <c r="AE133" s="154">
        <f t="shared" ca="1" si="201"/>
        <v>0.8</v>
      </c>
      <c r="AF133" s="155" t="str">
        <f t="shared" ca="1" si="202"/>
        <v>Alto</v>
      </c>
      <c r="AG133" s="156" t="s">
        <v>122</v>
      </c>
      <c r="AH133" s="159" t="s">
        <v>507</v>
      </c>
      <c r="AI133" s="151" t="s">
        <v>262</v>
      </c>
      <c r="AJ133" s="150">
        <v>44562</v>
      </c>
      <c r="AK133" s="150" t="s">
        <v>386</v>
      </c>
      <c r="AL133" s="159" t="s">
        <v>506</v>
      </c>
      <c r="AM133" s="149"/>
      <c r="AN133" s="276" t="s">
        <v>799</v>
      </c>
      <c r="AO133" s="229" t="s">
        <v>800</v>
      </c>
      <c r="AP133" s="271">
        <v>0.66</v>
      </c>
      <c r="AQ133" s="231" t="s">
        <v>772</v>
      </c>
      <c r="AR133" s="216" t="s">
        <v>801</v>
      </c>
      <c r="AS133" s="271">
        <v>0.66</v>
      </c>
      <c r="AT133" s="218"/>
      <c r="AU133" s="218" t="s">
        <v>618</v>
      </c>
      <c r="AV133" s="217" t="s">
        <v>615</v>
      </c>
      <c r="AW133" s="217" t="s">
        <v>615</v>
      </c>
      <c r="AX133" s="217" t="s">
        <v>615</v>
      </c>
      <c r="AY133" s="216"/>
    </row>
    <row r="134" spans="1:51" s="148" customFormat="1" ht="228" customHeight="1" x14ac:dyDescent="0.25">
      <c r="A134" s="375"/>
      <c r="B134" s="373"/>
      <c r="C134" s="392"/>
      <c r="D134" s="392"/>
      <c r="E134" s="381"/>
      <c r="F134" s="381"/>
      <c r="G134" s="381"/>
      <c r="H134" s="384"/>
      <c r="I134" s="381"/>
      <c r="J134" s="361"/>
      <c r="K134" s="363"/>
      <c r="L134" s="366"/>
      <c r="M134" s="387"/>
      <c r="N134" s="168"/>
      <c r="O134" s="363"/>
      <c r="P134" s="366"/>
      <c r="Q134" s="377"/>
      <c r="R134" s="158">
        <v>2</v>
      </c>
      <c r="S134" s="159" t="s">
        <v>542</v>
      </c>
      <c r="T134" s="160" t="str">
        <f t="shared" si="195"/>
        <v>Probabilidad</v>
      </c>
      <c r="U134" s="163" t="s">
        <v>14</v>
      </c>
      <c r="V134" s="163" t="s">
        <v>9</v>
      </c>
      <c r="W134" s="164" t="str">
        <f t="shared" si="196"/>
        <v>40%</v>
      </c>
      <c r="X134" s="163" t="s">
        <v>19</v>
      </c>
      <c r="Y134" s="163" t="s">
        <v>22</v>
      </c>
      <c r="Z134" s="163" t="s">
        <v>110</v>
      </c>
      <c r="AA134" s="143">
        <f>IFERROR(IF(T134="Probabilidad",(AA133-(+AA133*W134)),IF(T134="Impacto",L134,"")),"")</f>
        <v>0.252</v>
      </c>
      <c r="AB134" s="153" t="str">
        <f t="shared" si="198"/>
        <v>Baja</v>
      </c>
      <c r="AC134" s="154">
        <f t="shared" si="199"/>
        <v>0.252</v>
      </c>
      <c r="AD134" s="153" t="str">
        <f t="shared" si="200"/>
        <v>Mayor</v>
      </c>
      <c r="AE134" s="154">
        <v>0.8</v>
      </c>
      <c r="AF134" s="155" t="str">
        <f t="shared" si="202"/>
        <v>Alto</v>
      </c>
      <c r="AG134" s="156" t="s">
        <v>122</v>
      </c>
      <c r="AH134" s="159" t="s">
        <v>543</v>
      </c>
      <c r="AI134" s="149" t="s">
        <v>204</v>
      </c>
      <c r="AJ134" s="150">
        <v>44562</v>
      </c>
      <c r="AK134" s="150" t="s">
        <v>386</v>
      </c>
      <c r="AL134" s="159" t="s">
        <v>506</v>
      </c>
      <c r="AM134" s="149"/>
      <c r="AN134" s="229" t="s">
        <v>802</v>
      </c>
      <c r="AO134" s="229" t="s">
        <v>803</v>
      </c>
      <c r="AP134" s="271">
        <v>0.66</v>
      </c>
      <c r="AQ134" s="229" t="s">
        <v>875</v>
      </c>
      <c r="AR134" s="216" t="s">
        <v>804</v>
      </c>
      <c r="AS134" s="271">
        <v>0.66</v>
      </c>
      <c r="AT134" s="218"/>
      <c r="AU134" s="218" t="s">
        <v>618</v>
      </c>
      <c r="AV134" s="217" t="s">
        <v>615</v>
      </c>
      <c r="AW134" s="217" t="s">
        <v>615</v>
      </c>
      <c r="AX134" s="217" t="s">
        <v>615</v>
      </c>
      <c r="AY134" s="216"/>
    </row>
    <row r="135" spans="1:51" s="148" customFormat="1" ht="151.5" customHeight="1" x14ac:dyDescent="0.25">
      <c r="A135" s="375"/>
      <c r="B135" s="374"/>
      <c r="C135" s="392"/>
      <c r="D135" s="392"/>
      <c r="E135" s="381"/>
      <c r="F135" s="381"/>
      <c r="G135" s="381"/>
      <c r="H135" s="384"/>
      <c r="I135" s="381"/>
      <c r="J135" s="361"/>
      <c r="K135" s="364"/>
      <c r="L135" s="367"/>
      <c r="M135" s="387"/>
      <c r="N135" s="168"/>
      <c r="O135" s="364"/>
      <c r="P135" s="367"/>
      <c r="Q135" s="378"/>
      <c r="R135" s="158">
        <v>3</v>
      </c>
      <c r="S135" s="159" t="s">
        <v>329</v>
      </c>
      <c r="T135" s="160" t="str">
        <f t="shared" si="195"/>
        <v>Probabilidad</v>
      </c>
      <c r="U135" s="163" t="s">
        <v>14</v>
      </c>
      <c r="V135" s="163" t="s">
        <v>9</v>
      </c>
      <c r="W135" s="164" t="str">
        <f t="shared" si="196"/>
        <v>40%</v>
      </c>
      <c r="X135" s="163" t="s">
        <v>19</v>
      </c>
      <c r="Y135" s="163" t="s">
        <v>22</v>
      </c>
      <c r="Z135" s="163" t="s">
        <v>110</v>
      </c>
      <c r="AA135" s="143">
        <f>IFERROR(IF(T135="Probabilidad",(AA134-(+AA134*W135)),IF(T135="Impacto",L135,"")),"")</f>
        <v>0.1512</v>
      </c>
      <c r="AB135" s="153" t="str">
        <f t="shared" si="198"/>
        <v>Muy Baja</v>
      </c>
      <c r="AC135" s="154">
        <f t="shared" si="199"/>
        <v>0.1512</v>
      </c>
      <c r="AD135" s="153" t="str">
        <f t="shared" si="200"/>
        <v>Mayor</v>
      </c>
      <c r="AE135" s="154">
        <v>0.8</v>
      </c>
      <c r="AF135" s="155" t="str">
        <f t="shared" si="202"/>
        <v>Alto</v>
      </c>
      <c r="AG135" s="156" t="s">
        <v>122</v>
      </c>
      <c r="AH135" s="159" t="s">
        <v>543</v>
      </c>
      <c r="AI135" s="149" t="s">
        <v>204</v>
      </c>
      <c r="AJ135" s="150">
        <v>44562</v>
      </c>
      <c r="AK135" s="150" t="s">
        <v>386</v>
      </c>
      <c r="AL135" s="159" t="s">
        <v>506</v>
      </c>
      <c r="AM135" s="149"/>
      <c r="AN135" s="229" t="s">
        <v>805</v>
      </c>
      <c r="AO135" s="229" t="s">
        <v>806</v>
      </c>
      <c r="AP135" s="271">
        <v>0.66</v>
      </c>
      <c r="AQ135" s="229" t="s">
        <v>875</v>
      </c>
      <c r="AR135" s="216" t="s">
        <v>804</v>
      </c>
      <c r="AS135" s="271">
        <v>0.66</v>
      </c>
      <c r="AT135" s="218"/>
      <c r="AU135" s="218" t="s">
        <v>618</v>
      </c>
      <c r="AV135" s="217" t="s">
        <v>615</v>
      </c>
      <c r="AW135" s="217" t="s">
        <v>615</v>
      </c>
      <c r="AX135" s="217" t="s">
        <v>615</v>
      </c>
      <c r="AY135" s="216"/>
    </row>
    <row r="136" spans="1:51" s="148" customFormat="1" ht="151.5" customHeight="1" x14ac:dyDescent="0.25">
      <c r="A136" s="375">
        <v>44</v>
      </c>
      <c r="B136" s="372" t="s">
        <v>324</v>
      </c>
      <c r="C136" s="391" t="s">
        <v>325</v>
      </c>
      <c r="D136" s="391" t="s">
        <v>326</v>
      </c>
      <c r="E136" s="380" t="s">
        <v>120</v>
      </c>
      <c r="F136" s="393" t="s">
        <v>330</v>
      </c>
      <c r="G136" s="393" t="s">
        <v>450</v>
      </c>
      <c r="H136" s="383" t="s">
        <v>357</v>
      </c>
      <c r="I136" s="380" t="s">
        <v>333</v>
      </c>
      <c r="J136" s="360">
        <v>56</v>
      </c>
      <c r="K136" s="362" t="str">
        <f>IF(J136&lt;=0,"",IF(J136&lt;=2,"Muy Baja",IF(J136&lt;=24,"Baja",IF(J136&lt;=500,"Media",IF(J136&lt;=5000,"Alta","Muy Alta")))))</f>
        <v>Media</v>
      </c>
      <c r="L136" s="365">
        <f>IF(K136="","",IF(K136="Muy Baja",0.2,IF(K136="Baja",0.4,IF(K136="Media",0.6,IF(K136="Alta",0.8,IF(K136="Muy Alta",1,))))))</f>
        <v>0.6</v>
      </c>
      <c r="M136" s="386" t="s">
        <v>516</v>
      </c>
      <c r="N136" s="162" t="str">
        <f ca="1">IF(NOT(ISERROR(MATCH(M136,'Tabla Impacto'!$B$221:$B$223,0))),'Tabla Impacto'!$F$223&amp;"Por favor no seleccionar los criterios de impacto(Afectación Económica o presupuestal y Pérdida Reputacional)",M136)</f>
        <v xml:space="preserve"> El riesgo afecta la imagen de la entidad con algunos usuarios de relevancia frente al logro de los objetivos</v>
      </c>
      <c r="O136" s="362" t="str">
        <f ca="1">IF(OR(N136='Tabla Impacto'!$C$11,N136='Tabla Impacto'!$D$11),"Leve",IF(OR(N136='Tabla Impacto'!$C$12,N136='Tabla Impacto'!$D$12),"Menor",IF(OR(N136='Tabla Impacto'!$C$13,N136='Tabla Impacto'!$D$13),"Moderado",IF(OR(N136='Tabla Impacto'!$C$14,N136='Tabla Impacto'!$D$14),"Mayor",IF(OR(N136='Tabla Impacto'!$C$15,N136='Tabla Impacto'!$D$15),"Catastrófico","")))))</f>
        <v>Moderado</v>
      </c>
      <c r="P136" s="365">
        <f ca="1">IF(O136="","",IF(O136="Leve",0.2,IF(O136="Menor",0.4,IF(O136="Moderado",0.6,IF(O136="Mayor",0.8,IF(O136="Catastrófico",1,))))))</f>
        <v>0.6</v>
      </c>
      <c r="Q136" s="376"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58">
        <v>1</v>
      </c>
      <c r="S136" s="159" t="s">
        <v>327</v>
      </c>
      <c r="T136" s="160" t="str">
        <f t="shared" si="195"/>
        <v>Probabilidad</v>
      </c>
      <c r="U136" s="163" t="s">
        <v>15</v>
      </c>
      <c r="V136" s="163" t="s">
        <v>9</v>
      </c>
      <c r="W136" s="164" t="str">
        <f t="shared" si="196"/>
        <v>30%</v>
      </c>
      <c r="X136" s="163" t="s">
        <v>20</v>
      </c>
      <c r="Y136" s="163" t="s">
        <v>23</v>
      </c>
      <c r="Z136" s="163" t="s">
        <v>111</v>
      </c>
      <c r="AA136" s="143">
        <f t="shared" si="197"/>
        <v>0.42</v>
      </c>
      <c r="AB136" s="153" t="str">
        <f t="shared" si="198"/>
        <v>Media</v>
      </c>
      <c r="AC136" s="154">
        <f t="shared" si="199"/>
        <v>0.42</v>
      </c>
      <c r="AD136" s="153" t="str">
        <f t="shared" ca="1" si="200"/>
        <v>Moderado</v>
      </c>
      <c r="AE136" s="154">
        <f t="shared" ca="1" si="201"/>
        <v>0.6</v>
      </c>
      <c r="AF136" s="155" t="str">
        <f t="shared" ca="1" si="202"/>
        <v>Moderado</v>
      </c>
      <c r="AG136" s="156" t="s">
        <v>122</v>
      </c>
      <c r="AH136" s="159" t="s">
        <v>775</v>
      </c>
      <c r="AI136" s="151" t="s">
        <v>213</v>
      </c>
      <c r="AJ136" s="150">
        <v>44562</v>
      </c>
      <c r="AK136" s="150" t="s">
        <v>386</v>
      </c>
      <c r="AL136" s="159" t="s">
        <v>508</v>
      </c>
      <c r="AM136" s="149"/>
      <c r="AN136" s="229" t="s">
        <v>876</v>
      </c>
      <c r="AO136" s="229" t="s">
        <v>788</v>
      </c>
      <c r="AP136" s="271">
        <v>0.66</v>
      </c>
      <c r="AQ136" s="229" t="s">
        <v>789</v>
      </c>
      <c r="AR136" s="216" t="s">
        <v>776</v>
      </c>
      <c r="AS136" s="271">
        <v>0.66</v>
      </c>
      <c r="AT136" s="218"/>
      <c r="AU136" s="218" t="s">
        <v>618</v>
      </c>
      <c r="AV136" s="217" t="s">
        <v>615</v>
      </c>
      <c r="AW136" s="217" t="s">
        <v>615</v>
      </c>
      <c r="AX136" s="217" t="s">
        <v>615</v>
      </c>
      <c r="AY136" s="216"/>
    </row>
    <row r="137" spans="1:51" s="148" customFormat="1" ht="151.5" customHeight="1" x14ac:dyDescent="0.25">
      <c r="A137" s="375"/>
      <c r="B137" s="373"/>
      <c r="C137" s="392"/>
      <c r="D137" s="392"/>
      <c r="E137" s="381"/>
      <c r="F137" s="381"/>
      <c r="G137" s="381"/>
      <c r="H137" s="384"/>
      <c r="I137" s="381"/>
      <c r="J137" s="361"/>
      <c r="K137" s="363"/>
      <c r="L137" s="366"/>
      <c r="M137" s="387"/>
      <c r="N137" s="168"/>
      <c r="O137" s="363"/>
      <c r="P137" s="366"/>
      <c r="Q137" s="377"/>
      <c r="R137" s="158">
        <v>2</v>
      </c>
      <c r="S137" s="159" t="s">
        <v>328</v>
      </c>
      <c r="T137" s="160" t="str">
        <f t="shared" si="195"/>
        <v>Probabilidad</v>
      </c>
      <c r="U137" s="163" t="s">
        <v>15</v>
      </c>
      <c r="V137" s="163" t="s">
        <v>9</v>
      </c>
      <c r="W137" s="164" t="str">
        <f t="shared" si="196"/>
        <v>30%</v>
      </c>
      <c r="X137" s="163" t="s">
        <v>20</v>
      </c>
      <c r="Y137" s="163" t="s">
        <v>23</v>
      </c>
      <c r="Z137" s="163" t="s">
        <v>111</v>
      </c>
      <c r="AA137" s="143">
        <f>IFERROR(IF(T137="Probabilidad",(AA136-(+AA136*W137)),IF(T137="Impacto",L137,"")),"")</f>
        <v>0.29399999999999998</v>
      </c>
      <c r="AB137" s="153" t="str">
        <f t="shared" si="198"/>
        <v>Baja</v>
      </c>
      <c r="AC137" s="154">
        <f t="shared" si="199"/>
        <v>0.29399999999999998</v>
      </c>
      <c r="AD137" s="153" t="str">
        <f t="shared" si="200"/>
        <v>Moderado</v>
      </c>
      <c r="AE137" s="154">
        <v>0.6</v>
      </c>
      <c r="AF137" s="155" t="str">
        <f t="shared" si="202"/>
        <v>Moderado</v>
      </c>
      <c r="AG137" s="156" t="s">
        <v>122</v>
      </c>
      <c r="AH137" s="159" t="s">
        <v>543</v>
      </c>
      <c r="AI137" s="149" t="s">
        <v>204</v>
      </c>
      <c r="AJ137" s="150">
        <v>44562</v>
      </c>
      <c r="AK137" s="150" t="s">
        <v>386</v>
      </c>
      <c r="AL137" s="159" t="s">
        <v>508</v>
      </c>
      <c r="AM137" s="149"/>
      <c r="AN137" s="276" t="s">
        <v>807</v>
      </c>
      <c r="AO137" s="229" t="s">
        <v>800</v>
      </c>
      <c r="AP137" s="271">
        <v>0.66</v>
      </c>
      <c r="AQ137" s="229" t="s">
        <v>875</v>
      </c>
      <c r="AR137" s="216" t="s">
        <v>804</v>
      </c>
      <c r="AS137" s="271">
        <v>0.66</v>
      </c>
      <c r="AT137" s="218"/>
      <c r="AU137" s="218" t="s">
        <v>618</v>
      </c>
      <c r="AV137" s="217" t="s">
        <v>615</v>
      </c>
      <c r="AW137" s="217" t="s">
        <v>615</v>
      </c>
      <c r="AX137" s="217" t="s">
        <v>615</v>
      </c>
      <c r="AY137" s="216"/>
    </row>
    <row r="138" spans="1:51" s="148" customFormat="1" ht="151.5" customHeight="1" x14ac:dyDescent="0.25">
      <c r="A138" s="375"/>
      <c r="B138" s="374"/>
      <c r="C138" s="392"/>
      <c r="D138" s="392"/>
      <c r="E138" s="381"/>
      <c r="F138" s="381"/>
      <c r="G138" s="381"/>
      <c r="H138" s="384"/>
      <c r="I138" s="381"/>
      <c r="J138" s="361"/>
      <c r="K138" s="364"/>
      <c r="L138" s="367"/>
      <c r="M138" s="387"/>
      <c r="N138" s="168"/>
      <c r="O138" s="364"/>
      <c r="P138" s="367"/>
      <c r="Q138" s="378"/>
      <c r="R138" s="158">
        <v>3</v>
      </c>
      <c r="S138" s="159" t="s">
        <v>329</v>
      </c>
      <c r="T138" s="160" t="str">
        <f t="shared" si="195"/>
        <v>Probabilidad</v>
      </c>
      <c r="U138" s="163" t="s">
        <v>15</v>
      </c>
      <c r="V138" s="163" t="s">
        <v>9</v>
      </c>
      <c r="W138" s="164" t="str">
        <f t="shared" si="196"/>
        <v>30%</v>
      </c>
      <c r="X138" s="163" t="s">
        <v>20</v>
      </c>
      <c r="Y138" s="163" t="s">
        <v>23</v>
      </c>
      <c r="Z138" s="163" t="s">
        <v>111</v>
      </c>
      <c r="AA138" s="143">
        <f>IFERROR(IF(T138="Probabilidad",(AA137-(+AA137*W138)),IF(T138="Impacto",L138,"")),"")</f>
        <v>0.20579999999999998</v>
      </c>
      <c r="AB138" s="153" t="str">
        <f t="shared" si="198"/>
        <v>Baja</v>
      </c>
      <c r="AC138" s="154">
        <f t="shared" si="199"/>
        <v>0.20579999999999998</v>
      </c>
      <c r="AD138" s="153" t="str">
        <f t="shared" si="200"/>
        <v>Moderado</v>
      </c>
      <c r="AE138" s="154">
        <v>0.6</v>
      </c>
      <c r="AF138" s="155" t="str">
        <f t="shared" si="202"/>
        <v>Moderado</v>
      </c>
      <c r="AG138" s="156" t="s">
        <v>122</v>
      </c>
      <c r="AH138" s="159" t="s">
        <v>509</v>
      </c>
      <c r="AI138" s="149" t="s">
        <v>213</v>
      </c>
      <c r="AJ138" s="150">
        <v>44562</v>
      </c>
      <c r="AK138" s="150" t="s">
        <v>386</v>
      </c>
      <c r="AL138" s="159" t="s">
        <v>508</v>
      </c>
      <c r="AM138" s="149"/>
      <c r="AN138" s="277" t="s">
        <v>808</v>
      </c>
      <c r="AO138" s="277" t="s">
        <v>877</v>
      </c>
      <c r="AP138" s="271">
        <v>0.66</v>
      </c>
      <c r="AQ138" s="229" t="s">
        <v>774</v>
      </c>
      <c r="AR138" s="216" t="s">
        <v>773</v>
      </c>
      <c r="AS138" s="271">
        <v>0.66</v>
      </c>
      <c r="AT138" s="218"/>
      <c r="AU138" s="218" t="s">
        <v>618</v>
      </c>
      <c r="AV138" s="217" t="s">
        <v>615</v>
      </c>
      <c r="AW138" s="217" t="s">
        <v>615</v>
      </c>
      <c r="AX138" s="217" t="s">
        <v>615</v>
      </c>
      <c r="AY138" s="216"/>
    </row>
    <row r="139" spans="1:51" s="148" customFormat="1" ht="151.5" customHeight="1" x14ac:dyDescent="0.25">
      <c r="A139" s="375">
        <v>45</v>
      </c>
      <c r="B139" s="394" t="s">
        <v>324</v>
      </c>
      <c r="C139" s="391" t="s">
        <v>325</v>
      </c>
      <c r="D139" s="391" t="s">
        <v>326</v>
      </c>
      <c r="E139" s="380" t="s">
        <v>120</v>
      </c>
      <c r="F139" s="380" t="s">
        <v>449</v>
      </c>
      <c r="G139" s="380" t="s">
        <v>451</v>
      </c>
      <c r="H139" s="383" t="s">
        <v>589</v>
      </c>
      <c r="I139" s="380" t="s">
        <v>115</v>
      </c>
      <c r="J139" s="360">
        <v>56</v>
      </c>
      <c r="K139" s="362" t="str">
        <f>IF(J139&lt;=0,"",IF(J139&lt;=2,"Muy Baja",IF(J139&lt;=24,"Baja",IF(J139&lt;=500,"Media",IF(J139&lt;=5000,"Alta","Muy Alta")))))</f>
        <v>Media</v>
      </c>
      <c r="L139" s="365">
        <f>IF(K139="","",IF(K139="Muy Baja",0.2,IF(K139="Baja",0.4,IF(K139="Media",0.6,IF(K139="Alta",0.8,IF(K139="Muy Alta",1,))))))</f>
        <v>0.6</v>
      </c>
      <c r="M139" s="386" t="s">
        <v>523</v>
      </c>
      <c r="N139" s="162" t="str">
        <f ca="1">IF(NOT(ISERROR(MATCH(M139,'Tabla Impacto'!$B$221:$B$223,0))),'Tabla Impacto'!$F$223&amp;"Por favor no seleccionar los criterios de impacto(Afectación Económica o presupuestal y Pérdida Reputacional)",M139)</f>
        <v xml:space="preserve"> El riesgo afecta la imagen de la entidad con efecto publicitario sostenido a nivel de sector administrativo, nivel departamental o municipal</v>
      </c>
      <c r="O139" s="397" t="str">
        <f ca="1">IF(OR(N139='Tabla Impacto'!$C$11,N139='Tabla Impacto'!$D$11),"Leve",IF(OR(N139='Tabla Impacto'!$C$12,N139='Tabla Impacto'!$D$12),"Menor",IF(OR(N139='Tabla Impacto'!$C$13,N139='Tabla Impacto'!$D$13),"Moderado",IF(OR(N139='Tabla Impacto'!$C$14,N139='Tabla Impacto'!$D$14),"Mayor",IF(OR(N139='Tabla Impacto'!$C$15,N139='Tabla Impacto'!$D$15),"Catastrófico","")))))</f>
        <v>Mayor</v>
      </c>
      <c r="P139" s="365">
        <f ca="1">IF(O139="","",IF(O139="Leve",0.2,IF(O139="Menor",0.4,IF(O139="Moderado",0.6,IF(O139="Mayor",0.8,IF(O139="Catastrófico",1,))))))</f>
        <v>0.8</v>
      </c>
      <c r="Q139" s="376"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Alto</v>
      </c>
      <c r="R139" s="158">
        <v>1</v>
      </c>
      <c r="S139" s="159" t="s">
        <v>878</v>
      </c>
      <c r="T139" s="160" t="str">
        <f t="shared" si="195"/>
        <v>Probabilidad</v>
      </c>
      <c r="U139" s="163" t="s">
        <v>15</v>
      </c>
      <c r="V139" s="163" t="s">
        <v>9</v>
      </c>
      <c r="W139" s="164" t="str">
        <f t="shared" si="196"/>
        <v>30%</v>
      </c>
      <c r="X139" s="163" t="s">
        <v>20</v>
      </c>
      <c r="Y139" s="163" t="s">
        <v>23</v>
      </c>
      <c r="Z139" s="163" t="s">
        <v>111</v>
      </c>
      <c r="AA139" s="143">
        <f t="shared" si="197"/>
        <v>0.42</v>
      </c>
      <c r="AB139" s="153" t="str">
        <f t="shared" si="198"/>
        <v>Media</v>
      </c>
      <c r="AC139" s="154">
        <f t="shared" si="199"/>
        <v>0.42</v>
      </c>
      <c r="AD139" s="153" t="str">
        <f t="shared" ca="1" si="200"/>
        <v>Mayor</v>
      </c>
      <c r="AE139" s="154">
        <f t="shared" ca="1" si="201"/>
        <v>0.8</v>
      </c>
      <c r="AF139" s="155" t="str">
        <f t="shared" ca="1" si="202"/>
        <v>Alto</v>
      </c>
      <c r="AG139" s="156" t="s">
        <v>122</v>
      </c>
      <c r="AH139" s="175" t="s">
        <v>510</v>
      </c>
      <c r="AI139" s="149" t="s">
        <v>199</v>
      </c>
      <c r="AJ139" s="150">
        <v>44562</v>
      </c>
      <c r="AK139" s="150" t="s">
        <v>386</v>
      </c>
      <c r="AL139" s="175" t="s">
        <v>511</v>
      </c>
      <c r="AM139" s="149"/>
      <c r="AN139" s="276" t="s">
        <v>879</v>
      </c>
      <c r="AO139" s="229"/>
      <c r="AP139" s="271">
        <v>0.66</v>
      </c>
      <c r="AQ139" s="229" t="s">
        <v>809</v>
      </c>
      <c r="AR139" s="229" t="s">
        <v>810</v>
      </c>
      <c r="AS139" s="271">
        <v>0.66</v>
      </c>
      <c r="AT139" s="218"/>
      <c r="AU139" s="218" t="s">
        <v>618</v>
      </c>
      <c r="AV139" s="217" t="s">
        <v>615</v>
      </c>
      <c r="AW139" s="217" t="s">
        <v>615</v>
      </c>
      <c r="AX139" s="217" t="s">
        <v>615</v>
      </c>
      <c r="AY139" s="216"/>
    </row>
    <row r="140" spans="1:51" s="148" customFormat="1" ht="151.5" customHeight="1" x14ac:dyDescent="0.25">
      <c r="A140" s="375"/>
      <c r="B140" s="395"/>
      <c r="C140" s="392"/>
      <c r="D140" s="392"/>
      <c r="E140" s="381"/>
      <c r="F140" s="381"/>
      <c r="G140" s="381"/>
      <c r="H140" s="384"/>
      <c r="I140" s="381"/>
      <c r="J140" s="361"/>
      <c r="K140" s="363"/>
      <c r="L140" s="366"/>
      <c r="M140" s="387"/>
      <c r="N140" s="168"/>
      <c r="O140" s="363"/>
      <c r="P140" s="366"/>
      <c r="Q140" s="377"/>
      <c r="R140" s="158">
        <v>2</v>
      </c>
      <c r="S140" s="159"/>
      <c r="T140" s="127"/>
      <c r="U140" s="128"/>
      <c r="V140" s="128"/>
      <c r="W140" s="129"/>
      <c r="X140" s="128"/>
      <c r="Y140" s="128"/>
      <c r="Z140" s="128"/>
      <c r="AA140" s="141"/>
      <c r="AB140" s="131"/>
      <c r="AC140" s="132"/>
      <c r="AD140" s="131"/>
      <c r="AE140" s="132"/>
      <c r="AF140" s="133"/>
      <c r="AG140" s="134"/>
      <c r="AH140" s="159" t="s">
        <v>331</v>
      </c>
      <c r="AI140" s="149" t="s">
        <v>204</v>
      </c>
      <c r="AJ140" s="150">
        <v>44562</v>
      </c>
      <c r="AK140" s="150" t="s">
        <v>386</v>
      </c>
      <c r="AL140" s="175" t="s">
        <v>511</v>
      </c>
      <c r="AM140" s="149"/>
      <c r="AN140" s="216" t="s">
        <v>620</v>
      </c>
      <c r="AO140" s="229"/>
      <c r="AP140" s="271"/>
      <c r="AQ140" s="229" t="s">
        <v>880</v>
      </c>
      <c r="AR140" s="216" t="s">
        <v>620</v>
      </c>
      <c r="AS140" s="271" t="s">
        <v>620</v>
      </c>
      <c r="AT140" s="218"/>
      <c r="AU140" s="218" t="s">
        <v>618</v>
      </c>
      <c r="AV140" s="217" t="s">
        <v>615</v>
      </c>
      <c r="AW140" s="217" t="s">
        <v>615</v>
      </c>
      <c r="AX140" s="217" t="s">
        <v>615</v>
      </c>
      <c r="AY140" s="216"/>
    </row>
    <row r="141" spans="1:51" s="148" customFormat="1" ht="151.5" customHeight="1" x14ac:dyDescent="0.25">
      <c r="A141" s="375"/>
      <c r="B141" s="396"/>
      <c r="C141" s="392"/>
      <c r="D141" s="392"/>
      <c r="E141" s="381"/>
      <c r="F141" s="381"/>
      <c r="G141" s="381"/>
      <c r="H141" s="384"/>
      <c r="I141" s="381"/>
      <c r="J141" s="361"/>
      <c r="K141" s="364"/>
      <c r="L141" s="367"/>
      <c r="M141" s="387"/>
      <c r="N141" s="168"/>
      <c r="O141" s="364"/>
      <c r="P141" s="367"/>
      <c r="Q141" s="378"/>
      <c r="R141" s="158">
        <v>3</v>
      </c>
      <c r="S141" s="159"/>
      <c r="T141" s="127"/>
      <c r="U141" s="128"/>
      <c r="V141" s="128"/>
      <c r="W141" s="129"/>
      <c r="X141" s="128"/>
      <c r="Y141" s="128"/>
      <c r="Z141" s="128"/>
      <c r="AA141" s="141"/>
      <c r="AB141" s="131"/>
      <c r="AC141" s="132"/>
      <c r="AD141" s="131"/>
      <c r="AE141" s="132"/>
      <c r="AF141" s="133"/>
      <c r="AG141" s="134"/>
      <c r="AH141" s="175" t="s">
        <v>544</v>
      </c>
      <c r="AI141" s="149" t="s">
        <v>204</v>
      </c>
      <c r="AJ141" s="150">
        <v>44562</v>
      </c>
      <c r="AK141" s="150" t="s">
        <v>386</v>
      </c>
      <c r="AL141" s="175" t="s">
        <v>511</v>
      </c>
      <c r="AM141" s="149"/>
      <c r="AN141" s="216" t="s">
        <v>620</v>
      </c>
      <c r="AO141" s="229"/>
      <c r="AP141" s="271"/>
      <c r="AQ141" s="229" t="s">
        <v>768</v>
      </c>
      <c r="AR141" s="216" t="s">
        <v>620</v>
      </c>
      <c r="AS141" s="271" t="s">
        <v>620</v>
      </c>
      <c r="AT141" s="218"/>
      <c r="AU141" s="218" t="s">
        <v>618</v>
      </c>
      <c r="AV141" s="217" t="s">
        <v>615</v>
      </c>
      <c r="AW141" s="217" t="s">
        <v>615</v>
      </c>
      <c r="AX141" s="217" t="s">
        <v>615</v>
      </c>
      <c r="AY141" s="216"/>
    </row>
    <row r="142" spans="1:51" s="148" customFormat="1" ht="151.5" hidden="1" customHeight="1" x14ac:dyDescent="0.25">
      <c r="A142" s="375">
        <v>46</v>
      </c>
      <c r="B142" s="372"/>
      <c r="C142" s="390"/>
      <c r="D142" s="390"/>
      <c r="E142" s="380"/>
      <c r="F142" s="380"/>
      <c r="G142" s="380"/>
      <c r="H142" s="383"/>
      <c r="I142" s="380"/>
      <c r="J142" s="360"/>
      <c r="K142" s="362" t="str">
        <f>IF(J142&lt;=0,"",IF(J142&lt;=2,"Muy Baja",IF(J142&lt;=24,"Baja",IF(J142&lt;=500,"Media",IF(J142&lt;=5000,"Alta","Muy Alta")))))</f>
        <v/>
      </c>
      <c r="L142" s="365" t="str">
        <f>IF(K142="","",IF(K142="Muy Baja",0.2,IF(K142="Baja",0.4,IF(K142="Media",0.6,IF(K142="Alta",0.8,IF(K142="Muy Alta",1,))))))</f>
        <v/>
      </c>
      <c r="M142" s="386"/>
      <c r="N142" s="162">
        <f ca="1">IF(NOT(ISERROR(MATCH(M142,'Tabla Impacto'!$B$221:$B$223,0))),'Tabla Impacto'!$F$223&amp;"Por favor no seleccionar los criterios de impacto(Afectación Económica o presupuestal y Pérdida Reputacional)",M142)</f>
        <v>0</v>
      </c>
      <c r="O142" s="362" t="str">
        <f ca="1">IF(OR(N142='Tabla Impacto'!$C$11,N142='Tabla Impacto'!$D$11),"Leve",IF(OR(N142='Tabla Impacto'!$C$12,N142='Tabla Impacto'!$D$12),"Menor",IF(OR(N142='Tabla Impacto'!$C$13,N142='Tabla Impacto'!$D$13),"Moderado",IF(OR(N142='Tabla Impacto'!$C$14,N142='Tabla Impacto'!$D$14),"Mayor",IF(OR(N142='Tabla Impacto'!$C$15,N142='Tabla Impacto'!$D$15),"Catastrófico","")))))</f>
        <v/>
      </c>
      <c r="P142" s="365" t="str">
        <f ca="1">IF(O142="","",IF(O142="Leve",0.2,IF(O142="Menor",0.4,IF(O142="Moderado",0.6,IF(O142="Mayor",0.8,IF(O142="Catastrófico",1,))))))</f>
        <v/>
      </c>
      <c r="Q142" s="376"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58">
        <v>1</v>
      </c>
      <c r="S142" s="159"/>
      <c r="T142" s="160" t="str">
        <f t="shared" si="195"/>
        <v/>
      </c>
      <c r="U142" s="163"/>
      <c r="V142" s="163"/>
      <c r="W142" s="164" t="str">
        <f t="shared" si="196"/>
        <v/>
      </c>
      <c r="X142" s="163"/>
      <c r="Y142" s="163"/>
      <c r="Z142" s="163"/>
      <c r="AA142" s="143" t="str">
        <f t="shared" si="197"/>
        <v/>
      </c>
      <c r="AB142" s="153" t="str">
        <f t="shared" si="198"/>
        <v/>
      </c>
      <c r="AC142" s="154" t="str">
        <f t="shared" si="199"/>
        <v/>
      </c>
      <c r="AD142" s="153" t="str">
        <f t="shared" si="200"/>
        <v/>
      </c>
      <c r="AE142" s="154" t="str">
        <f t="shared" si="201"/>
        <v/>
      </c>
      <c r="AF142" s="155" t="str">
        <f t="shared" si="202"/>
        <v/>
      </c>
      <c r="AG142" s="156"/>
      <c r="AH142" s="151"/>
      <c r="AI142" s="149"/>
      <c r="AJ142" s="150"/>
      <c r="AK142" s="150"/>
      <c r="AL142" s="151"/>
      <c r="AM142" s="149"/>
      <c r="AT142" s="203"/>
      <c r="AU142" s="203"/>
    </row>
    <row r="143" spans="1:51" s="148" customFormat="1" ht="151.5" hidden="1" customHeight="1" x14ac:dyDescent="0.25">
      <c r="A143" s="375"/>
      <c r="B143" s="373"/>
      <c r="C143" s="375"/>
      <c r="D143" s="375"/>
      <c r="E143" s="381"/>
      <c r="F143" s="381"/>
      <c r="G143" s="381"/>
      <c r="H143" s="384"/>
      <c r="I143" s="381"/>
      <c r="J143" s="361"/>
      <c r="K143" s="363"/>
      <c r="L143" s="366"/>
      <c r="M143" s="387"/>
      <c r="N143" s="168"/>
      <c r="O143" s="363"/>
      <c r="P143" s="366"/>
      <c r="Q143" s="377"/>
      <c r="R143" s="158">
        <v>2</v>
      </c>
      <c r="S143" s="159"/>
      <c r="T143" s="160" t="str">
        <f t="shared" si="195"/>
        <v/>
      </c>
      <c r="U143" s="163"/>
      <c r="V143" s="163"/>
      <c r="W143" s="164" t="str">
        <f t="shared" si="196"/>
        <v/>
      </c>
      <c r="X143" s="163"/>
      <c r="Y143" s="163"/>
      <c r="Z143" s="163"/>
      <c r="AA143" s="143" t="str">
        <f t="shared" si="197"/>
        <v/>
      </c>
      <c r="AB143" s="153" t="str">
        <f t="shared" si="198"/>
        <v/>
      </c>
      <c r="AC143" s="154" t="str">
        <f t="shared" si="199"/>
        <v/>
      </c>
      <c r="AD143" s="153" t="str">
        <f t="shared" si="200"/>
        <v/>
      </c>
      <c r="AE143" s="154" t="str">
        <f t="shared" si="201"/>
        <v/>
      </c>
      <c r="AF143" s="155" t="str">
        <f t="shared" si="202"/>
        <v/>
      </c>
      <c r="AG143" s="156"/>
      <c r="AH143" s="151"/>
      <c r="AI143" s="149"/>
      <c r="AJ143" s="150"/>
      <c r="AK143" s="150"/>
      <c r="AL143" s="151"/>
      <c r="AM143" s="149"/>
      <c r="AT143" s="203"/>
      <c r="AU143" s="203"/>
    </row>
    <row r="144" spans="1:51" s="148" customFormat="1" ht="151.5" hidden="1" customHeight="1" x14ac:dyDescent="0.25">
      <c r="A144" s="375"/>
      <c r="B144" s="374"/>
      <c r="C144" s="389"/>
      <c r="D144" s="389"/>
      <c r="E144" s="382"/>
      <c r="F144" s="382"/>
      <c r="G144" s="382"/>
      <c r="H144" s="385"/>
      <c r="I144" s="382"/>
      <c r="J144" s="379"/>
      <c r="K144" s="364"/>
      <c r="L144" s="367"/>
      <c r="M144" s="388"/>
      <c r="N144" s="168"/>
      <c r="O144" s="364"/>
      <c r="P144" s="367"/>
      <c r="Q144" s="378"/>
      <c r="R144" s="158">
        <v>3</v>
      </c>
      <c r="S144" s="159"/>
      <c r="T144" s="160" t="str">
        <f t="shared" si="195"/>
        <v/>
      </c>
      <c r="U144" s="163"/>
      <c r="V144" s="163"/>
      <c r="W144" s="164" t="str">
        <f t="shared" si="196"/>
        <v/>
      </c>
      <c r="X144" s="163"/>
      <c r="Y144" s="163"/>
      <c r="Z144" s="163"/>
      <c r="AA144" s="143" t="str">
        <f t="shared" si="197"/>
        <v/>
      </c>
      <c r="AB144" s="153" t="str">
        <f t="shared" si="198"/>
        <v/>
      </c>
      <c r="AC144" s="154" t="str">
        <f t="shared" si="199"/>
        <v/>
      </c>
      <c r="AD144" s="153" t="str">
        <f t="shared" si="200"/>
        <v/>
      </c>
      <c r="AE144" s="154" t="str">
        <f t="shared" si="201"/>
        <v/>
      </c>
      <c r="AF144" s="155" t="str">
        <f t="shared" si="202"/>
        <v/>
      </c>
      <c r="AG144" s="156"/>
      <c r="AH144" s="151"/>
      <c r="AI144" s="149"/>
      <c r="AJ144" s="150"/>
      <c r="AK144" s="150"/>
      <c r="AL144" s="151"/>
      <c r="AM144" s="149"/>
      <c r="AT144" s="203"/>
      <c r="AU144" s="203"/>
    </row>
    <row r="145" spans="1:47" s="148" customFormat="1" ht="151.5" hidden="1" customHeight="1" x14ac:dyDescent="0.25">
      <c r="A145" s="375">
        <v>47</v>
      </c>
      <c r="B145" s="372"/>
      <c r="C145" s="390"/>
      <c r="D145" s="390"/>
      <c r="E145" s="380"/>
      <c r="F145" s="380"/>
      <c r="G145" s="380"/>
      <c r="H145" s="383"/>
      <c r="I145" s="380"/>
      <c r="J145" s="360"/>
      <c r="K145" s="362" t="str">
        <f>IF(J145&lt;=0,"",IF(J145&lt;=2,"Muy Baja",IF(J145&lt;=24,"Baja",IF(J145&lt;=500,"Media",IF(J145&lt;=5000,"Alta","Muy Alta")))))</f>
        <v/>
      </c>
      <c r="L145" s="365" t="str">
        <f>IF(K145="","",IF(K145="Muy Baja",0.2,IF(K145="Baja",0.4,IF(K145="Media",0.6,IF(K145="Alta",0.8,IF(K145="Muy Alta",1,))))))</f>
        <v/>
      </c>
      <c r="M145" s="386"/>
      <c r="N145" s="162">
        <f ca="1">IF(NOT(ISERROR(MATCH(M145,'Tabla Impacto'!$B$221:$B$223,0))),'Tabla Impacto'!$F$223&amp;"Por favor no seleccionar los criterios de impacto(Afectación Económica o presupuestal y Pérdida Reputacional)",M145)</f>
        <v>0</v>
      </c>
      <c r="O145" s="362" t="str">
        <f ca="1">IF(OR(N145='Tabla Impacto'!$C$11,N145='Tabla Impacto'!$D$11),"Leve",IF(OR(N145='Tabla Impacto'!$C$12,N145='Tabla Impacto'!$D$12),"Menor",IF(OR(N145='Tabla Impacto'!$C$13,N145='Tabla Impacto'!$D$13),"Moderado",IF(OR(N145='Tabla Impacto'!$C$14,N145='Tabla Impacto'!$D$14),"Mayor",IF(OR(N145='Tabla Impacto'!$C$15,N145='Tabla Impacto'!$D$15),"Catastrófico","")))))</f>
        <v/>
      </c>
      <c r="P145" s="365" t="str">
        <f ca="1">IF(O145="","",IF(O145="Leve",0.2,IF(O145="Menor",0.4,IF(O145="Moderado",0.6,IF(O145="Mayor",0.8,IF(O145="Catastrófico",1,))))))</f>
        <v/>
      </c>
      <c r="Q145" s="376"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58">
        <v>1</v>
      </c>
      <c r="S145" s="159"/>
      <c r="T145" s="160" t="str">
        <f t="shared" si="195"/>
        <v/>
      </c>
      <c r="U145" s="163"/>
      <c r="V145" s="163"/>
      <c r="W145" s="164" t="str">
        <f t="shared" si="196"/>
        <v/>
      </c>
      <c r="X145" s="163"/>
      <c r="Y145" s="163"/>
      <c r="Z145" s="163"/>
      <c r="AA145" s="143" t="str">
        <f t="shared" si="197"/>
        <v/>
      </c>
      <c r="AB145" s="153" t="str">
        <f t="shared" si="198"/>
        <v/>
      </c>
      <c r="AC145" s="154" t="str">
        <f t="shared" si="199"/>
        <v/>
      </c>
      <c r="AD145" s="153" t="str">
        <f t="shared" si="200"/>
        <v/>
      </c>
      <c r="AE145" s="154" t="str">
        <f t="shared" si="201"/>
        <v/>
      </c>
      <c r="AF145" s="155" t="str">
        <f t="shared" si="202"/>
        <v/>
      </c>
      <c r="AG145" s="156"/>
      <c r="AH145" s="151"/>
      <c r="AI145" s="149"/>
      <c r="AJ145" s="150"/>
      <c r="AK145" s="150"/>
      <c r="AL145" s="151"/>
      <c r="AM145" s="149"/>
      <c r="AT145" s="203"/>
      <c r="AU145" s="203"/>
    </row>
    <row r="146" spans="1:47" s="148" customFormat="1" ht="151.5" hidden="1" customHeight="1" x14ac:dyDescent="0.25">
      <c r="A146" s="375"/>
      <c r="B146" s="373"/>
      <c r="C146" s="375"/>
      <c r="D146" s="375"/>
      <c r="E146" s="381"/>
      <c r="F146" s="381"/>
      <c r="G146" s="381"/>
      <c r="H146" s="384"/>
      <c r="I146" s="381"/>
      <c r="J146" s="361"/>
      <c r="K146" s="363"/>
      <c r="L146" s="366"/>
      <c r="M146" s="387"/>
      <c r="N146" s="168"/>
      <c r="O146" s="363"/>
      <c r="P146" s="366"/>
      <c r="Q146" s="377"/>
      <c r="R146" s="158">
        <v>2</v>
      </c>
      <c r="S146" s="159"/>
      <c r="T146" s="160" t="str">
        <f t="shared" si="195"/>
        <v/>
      </c>
      <c r="U146" s="163"/>
      <c r="V146" s="163"/>
      <c r="W146" s="164" t="str">
        <f t="shared" si="196"/>
        <v/>
      </c>
      <c r="X146" s="163"/>
      <c r="Y146" s="163"/>
      <c r="Z146" s="163"/>
      <c r="AA146" s="143" t="str">
        <f t="shared" si="197"/>
        <v/>
      </c>
      <c r="AB146" s="153" t="str">
        <f t="shared" si="198"/>
        <v/>
      </c>
      <c r="AC146" s="154" t="str">
        <f t="shared" si="199"/>
        <v/>
      </c>
      <c r="AD146" s="153" t="str">
        <f t="shared" si="200"/>
        <v/>
      </c>
      <c r="AE146" s="154" t="str">
        <f t="shared" si="201"/>
        <v/>
      </c>
      <c r="AF146" s="155" t="str">
        <f t="shared" si="202"/>
        <v/>
      </c>
      <c r="AG146" s="156"/>
      <c r="AH146" s="151"/>
      <c r="AI146" s="149"/>
      <c r="AJ146" s="150"/>
      <c r="AK146" s="150"/>
      <c r="AL146" s="151"/>
      <c r="AM146" s="149"/>
      <c r="AT146" s="203"/>
      <c r="AU146" s="203"/>
    </row>
    <row r="147" spans="1:47" s="148" customFormat="1" ht="151.5" hidden="1" customHeight="1" x14ac:dyDescent="0.25">
      <c r="A147" s="375"/>
      <c r="B147" s="374"/>
      <c r="C147" s="389"/>
      <c r="D147" s="389"/>
      <c r="E147" s="382"/>
      <c r="F147" s="382"/>
      <c r="G147" s="382"/>
      <c r="H147" s="385"/>
      <c r="I147" s="382"/>
      <c r="J147" s="379"/>
      <c r="K147" s="364"/>
      <c r="L147" s="367"/>
      <c r="M147" s="388"/>
      <c r="N147" s="168"/>
      <c r="O147" s="364"/>
      <c r="P147" s="367"/>
      <c r="Q147" s="378"/>
      <c r="R147" s="158">
        <v>3</v>
      </c>
      <c r="S147" s="159"/>
      <c r="T147" s="160" t="str">
        <f t="shared" si="195"/>
        <v/>
      </c>
      <c r="U147" s="163"/>
      <c r="V147" s="163"/>
      <c r="W147" s="164" t="str">
        <f t="shared" si="196"/>
        <v/>
      </c>
      <c r="X147" s="163"/>
      <c r="Y147" s="163"/>
      <c r="Z147" s="163"/>
      <c r="AA147" s="143" t="str">
        <f t="shared" si="197"/>
        <v/>
      </c>
      <c r="AB147" s="153" t="str">
        <f t="shared" si="198"/>
        <v/>
      </c>
      <c r="AC147" s="154" t="str">
        <f t="shared" si="199"/>
        <v/>
      </c>
      <c r="AD147" s="153" t="str">
        <f t="shared" si="200"/>
        <v/>
      </c>
      <c r="AE147" s="154" t="str">
        <f t="shared" si="201"/>
        <v/>
      </c>
      <c r="AF147" s="155" t="str">
        <f t="shared" si="202"/>
        <v/>
      </c>
      <c r="AG147" s="156"/>
      <c r="AH147" s="151"/>
      <c r="AI147" s="149"/>
      <c r="AJ147" s="150"/>
      <c r="AK147" s="150"/>
      <c r="AL147" s="151"/>
      <c r="AM147" s="149"/>
      <c r="AT147" s="203"/>
      <c r="AU147" s="203"/>
    </row>
    <row r="148" spans="1:47" s="148" customFormat="1" ht="151.5" hidden="1" customHeight="1" x14ac:dyDescent="0.25">
      <c r="A148" s="375">
        <v>48</v>
      </c>
      <c r="B148" s="372"/>
      <c r="C148" s="390"/>
      <c r="D148" s="390"/>
      <c r="E148" s="380"/>
      <c r="F148" s="380"/>
      <c r="G148" s="380"/>
      <c r="H148" s="383"/>
      <c r="I148" s="380"/>
      <c r="J148" s="360"/>
      <c r="K148" s="362" t="str">
        <f>IF(J148&lt;=0,"",IF(J148&lt;=2,"Muy Baja",IF(J148&lt;=24,"Baja",IF(J148&lt;=500,"Media",IF(J148&lt;=5000,"Alta","Muy Alta")))))</f>
        <v/>
      </c>
      <c r="L148" s="365" t="str">
        <f>IF(K148="","",IF(K148="Muy Baja",0.2,IF(K148="Baja",0.4,IF(K148="Media",0.6,IF(K148="Alta",0.8,IF(K148="Muy Alta",1,))))))</f>
        <v/>
      </c>
      <c r="M148" s="386"/>
      <c r="N148" s="162">
        <f ca="1">IF(NOT(ISERROR(MATCH(M148,'Tabla Impacto'!$B$221:$B$223,0))),'Tabla Impacto'!$F$223&amp;"Por favor no seleccionar los criterios de impacto(Afectación Económica o presupuestal y Pérdida Reputacional)",M148)</f>
        <v>0</v>
      </c>
      <c r="O148" s="362"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365" t="str">
        <f ca="1">IF(O148="","",IF(O148="Leve",0.2,IF(O148="Menor",0.4,IF(O148="Moderado",0.6,IF(O148="Mayor",0.8,IF(O148="Catastrófico",1,))))))</f>
        <v/>
      </c>
      <c r="Q148" s="376"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8">
        <v>1</v>
      </c>
      <c r="S148" s="159"/>
      <c r="T148" s="160" t="str">
        <f t="shared" si="195"/>
        <v/>
      </c>
      <c r="U148" s="163"/>
      <c r="V148" s="163"/>
      <c r="W148" s="164" t="str">
        <f t="shared" si="196"/>
        <v/>
      </c>
      <c r="X148" s="163"/>
      <c r="Y148" s="163"/>
      <c r="Z148" s="163"/>
      <c r="AA148" s="143" t="str">
        <f t="shared" si="197"/>
        <v/>
      </c>
      <c r="AB148" s="153" t="str">
        <f t="shared" si="198"/>
        <v/>
      </c>
      <c r="AC148" s="154" t="str">
        <f t="shared" si="199"/>
        <v/>
      </c>
      <c r="AD148" s="153" t="str">
        <f t="shared" si="200"/>
        <v/>
      </c>
      <c r="AE148" s="154" t="str">
        <f t="shared" si="201"/>
        <v/>
      </c>
      <c r="AF148" s="155" t="str">
        <f t="shared" si="202"/>
        <v/>
      </c>
      <c r="AG148" s="156"/>
      <c r="AH148" s="151"/>
      <c r="AI148" s="149"/>
      <c r="AJ148" s="150"/>
      <c r="AK148" s="150"/>
      <c r="AL148" s="151"/>
      <c r="AM148" s="149"/>
      <c r="AT148" s="203"/>
      <c r="AU148" s="203"/>
    </row>
    <row r="149" spans="1:47" s="148" customFormat="1" ht="151.5" hidden="1" customHeight="1" x14ac:dyDescent="0.25">
      <c r="A149" s="375"/>
      <c r="B149" s="373"/>
      <c r="C149" s="375"/>
      <c r="D149" s="375"/>
      <c r="E149" s="381"/>
      <c r="F149" s="381"/>
      <c r="G149" s="381"/>
      <c r="H149" s="384"/>
      <c r="I149" s="381"/>
      <c r="J149" s="361"/>
      <c r="K149" s="363"/>
      <c r="L149" s="366"/>
      <c r="M149" s="387"/>
      <c r="N149" s="168"/>
      <c r="O149" s="363"/>
      <c r="P149" s="366"/>
      <c r="Q149" s="377"/>
      <c r="R149" s="158">
        <v>2</v>
      </c>
      <c r="S149" s="159"/>
      <c r="T149" s="160" t="str">
        <f t="shared" si="195"/>
        <v/>
      </c>
      <c r="U149" s="163"/>
      <c r="V149" s="163"/>
      <c r="W149" s="164" t="str">
        <f t="shared" si="196"/>
        <v/>
      </c>
      <c r="X149" s="163"/>
      <c r="Y149" s="163"/>
      <c r="Z149" s="163"/>
      <c r="AA149" s="143" t="str">
        <f t="shared" si="197"/>
        <v/>
      </c>
      <c r="AB149" s="153" t="str">
        <f t="shared" si="198"/>
        <v/>
      </c>
      <c r="AC149" s="154" t="str">
        <f t="shared" si="199"/>
        <v/>
      </c>
      <c r="AD149" s="153" t="str">
        <f t="shared" si="200"/>
        <v/>
      </c>
      <c r="AE149" s="154" t="str">
        <f t="shared" si="201"/>
        <v/>
      </c>
      <c r="AF149" s="155" t="str">
        <f t="shared" si="202"/>
        <v/>
      </c>
      <c r="AG149" s="156"/>
      <c r="AH149" s="151"/>
      <c r="AI149" s="149"/>
      <c r="AJ149" s="150"/>
      <c r="AK149" s="150"/>
      <c r="AL149" s="151"/>
      <c r="AM149" s="149"/>
      <c r="AT149" s="203"/>
      <c r="AU149" s="203"/>
    </row>
    <row r="150" spans="1:47" s="148" customFormat="1" ht="151.5" hidden="1" customHeight="1" x14ac:dyDescent="0.25">
      <c r="A150" s="375"/>
      <c r="B150" s="374"/>
      <c r="C150" s="389"/>
      <c r="D150" s="389"/>
      <c r="E150" s="382"/>
      <c r="F150" s="382"/>
      <c r="G150" s="382"/>
      <c r="H150" s="385"/>
      <c r="I150" s="382"/>
      <c r="J150" s="379"/>
      <c r="K150" s="364"/>
      <c r="L150" s="367"/>
      <c r="M150" s="388"/>
      <c r="N150" s="168"/>
      <c r="O150" s="364"/>
      <c r="P150" s="367"/>
      <c r="Q150" s="378"/>
      <c r="R150" s="158">
        <v>3</v>
      </c>
      <c r="S150" s="159"/>
      <c r="T150" s="160" t="str">
        <f t="shared" si="195"/>
        <v/>
      </c>
      <c r="U150" s="163"/>
      <c r="V150" s="163"/>
      <c r="W150" s="164" t="str">
        <f t="shared" si="196"/>
        <v/>
      </c>
      <c r="X150" s="163"/>
      <c r="Y150" s="163"/>
      <c r="Z150" s="163"/>
      <c r="AA150" s="143" t="str">
        <f t="shared" si="197"/>
        <v/>
      </c>
      <c r="AB150" s="153" t="str">
        <f t="shared" si="198"/>
        <v/>
      </c>
      <c r="AC150" s="154" t="str">
        <f t="shared" si="199"/>
        <v/>
      </c>
      <c r="AD150" s="153" t="str">
        <f t="shared" si="200"/>
        <v/>
      </c>
      <c r="AE150" s="154" t="str">
        <f t="shared" si="201"/>
        <v/>
      </c>
      <c r="AF150" s="155" t="str">
        <f t="shared" si="202"/>
        <v/>
      </c>
      <c r="AG150" s="156"/>
      <c r="AH150" s="151"/>
      <c r="AI150" s="149"/>
      <c r="AJ150" s="150"/>
      <c r="AK150" s="150"/>
      <c r="AL150" s="151"/>
      <c r="AM150" s="149"/>
      <c r="AT150" s="203"/>
      <c r="AU150" s="203"/>
    </row>
    <row r="151" spans="1:47" s="148" customFormat="1" ht="151.5" hidden="1" customHeight="1" x14ac:dyDescent="0.25">
      <c r="A151" s="375">
        <v>49</v>
      </c>
      <c r="B151" s="372"/>
      <c r="C151" s="390"/>
      <c r="D151" s="390"/>
      <c r="E151" s="380"/>
      <c r="F151" s="380"/>
      <c r="G151" s="380"/>
      <c r="H151" s="383"/>
      <c r="I151" s="380"/>
      <c r="J151" s="360"/>
      <c r="K151" s="362" t="str">
        <f>IF(J151&lt;=0,"",IF(J151&lt;=2,"Muy Baja",IF(J151&lt;=24,"Baja",IF(J151&lt;=500,"Media",IF(J151&lt;=5000,"Alta","Muy Alta")))))</f>
        <v/>
      </c>
      <c r="L151" s="365" t="str">
        <f>IF(K151="","",IF(K151="Muy Baja",0.2,IF(K151="Baja",0.4,IF(K151="Media",0.6,IF(K151="Alta",0.8,IF(K151="Muy Alta",1,))))))</f>
        <v/>
      </c>
      <c r="M151" s="386"/>
      <c r="N151" s="162">
        <f ca="1">IF(NOT(ISERROR(MATCH(M151,'Tabla Impacto'!$B$221:$B$223,0))),'Tabla Impacto'!$F$223&amp;"Por favor no seleccionar los criterios de impacto(Afectación Económica o presupuestal y Pérdida Reputacional)",M151)</f>
        <v>0</v>
      </c>
      <c r="O151" s="362" t="str">
        <f ca="1">IF(OR(N151='Tabla Impacto'!$C$11,N151='Tabla Impacto'!$D$11),"Leve",IF(OR(N151='Tabla Impacto'!$C$12,N151='Tabla Impacto'!$D$12),"Menor",IF(OR(N151='Tabla Impacto'!$C$13,N151='Tabla Impacto'!$D$13),"Moderado",IF(OR(N151='Tabla Impacto'!$C$14,N151='Tabla Impacto'!$D$14),"Mayor",IF(OR(N151='Tabla Impacto'!$C$15,N151='Tabla Impacto'!$D$15),"Catastrófico","")))))</f>
        <v/>
      </c>
      <c r="P151" s="365" t="str">
        <f ca="1">IF(O151="","",IF(O151="Leve",0.2,IF(O151="Menor",0.4,IF(O151="Moderado",0.6,IF(O151="Mayor",0.8,IF(O151="Catastrófico",1,))))))</f>
        <v/>
      </c>
      <c r="Q151" s="376" t="str">
        <f ca="1">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58">
        <v>1</v>
      </c>
      <c r="S151" s="159"/>
      <c r="T151" s="160" t="str">
        <f t="shared" si="195"/>
        <v/>
      </c>
      <c r="U151" s="163"/>
      <c r="V151" s="163"/>
      <c r="W151" s="164" t="str">
        <f t="shared" si="196"/>
        <v/>
      </c>
      <c r="X151" s="163"/>
      <c r="Y151" s="163"/>
      <c r="Z151" s="163"/>
      <c r="AA151" s="143" t="str">
        <f t="shared" si="197"/>
        <v/>
      </c>
      <c r="AB151" s="153" t="str">
        <f t="shared" si="198"/>
        <v/>
      </c>
      <c r="AC151" s="154" t="str">
        <f t="shared" si="199"/>
        <v/>
      </c>
      <c r="AD151" s="153" t="str">
        <f t="shared" si="200"/>
        <v/>
      </c>
      <c r="AE151" s="154" t="str">
        <f t="shared" si="201"/>
        <v/>
      </c>
      <c r="AF151" s="155" t="str">
        <f t="shared" si="202"/>
        <v/>
      </c>
      <c r="AG151" s="156"/>
      <c r="AH151" s="151"/>
      <c r="AI151" s="149"/>
      <c r="AJ151" s="150"/>
      <c r="AK151" s="150"/>
      <c r="AL151" s="151"/>
      <c r="AM151" s="149"/>
      <c r="AT151" s="203"/>
      <c r="AU151" s="203"/>
    </row>
    <row r="152" spans="1:47" s="148" customFormat="1" ht="151.5" hidden="1" customHeight="1" x14ac:dyDescent="0.25">
      <c r="A152" s="375"/>
      <c r="B152" s="373"/>
      <c r="C152" s="375"/>
      <c r="D152" s="375"/>
      <c r="E152" s="381"/>
      <c r="F152" s="381"/>
      <c r="G152" s="381"/>
      <c r="H152" s="384"/>
      <c r="I152" s="381"/>
      <c r="J152" s="361"/>
      <c r="K152" s="363"/>
      <c r="L152" s="366"/>
      <c r="M152" s="387"/>
      <c r="N152" s="168"/>
      <c r="O152" s="363"/>
      <c r="P152" s="366"/>
      <c r="Q152" s="377"/>
      <c r="R152" s="158">
        <v>2</v>
      </c>
      <c r="S152" s="159"/>
      <c r="T152" s="160" t="str">
        <f t="shared" si="195"/>
        <v/>
      </c>
      <c r="U152" s="163"/>
      <c r="V152" s="163"/>
      <c r="W152" s="164" t="str">
        <f t="shared" si="196"/>
        <v/>
      </c>
      <c r="X152" s="163"/>
      <c r="Y152" s="163"/>
      <c r="Z152" s="163"/>
      <c r="AA152" s="143" t="str">
        <f t="shared" si="197"/>
        <v/>
      </c>
      <c r="AB152" s="153" t="str">
        <f t="shared" si="198"/>
        <v/>
      </c>
      <c r="AC152" s="154" t="str">
        <f t="shared" si="199"/>
        <v/>
      </c>
      <c r="AD152" s="153" t="str">
        <f t="shared" si="200"/>
        <v/>
      </c>
      <c r="AE152" s="154" t="str">
        <f t="shared" si="201"/>
        <v/>
      </c>
      <c r="AF152" s="155" t="str">
        <f t="shared" si="202"/>
        <v/>
      </c>
      <c r="AG152" s="156"/>
      <c r="AH152" s="151"/>
      <c r="AI152" s="149"/>
      <c r="AJ152" s="150"/>
      <c r="AK152" s="150"/>
      <c r="AL152" s="151"/>
      <c r="AM152" s="149"/>
      <c r="AT152" s="203"/>
      <c r="AU152" s="203"/>
    </row>
    <row r="153" spans="1:47" s="148" customFormat="1" ht="151.5" hidden="1" customHeight="1" x14ac:dyDescent="0.25">
      <c r="A153" s="375"/>
      <c r="B153" s="374"/>
      <c r="C153" s="389"/>
      <c r="D153" s="389"/>
      <c r="E153" s="382"/>
      <c r="F153" s="382"/>
      <c r="G153" s="382"/>
      <c r="H153" s="385"/>
      <c r="I153" s="382"/>
      <c r="J153" s="379"/>
      <c r="K153" s="364"/>
      <c r="L153" s="367"/>
      <c r="M153" s="388"/>
      <c r="N153" s="168"/>
      <c r="O153" s="364"/>
      <c r="P153" s="367"/>
      <c r="Q153" s="378"/>
      <c r="R153" s="158">
        <v>3</v>
      </c>
      <c r="S153" s="159"/>
      <c r="T153" s="160" t="str">
        <f t="shared" si="195"/>
        <v/>
      </c>
      <c r="U153" s="163"/>
      <c r="V153" s="163"/>
      <c r="W153" s="164" t="str">
        <f t="shared" si="196"/>
        <v/>
      </c>
      <c r="X153" s="163"/>
      <c r="Y153" s="163"/>
      <c r="Z153" s="163"/>
      <c r="AA153" s="143" t="str">
        <f t="shared" si="197"/>
        <v/>
      </c>
      <c r="AB153" s="153" t="str">
        <f t="shared" si="198"/>
        <v/>
      </c>
      <c r="AC153" s="154" t="str">
        <f t="shared" si="199"/>
        <v/>
      </c>
      <c r="AD153" s="153" t="str">
        <f t="shared" si="200"/>
        <v/>
      </c>
      <c r="AE153" s="154" t="str">
        <f t="shared" si="201"/>
        <v/>
      </c>
      <c r="AF153" s="155" t="str">
        <f t="shared" si="202"/>
        <v/>
      </c>
      <c r="AG153" s="156"/>
      <c r="AH153" s="151"/>
      <c r="AI153" s="149"/>
      <c r="AJ153" s="150"/>
      <c r="AK153" s="150"/>
      <c r="AL153" s="151"/>
      <c r="AM153" s="149"/>
      <c r="AT153" s="203"/>
      <c r="AU153" s="203"/>
    </row>
    <row r="154" spans="1:47" s="148" customFormat="1" ht="151.5" hidden="1" customHeight="1" x14ac:dyDescent="0.25">
      <c r="A154" s="375">
        <v>50</v>
      </c>
      <c r="B154" s="372"/>
      <c r="C154" s="390"/>
      <c r="D154" s="390"/>
      <c r="E154" s="380"/>
      <c r="F154" s="380"/>
      <c r="G154" s="380"/>
      <c r="H154" s="383"/>
      <c r="I154" s="380"/>
      <c r="J154" s="360"/>
      <c r="K154" s="362" t="str">
        <f>IF(J154&lt;=0,"",IF(J154&lt;=2,"Muy Baja",IF(J154&lt;=24,"Baja",IF(J154&lt;=500,"Media",IF(J154&lt;=5000,"Alta","Muy Alta")))))</f>
        <v/>
      </c>
      <c r="L154" s="365" t="str">
        <f>IF(K154="","",IF(K154="Muy Baja",0.2,IF(K154="Baja",0.4,IF(K154="Media",0.6,IF(K154="Alta",0.8,IF(K154="Muy Alta",1,))))))</f>
        <v/>
      </c>
      <c r="M154" s="386"/>
      <c r="N154" s="162">
        <f ca="1">IF(NOT(ISERROR(MATCH(M154,'Tabla Impacto'!$B$221:$B$223,0))),'Tabla Impacto'!$F$223&amp;"Por favor no seleccionar los criterios de impacto(Afectación Económica o presupuestal y Pérdida Reputacional)",M154)</f>
        <v>0</v>
      </c>
      <c r="O154" s="362" t="str">
        <f ca="1">IF(OR(N154='Tabla Impacto'!$C$11,N154='Tabla Impacto'!$D$11),"Leve",IF(OR(N154='Tabla Impacto'!$C$12,N154='Tabla Impacto'!$D$12),"Menor",IF(OR(N154='Tabla Impacto'!$C$13,N154='Tabla Impacto'!$D$13),"Moderado",IF(OR(N154='Tabla Impacto'!$C$14,N154='Tabla Impacto'!$D$14),"Mayor",IF(OR(N154='Tabla Impacto'!$C$15,N154='Tabla Impacto'!$D$15),"Catastrófico","")))))</f>
        <v/>
      </c>
      <c r="P154" s="365" t="str">
        <f ca="1">IF(O154="","",IF(O154="Leve",0.2,IF(O154="Menor",0.4,IF(O154="Moderado",0.6,IF(O154="Mayor",0.8,IF(O154="Catastrófico",1,))))))</f>
        <v/>
      </c>
      <c r="Q154" s="376" t="str">
        <f ca="1">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58">
        <v>1</v>
      </c>
      <c r="S154" s="159"/>
      <c r="T154" s="160" t="str">
        <f t="shared" si="195"/>
        <v/>
      </c>
      <c r="U154" s="163"/>
      <c r="V154" s="163"/>
      <c r="W154" s="164" t="str">
        <f t="shared" si="196"/>
        <v/>
      </c>
      <c r="X154" s="163"/>
      <c r="Y154" s="163"/>
      <c r="Z154" s="163"/>
      <c r="AA154" s="143" t="str">
        <f t="shared" si="197"/>
        <v/>
      </c>
      <c r="AB154" s="153" t="str">
        <f t="shared" si="198"/>
        <v/>
      </c>
      <c r="AC154" s="154" t="str">
        <f t="shared" si="199"/>
        <v/>
      </c>
      <c r="AD154" s="153" t="str">
        <f t="shared" si="200"/>
        <v/>
      </c>
      <c r="AE154" s="154" t="str">
        <f t="shared" si="201"/>
        <v/>
      </c>
      <c r="AF154" s="155" t="str">
        <f t="shared" si="202"/>
        <v/>
      </c>
      <c r="AG154" s="156"/>
      <c r="AH154" s="151"/>
      <c r="AI154" s="149"/>
      <c r="AJ154" s="150"/>
      <c r="AK154" s="150"/>
      <c r="AL154" s="151"/>
      <c r="AM154" s="149"/>
      <c r="AT154" s="203"/>
      <c r="AU154" s="203"/>
    </row>
    <row r="155" spans="1:47" s="148" customFormat="1" ht="151.5" hidden="1" customHeight="1" x14ac:dyDescent="0.25">
      <c r="A155" s="375"/>
      <c r="B155" s="373"/>
      <c r="C155" s="375"/>
      <c r="D155" s="375"/>
      <c r="E155" s="381"/>
      <c r="F155" s="381"/>
      <c r="G155" s="381"/>
      <c r="H155" s="384"/>
      <c r="I155" s="381"/>
      <c r="J155" s="361"/>
      <c r="K155" s="363"/>
      <c r="L155" s="366"/>
      <c r="M155" s="387"/>
      <c r="N155" s="168"/>
      <c r="O155" s="363"/>
      <c r="P155" s="366"/>
      <c r="Q155" s="377"/>
      <c r="R155" s="158">
        <v>2</v>
      </c>
      <c r="S155" s="159"/>
      <c r="T155" s="160" t="str">
        <f t="shared" si="195"/>
        <v/>
      </c>
      <c r="U155" s="163"/>
      <c r="V155" s="163"/>
      <c r="W155" s="164" t="str">
        <f t="shared" si="196"/>
        <v/>
      </c>
      <c r="X155" s="163"/>
      <c r="Y155" s="163"/>
      <c r="Z155" s="163"/>
      <c r="AA155" s="143" t="str">
        <f t="shared" si="197"/>
        <v/>
      </c>
      <c r="AB155" s="153" t="str">
        <f t="shared" si="198"/>
        <v/>
      </c>
      <c r="AC155" s="154" t="str">
        <f t="shared" si="199"/>
        <v/>
      </c>
      <c r="AD155" s="153" t="str">
        <f t="shared" si="200"/>
        <v/>
      </c>
      <c r="AE155" s="154" t="str">
        <f t="shared" si="201"/>
        <v/>
      </c>
      <c r="AF155" s="155" t="str">
        <f t="shared" si="202"/>
        <v/>
      </c>
      <c r="AG155" s="156"/>
      <c r="AH155" s="151"/>
      <c r="AI155" s="149"/>
      <c r="AJ155" s="150"/>
      <c r="AK155" s="150"/>
      <c r="AL155" s="151"/>
      <c r="AM155" s="149"/>
      <c r="AT155" s="203"/>
      <c r="AU155" s="203"/>
    </row>
    <row r="156" spans="1:47" s="148" customFormat="1" ht="12.75" hidden="1" x14ac:dyDescent="0.25">
      <c r="A156" s="389"/>
      <c r="B156" s="374"/>
      <c r="C156" s="389"/>
      <c r="D156" s="389"/>
      <c r="E156" s="382"/>
      <c r="F156" s="382"/>
      <c r="G156" s="382"/>
      <c r="H156" s="385"/>
      <c r="I156" s="382"/>
      <c r="J156" s="379"/>
      <c r="K156" s="364"/>
      <c r="L156" s="367"/>
      <c r="M156" s="388"/>
      <c r="N156" s="168"/>
      <c r="O156" s="364"/>
      <c r="P156" s="367"/>
      <c r="Q156" s="378"/>
      <c r="R156" s="158">
        <v>3</v>
      </c>
      <c r="S156" s="159"/>
      <c r="T156" s="160" t="str">
        <f t="shared" si="195"/>
        <v/>
      </c>
      <c r="U156" s="163"/>
      <c r="V156" s="163"/>
      <c r="W156" s="164" t="str">
        <f t="shared" si="196"/>
        <v/>
      </c>
      <c r="X156" s="163"/>
      <c r="Y156" s="163"/>
      <c r="Z156" s="163"/>
      <c r="AA156" s="143" t="str">
        <f t="shared" si="197"/>
        <v/>
      </c>
      <c r="AB156" s="153" t="str">
        <f t="shared" si="198"/>
        <v/>
      </c>
      <c r="AC156" s="154" t="str">
        <f t="shared" si="199"/>
        <v/>
      </c>
      <c r="AD156" s="153" t="str">
        <f t="shared" si="200"/>
        <v/>
      </c>
      <c r="AE156" s="154" t="str">
        <f t="shared" si="201"/>
        <v/>
      </c>
      <c r="AF156" s="155" t="str">
        <f t="shared" si="202"/>
        <v/>
      </c>
      <c r="AG156" s="156"/>
      <c r="AH156" s="151"/>
      <c r="AI156" s="149"/>
      <c r="AJ156" s="150"/>
      <c r="AK156" s="150"/>
      <c r="AL156" s="151"/>
      <c r="AM156" s="149"/>
      <c r="AT156" s="203"/>
      <c r="AU156" s="203"/>
    </row>
    <row r="157" spans="1:47" s="148" customFormat="1" ht="42" customHeight="1" x14ac:dyDescent="0.25">
      <c r="A157" s="230"/>
      <c r="B157" s="236"/>
      <c r="C157" s="237"/>
      <c r="D157" s="237"/>
      <c r="E157" s="238"/>
      <c r="F157" s="239"/>
      <c r="G157" s="239"/>
      <c r="H157" s="240"/>
      <c r="I157" s="239"/>
      <c r="J157" s="241"/>
      <c r="K157" s="242"/>
      <c r="L157" s="243"/>
      <c r="M157" s="244"/>
      <c r="N157" s="245"/>
      <c r="O157" s="242"/>
      <c r="P157" s="243"/>
      <c r="Q157" s="246"/>
      <c r="R157" s="247"/>
      <c r="S157" s="248"/>
      <c r="T157" s="249"/>
      <c r="U157" s="250"/>
      <c r="V157" s="250"/>
      <c r="W157" s="251"/>
      <c r="X157" s="250"/>
      <c r="Y157" s="250"/>
      <c r="Z157" s="250"/>
      <c r="AA157" s="252"/>
      <c r="AB157" s="253"/>
      <c r="AC157" s="254"/>
      <c r="AD157" s="253"/>
      <c r="AE157" s="254"/>
      <c r="AF157" s="255"/>
      <c r="AG157" s="256"/>
      <c r="AH157" s="257"/>
      <c r="AI157" s="258"/>
      <c r="AJ157" s="259"/>
      <c r="AK157" s="259"/>
      <c r="AL157" s="257"/>
      <c r="AM157" s="260"/>
      <c r="AO157" s="261" t="s">
        <v>770</v>
      </c>
      <c r="AP157" s="275">
        <f>AVERAGE(AP7:AP141)</f>
        <v>0.63222972972972868</v>
      </c>
      <c r="AR157" s="261" t="s">
        <v>771</v>
      </c>
      <c r="AS157" s="275">
        <f>AVERAGE(AS7:AS141)</f>
        <v>0.63898550724637593</v>
      </c>
      <c r="AT157" s="203"/>
      <c r="AU157" s="203"/>
    </row>
    <row r="159" spans="1:47" x14ac:dyDescent="0.25">
      <c r="A159" s="2"/>
      <c r="B159" s="584">
        <v>44805</v>
      </c>
      <c r="C159" s="2"/>
      <c r="D159" s="2"/>
      <c r="E159" s="19" t="s">
        <v>358</v>
      </c>
      <c r="F159" s="2"/>
      <c r="G159" s="2"/>
    </row>
  </sheetData>
  <dataConsolidate/>
  <mergeCells count="848">
    <mergeCell ref="AN5:AP5"/>
    <mergeCell ref="AQ5:AS5"/>
    <mergeCell ref="J70:J72"/>
    <mergeCell ref="K70:K72"/>
    <mergeCell ref="L70:L72"/>
    <mergeCell ref="M70:M72"/>
    <mergeCell ref="O70:O72"/>
    <mergeCell ref="P70:P72"/>
    <mergeCell ref="Q70:Q72"/>
    <mergeCell ref="AH5:AH6"/>
    <mergeCell ref="AM5:AM6"/>
    <mergeCell ref="AL5:AL6"/>
    <mergeCell ref="AK5:AK6"/>
    <mergeCell ref="AJ5:AJ6"/>
    <mergeCell ref="AI5:AI6"/>
    <mergeCell ref="AG5:AG6"/>
    <mergeCell ref="Q7:Q9"/>
    <mergeCell ref="P7:P9"/>
    <mergeCell ref="Q13:Q15"/>
    <mergeCell ref="P13:P15"/>
    <mergeCell ref="P10:P12"/>
    <mergeCell ref="Q10:Q12"/>
    <mergeCell ref="K19:K21"/>
    <mergeCell ref="L19:L21"/>
    <mergeCell ref="A70:A72"/>
    <mergeCell ref="B70:B72"/>
    <mergeCell ref="C70:C72"/>
    <mergeCell ref="D70:D72"/>
    <mergeCell ref="E70:E72"/>
    <mergeCell ref="F70:F72"/>
    <mergeCell ref="G70:G72"/>
    <mergeCell ref="H70:H72"/>
    <mergeCell ref="I70:I72"/>
    <mergeCell ref="J5:J6"/>
    <mergeCell ref="K5:K6"/>
    <mergeCell ref="L5:L6"/>
    <mergeCell ref="O5:O6"/>
    <mergeCell ref="P5:P6"/>
    <mergeCell ref="L7:L9"/>
    <mergeCell ref="M7:M9"/>
    <mergeCell ref="O7:O9"/>
    <mergeCell ref="I10:I12"/>
    <mergeCell ref="J10:J12"/>
    <mergeCell ref="K10:K12"/>
    <mergeCell ref="L10:L12"/>
    <mergeCell ref="M10:M12"/>
    <mergeCell ref="O10:O12"/>
    <mergeCell ref="I7:I9"/>
    <mergeCell ref="J7:J9"/>
    <mergeCell ref="Q85:Q87"/>
    <mergeCell ref="G85:G87"/>
    <mergeCell ref="H85:H87"/>
    <mergeCell ref="I85:I87"/>
    <mergeCell ref="J85:J87"/>
    <mergeCell ref="K85:K87"/>
    <mergeCell ref="L85:L87"/>
    <mergeCell ref="M85:M87"/>
    <mergeCell ref="O85:O87"/>
    <mergeCell ref="P85:P87"/>
    <mergeCell ref="E5:E6"/>
    <mergeCell ref="Q5:Q6"/>
    <mergeCell ref="M5:M6"/>
    <mergeCell ref="N5:N6"/>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B5:B6"/>
    <mergeCell ref="C5:C6"/>
    <mergeCell ref="T5:T6"/>
    <mergeCell ref="D5:D6"/>
    <mergeCell ref="AD5:AD6"/>
    <mergeCell ref="AB5:AB6"/>
    <mergeCell ref="AC5:AC6"/>
    <mergeCell ref="E7:E9"/>
    <mergeCell ref="A13:A15"/>
    <mergeCell ref="B13:B15"/>
    <mergeCell ref="C13:C15"/>
    <mergeCell ref="D13:D15"/>
    <mergeCell ref="E13:E15"/>
    <mergeCell ref="F13:F15"/>
    <mergeCell ref="G13:G15"/>
    <mergeCell ref="H13:H15"/>
    <mergeCell ref="F7:F9"/>
    <mergeCell ref="G7:G9"/>
    <mergeCell ref="H7:H9"/>
    <mergeCell ref="G10:G12"/>
    <mergeCell ref="H10:H12"/>
    <mergeCell ref="A7:A9"/>
    <mergeCell ref="B7:B9"/>
    <mergeCell ref="C7:C9"/>
    <mergeCell ref="D7:D9"/>
    <mergeCell ref="O13:O15"/>
    <mergeCell ref="K7:K9"/>
    <mergeCell ref="I16:I18"/>
    <mergeCell ref="G16:G18"/>
    <mergeCell ref="H16:H18"/>
    <mergeCell ref="A19:A21"/>
    <mergeCell ref="I13:I15"/>
    <mergeCell ref="J13:J15"/>
    <mergeCell ref="K13:K15"/>
    <mergeCell ref="L13:L15"/>
    <mergeCell ref="M13:M15"/>
    <mergeCell ref="B19:B21"/>
    <mergeCell ref="C19:C21"/>
    <mergeCell ref="D19:D21"/>
    <mergeCell ref="E19:E21"/>
    <mergeCell ref="F19:F21"/>
    <mergeCell ref="G19:G21"/>
    <mergeCell ref="H19:H21"/>
    <mergeCell ref="I19:I21"/>
    <mergeCell ref="A10:A12"/>
    <mergeCell ref="B10:B12"/>
    <mergeCell ref="C10:C12"/>
    <mergeCell ref="D10:D12"/>
    <mergeCell ref="E10:E12"/>
    <mergeCell ref="F10:F12"/>
    <mergeCell ref="A16:A18"/>
    <mergeCell ref="B16:B18"/>
    <mergeCell ref="C16:C18"/>
    <mergeCell ref="D16:D18"/>
    <mergeCell ref="E16:E18"/>
    <mergeCell ref="F16:F18"/>
    <mergeCell ref="P19:P21"/>
    <mergeCell ref="Q19:Q21"/>
    <mergeCell ref="J16:J18"/>
    <mergeCell ref="K16:K18"/>
    <mergeCell ref="L16:L18"/>
    <mergeCell ref="M16:M18"/>
    <mergeCell ref="O16:O18"/>
    <mergeCell ref="P16:P18"/>
    <mergeCell ref="Q16:Q18"/>
    <mergeCell ref="J19:J21"/>
    <mergeCell ref="M19:M21"/>
    <mergeCell ref="O19:O21"/>
    <mergeCell ref="Q22:Q24"/>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22:A24"/>
    <mergeCell ref="B22:B24"/>
    <mergeCell ref="C22:C24"/>
    <mergeCell ref="D22:D24"/>
    <mergeCell ref="E22:E24"/>
    <mergeCell ref="F22:F24"/>
    <mergeCell ref="G22:G24"/>
    <mergeCell ref="H28:H30"/>
    <mergeCell ref="I28:I30"/>
    <mergeCell ref="I22:I24"/>
    <mergeCell ref="J22:J24"/>
    <mergeCell ref="K22:K24"/>
    <mergeCell ref="L22:L24"/>
    <mergeCell ref="M22:M24"/>
    <mergeCell ref="O22:O24"/>
    <mergeCell ref="P22:P24"/>
    <mergeCell ref="P28:P30"/>
    <mergeCell ref="H22:H24"/>
    <mergeCell ref="Q28:Q30"/>
    <mergeCell ref="P31:P33"/>
    <mergeCell ref="O31:O33"/>
    <mergeCell ref="Q31:Q33"/>
    <mergeCell ref="C31:C33"/>
    <mergeCell ref="B31:B33"/>
    <mergeCell ref="A31:A33"/>
    <mergeCell ref="J28:J30"/>
    <mergeCell ref="K28:K30"/>
    <mergeCell ref="L28:L30"/>
    <mergeCell ref="M28:M30"/>
    <mergeCell ref="O28:O30"/>
    <mergeCell ref="M31:M33"/>
    <mergeCell ref="L31:L33"/>
    <mergeCell ref="K31:K33"/>
    <mergeCell ref="J31:J33"/>
    <mergeCell ref="A28:A30"/>
    <mergeCell ref="B28:B30"/>
    <mergeCell ref="C28:C30"/>
    <mergeCell ref="D28:D30"/>
    <mergeCell ref="E28:E30"/>
    <mergeCell ref="F28:F30"/>
    <mergeCell ref="G28:G30"/>
    <mergeCell ref="H31:H33"/>
    <mergeCell ref="G31:G33"/>
    <mergeCell ref="F31:F33"/>
    <mergeCell ref="E31:E33"/>
    <mergeCell ref="D31:D33"/>
    <mergeCell ref="F34:F36"/>
    <mergeCell ref="G34:G36"/>
    <mergeCell ref="H34:H36"/>
    <mergeCell ref="I31:I33"/>
    <mergeCell ref="I34:I36"/>
    <mergeCell ref="J34:J36"/>
    <mergeCell ref="A37:A39"/>
    <mergeCell ref="B37:B39"/>
    <mergeCell ref="C34:C36"/>
    <mergeCell ref="D34:D36"/>
    <mergeCell ref="E34:E36"/>
    <mergeCell ref="L37:L39"/>
    <mergeCell ref="K37:K39"/>
    <mergeCell ref="J37:J39"/>
    <mergeCell ref="I37:I39"/>
    <mergeCell ref="H37:H39"/>
    <mergeCell ref="A34:A36"/>
    <mergeCell ref="B34:B36"/>
    <mergeCell ref="Q34:Q36"/>
    <mergeCell ref="Q37:Q39"/>
    <mergeCell ref="P37:P39"/>
    <mergeCell ref="O37:O39"/>
    <mergeCell ref="M37:M39"/>
    <mergeCell ref="K34:K36"/>
    <mergeCell ref="L34:L36"/>
    <mergeCell ref="M34:M36"/>
    <mergeCell ref="O34:O36"/>
    <mergeCell ref="P34:P36"/>
    <mergeCell ref="A40:A42"/>
    <mergeCell ref="B40:B42"/>
    <mergeCell ref="C40:C42"/>
    <mergeCell ref="D40:D42"/>
    <mergeCell ref="E40:E42"/>
    <mergeCell ref="G37:G39"/>
    <mergeCell ref="F37:F39"/>
    <mergeCell ref="E37:E39"/>
    <mergeCell ref="D37:D39"/>
    <mergeCell ref="C37:C39"/>
    <mergeCell ref="Q40:Q42"/>
    <mergeCell ref="K40:K42"/>
    <mergeCell ref="L40:L42"/>
    <mergeCell ref="M40:M42"/>
    <mergeCell ref="O40:O42"/>
    <mergeCell ref="P40:P42"/>
    <mergeCell ref="F40:F42"/>
    <mergeCell ref="G40:G42"/>
    <mergeCell ref="H40:H42"/>
    <mergeCell ref="I40:I42"/>
    <mergeCell ref="J40:J42"/>
    <mergeCell ref="A43:A45"/>
    <mergeCell ref="B43:B45"/>
    <mergeCell ref="C43:C45"/>
    <mergeCell ref="D43:D45"/>
    <mergeCell ref="E43:E45"/>
    <mergeCell ref="F43:F45"/>
    <mergeCell ref="G43:G45"/>
    <mergeCell ref="H43:H45"/>
    <mergeCell ref="I43:I45"/>
    <mergeCell ref="J43:J45"/>
    <mergeCell ref="K43:K45"/>
    <mergeCell ref="L43:L45"/>
    <mergeCell ref="M43:M45"/>
    <mergeCell ref="O43:O45"/>
    <mergeCell ref="P43:P45"/>
    <mergeCell ref="Q43:Q45"/>
    <mergeCell ref="J46:J48"/>
    <mergeCell ref="K46:K48"/>
    <mergeCell ref="L46:L48"/>
    <mergeCell ref="M46:M48"/>
    <mergeCell ref="O46:O48"/>
    <mergeCell ref="P46:P48"/>
    <mergeCell ref="Q46:Q48"/>
    <mergeCell ref="H49:H51"/>
    <mergeCell ref="I49:I51"/>
    <mergeCell ref="B46:B48"/>
    <mergeCell ref="C46:C48"/>
    <mergeCell ref="D46:D48"/>
    <mergeCell ref="E46:E48"/>
    <mergeCell ref="F46:F48"/>
    <mergeCell ref="G46:G48"/>
    <mergeCell ref="H46:H48"/>
    <mergeCell ref="I46:I48"/>
    <mergeCell ref="J49:J51"/>
    <mergeCell ref="K49:K51"/>
    <mergeCell ref="L49:L51"/>
    <mergeCell ref="M49:M51"/>
    <mergeCell ref="O49:O51"/>
    <mergeCell ref="P49:P51"/>
    <mergeCell ref="Q49:Q51"/>
    <mergeCell ref="A46:A48"/>
    <mergeCell ref="A52:A54"/>
    <mergeCell ref="B52:B54"/>
    <mergeCell ref="C52:C54"/>
    <mergeCell ref="D52:D54"/>
    <mergeCell ref="E52:E54"/>
    <mergeCell ref="F52:F54"/>
    <mergeCell ref="G52:G54"/>
    <mergeCell ref="H52:H54"/>
    <mergeCell ref="I52:I54"/>
    <mergeCell ref="B49:B51"/>
    <mergeCell ref="A49:A51"/>
    <mergeCell ref="C49:C51"/>
    <mergeCell ref="D49:D51"/>
    <mergeCell ref="E49:E51"/>
    <mergeCell ref="F49:F51"/>
    <mergeCell ref="G49:G51"/>
    <mergeCell ref="I55:I57"/>
    <mergeCell ref="P52:P54"/>
    <mergeCell ref="Q52:Q54"/>
    <mergeCell ref="Q55:Q57"/>
    <mergeCell ref="P55:P57"/>
    <mergeCell ref="O55:O57"/>
    <mergeCell ref="D58:D60"/>
    <mergeCell ref="E58:E60"/>
    <mergeCell ref="F58:F60"/>
    <mergeCell ref="G58:G60"/>
    <mergeCell ref="H58:H60"/>
    <mergeCell ref="J52:J54"/>
    <mergeCell ref="K52:K54"/>
    <mergeCell ref="L52:L54"/>
    <mergeCell ref="M52:M54"/>
    <mergeCell ref="O52:O54"/>
    <mergeCell ref="M55:M57"/>
    <mergeCell ref="L55:L57"/>
    <mergeCell ref="K55:K57"/>
    <mergeCell ref="J55:J57"/>
    <mergeCell ref="C55:C57"/>
    <mergeCell ref="B55:B57"/>
    <mergeCell ref="A55:A57"/>
    <mergeCell ref="A58:A60"/>
    <mergeCell ref="B58:B60"/>
    <mergeCell ref="C58:C60"/>
    <mergeCell ref="H55:H57"/>
    <mergeCell ref="G55:G57"/>
    <mergeCell ref="F55:F57"/>
    <mergeCell ref="E55:E57"/>
    <mergeCell ref="D55:D57"/>
    <mergeCell ref="J118:J120"/>
    <mergeCell ref="I118:I120"/>
    <mergeCell ref="O58:O60"/>
    <mergeCell ref="P58:P60"/>
    <mergeCell ref="Q58:Q60"/>
    <mergeCell ref="O61:O63"/>
    <mergeCell ref="P61:P63"/>
    <mergeCell ref="Q61:Q63"/>
    <mergeCell ref="O64:O66"/>
    <mergeCell ref="P64:P66"/>
    <mergeCell ref="Q64:Q66"/>
    <mergeCell ref="O67:O69"/>
    <mergeCell ref="I58:I60"/>
    <mergeCell ref="J58:J60"/>
    <mergeCell ref="K58:K60"/>
    <mergeCell ref="L58:L60"/>
    <mergeCell ref="M58:M60"/>
    <mergeCell ref="I115:I117"/>
    <mergeCell ref="J115:J117"/>
    <mergeCell ref="K115:K117"/>
    <mergeCell ref="L115:L117"/>
    <mergeCell ref="M115:M117"/>
    <mergeCell ref="I61:I63"/>
    <mergeCell ref="J61:J63"/>
    <mergeCell ref="C118:C120"/>
    <mergeCell ref="B118:B120"/>
    <mergeCell ref="A118:A120"/>
    <mergeCell ref="A115:A117"/>
    <mergeCell ref="B115:B117"/>
    <mergeCell ref="C115:C117"/>
    <mergeCell ref="H118:H120"/>
    <mergeCell ref="G118:G120"/>
    <mergeCell ref="F118:F120"/>
    <mergeCell ref="E118:E120"/>
    <mergeCell ref="D118:D120"/>
    <mergeCell ref="D115:D117"/>
    <mergeCell ref="E115:E117"/>
    <mergeCell ref="F115:F117"/>
    <mergeCell ref="G115:G117"/>
    <mergeCell ref="H115:H117"/>
    <mergeCell ref="D127:D129"/>
    <mergeCell ref="E127:E129"/>
    <mergeCell ref="F127:F129"/>
    <mergeCell ref="G127:G129"/>
    <mergeCell ref="A121:A123"/>
    <mergeCell ref="B121:B123"/>
    <mergeCell ref="C121:C123"/>
    <mergeCell ref="D121:D123"/>
    <mergeCell ref="E121:E123"/>
    <mergeCell ref="F121:F123"/>
    <mergeCell ref="G121:G123"/>
    <mergeCell ref="F124:F126"/>
    <mergeCell ref="G124:G126"/>
    <mergeCell ref="A124:A126"/>
    <mergeCell ref="B124:B126"/>
    <mergeCell ref="C124:C126"/>
    <mergeCell ref="D124:D126"/>
    <mergeCell ref="E124:E126"/>
    <mergeCell ref="M127:M129"/>
    <mergeCell ref="O127:O129"/>
    <mergeCell ref="P127:P129"/>
    <mergeCell ref="Q127:Q129"/>
    <mergeCell ref="A109:A111"/>
    <mergeCell ref="B109:B111"/>
    <mergeCell ref="C109:C111"/>
    <mergeCell ref="D109:D111"/>
    <mergeCell ref="E109:E111"/>
    <mergeCell ref="F109:F111"/>
    <mergeCell ref="G109:G111"/>
    <mergeCell ref="H109:H111"/>
    <mergeCell ref="I109:I111"/>
    <mergeCell ref="J109:J111"/>
    <mergeCell ref="K109:K111"/>
    <mergeCell ref="L109:L111"/>
    <mergeCell ref="H127:H129"/>
    <mergeCell ref="I127:I129"/>
    <mergeCell ref="J127:J129"/>
    <mergeCell ref="K127:K129"/>
    <mergeCell ref="L127:L129"/>
    <mergeCell ref="A127:A129"/>
    <mergeCell ref="B127:B129"/>
    <mergeCell ref="C127:C129"/>
    <mergeCell ref="A88:A90"/>
    <mergeCell ref="A82:A84"/>
    <mergeCell ref="A79:A81"/>
    <mergeCell ref="A76:A78"/>
    <mergeCell ref="A73:A75"/>
    <mergeCell ref="A106:A108"/>
    <mergeCell ref="A97:A99"/>
    <mergeCell ref="A94:A96"/>
    <mergeCell ref="A91:A93"/>
    <mergeCell ref="A85:A87"/>
    <mergeCell ref="A100:A102"/>
    <mergeCell ref="A103:A105"/>
    <mergeCell ref="A67:A69"/>
    <mergeCell ref="A64:A66"/>
    <mergeCell ref="A61:A63"/>
    <mergeCell ref="B61:B63"/>
    <mergeCell ref="C61:C63"/>
    <mergeCell ref="B64:B66"/>
    <mergeCell ref="C64:C66"/>
    <mergeCell ref="B67:B69"/>
    <mergeCell ref="C67:C69"/>
    <mergeCell ref="K61:K63"/>
    <mergeCell ref="L61:L63"/>
    <mergeCell ref="M61:M63"/>
    <mergeCell ref="D61:D63"/>
    <mergeCell ref="E61:E63"/>
    <mergeCell ref="F61:F63"/>
    <mergeCell ref="G61:G63"/>
    <mergeCell ref="H61:H63"/>
    <mergeCell ref="G67:G69"/>
    <mergeCell ref="H67:H69"/>
    <mergeCell ref="I64:I66"/>
    <mergeCell ref="J64:J66"/>
    <mergeCell ref="K64:K66"/>
    <mergeCell ref="L64:L66"/>
    <mergeCell ref="M64:M66"/>
    <mergeCell ref="D64:D66"/>
    <mergeCell ref="E64:E66"/>
    <mergeCell ref="F64:F66"/>
    <mergeCell ref="G64:G66"/>
    <mergeCell ref="H64:H66"/>
    <mergeCell ref="P67:P69"/>
    <mergeCell ref="Q67:Q69"/>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67:I69"/>
    <mergeCell ref="J67:J69"/>
    <mergeCell ref="K67:K69"/>
    <mergeCell ref="L67:L69"/>
    <mergeCell ref="M67:M69"/>
    <mergeCell ref="D67:D69"/>
    <mergeCell ref="E67:E69"/>
    <mergeCell ref="F67:F69"/>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L88:L90"/>
    <mergeCell ref="M88:M90"/>
    <mergeCell ref="O88:O90"/>
    <mergeCell ref="P88:P90"/>
    <mergeCell ref="Q88:Q90"/>
    <mergeCell ref="G88:G90"/>
    <mergeCell ref="H88:H90"/>
    <mergeCell ref="I88:I90"/>
    <mergeCell ref="J88:J90"/>
    <mergeCell ref="K88:K90"/>
    <mergeCell ref="G91:G93"/>
    <mergeCell ref="H91:H93"/>
    <mergeCell ref="I91:I93"/>
    <mergeCell ref="J91:J93"/>
    <mergeCell ref="K91:K93"/>
    <mergeCell ref="B91:B93"/>
    <mergeCell ref="C91:C93"/>
    <mergeCell ref="D91:D93"/>
    <mergeCell ref="E91:E93"/>
    <mergeCell ref="F91:F93"/>
    <mergeCell ref="Q94:Q96"/>
    <mergeCell ref="P94:P96"/>
    <mergeCell ref="O94:O96"/>
    <mergeCell ref="M94:M96"/>
    <mergeCell ref="L94:L96"/>
    <mergeCell ref="L91:L93"/>
    <mergeCell ref="M91:M93"/>
    <mergeCell ref="O91:O93"/>
    <mergeCell ref="P91:P93"/>
    <mergeCell ref="Q91:Q93"/>
    <mergeCell ref="F94:F96"/>
    <mergeCell ref="E94:E96"/>
    <mergeCell ref="D94:D96"/>
    <mergeCell ref="C94:C96"/>
    <mergeCell ref="B94:B96"/>
    <mergeCell ref="K94:K96"/>
    <mergeCell ref="J94:J96"/>
    <mergeCell ref="I94:I96"/>
    <mergeCell ref="H94:H96"/>
    <mergeCell ref="G94:G96"/>
    <mergeCell ref="L97:L99"/>
    <mergeCell ref="M97:M99"/>
    <mergeCell ref="O97:O99"/>
    <mergeCell ref="P97:P99"/>
    <mergeCell ref="B100:B102"/>
    <mergeCell ref="Q97:Q99"/>
    <mergeCell ref="G97:G99"/>
    <mergeCell ref="H97:H99"/>
    <mergeCell ref="I97:I99"/>
    <mergeCell ref="J97:J99"/>
    <mergeCell ref="K97:K99"/>
    <mergeCell ref="B97:B99"/>
    <mergeCell ref="C97:C99"/>
    <mergeCell ref="D97:D99"/>
    <mergeCell ref="E97:E99"/>
    <mergeCell ref="F97:F99"/>
    <mergeCell ref="J100:J102"/>
    <mergeCell ref="O100:O102"/>
    <mergeCell ref="P100:P102"/>
    <mergeCell ref="Q100:Q102"/>
    <mergeCell ref="C100:C102"/>
    <mergeCell ref="D100:D102"/>
    <mergeCell ref="E100:E102"/>
    <mergeCell ref="F100:F102"/>
    <mergeCell ref="K103:K105"/>
    <mergeCell ref="L103:L105"/>
    <mergeCell ref="K100:K102"/>
    <mergeCell ref="L100:L102"/>
    <mergeCell ref="M100:M102"/>
    <mergeCell ref="N100:N102"/>
    <mergeCell ref="N103:N105"/>
    <mergeCell ref="M103:M105"/>
    <mergeCell ref="B106:B108"/>
    <mergeCell ref="C106:C108"/>
    <mergeCell ref="D106:D108"/>
    <mergeCell ref="E106:E108"/>
    <mergeCell ref="F106:F108"/>
    <mergeCell ref="G106:G108"/>
    <mergeCell ref="H106:H108"/>
    <mergeCell ref="I106:I108"/>
    <mergeCell ref="J106:J108"/>
    <mergeCell ref="K106:K108"/>
    <mergeCell ref="G100:G102"/>
    <mergeCell ref="H100:H102"/>
    <mergeCell ref="I100:I102"/>
    <mergeCell ref="I103:I105"/>
    <mergeCell ref="J103:J105"/>
    <mergeCell ref="H103:H105"/>
    <mergeCell ref="M109:M111"/>
    <mergeCell ref="O109:O111"/>
    <mergeCell ref="P109:P111"/>
    <mergeCell ref="Q109:Q111"/>
    <mergeCell ref="L106:L108"/>
    <mergeCell ref="M106:M108"/>
    <mergeCell ref="O106:O108"/>
    <mergeCell ref="P106:P108"/>
    <mergeCell ref="Q106:Q108"/>
    <mergeCell ref="J112:J114"/>
    <mergeCell ref="A112:A114"/>
    <mergeCell ref="B112:B114"/>
    <mergeCell ref="C112:C114"/>
    <mergeCell ref="D112:D114"/>
    <mergeCell ref="E112:E114"/>
    <mergeCell ref="Q124:Q126"/>
    <mergeCell ref="P124:P126"/>
    <mergeCell ref="O124:O126"/>
    <mergeCell ref="M124:M126"/>
    <mergeCell ref="M121:M123"/>
    <mergeCell ref="O121:O123"/>
    <mergeCell ref="P121:P123"/>
    <mergeCell ref="Q121:Q123"/>
    <mergeCell ref="H121:H123"/>
    <mergeCell ref="I121:I123"/>
    <mergeCell ref="J121:J123"/>
    <mergeCell ref="K121:K123"/>
    <mergeCell ref="L121:L123"/>
    <mergeCell ref="K124:K126"/>
    <mergeCell ref="L124:L126"/>
    <mergeCell ref="H124:H126"/>
    <mergeCell ref="I124:I126"/>
    <mergeCell ref="J124:J126"/>
    <mergeCell ref="E130:E132"/>
    <mergeCell ref="F130:F132"/>
    <mergeCell ref="G130:G132"/>
    <mergeCell ref="H130:H132"/>
    <mergeCell ref="I130:I132"/>
    <mergeCell ref="Q112:Q114"/>
    <mergeCell ref="O115:O117"/>
    <mergeCell ref="P115:P117"/>
    <mergeCell ref="Q115:Q117"/>
    <mergeCell ref="O118:O120"/>
    <mergeCell ref="P118:P120"/>
    <mergeCell ref="Q118:Q120"/>
    <mergeCell ref="K112:K114"/>
    <mergeCell ref="L112:L114"/>
    <mergeCell ref="M112:M114"/>
    <mergeCell ref="O112:O114"/>
    <mergeCell ref="P112:P114"/>
    <mergeCell ref="M118:M120"/>
    <mergeCell ref="L118:L120"/>
    <mergeCell ref="K118:K120"/>
    <mergeCell ref="F112:F114"/>
    <mergeCell ref="G112:G114"/>
    <mergeCell ref="H112:H114"/>
    <mergeCell ref="I112:I114"/>
    <mergeCell ref="M130:M132"/>
    <mergeCell ref="O130:O132"/>
    <mergeCell ref="P130:P132"/>
    <mergeCell ref="Q130:Q132"/>
    <mergeCell ref="A133:A135"/>
    <mergeCell ref="B133:B135"/>
    <mergeCell ref="C133:C135"/>
    <mergeCell ref="D133:D135"/>
    <mergeCell ref="E133:E135"/>
    <mergeCell ref="F133:F135"/>
    <mergeCell ref="G133:G135"/>
    <mergeCell ref="H133:H135"/>
    <mergeCell ref="I133:I135"/>
    <mergeCell ref="J133:J135"/>
    <mergeCell ref="K133:K135"/>
    <mergeCell ref="L133:L135"/>
    <mergeCell ref="M133:M135"/>
    <mergeCell ref="O133:O135"/>
    <mergeCell ref="P133:P135"/>
    <mergeCell ref="Q133:Q135"/>
    <mergeCell ref="A130:A132"/>
    <mergeCell ref="B130:B132"/>
    <mergeCell ref="C130:C132"/>
    <mergeCell ref="D130:D132"/>
    <mergeCell ref="Q139:Q141"/>
    <mergeCell ref="A136:A138"/>
    <mergeCell ref="B136:B138"/>
    <mergeCell ref="J136:J138"/>
    <mergeCell ref="A139:A141"/>
    <mergeCell ref="B139:B141"/>
    <mergeCell ref="C139:C141"/>
    <mergeCell ref="D139:D141"/>
    <mergeCell ref="E139:E141"/>
    <mergeCell ref="F139:F141"/>
    <mergeCell ref="G139:G141"/>
    <mergeCell ref="H139:H141"/>
    <mergeCell ref="I139:I141"/>
    <mergeCell ref="K139:K141"/>
    <mergeCell ref="L139:L141"/>
    <mergeCell ref="M139:M141"/>
    <mergeCell ref="O139:O141"/>
    <mergeCell ref="P139:P141"/>
    <mergeCell ref="Q142:Q144"/>
    <mergeCell ref="K145:K147"/>
    <mergeCell ref="L145:L147"/>
    <mergeCell ref="M145:M147"/>
    <mergeCell ref="O145:O147"/>
    <mergeCell ref="P145:P147"/>
    <mergeCell ref="Q145:Q147"/>
    <mergeCell ref="C136:C138"/>
    <mergeCell ref="D136:D138"/>
    <mergeCell ref="E136:E138"/>
    <mergeCell ref="F136:F138"/>
    <mergeCell ref="G136:G138"/>
    <mergeCell ref="H136:H138"/>
    <mergeCell ref="I136:I138"/>
    <mergeCell ref="K136:K138"/>
    <mergeCell ref="M142:M144"/>
    <mergeCell ref="D142:D144"/>
    <mergeCell ref="C142:C144"/>
    <mergeCell ref="L136:L138"/>
    <mergeCell ref="M136:M138"/>
    <mergeCell ref="O136:O138"/>
    <mergeCell ref="P136:P138"/>
    <mergeCell ref="Q136:Q138"/>
    <mergeCell ref="J139:J141"/>
    <mergeCell ref="Q148:Q150"/>
    <mergeCell ref="A145:A147"/>
    <mergeCell ref="B145:B147"/>
    <mergeCell ref="A148:A150"/>
    <mergeCell ref="B148:B150"/>
    <mergeCell ref="C148:C150"/>
    <mergeCell ref="D148:D150"/>
    <mergeCell ref="E148:E150"/>
    <mergeCell ref="F148:F150"/>
    <mergeCell ref="G148:G150"/>
    <mergeCell ref="H148:H150"/>
    <mergeCell ref="I148:I150"/>
    <mergeCell ref="H151:H153"/>
    <mergeCell ref="I151:I153"/>
    <mergeCell ref="J145:J147"/>
    <mergeCell ref="C145:C147"/>
    <mergeCell ref="D145:D147"/>
    <mergeCell ref="E145:E147"/>
    <mergeCell ref="F145:F147"/>
    <mergeCell ref="G145:G147"/>
    <mergeCell ref="H145:H147"/>
    <mergeCell ref="I145:I147"/>
    <mergeCell ref="J151:J153"/>
    <mergeCell ref="J148:J150"/>
    <mergeCell ref="Q151:Q153"/>
    <mergeCell ref="A154:A156"/>
    <mergeCell ref="B154:B156"/>
    <mergeCell ref="C154:C156"/>
    <mergeCell ref="D154:D156"/>
    <mergeCell ref="E154:E156"/>
    <mergeCell ref="F154:F156"/>
    <mergeCell ref="G154:G156"/>
    <mergeCell ref="H154:H156"/>
    <mergeCell ref="I154:I156"/>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K142:K144"/>
    <mergeCell ref="L142:L144"/>
    <mergeCell ref="O142:O144"/>
    <mergeCell ref="P142:P144"/>
    <mergeCell ref="K151:K153"/>
    <mergeCell ref="L151:L153"/>
    <mergeCell ref="M151:M153"/>
    <mergeCell ref="O151:O153"/>
    <mergeCell ref="P151:P153"/>
    <mergeCell ref="K148:K150"/>
    <mergeCell ref="L148:L150"/>
    <mergeCell ref="M148:M150"/>
    <mergeCell ref="O148:O150"/>
    <mergeCell ref="P148:P150"/>
    <mergeCell ref="J130:J132"/>
    <mergeCell ref="K130:K132"/>
    <mergeCell ref="L130:L132"/>
    <mergeCell ref="AN4:AY4"/>
    <mergeCell ref="AT5:AV5"/>
    <mergeCell ref="AW5:AX5"/>
    <mergeCell ref="AY5:AY6"/>
    <mergeCell ref="B142:B144"/>
    <mergeCell ref="A142:A144"/>
    <mergeCell ref="O103:O105"/>
    <mergeCell ref="P103:P105"/>
    <mergeCell ref="Q103:Q105"/>
    <mergeCell ref="J142:J144"/>
    <mergeCell ref="I142:I144"/>
    <mergeCell ref="H142:H144"/>
    <mergeCell ref="G142:G144"/>
    <mergeCell ref="F142:F144"/>
    <mergeCell ref="E142:E144"/>
    <mergeCell ref="B103:B105"/>
    <mergeCell ref="C103:C105"/>
    <mergeCell ref="D103:D105"/>
    <mergeCell ref="E103:E105"/>
    <mergeCell ref="F103:F105"/>
    <mergeCell ref="G103:G105"/>
  </mergeCells>
  <conditionalFormatting sqref="K7 AB7:AB16">
    <cfRule type="cellIs" dxfId="2639" priority="3324" operator="equal">
      <formula>"Muy Alta"</formula>
    </cfRule>
    <cfRule type="cellIs" dxfId="2638" priority="3325" operator="equal">
      <formula>"Alta"</formula>
    </cfRule>
    <cfRule type="cellIs" dxfId="2637" priority="3326" operator="equal">
      <formula>"Media"</formula>
    </cfRule>
    <cfRule type="cellIs" dxfId="2636" priority="3327" operator="equal">
      <formula>"Baja"</formula>
    </cfRule>
    <cfRule type="cellIs" dxfId="2635" priority="3328" operator="equal">
      <formula>"Muy Baja"</formula>
    </cfRule>
  </conditionalFormatting>
  <conditionalFormatting sqref="Q7 AF7:AF16">
    <cfRule type="cellIs" dxfId="2634" priority="3315" operator="equal">
      <formula>"Extremo"</formula>
    </cfRule>
    <cfRule type="cellIs" dxfId="2633" priority="3316" operator="equal">
      <formula>"Alto"</formula>
    </cfRule>
    <cfRule type="cellIs" dxfId="2632" priority="3317" operator="equal">
      <formula>"Moderado"</formula>
    </cfRule>
    <cfRule type="cellIs" dxfId="2631" priority="3318" operator="equal">
      <formula>"Bajo"</formula>
    </cfRule>
  </conditionalFormatting>
  <conditionalFormatting sqref="AB49 AB55 AB58 AB61 AB64 AB67 AB79 AB82 AB88 AB91 AB97:AB98 AB109 AB19 AB22">
    <cfRule type="cellIs" dxfId="2630" priority="3310" operator="equal">
      <formula>"Muy Alta"</formula>
    </cfRule>
    <cfRule type="cellIs" dxfId="2629" priority="3311" operator="equal">
      <formula>"Alta"</formula>
    </cfRule>
    <cfRule type="cellIs" dxfId="2628" priority="3312" operator="equal">
      <formula>"Media"</formula>
    </cfRule>
    <cfRule type="cellIs" dxfId="2627" priority="3313" operator="equal">
      <formula>"Baja"</formula>
    </cfRule>
    <cfRule type="cellIs" dxfId="2626" priority="3314" operator="equal">
      <formula>"Muy Baja"</formula>
    </cfRule>
  </conditionalFormatting>
  <conditionalFormatting sqref="AD49 AD55 AD58 AD61 AD64 AD67 AD79 AD82 AD88 AD91 AD97:AD98 AD109 AD19 AD22 AD7:AD16">
    <cfRule type="cellIs" dxfId="2625" priority="3305" operator="equal">
      <formula>"Catastrófico"</formula>
    </cfRule>
    <cfRule type="cellIs" dxfId="2624" priority="3306" operator="equal">
      <formula>"Mayor"</formula>
    </cfRule>
    <cfRule type="cellIs" dxfId="2623" priority="3307" operator="equal">
      <formula>"Moderado"</formula>
    </cfRule>
    <cfRule type="cellIs" dxfId="2622" priority="3308" operator="equal">
      <formula>"Menor"</formula>
    </cfRule>
    <cfRule type="cellIs" dxfId="2621" priority="3309" operator="equal">
      <formula>"Leve"</formula>
    </cfRule>
  </conditionalFormatting>
  <conditionalFormatting sqref="AF49 AF55 AF58 AF61 AF64 AF67 AF79 AF82 AF88 AF91 AF97:AF98 AF109 AF19 AF22">
    <cfRule type="cellIs" dxfId="2620" priority="3301" operator="equal">
      <formula>"Extremo"</formula>
    </cfRule>
    <cfRule type="cellIs" dxfId="2619" priority="3302" operator="equal">
      <formula>"Alto"</formula>
    </cfRule>
    <cfRule type="cellIs" dxfId="2618" priority="3303" operator="equal">
      <formula>"Moderado"</formula>
    </cfRule>
    <cfRule type="cellIs" dxfId="2617" priority="3304" operator="equal">
      <formula>"Bajo"</formula>
    </cfRule>
  </conditionalFormatting>
  <conditionalFormatting sqref="K97:K98">
    <cfRule type="cellIs" dxfId="2616" priority="1438" operator="equal">
      <formula>"Muy Alta"</formula>
    </cfRule>
    <cfRule type="cellIs" dxfId="2615" priority="1439" operator="equal">
      <formula>"Alta"</formula>
    </cfRule>
    <cfRule type="cellIs" dxfId="2614" priority="1440" operator="equal">
      <formula>"Media"</formula>
    </cfRule>
    <cfRule type="cellIs" dxfId="2613" priority="1441" operator="equal">
      <formula>"Baja"</formula>
    </cfRule>
    <cfRule type="cellIs" dxfId="2612" priority="1442" operator="equal">
      <formula>"Muy Baja"</formula>
    </cfRule>
  </conditionalFormatting>
  <conditionalFormatting sqref="K82">
    <cfRule type="cellIs" dxfId="2611" priority="1498" operator="equal">
      <formula>"Muy Alta"</formula>
    </cfRule>
    <cfRule type="cellIs" dxfId="2610" priority="1499" operator="equal">
      <formula>"Alta"</formula>
    </cfRule>
    <cfRule type="cellIs" dxfId="2609" priority="1500" operator="equal">
      <formula>"Media"</formula>
    </cfRule>
    <cfRule type="cellIs" dxfId="2608" priority="1501" operator="equal">
      <formula>"Baja"</formula>
    </cfRule>
    <cfRule type="cellIs" dxfId="2607" priority="1502" operator="equal">
      <formula>"Muy Baja"</formula>
    </cfRule>
  </conditionalFormatting>
  <conditionalFormatting sqref="N7:N9">
    <cfRule type="containsText" dxfId="2606" priority="3006" operator="containsText" text="❌">
      <formula>NOT(ISERROR(SEARCH("❌",N7)))</formula>
    </cfRule>
  </conditionalFormatting>
  <conditionalFormatting sqref="AD52">
    <cfRule type="cellIs" dxfId="2605" priority="2484" operator="equal">
      <formula>"Catastrófico"</formula>
    </cfRule>
    <cfRule type="cellIs" dxfId="2604" priority="2485" operator="equal">
      <formula>"Mayor"</formula>
    </cfRule>
    <cfRule type="cellIs" dxfId="2603" priority="2486" operator="equal">
      <formula>"Moderado"</formula>
    </cfRule>
    <cfRule type="cellIs" dxfId="2602" priority="2487" operator="equal">
      <formula>"Menor"</formula>
    </cfRule>
    <cfRule type="cellIs" dxfId="2601" priority="2488" operator="equal">
      <formula>"Leve"</formula>
    </cfRule>
  </conditionalFormatting>
  <conditionalFormatting sqref="AF52">
    <cfRule type="cellIs" dxfId="2600" priority="2480" operator="equal">
      <formula>"Extremo"</formula>
    </cfRule>
    <cfRule type="cellIs" dxfId="2599" priority="2481" operator="equal">
      <formula>"Alto"</formula>
    </cfRule>
    <cfRule type="cellIs" dxfId="2598" priority="2482" operator="equal">
      <formula>"Moderado"</formula>
    </cfRule>
    <cfRule type="cellIs" dxfId="2597" priority="2483" operator="equal">
      <formula>"Bajo"</formula>
    </cfRule>
  </conditionalFormatting>
  <conditionalFormatting sqref="AF50">
    <cfRule type="cellIs" dxfId="2596" priority="2494" operator="equal">
      <formula>"Extremo"</formula>
    </cfRule>
    <cfRule type="cellIs" dxfId="2595" priority="2495" operator="equal">
      <formula>"Alto"</formula>
    </cfRule>
    <cfRule type="cellIs" dxfId="2594" priority="2496" operator="equal">
      <formula>"Moderado"</formula>
    </cfRule>
    <cfRule type="cellIs" dxfId="2593" priority="2497" operator="equal">
      <formula>"Bajo"</formula>
    </cfRule>
  </conditionalFormatting>
  <conditionalFormatting sqref="AB23">
    <cfRule type="cellIs" dxfId="2592" priority="2909" operator="equal">
      <formula>"Muy Alta"</formula>
    </cfRule>
    <cfRule type="cellIs" dxfId="2591" priority="2910" operator="equal">
      <formula>"Alta"</formula>
    </cfRule>
    <cfRule type="cellIs" dxfId="2590" priority="2911" operator="equal">
      <formula>"Media"</formula>
    </cfRule>
    <cfRule type="cellIs" dxfId="2589" priority="2912" operator="equal">
      <formula>"Baja"</formula>
    </cfRule>
    <cfRule type="cellIs" dxfId="2588" priority="2913" operator="equal">
      <formula>"Muy Baja"</formula>
    </cfRule>
  </conditionalFormatting>
  <conditionalFormatting sqref="AD23">
    <cfRule type="cellIs" dxfId="2587" priority="2904" operator="equal">
      <formula>"Catastrófico"</formula>
    </cfRule>
    <cfRule type="cellIs" dxfId="2586" priority="2905" operator="equal">
      <formula>"Mayor"</formula>
    </cfRule>
    <cfRule type="cellIs" dxfId="2585" priority="2906" operator="equal">
      <formula>"Moderado"</formula>
    </cfRule>
    <cfRule type="cellIs" dxfId="2584" priority="2907" operator="equal">
      <formula>"Menor"</formula>
    </cfRule>
    <cfRule type="cellIs" dxfId="2583" priority="2908" operator="equal">
      <formula>"Leve"</formula>
    </cfRule>
  </conditionalFormatting>
  <conditionalFormatting sqref="AF23">
    <cfRule type="cellIs" dxfId="2582" priority="2900" operator="equal">
      <formula>"Extremo"</formula>
    </cfRule>
    <cfRule type="cellIs" dxfId="2581" priority="2901" operator="equal">
      <formula>"Alto"</formula>
    </cfRule>
    <cfRule type="cellIs" dxfId="2580" priority="2902" operator="equal">
      <formula>"Moderado"</formula>
    </cfRule>
    <cfRule type="cellIs" dxfId="2579" priority="2903" operator="equal">
      <formula>"Bajo"</formula>
    </cfRule>
  </conditionalFormatting>
  <conditionalFormatting sqref="AB24">
    <cfRule type="cellIs" dxfId="2578" priority="2895" operator="equal">
      <formula>"Muy Alta"</formula>
    </cfRule>
    <cfRule type="cellIs" dxfId="2577" priority="2896" operator="equal">
      <formula>"Alta"</formula>
    </cfRule>
    <cfRule type="cellIs" dxfId="2576" priority="2897" operator="equal">
      <formula>"Media"</formula>
    </cfRule>
    <cfRule type="cellIs" dxfId="2575" priority="2898" operator="equal">
      <formula>"Baja"</formula>
    </cfRule>
    <cfRule type="cellIs" dxfId="2574" priority="2899" operator="equal">
      <formula>"Muy Baja"</formula>
    </cfRule>
  </conditionalFormatting>
  <conditionalFormatting sqref="AD24">
    <cfRule type="cellIs" dxfId="2573" priority="2890" operator="equal">
      <formula>"Catastrófico"</formula>
    </cfRule>
    <cfRule type="cellIs" dxfId="2572" priority="2891" operator="equal">
      <formula>"Mayor"</formula>
    </cfRule>
    <cfRule type="cellIs" dxfId="2571" priority="2892" operator="equal">
      <formula>"Moderado"</formula>
    </cfRule>
    <cfRule type="cellIs" dxfId="2570" priority="2893" operator="equal">
      <formula>"Menor"</formula>
    </cfRule>
    <cfRule type="cellIs" dxfId="2569" priority="2894" operator="equal">
      <formula>"Leve"</formula>
    </cfRule>
  </conditionalFormatting>
  <conditionalFormatting sqref="AF24">
    <cfRule type="cellIs" dxfId="2568" priority="2886" operator="equal">
      <formula>"Extremo"</formula>
    </cfRule>
    <cfRule type="cellIs" dxfId="2567" priority="2887" operator="equal">
      <formula>"Alto"</formula>
    </cfRule>
    <cfRule type="cellIs" dxfId="2566" priority="2888" operator="equal">
      <formula>"Moderado"</formula>
    </cfRule>
    <cfRule type="cellIs" dxfId="2565" priority="2889" operator="equal">
      <formula>"Bajo"</formula>
    </cfRule>
  </conditionalFormatting>
  <conditionalFormatting sqref="AB25">
    <cfRule type="cellIs" dxfId="2564" priority="2881" operator="equal">
      <formula>"Muy Alta"</formula>
    </cfRule>
    <cfRule type="cellIs" dxfId="2563" priority="2882" operator="equal">
      <formula>"Alta"</formula>
    </cfRule>
    <cfRule type="cellIs" dxfId="2562" priority="2883" operator="equal">
      <formula>"Media"</formula>
    </cfRule>
    <cfRule type="cellIs" dxfId="2561" priority="2884" operator="equal">
      <formula>"Baja"</formula>
    </cfRule>
    <cfRule type="cellIs" dxfId="2560" priority="2885" operator="equal">
      <formula>"Muy Baja"</formula>
    </cfRule>
  </conditionalFormatting>
  <conditionalFormatting sqref="AD25">
    <cfRule type="cellIs" dxfId="2559" priority="2876" operator="equal">
      <formula>"Catastrófico"</formula>
    </cfRule>
    <cfRule type="cellIs" dxfId="2558" priority="2877" operator="equal">
      <formula>"Mayor"</formula>
    </cfRule>
    <cfRule type="cellIs" dxfId="2557" priority="2878" operator="equal">
      <formula>"Moderado"</formula>
    </cfRule>
    <cfRule type="cellIs" dxfId="2556" priority="2879" operator="equal">
      <formula>"Menor"</formula>
    </cfRule>
    <cfRule type="cellIs" dxfId="2555" priority="2880" operator="equal">
      <formula>"Leve"</formula>
    </cfRule>
  </conditionalFormatting>
  <conditionalFormatting sqref="AF25">
    <cfRule type="cellIs" dxfId="2554" priority="2872" operator="equal">
      <formula>"Extremo"</formula>
    </cfRule>
    <cfRule type="cellIs" dxfId="2553" priority="2873" operator="equal">
      <formula>"Alto"</formula>
    </cfRule>
    <cfRule type="cellIs" dxfId="2552" priority="2874" operator="equal">
      <formula>"Moderado"</formula>
    </cfRule>
    <cfRule type="cellIs" dxfId="2551" priority="2875" operator="equal">
      <formula>"Bajo"</formula>
    </cfRule>
  </conditionalFormatting>
  <conditionalFormatting sqref="AB26">
    <cfRule type="cellIs" dxfId="2550" priority="2867" operator="equal">
      <formula>"Muy Alta"</formula>
    </cfRule>
    <cfRule type="cellIs" dxfId="2549" priority="2868" operator="equal">
      <formula>"Alta"</formula>
    </cfRule>
    <cfRule type="cellIs" dxfId="2548" priority="2869" operator="equal">
      <formula>"Media"</formula>
    </cfRule>
    <cfRule type="cellIs" dxfId="2547" priority="2870" operator="equal">
      <formula>"Baja"</formula>
    </cfRule>
    <cfRule type="cellIs" dxfId="2546" priority="2871" operator="equal">
      <formula>"Muy Baja"</formula>
    </cfRule>
  </conditionalFormatting>
  <conditionalFormatting sqref="AD26">
    <cfRule type="cellIs" dxfId="2545" priority="2862" operator="equal">
      <formula>"Catastrófico"</formula>
    </cfRule>
    <cfRule type="cellIs" dxfId="2544" priority="2863" operator="equal">
      <formula>"Mayor"</formula>
    </cfRule>
    <cfRule type="cellIs" dxfId="2543" priority="2864" operator="equal">
      <formula>"Moderado"</formula>
    </cfRule>
    <cfRule type="cellIs" dxfId="2542" priority="2865" operator="equal">
      <formula>"Menor"</formula>
    </cfRule>
    <cfRule type="cellIs" dxfId="2541" priority="2866" operator="equal">
      <formula>"Leve"</formula>
    </cfRule>
  </conditionalFormatting>
  <conditionalFormatting sqref="AF26">
    <cfRule type="cellIs" dxfId="2540" priority="2858" operator="equal">
      <formula>"Extremo"</formula>
    </cfRule>
    <cfRule type="cellIs" dxfId="2539" priority="2859" operator="equal">
      <formula>"Alto"</formula>
    </cfRule>
    <cfRule type="cellIs" dxfId="2538" priority="2860" operator="equal">
      <formula>"Moderado"</formula>
    </cfRule>
    <cfRule type="cellIs" dxfId="2537" priority="2861" operator="equal">
      <formula>"Bajo"</formula>
    </cfRule>
  </conditionalFormatting>
  <conditionalFormatting sqref="AB27">
    <cfRule type="cellIs" dxfId="2536" priority="2853" operator="equal">
      <formula>"Muy Alta"</formula>
    </cfRule>
    <cfRule type="cellIs" dxfId="2535" priority="2854" operator="equal">
      <formula>"Alta"</formula>
    </cfRule>
    <cfRule type="cellIs" dxfId="2534" priority="2855" operator="equal">
      <formula>"Media"</formula>
    </cfRule>
    <cfRule type="cellIs" dxfId="2533" priority="2856" operator="equal">
      <formula>"Baja"</formula>
    </cfRule>
    <cfRule type="cellIs" dxfId="2532" priority="2857" operator="equal">
      <formula>"Muy Baja"</formula>
    </cfRule>
  </conditionalFormatting>
  <conditionalFormatting sqref="AD27">
    <cfRule type="cellIs" dxfId="2531" priority="2848" operator="equal">
      <formula>"Catastrófico"</formula>
    </cfRule>
    <cfRule type="cellIs" dxfId="2530" priority="2849" operator="equal">
      <formula>"Mayor"</formula>
    </cfRule>
    <cfRule type="cellIs" dxfId="2529" priority="2850" operator="equal">
      <formula>"Moderado"</formula>
    </cfRule>
    <cfRule type="cellIs" dxfId="2528" priority="2851" operator="equal">
      <formula>"Menor"</formula>
    </cfRule>
    <cfRule type="cellIs" dxfId="2527" priority="2852" operator="equal">
      <formula>"Leve"</formula>
    </cfRule>
  </conditionalFormatting>
  <conditionalFormatting sqref="AF27">
    <cfRule type="cellIs" dxfId="2526" priority="2844" operator="equal">
      <formula>"Extremo"</formula>
    </cfRule>
    <cfRule type="cellIs" dxfId="2525" priority="2845" operator="equal">
      <formula>"Alto"</formula>
    </cfRule>
    <cfRule type="cellIs" dxfId="2524" priority="2846" operator="equal">
      <formula>"Moderado"</formula>
    </cfRule>
    <cfRule type="cellIs" dxfId="2523" priority="2847" operator="equal">
      <formula>"Bajo"</formula>
    </cfRule>
  </conditionalFormatting>
  <conditionalFormatting sqref="AB28">
    <cfRule type="cellIs" dxfId="2522" priority="2839" operator="equal">
      <formula>"Muy Alta"</formula>
    </cfRule>
    <cfRule type="cellIs" dxfId="2521" priority="2840" operator="equal">
      <formula>"Alta"</formula>
    </cfRule>
    <cfRule type="cellIs" dxfId="2520" priority="2841" operator="equal">
      <formula>"Media"</formula>
    </cfRule>
    <cfRule type="cellIs" dxfId="2519" priority="2842" operator="equal">
      <formula>"Baja"</formula>
    </cfRule>
    <cfRule type="cellIs" dxfId="2518" priority="2843" operator="equal">
      <formula>"Muy Baja"</formula>
    </cfRule>
  </conditionalFormatting>
  <conditionalFormatting sqref="AD28">
    <cfRule type="cellIs" dxfId="2517" priority="2834" operator="equal">
      <formula>"Catastrófico"</formula>
    </cfRule>
    <cfRule type="cellIs" dxfId="2516" priority="2835" operator="equal">
      <formula>"Mayor"</formula>
    </cfRule>
    <cfRule type="cellIs" dxfId="2515" priority="2836" operator="equal">
      <formula>"Moderado"</formula>
    </cfRule>
    <cfRule type="cellIs" dxfId="2514" priority="2837" operator="equal">
      <formula>"Menor"</formula>
    </cfRule>
    <cfRule type="cellIs" dxfId="2513" priority="2838" operator="equal">
      <formula>"Leve"</formula>
    </cfRule>
  </conditionalFormatting>
  <conditionalFormatting sqref="AF28">
    <cfRule type="cellIs" dxfId="2512" priority="2830" operator="equal">
      <formula>"Extremo"</formula>
    </cfRule>
    <cfRule type="cellIs" dxfId="2511" priority="2831" operator="equal">
      <formula>"Alto"</formula>
    </cfRule>
    <cfRule type="cellIs" dxfId="2510" priority="2832" operator="equal">
      <formula>"Moderado"</formula>
    </cfRule>
    <cfRule type="cellIs" dxfId="2509" priority="2833" operator="equal">
      <formula>"Bajo"</formula>
    </cfRule>
  </conditionalFormatting>
  <conditionalFormatting sqref="AB29">
    <cfRule type="cellIs" dxfId="2508" priority="2825" operator="equal">
      <formula>"Muy Alta"</formula>
    </cfRule>
    <cfRule type="cellIs" dxfId="2507" priority="2826" operator="equal">
      <formula>"Alta"</formula>
    </cfRule>
    <cfRule type="cellIs" dxfId="2506" priority="2827" operator="equal">
      <formula>"Media"</formula>
    </cfRule>
    <cfRule type="cellIs" dxfId="2505" priority="2828" operator="equal">
      <formula>"Baja"</formula>
    </cfRule>
    <cfRule type="cellIs" dxfId="2504" priority="2829" operator="equal">
      <formula>"Muy Baja"</formula>
    </cfRule>
  </conditionalFormatting>
  <conditionalFormatting sqref="AD29">
    <cfRule type="cellIs" dxfId="2503" priority="2820" operator="equal">
      <formula>"Catastrófico"</formula>
    </cfRule>
    <cfRule type="cellIs" dxfId="2502" priority="2821" operator="equal">
      <formula>"Mayor"</formula>
    </cfRule>
    <cfRule type="cellIs" dxfId="2501" priority="2822" operator="equal">
      <formula>"Moderado"</formula>
    </cfRule>
    <cfRule type="cellIs" dxfId="2500" priority="2823" operator="equal">
      <formula>"Menor"</formula>
    </cfRule>
    <cfRule type="cellIs" dxfId="2499" priority="2824" operator="equal">
      <formula>"Leve"</formula>
    </cfRule>
  </conditionalFormatting>
  <conditionalFormatting sqref="AF29">
    <cfRule type="cellIs" dxfId="2498" priority="2816" operator="equal">
      <formula>"Extremo"</formula>
    </cfRule>
    <cfRule type="cellIs" dxfId="2497" priority="2817" operator="equal">
      <formula>"Alto"</formula>
    </cfRule>
    <cfRule type="cellIs" dxfId="2496" priority="2818" operator="equal">
      <formula>"Moderado"</formula>
    </cfRule>
    <cfRule type="cellIs" dxfId="2495" priority="2819" operator="equal">
      <formula>"Bajo"</formula>
    </cfRule>
  </conditionalFormatting>
  <conditionalFormatting sqref="AB31">
    <cfRule type="cellIs" dxfId="2494" priority="2797" operator="equal">
      <formula>"Muy Alta"</formula>
    </cfRule>
    <cfRule type="cellIs" dxfId="2493" priority="2798" operator="equal">
      <formula>"Alta"</formula>
    </cfRule>
    <cfRule type="cellIs" dxfId="2492" priority="2799" operator="equal">
      <formula>"Media"</formula>
    </cfRule>
    <cfRule type="cellIs" dxfId="2491" priority="2800" operator="equal">
      <formula>"Baja"</formula>
    </cfRule>
    <cfRule type="cellIs" dxfId="2490" priority="2801" operator="equal">
      <formula>"Muy Baja"</formula>
    </cfRule>
  </conditionalFormatting>
  <conditionalFormatting sqref="AD31">
    <cfRule type="cellIs" dxfId="2489" priority="2792" operator="equal">
      <formula>"Catastrófico"</formula>
    </cfRule>
    <cfRule type="cellIs" dxfId="2488" priority="2793" operator="equal">
      <formula>"Mayor"</formula>
    </cfRule>
    <cfRule type="cellIs" dxfId="2487" priority="2794" operator="equal">
      <formula>"Moderado"</formula>
    </cfRule>
    <cfRule type="cellIs" dxfId="2486" priority="2795" operator="equal">
      <formula>"Menor"</formula>
    </cfRule>
    <cfRule type="cellIs" dxfId="2485" priority="2796" operator="equal">
      <formula>"Leve"</formula>
    </cfRule>
  </conditionalFormatting>
  <conditionalFormatting sqref="AF31">
    <cfRule type="cellIs" dxfId="2484" priority="2788" operator="equal">
      <formula>"Extremo"</formula>
    </cfRule>
    <cfRule type="cellIs" dxfId="2483" priority="2789" operator="equal">
      <formula>"Alto"</formula>
    </cfRule>
    <cfRule type="cellIs" dxfId="2482" priority="2790" operator="equal">
      <formula>"Moderado"</formula>
    </cfRule>
    <cfRule type="cellIs" dxfId="2481" priority="2791" operator="equal">
      <formula>"Bajo"</formula>
    </cfRule>
  </conditionalFormatting>
  <conditionalFormatting sqref="AB32">
    <cfRule type="cellIs" dxfId="2480" priority="2783" operator="equal">
      <formula>"Muy Alta"</formula>
    </cfRule>
    <cfRule type="cellIs" dxfId="2479" priority="2784" operator="equal">
      <formula>"Alta"</formula>
    </cfRule>
    <cfRule type="cellIs" dxfId="2478" priority="2785" operator="equal">
      <formula>"Media"</formula>
    </cfRule>
    <cfRule type="cellIs" dxfId="2477" priority="2786" operator="equal">
      <formula>"Baja"</formula>
    </cfRule>
    <cfRule type="cellIs" dxfId="2476" priority="2787" operator="equal">
      <formula>"Muy Baja"</formula>
    </cfRule>
  </conditionalFormatting>
  <conditionalFormatting sqref="AD32">
    <cfRule type="cellIs" dxfId="2475" priority="2778" operator="equal">
      <formula>"Catastrófico"</formula>
    </cfRule>
    <cfRule type="cellIs" dxfId="2474" priority="2779" operator="equal">
      <formula>"Mayor"</formula>
    </cfRule>
    <cfRule type="cellIs" dxfId="2473" priority="2780" operator="equal">
      <formula>"Moderado"</formula>
    </cfRule>
    <cfRule type="cellIs" dxfId="2472" priority="2781" operator="equal">
      <formula>"Menor"</formula>
    </cfRule>
    <cfRule type="cellIs" dxfId="2471" priority="2782" operator="equal">
      <formula>"Leve"</formula>
    </cfRule>
  </conditionalFormatting>
  <conditionalFormatting sqref="AF32">
    <cfRule type="cellIs" dxfId="2470" priority="2774" operator="equal">
      <formula>"Extremo"</formula>
    </cfRule>
    <cfRule type="cellIs" dxfId="2469" priority="2775" operator="equal">
      <formula>"Alto"</formula>
    </cfRule>
    <cfRule type="cellIs" dxfId="2468" priority="2776" operator="equal">
      <formula>"Moderado"</formula>
    </cfRule>
    <cfRule type="cellIs" dxfId="2467" priority="2777" operator="equal">
      <formula>"Bajo"</formula>
    </cfRule>
  </conditionalFormatting>
  <conditionalFormatting sqref="AB33">
    <cfRule type="cellIs" dxfId="2466" priority="2769" operator="equal">
      <formula>"Muy Alta"</formula>
    </cfRule>
    <cfRule type="cellIs" dxfId="2465" priority="2770" operator="equal">
      <formula>"Alta"</formula>
    </cfRule>
    <cfRule type="cellIs" dxfId="2464" priority="2771" operator="equal">
      <formula>"Media"</formula>
    </cfRule>
    <cfRule type="cellIs" dxfId="2463" priority="2772" operator="equal">
      <formula>"Baja"</formula>
    </cfRule>
    <cfRule type="cellIs" dxfId="2462" priority="2773" operator="equal">
      <formula>"Muy Baja"</formula>
    </cfRule>
  </conditionalFormatting>
  <conditionalFormatting sqref="AD33">
    <cfRule type="cellIs" dxfId="2461" priority="2764" operator="equal">
      <formula>"Catastrófico"</formula>
    </cfRule>
    <cfRule type="cellIs" dxfId="2460" priority="2765" operator="equal">
      <formula>"Mayor"</formula>
    </cfRule>
    <cfRule type="cellIs" dxfId="2459" priority="2766" operator="equal">
      <formula>"Moderado"</formula>
    </cfRule>
    <cfRule type="cellIs" dxfId="2458" priority="2767" operator="equal">
      <formula>"Menor"</formula>
    </cfRule>
    <cfRule type="cellIs" dxfId="2457" priority="2768" operator="equal">
      <formula>"Leve"</formula>
    </cfRule>
  </conditionalFormatting>
  <conditionalFormatting sqref="AF33">
    <cfRule type="cellIs" dxfId="2456" priority="2760" operator="equal">
      <formula>"Extremo"</formula>
    </cfRule>
    <cfRule type="cellIs" dxfId="2455" priority="2761" operator="equal">
      <formula>"Alto"</formula>
    </cfRule>
    <cfRule type="cellIs" dxfId="2454" priority="2762" operator="equal">
      <formula>"Moderado"</formula>
    </cfRule>
    <cfRule type="cellIs" dxfId="2453" priority="2763" operator="equal">
      <formula>"Bajo"</formula>
    </cfRule>
  </conditionalFormatting>
  <conditionalFormatting sqref="AB34">
    <cfRule type="cellIs" dxfId="2452" priority="2755" operator="equal">
      <formula>"Muy Alta"</formula>
    </cfRule>
    <cfRule type="cellIs" dxfId="2451" priority="2756" operator="equal">
      <formula>"Alta"</formula>
    </cfRule>
    <cfRule type="cellIs" dxfId="2450" priority="2757" operator="equal">
      <formula>"Media"</formula>
    </cfRule>
    <cfRule type="cellIs" dxfId="2449" priority="2758" operator="equal">
      <formula>"Baja"</formula>
    </cfRule>
    <cfRule type="cellIs" dxfId="2448" priority="2759" operator="equal">
      <formula>"Muy Baja"</formula>
    </cfRule>
  </conditionalFormatting>
  <conditionalFormatting sqref="AD34">
    <cfRule type="cellIs" dxfId="2447" priority="2750" operator="equal">
      <formula>"Catastrófico"</formula>
    </cfRule>
    <cfRule type="cellIs" dxfId="2446" priority="2751" operator="equal">
      <formula>"Mayor"</formula>
    </cfRule>
    <cfRule type="cellIs" dxfId="2445" priority="2752" operator="equal">
      <formula>"Moderado"</formula>
    </cfRule>
    <cfRule type="cellIs" dxfId="2444" priority="2753" operator="equal">
      <formula>"Menor"</formula>
    </cfRule>
    <cfRule type="cellIs" dxfId="2443" priority="2754" operator="equal">
      <formula>"Leve"</formula>
    </cfRule>
  </conditionalFormatting>
  <conditionalFormatting sqref="AF34">
    <cfRule type="cellIs" dxfId="2442" priority="2746" operator="equal">
      <formula>"Extremo"</formula>
    </cfRule>
    <cfRule type="cellIs" dxfId="2441" priority="2747" operator="equal">
      <formula>"Alto"</formula>
    </cfRule>
    <cfRule type="cellIs" dxfId="2440" priority="2748" operator="equal">
      <formula>"Moderado"</formula>
    </cfRule>
    <cfRule type="cellIs" dxfId="2439" priority="2749" operator="equal">
      <formula>"Bajo"</formula>
    </cfRule>
  </conditionalFormatting>
  <conditionalFormatting sqref="AB35">
    <cfRule type="cellIs" dxfId="2438" priority="2741" operator="equal">
      <formula>"Muy Alta"</formula>
    </cfRule>
    <cfRule type="cellIs" dxfId="2437" priority="2742" operator="equal">
      <formula>"Alta"</formula>
    </cfRule>
    <cfRule type="cellIs" dxfId="2436" priority="2743" operator="equal">
      <formula>"Media"</formula>
    </cfRule>
    <cfRule type="cellIs" dxfId="2435" priority="2744" operator="equal">
      <formula>"Baja"</formula>
    </cfRule>
    <cfRule type="cellIs" dxfId="2434" priority="2745" operator="equal">
      <formula>"Muy Baja"</formula>
    </cfRule>
  </conditionalFormatting>
  <conditionalFormatting sqref="AD35">
    <cfRule type="cellIs" dxfId="2433" priority="2736" operator="equal">
      <formula>"Catastrófico"</formula>
    </cfRule>
    <cfRule type="cellIs" dxfId="2432" priority="2737" operator="equal">
      <formula>"Mayor"</formula>
    </cfRule>
    <cfRule type="cellIs" dxfId="2431" priority="2738" operator="equal">
      <formula>"Moderado"</formula>
    </cfRule>
    <cfRule type="cellIs" dxfId="2430" priority="2739" operator="equal">
      <formula>"Menor"</formula>
    </cfRule>
    <cfRule type="cellIs" dxfId="2429" priority="2740" operator="equal">
      <formula>"Leve"</formula>
    </cfRule>
  </conditionalFormatting>
  <conditionalFormatting sqref="AF35">
    <cfRule type="cellIs" dxfId="2428" priority="2732" operator="equal">
      <formula>"Extremo"</formula>
    </cfRule>
    <cfRule type="cellIs" dxfId="2427" priority="2733" operator="equal">
      <formula>"Alto"</formula>
    </cfRule>
    <cfRule type="cellIs" dxfId="2426" priority="2734" operator="equal">
      <formula>"Moderado"</formula>
    </cfRule>
    <cfRule type="cellIs" dxfId="2425" priority="2735" operator="equal">
      <formula>"Bajo"</formula>
    </cfRule>
  </conditionalFormatting>
  <conditionalFormatting sqref="AB36">
    <cfRule type="cellIs" dxfId="2424" priority="2727" operator="equal">
      <formula>"Muy Alta"</formula>
    </cfRule>
    <cfRule type="cellIs" dxfId="2423" priority="2728" operator="equal">
      <formula>"Alta"</formula>
    </cfRule>
    <cfRule type="cellIs" dxfId="2422" priority="2729" operator="equal">
      <formula>"Media"</formula>
    </cfRule>
    <cfRule type="cellIs" dxfId="2421" priority="2730" operator="equal">
      <formula>"Baja"</formula>
    </cfRule>
    <cfRule type="cellIs" dxfId="2420" priority="2731" operator="equal">
      <formula>"Muy Baja"</formula>
    </cfRule>
  </conditionalFormatting>
  <conditionalFormatting sqref="AD36">
    <cfRule type="cellIs" dxfId="2419" priority="2722" operator="equal">
      <formula>"Catastrófico"</formula>
    </cfRule>
    <cfRule type="cellIs" dxfId="2418" priority="2723" operator="equal">
      <formula>"Mayor"</formula>
    </cfRule>
    <cfRule type="cellIs" dxfId="2417" priority="2724" operator="equal">
      <formula>"Moderado"</formula>
    </cfRule>
    <cfRule type="cellIs" dxfId="2416" priority="2725" operator="equal">
      <formula>"Menor"</formula>
    </cfRule>
    <cfRule type="cellIs" dxfId="2415" priority="2726" operator="equal">
      <formula>"Leve"</formula>
    </cfRule>
  </conditionalFormatting>
  <conditionalFormatting sqref="AF36">
    <cfRule type="cellIs" dxfId="2414" priority="2718" operator="equal">
      <formula>"Extremo"</formula>
    </cfRule>
    <cfRule type="cellIs" dxfId="2413" priority="2719" operator="equal">
      <formula>"Alto"</formula>
    </cfRule>
    <cfRule type="cellIs" dxfId="2412" priority="2720" operator="equal">
      <formula>"Moderado"</formula>
    </cfRule>
    <cfRule type="cellIs" dxfId="2411" priority="2721" operator="equal">
      <formula>"Bajo"</formula>
    </cfRule>
  </conditionalFormatting>
  <conditionalFormatting sqref="AB37">
    <cfRule type="cellIs" dxfId="2410" priority="2713" operator="equal">
      <formula>"Muy Alta"</formula>
    </cfRule>
    <cfRule type="cellIs" dxfId="2409" priority="2714" operator="equal">
      <formula>"Alta"</formula>
    </cfRule>
    <cfRule type="cellIs" dxfId="2408" priority="2715" operator="equal">
      <formula>"Media"</formula>
    </cfRule>
    <cfRule type="cellIs" dxfId="2407" priority="2716" operator="equal">
      <formula>"Baja"</formula>
    </cfRule>
    <cfRule type="cellIs" dxfId="2406" priority="2717" operator="equal">
      <formula>"Muy Baja"</formula>
    </cfRule>
  </conditionalFormatting>
  <conditionalFormatting sqref="AD37">
    <cfRule type="cellIs" dxfId="2405" priority="2708" operator="equal">
      <formula>"Catastrófico"</formula>
    </cfRule>
    <cfRule type="cellIs" dxfId="2404" priority="2709" operator="equal">
      <formula>"Mayor"</formula>
    </cfRule>
    <cfRule type="cellIs" dxfId="2403" priority="2710" operator="equal">
      <formula>"Moderado"</formula>
    </cfRule>
    <cfRule type="cellIs" dxfId="2402" priority="2711" operator="equal">
      <formula>"Menor"</formula>
    </cfRule>
    <cfRule type="cellIs" dxfId="2401" priority="2712" operator="equal">
      <formula>"Leve"</formula>
    </cfRule>
  </conditionalFormatting>
  <conditionalFormatting sqref="AF37">
    <cfRule type="cellIs" dxfId="2400" priority="2704" operator="equal">
      <formula>"Extremo"</formula>
    </cfRule>
    <cfRule type="cellIs" dxfId="2399" priority="2705" operator="equal">
      <formula>"Alto"</formula>
    </cfRule>
    <cfRule type="cellIs" dxfId="2398" priority="2706" operator="equal">
      <formula>"Moderado"</formula>
    </cfRule>
    <cfRule type="cellIs" dxfId="2397" priority="2707" operator="equal">
      <formula>"Bajo"</formula>
    </cfRule>
  </conditionalFormatting>
  <conditionalFormatting sqref="AB38">
    <cfRule type="cellIs" dxfId="2396" priority="2699" operator="equal">
      <formula>"Muy Alta"</formula>
    </cfRule>
    <cfRule type="cellIs" dxfId="2395" priority="2700" operator="equal">
      <formula>"Alta"</formula>
    </cfRule>
    <cfRule type="cellIs" dxfId="2394" priority="2701" operator="equal">
      <formula>"Media"</formula>
    </cfRule>
    <cfRule type="cellIs" dxfId="2393" priority="2702" operator="equal">
      <formula>"Baja"</formula>
    </cfRule>
    <cfRule type="cellIs" dxfId="2392" priority="2703" operator="equal">
      <formula>"Muy Baja"</formula>
    </cfRule>
  </conditionalFormatting>
  <conditionalFormatting sqref="AD38">
    <cfRule type="cellIs" dxfId="2391" priority="2694" operator="equal">
      <formula>"Catastrófico"</formula>
    </cfRule>
    <cfRule type="cellIs" dxfId="2390" priority="2695" operator="equal">
      <formula>"Mayor"</formula>
    </cfRule>
    <cfRule type="cellIs" dxfId="2389" priority="2696" operator="equal">
      <formula>"Moderado"</formula>
    </cfRule>
    <cfRule type="cellIs" dxfId="2388" priority="2697" operator="equal">
      <formula>"Menor"</formula>
    </cfRule>
    <cfRule type="cellIs" dxfId="2387" priority="2698" operator="equal">
      <formula>"Leve"</formula>
    </cfRule>
  </conditionalFormatting>
  <conditionalFormatting sqref="AF38">
    <cfRule type="cellIs" dxfId="2386" priority="2690" operator="equal">
      <formula>"Extremo"</formula>
    </cfRule>
    <cfRule type="cellIs" dxfId="2385" priority="2691" operator="equal">
      <formula>"Alto"</formula>
    </cfRule>
    <cfRule type="cellIs" dxfId="2384" priority="2692" operator="equal">
      <formula>"Moderado"</formula>
    </cfRule>
    <cfRule type="cellIs" dxfId="2383" priority="2693" operator="equal">
      <formula>"Bajo"</formula>
    </cfRule>
  </conditionalFormatting>
  <conditionalFormatting sqref="AB39">
    <cfRule type="cellIs" dxfId="2382" priority="2685" operator="equal">
      <formula>"Muy Alta"</formula>
    </cfRule>
    <cfRule type="cellIs" dxfId="2381" priority="2686" operator="equal">
      <formula>"Alta"</formula>
    </cfRule>
    <cfRule type="cellIs" dxfId="2380" priority="2687" operator="equal">
      <formula>"Media"</formula>
    </cfRule>
    <cfRule type="cellIs" dxfId="2379" priority="2688" operator="equal">
      <formula>"Baja"</formula>
    </cfRule>
    <cfRule type="cellIs" dxfId="2378" priority="2689" operator="equal">
      <formula>"Muy Baja"</formula>
    </cfRule>
  </conditionalFormatting>
  <conditionalFormatting sqref="AD39">
    <cfRule type="cellIs" dxfId="2377" priority="2680" operator="equal">
      <formula>"Catastrófico"</formula>
    </cfRule>
    <cfRule type="cellIs" dxfId="2376" priority="2681" operator="equal">
      <formula>"Mayor"</formula>
    </cfRule>
    <cfRule type="cellIs" dxfId="2375" priority="2682" operator="equal">
      <formula>"Moderado"</formula>
    </cfRule>
    <cfRule type="cellIs" dxfId="2374" priority="2683" operator="equal">
      <formula>"Menor"</formula>
    </cfRule>
    <cfRule type="cellIs" dxfId="2373" priority="2684" operator="equal">
      <formula>"Leve"</formula>
    </cfRule>
  </conditionalFormatting>
  <conditionalFormatting sqref="AF39">
    <cfRule type="cellIs" dxfId="2372" priority="2676" operator="equal">
      <formula>"Extremo"</formula>
    </cfRule>
    <cfRule type="cellIs" dxfId="2371" priority="2677" operator="equal">
      <formula>"Alto"</formula>
    </cfRule>
    <cfRule type="cellIs" dxfId="2370" priority="2678" operator="equal">
      <formula>"Moderado"</formula>
    </cfRule>
    <cfRule type="cellIs" dxfId="2369" priority="2679" operator="equal">
      <formula>"Bajo"</formula>
    </cfRule>
  </conditionalFormatting>
  <conditionalFormatting sqref="AB40">
    <cfRule type="cellIs" dxfId="2368" priority="2671" operator="equal">
      <formula>"Muy Alta"</formula>
    </cfRule>
    <cfRule type="cellIs" dxfId="2367" priority="2672" operator="equal">
      <formula>"Alta"</formula>
    </cfRule>
    <cfRule type="cellIs" dxfId="2366" priority="2673" operator="equal">
      <formula>"Media"</formula>
    </cfRule>
    <cfRule type="cellIs" dxfId="2365" priority="2674" operator="equal">
      <formula>"Baja"</formula>
    </cfRule>
    <cfRule type="cellIs" dxfId="2364" priority="2675" operator="equal">
      <formula>"Muy Baja"</formula>
    </cfRule>
  </conditionalFormatting>
  <conditionalFormatting sqref="AD40">
    <cfRule type="cellIs" dxfId="2363" priority="2666" operator="equal">
      <formula>"Catastrófico"</formula>
    </cfRule>
    <cfRule type="cellIs" dxfId="2362" priority="2667" operator="equal">
      <formula>"Mayor"</formula>
    </cfRule>
    <cfRule type="cellIs" dxfId="2361" priority="2668" operator="equal">
      <formula>"Moderado"</formula>
    </cfRule>
    <cfRule type="cellIs" dxfId="2360" priority="2669" operator="equal">
      <formula>"Menor"</formula>
    </cfRule>
    <cfRule type="cellIs" dxfId="2359" priority="2670" operator="equal">
      <formula>"Leve"</formula>
    </cfRule>
  </conditionalFormatting>
  <conditionalFormatting sqref="AF40">
    <cfRule type="cellIs" dxfId="2358" priority="2662" operator="equal">
      <formula>"Extremo"</formula>
    </cfRule>
    <cfRule type="cellIs" dxfId="2357" priority="2663" operator="equal">
      <formula>"Alto"</formula>
    </cfRule>
    <cfRule type="cellIs" dxfId="2356" priority="2664" operator="equal">
      <formula>"Moderado"</formula>
    </cfRule>
    <cfRule type="cellIs" dxfId="2355" priority="2665" operator="equal">
      <formula>"Bajo"</formula>
    </cfRule>
  </conditionalFormatting>
  <conditionalFormatting sqref="AB41">
    <cfRule type="cellIs" dxfId="2354" priority="2657" operator="equal">
      <formula>"Muy Alta"</formula>
    </cfRule>
    <cfRule type="cellIs" dxfId="2353" priority="2658" operator="equal">
      <formula>"Alta"</formula>
    </cfRule>
    <cfRule type="cellIs" dxfId="2352" priority="2659" operator="equal">
      <formula>"Media"</formula>
    </cfRule>
    <cfRule type="cellIs" dxfId="2351" priority="2660" operator="equal">
      <formula>"Baja"</formula>
    </cfRule>
    <cfRule type="cellIs" dxfId="2350" priority="2661" operator="equal">
      <formula>"Muy Baja"</formula>
    </cfRule>
  </conditionalFormatting>
  <conditionalFormatting sqref="AD41">
    <cfRule type="cellIs" dxfId="2349" priority="2652" operator="equal">
      <formula>"Catastrófico"</formula>
    </cfRule>
    <cfRule type="cellIs" dxfId="2348" priority="2653" operator="equal">
      <formula>"Mayor"</formula>
    </cfRule>
    <cfRule type="cellIs" dxfId="2347" priority="2654" operator="equal">
      <formula>"Moderado"</formula>
    </cfRule>
    <cfRule type="cellIs" dxfId="2346" priority="2655" operator="equal">
      <formula>"Menor"</formula>
    </cfRule>
    <cfRule type="cellIs" dxfId="2345" priority="2656" operator="equal">
      <formula>"Leve"</formula>
    </cfRule>
  </conditionalFormatting>
  <conditionalFormatting sqref="AF41">
    <cfRule type="cellIs" dxfId="2344" priority="2648" operator="equal">
      <formula>"Extremo"</formula>
    </cfRule>
    <cfRule type="cellIs" dxfId="2343" priority="2649" operator="equal">
      <formula>"Alto"</formula>
    </cfRule>
    <cfRule type="cellIs" dxfId="2342" priority="2650" operator="equal">
      <formula>"Moderado"</formula>
    </cfRule>
    <cfRule type="cellIs" dxfId="2341" priority="2651" operator="equal">
      <formula>"Bajo"</formula>
    </cfRule>
  </conditionalFormatting>
  <conditionalFormatting sqref="AB42">
    <cfRule type="cellIs" dxfId="2340" priority="2643" operator="equal">
      <formula>"Muy Alta"</formula>
    </cfRule>
    <cfRule type="cellIs" dxfId="2339" priority="2644" operator="equal">
      <formula>"Alta"</formula>
    </cfRule>
    <cfRule type="cellIs" dxfId="2338" priority="2645" operator="equal">
      <formula>"Media"</formula>
    </cfRule>
    <cfRule type="cellIs" dxfId="2337" priority="2646" operator="equal">
      <formula>"Baja"</formula>
    </cfRule>
    <cfRule type="cellIs" dxfId="2336" priority="2647" operator="equal">
      <formula>"Muy Baja"</formula>
    </cfRule>
  </conditionalFormatting>
  <conditionalFormatting sqref="AD42">
    <cfRule type="cellIs" dxfId="2335" priority="2638" operator="equal">
      <formula>"Catastrófico"</formula>
    </cfRule>
    <cfRule type="cellIs" dxfId="2334" priority="2639" operator="equal">
      <formula>"Mayor"</formula>
    </cfRule>
    <cfRule type="cellIs" dxfId="2333" priority="2640" operator="equal">
      <formula>"Moderado"</formula>
    </cfRule>
    <cfRule type="cellIs" dxfId="2332" priority="2641" operator="equal">
      <formula>"Menor"</formula>
    </cfRule>
    <cfRule type="cellIs" dxfId="2331" priority="2642" operator="equal">
      <formula>"Leve"</formula>
    </cfRule>
  </conditionalFormatting>
  <conditionalFormatting sqref="AF42">
    <cfRule type="cellIs" dxfId="2330" priority="2634" operator="equal">
      <formula>"Extremo"</formula>
    </cfRule>
    <cfRule type="cellIs" dxfId="2329" priority="2635" operator="equal">
      <formula>"Alto"</formula>
    </cfRule>
    <cfRule type="cellIs" dxfId="2328" priority="2636" operator="equal">
      <formula>"Moderado"</formula>
    </cfRule>
    <cfRule type="cellIs" dxfId="2327" priority="2637" operator="equal">
      <formula>"Bajo"</formula>
    </cfRule>
  </conditionalFormatting>
  <conditionalFormatting sqref="AB43">
    <cfRule type="cellIs" dxfId="2326" priority="2587" operator="equal">
      <formula>"Muy Alta"</formula>
    </cfRule>
    <cfRule type="cellIs" dxfId="2325" priority="2588" operator="equal">
      <formula>"Alta"</formula>
    </cfRule>
    <cfRule type="cellIs" dxfId="2324" priority="2589" operator="equal">
      <formula>"Media"</formula>
    </cfRule>
    <cfRule type="cellIs" dxfId="2323" priority="2590" operator="equal">
      <formula>"Baja"</formula>
    </cfRule>
    <cfRule type="cellIs" dxfId="2322" priority="2591" operator="equal">
      <formula>"Muy Baja"</formula>
    </cfRule>
  </conditionalFormatting>
  <conditionalFormatting sqref="AD43">
    <cfRule type="cellIs" dxfId="2321" priority="2582" operator="equal">
      <formula>"Catastrófico"</formula>
    </cfRule>
    <cfRule type="cellIs" dxfId="2320" priority="2583" operator="equal">
      <formula>"Mayor"</formula>
    </cfRule>
    <cfRule type="cellIs" dxfId="2319" priority="2584" operator="equal">
      <formula>"Moderado"</formula>
    </cfRule>
    <cfRule type="cellIs" dxfId="2318" priority="2585" operator="equal">
      <formula>"Menor"</formula>
    </cfRule>
    <cfRule type="cellIs" dxfId="2317" priority="2586" operator="equal">
      <formula>"Leve"</formula>
    </cfRule>
  </conditionalFormatting>
  <conditionalFormatting sqref="AF43">
    <cfRule type="cellIs" dxfId="2316" priority="2578" operator="equal">
      <formula>"Extremo"</formula>
    </cfRule>
    <cfRule type="cellIs" dxfId="2315" priority="2579" operator="equal">
      <formula>"Alto"</formula>
    </cfRule>
    <cfRule type="cellIs" dxfId="2314" priority="2580" operator="equal">
      <formula>"Moderado"</formula>
    </cfRule>
    <cfRule type="cellIs" dxfId="2313" priority="2581" operator="equal">
      <formula>"Bajo"</formula>
    </cfRule>
  </conditionalFormatting>
  <conditionalFormatting sqref="AB46">
    <cfRule type="cellIs" dxfId="2312" priority="2573" operator="equal">
      <formula>"Muy Alta"</formula>
    </cfRule>
    <cfRule type="cellIs" dxfId="2311" priority="2574" operator="equal">
      <formula>"Alta"</formula>
    </cfRule>
    <cfRule type="cellIs" dxfId="2310" priority="2575" operator="equal">
      <formula>"Media"</formula>
    </cfRule>
    <cfRule type="cellIs" dxfId="2309" priority="2576" operator="equal">
      <formula>"Baja"</formula>
    </cfRule>
    <cfRule type="cellIs" dxfId="2308" priority="2577" operator="equal">
      <formula>"Muy Baja"</formula>
    </cfRule>
  </conditionalFormatting>
  <conditionalFormatting sqref="AD46">
    <cfRule type="cellIs" dxfId="2307" priority="2568" operator="equal">
      <formula>"Catastrófico"</formula>
    </cfRule>
    <cfRule type="cellIs" dxfId="2306" priority="2569" operator="equal">
      <formula>"Mayor"</formula>
    </cfRule>
    <cfRule type="cellIs" dxfId="2305" priority="2570" operator="equal">
      <formula>"Moderado"</formula>
    </cfRule>
    <cfRule type="cellIs" dxfId="2304" priority="2571" operator="equal">
      <formula>"Menor"</formula>
    </cfRule>
    <cfRule type="cellIs" dxfId="2303" priority="2572" operator="equal">
      <formula>"Leve"</formula>
    </cfRule>
  </conditionalFormatting>
  <conditionalFormatting sqref="AF46">
    <cfRule type="cellIs" dxfId="2302" priority="2564" operator="equal">
      <formula>"Extremo"</formula>
    </cfRule>
    <cfRule type="cellIs" dxfId="2301" priority="2565" operator="equal">
      <formula>"Alto"</formula>
    </cfRule>
    <cfRule type="cellIs" dxfId="2300" priority="2566" operator="equal">
      <formula>"Moderado"</formula>
    </cfRule>
    <cfRule type="cellIs" dxfId="2299" priority="2567" operator="equal">
      <formula>"Bajo"</formula>
    </cfRule>
  </conditionalFormatting>
  <conditionalFormatting sqref="AB44">
    <cfRule type="cellIs" dxfId="2298" priority="2559" operator="equal">
      <formula>"Muy Alta"</formula>
    </cfRule>
    <cfRule type="cellIs" dxfId="2297" priority="2560" operator="equal">
      <formula>"Alta"</formula>
    </cfRule>
    <cfRule type="cellIs" dxfId="2296" priority="2561" operator="equal">
      <formula>"Media"</formula>
    </cfRule>
    <cfRule type="cellIs" dxfId="2295" priority="2562" operator="equal">
      <formula>"Baja"</formula>
    </cfRule>
    <cfRule type="cellIs" dxfId="2294" priority="2563" operator="equal">
      <formula>"Muy Baja"</formula>
    </cfRule>
  </conditionalFormatting>
  <conditionalFormatting sqref="AD44">
    <cfRule type="cellIs" dxfId="2293" priority="2554" operator="equal">
      <formula>"Catastrófico"</formula>
    </cfRule>
    <cfRule type="cellIs" dxfId="2292" priority="2555" operator="equal">
      <formula>"Mayor"</formula>
    </cfRule>
    <cfRule type="cellIs" dxfId="2291" priority="2556" operator="equal">
      <formula>"Moderado"</formula>
    </cfRule>
    <cfRule type="cellIs" dxfId="2290" priority="2557" operator="equal">
      <formula>"Menor"</formula>
    </cfRule>
    <cfRule type="cellIs" dxfId="2289" priority="2558" operator="equal">
      <formula>"Leve"</formula>
    </cfRule>
  </conditionalFormatting>
  <conditionalFormatting sqref="AF44">
    <cfRule type="cellIs" dxfId="2288" priority="2550" operator="equal">
      <formula>"Extremo"</formula>
    </cfRule>
    <cfRule type="cellIs" dxfId="2287" priority="2551" operator="equal">
      <formula>"Alto"</formula>
    </cfRule>
    <cfRule type="cellIs" dxfId="2286" priority="2552" operator="equal">
      <formula>"Moderado"</formula>
    </cfRule>
    <cfRule type="cellIs" dxfId="2285" priority="2553" operator="equal">
      <formula>"Bajo"</formula>
    </cfRule>
  </conditionalFormatting>
  <conditionalFormatting sqref="AB45">
    <cfRule type="cellIs" dxfId="2284" priority="2545" operator="equal">
      <formula>"Muy Alta"</formula>
    </cfRule>
    <cfRule type="cellIs" dxfId="2283" priority="2546" operator="equal">
      <formula>"Alta"</formula>
    </cfRule>
    <cfRule type="cellIs" dxfId="2282" priority="2547" operator="equal">
      <formula>"Media"</formula>
    </cfRule>
    <cfRule type="cellIs" dxfId="2281" priority="2548" operator="equal">
      <formula>"Baja"</formula>
    </cfRule>
    <cfRule type="cellIs" dxfId="2280" priority="2549" operator="equal">
      <formula>"Muy Baja"</formula>
    </cfRule>
  </conditionalFormatting>
  <conditionalFormatting sqref="AD45">
    <cfRule type="cellIs" dxfId="2279" priority="2540" operator="equal">
      <formula>"Catastrófico"</formula>
    </cfRule>
    <cfRule type="cellIs" dxfId="2278" priority="2541" operator="equal">
      <formula>"Mayor"</formula>
    </cfRule>
    <cfRule type="cellIs" dxfId="2277" priority="2542" operator="equal">
      <formula>"Moderado"</formula>
    </cfRule>
    <cfRule type="cellIs" dxfId="2276" priority="2543" operator="equal">
      <formula>"Menor"</formula>
    </cfRule>
    <cfRule type="cellIs" dxfId="2275" priority="2544" operator="equal">
      <formula>"Leve"</formula>
    </cfRule>
  </conditionalFormatting>
  <conditionalFormatting sqref="AF45">
    <cfRule type="cellIs" dxfId="2274" priority="2536" operator="equal">
      <formula>"Extremo"</formula>
    </cfRule>
    <cfRule type="cellIs" dxfId="2273" priority="2537" operator="equal">
      <formula>"Alto"</formula>
    </cfRule>
    <cfRule type="cellIs" dxfId="2272" priority="2538" operator="equal">
      <formula>"Moderado"</formula>
    </cfRule>
    <cfRule type="cellIs" dxfId="2271" priority="2539" operator="equal">
      <formula>"Bajo"</formula>
    </cfRule>
  </conditionalFormatting>
  <conditionalFormatting sqref="AB47">
    <cfRule type="cellIs" dxfId="2270" priority="2531" operator="equal">
      <formula>"Muy Alta"</formula>
    </cfRule>
    <cfRule type="cellIs" dxfId="2269" priority="2532" operator="equal">
      <formula>"Alta"</formula>
    </cfRule>
    <cfRule type="cellIs" dxfId="2268" priority="2533" operator="equal">
      <formula>"Media"</formula>
    </cfRule>
    <cfRule type="cellIs" dxfId="2267" priority="2534" operator="equal">
      <formula>"Baja"</formula>
    </cfRule>
    <cfRule type="cellIs" dxfId="2266" priority="2535" operator="equal">
      <formula>"Muy Baja"</formula>
    </cfRule>
  </conditionalFormatting>
  <conditionalFormatting sqref="AD47">
    <cfRule type="cellIs" dxfId="2265" priority="2526" operator="equal">
      <formula>"Catastrófico"</formula>
    </cfRule>
    <cfRule type="cellIs" dxfId="2264" priority="2527" operator="equal">
      <formula>"Mayor"</formula>
    </cfRule>
    <cfRule type="cellIs" dxfId="2263" priority="2528" operator="equal">
      <formula>"Moderado"</formula>
    </cfRule>
    <cfRule type="cellIs" dxfId="2262" priority="2529" operator="equal">
      <formula>"Menor"</formula>
    </cfRule>
    <cfRule type="cellIs" dxfId="2261" priority="2530" operator="equal">
      <formula>"Leve"</formula>
    </cfRule>
  </conditionalFormatting>
  <conditionalFormatting sqref="AF47">
    <cfRule type="cellIs" dxfId="2260" priority="2522" operator="equal">
      <formula>"Extremo"</formula>
    </cfRule>
    <cfRule type="cellIs" dxfId="2259" priority="2523" operator="equal">
      <formula>"Alto"</formula>
    </cfRule>
    <cfRule type="cellIs" dxfId="2258" priority="2524" operator="equal">
      <formula>"Moderado"</formula>
    </cfRule>
    <cfRule type="cellIs" dxfId="2257" priority="2525" operator="equal">
      <formula>"Bajo"</formula>
    </cfRule>
  </conditionalFormatting>
  <conditionalFormatting sqref="AB48">
    <cfRule type="cellIs" dxfId="2256" priority="2517" operator="equal">
      <formula>"Muy Alta"</formula>
    </cfRule>
    <cfRule type="cellIs" dxfId="2255" priority="2518" operator="equal">
      <formula>"Alta"</formula>
    </cfRule>
    <cfRule type="cellIs" dxfId="2254" priority="2519" operator="equal">
      <formula>"Media"</formula>
    </cfRule>
    <cfRule type="cellIs" dxfId="2253" priority="2520" operator="equal">
      <formula>"Baja"</formula>
    </cfRule>
    <cfRule type="cellIs" dxfId="2252" priority="2521" operator="equal">
      <formula>"Muy Baja"</formula>
    </cfRule>
  </conditionalFormatting>
  <conditionalFormatting sqref="AD48">
    <cfRule type="cellIs" dxfId="2251" priority="2512" operator="equal">
      <formula>"Catastrófico"</formula>
    </cfRule>
    <cfRule type="cellIs" dxfId="2250" priority="2513" operator="equal">
      <formula>"Mayor"</formula>
    </cfRule>
    <cfRule type="cellIs" dxfId="2249" priority="2514" operator="equal">
      <formula>"Moderado"</formula>
    </cfRule>
    <cfRule type="cellIs" dxfId="2248" priority="2515" operator="equal">
      <formula>"Menor"</formula>
    </cfRule>
    <cfRule type="cellIs" dxfId="2247" priority="2516" operator="equal">
      <formula>"Leve"</formula>
    </cfRule>
  </conditionalFormatting>
  <conditionalFormatting sqref="AF48">
    <cfRule type="cellIs" dxfId="2246" priority="2508" operator="equal">
      <formula>"Extremo"</formula>
    </cfRule>
    <cfRule type="cellIs" dxfId="2245" priority="2509" operator="equal">
      <formula>"Alto"</formula>
    </cfRule>
    <cfRule type="cellIs" dxfId="2244" priority="2510" operator="equal">
      <formula>"Moderado"</formula>
    </cfRule>
    <cfRule type="cellIs" dxfId="2243" priority="2511" operator="equal">
      <formula>"Bajo"</formula>
    </cfRule>
  </conditionalFormatting>
  <conditionalFormatting sqref="AB50">
    <cfRule type="cellIs" dxfId="2242" priority="2503" operator="equal">
      <formula>"Muy Alta"</formula>
    </cfRule>
    <cfRule type="cellIs" dxfId="2241" priority="2504" operator="equal">
      <formula>"Alta"</formula>
    </cfRule>
    <cfRule type="cellIs" dxfId="2240" priority="2505" operator="equal">
      <formula>"Media"</formula>
    </cfRule>
    <cfRule type="cellIs" dxfId="2239" priority="2506" operator="equal">
      <formula>"Baja"</formula>
    </cfRule>
    <cfRule type="cellIs" dxfId="2238" priority="2507" operator="equal">
      <formula>"Muy Baja"</formula>
    </cfRule>
  </conditionalFormatting>
  <conditionalFormatting sqref="AD50">
    <cfRule type="cellIs" dxfId="2237" priority="2498" operator="equal">
      <formula>"Catastrófico"</formula>
    </cfRule>
    <cfRule type="cellIs" dxfId="2236" priority="2499" operator="equal">
      <formula>"Mayor"</formula>
    </cfRule>
    <cfRule type="cellIs" dxfId="2235" priority="2500" operator="equal">
      <formula>"Moderado"</formula>
    </cfRule>
    <cfRule type="cellIs" dxfId="2234" priority="2501" operator="equal">
      <formula>"Menor"</formula>
    </cfRule>
    <cfRule type="cellIs" dxfId="2233" priority="2502" operator="equal">
      <formula>"Leve"</formula>
    </cfRule>
  </conditionalFormatting>
  <conditionalFormatting sqref="AB52">
    <cfRule type="cellIs" dxfId="2232" priority="2489" operator="equal">
      <formula>"Muy Alta"</formula>
    </cfRule>
    <cfRule type="cellIs" dxfId="2231" priority="2490" operator="equal">
      <formula>"Alta"</formula>
    </cfRule>
    <cfRule type="cellIs" dxfId="2230" priority="2491" operator="equal">
      <formula>"Media"</formula>
    </cfRule>
    <cfRule type="cellIs" dxfId="2229" priority="2492" operator="equal">
      <formula>"Baja"</formula>
    </cfRule>
    <cfRule type="cellIs" dxfId="2228" priority="2493" operator="equal">
      <formula>"Muy Baja"</formula>
    </cfRule>
  </conditionalFormatting>
  <conditionalFormatting sqref="AB51">
    <cfRule type="cellIs" dxfId="2227" priority="2475" operator="equal">
      <formula>"Muy Alta"</formula>
    </cfRule>
    <cfRule type="cellIs" dxfId="2226" priority="2476" operator="equal">
      <formula>"Alta"</formula>
    </cfRule>
    <cfRule type="cellIs" dxfId="2225" priority="2477" operator="equal">
      <formula>"Media"</formula>
    </cfRule>
    <cfRule type="cellIs" dxfId="2224" priority="2478" operator="equal">
      <formula>"Baja"</formula>
    </cfRule>
    <cfRule type="cellIs" dxfId="2223" priority="2479" operator="equal">
      <formula>"Muy Baja"</formula>
    </cfRule>
  </conditionalFormatting>
  <conditionalFormatting sqref="AD51">
    <cfRule type="cellIs" dxfId="2222" priority="2470" operator="equal">
      <formula>"Catastrófico"</formula>
    </cfRule>
    <cfRule type="cellIs" dxfId="2221" priority="2471" operator="equal">
      <formula>"Mayor"</formula>
    </cfRule>
    <cfRule type="cellIs" dxfId="2220" priority="2472" operator="equal">
      <formula>"Moderado"</formula>
    </cfRule>
    <cfRule type="cellIs" dxfId="2219" priority="2473" operator="equal">
      <formula>"Menor"</formula>
    </cfRule>
    <cfRule type="cellIs" dxfId="2218" priority="2474" operator="equal">
      <formula>"Leve"</formula>
    </cfRule>
  </conditionalFormatting>
  <conditionalFormatting sqref="AF51">
    <cfRule type="cellIs" dxfId="2217" priority="2466" operator="equal">
      <formula>"Extremo"</formula>
    </cfRule>
    <cfRule type="cellIs" dxfId="2216" priority="2467" operator="equal">
      <formula>"Alto"</formula>
    </cfRule>
    <cfRule type="cellIs" dxfId="2215" priority="2468" operator="equal">
      <formula>"Moderado"</formula>
    </cfRule>
    <cfRule type="cellIs" dxfId="2214" priority="2469" operator="equal">
      <formula>"Bajo"</formula>
    </cfRule>
  </conditionalFormatting>
  <conditionalFormatting sqref="AB53">
    <cfRule type="cellIs" dxfId="2213" priority="2461" operator="equal">
      <formula>"Muy Alta"</formula>
    </cfRule>
    <cfRule type="cellIs" dxfId="2212" priority="2462" operator="equal">
      <formula>"Alta"</formula>
    </cfRule>
    <cfRule type="cellIs" dxfId="2211" priority="2463" operator="equal">
      <formula>"Media"</formula>
    </cfRule>
    <cfRule type="cellIs" dxfId="2210" priority="2464" operator="equal">
      <formula>"Baja"</formula>
    </cfRule>
    <cfRule type="cellIs" dxfId="2209" priority="2465" operator="equal">
      <formula>"Muy Baja"</formula>
    </cfRule>
  </conditionalFormatting>
  <conditionalFormatting sqref="AD53">
    <cfRule type="cellIs" dxfId="2208" priority="2456" operator="equal">
      <formula>"Catastrófico"</formula>
    </cfRule>
    <cfRule type="cellIs" dxfId="2207" priority="2457" operator="equal">
      <formula>"Mayor"</formula>
    </cfRule>
    <cfRule type="cellIs" dxfId="2206" priority="2458" operator="equal">
      <formula>"Moderado"</formula>
    </cfRule>
    <cfRule type="cellIs" dxfId="2205" priority="2459" operator="equal">
      <formula>"Menor"</formula>
    </cfRule>
    <cfRule type="cellIs" dxfId="2204" priority="2460" operator="equal">
      <formula>"Leve"</formula>
    </cfRule>
  </conditionalFormatting>
  <conditionalFormatting sqref="AF53">
    <cfRule type="cellIs" dxfId="2203" priority="2452" operator="equal">
      <formula>"Extremo"</formula>
    </cfRule>
    <cfRule type="cellIs" dxfId="2202" priority="2453" operator="equal">
      <formula>"Alto"</formula>
    </cfRule>
    <cfRule type="cellIs" dxfId="2201" priority="2454" operator="equal">
      <formula>"Moderado"</formula>
    </cfRule>
    <cfRule type="cellIs" dxfId="2200" priority="2455" operator="equal">
      <formula>"Bajo"</formula>
    </cfRule>
  </conditionalFormatting>
  <conditionalFormatting sqref="AB54">
    <cfRule type="cellIs" dxfId="2199" priority="2447" operator="equal">
      <formula>"Muy Alta"</formula>
    </cfRule>
    <cfRule type="cellIs" dxfId="2198" priority="2448" operator="equal">
      <formula>"Alta"</formula>
    </cfRule>
    <cfRule type="cellIs" dxfId="2197" priority="2449" operator="equal">
      <formula>"Media"</formula>
    </cfRule>
    <cfRule type="cellIs" dxfId="2196" priority="2450" operator="equal">
      <formula>"Baja"</formula>
    </cfRule>
    <cfRule type="cellIs" dxfId="2195" priority="2451" operator="equal">
      <formula>"Muy Baja"</formula>
    </cfRule>
  </conditionalFormatting>
  <conditionalFormatting sqref="AD54">
    <cfRule type="cellIs" dxfId="2194" priority="2442" operator="equal">
      <formula>"Catastrófico"</formula>
    </cfRule>
    <cfRule type="cellIs" dxfId="2193" priority="2443" operator="equal">
      <formula>"Mayor"</formula>
    </cfRule>
    <cfRule type="cellIs" dxfId="2192" priority="2444" operator="equal">
      <formula>"Moderado"</formula>
    </cfRule>
    <cfRule type="cellIs" dxfId="2191" priority="2445" operator="equal">
      <formula>"Menor"</formula>
    </cfRule>
    <cfRule type="cellIs" dxfId="2190" priority="2446" operator="equal">
      <formula>"Leve"</formula>
    </cfRule>
  </conditionalFormatting>
  <conditionalFormatting sqref="AF54">
    <cfRule type="cellIs" dxfId="2189" priority="2438" operator="equal">
      <formula>"Extremo"</formula>
    </cfRule>
    <cfRule type="cellIs" dxfId="2188" priority="2439" operator="equal">
      <formula>"Alto"</formula>
    </cfRule>
    <cfRule type="cellIs" dxfId="2187" priority="2440" operator="equal">
      <formula>"Moderado"</formula>
    </cfRule>
    <cfRule type="cellIs" dxfId="2186" priority="2441" operator="equal">
      <formula>"Bajo"</formula>
    </cfRule>
  </conditionalFormatting>
  <conditionalFormatting sqref="AB56">
    <cfRule type="cellIs" dxfId="2185" priority="2433" operator="equal">
      <formula>"Muy Alta"</formula>
    </cfRule>
    <cfRule type="cellIs" dxfId="2184" priority="2434" operator="equal">
      <formula>"Alta"</formula>
    </cfRule>
    <cfRule type="cellIs" dxfId="2183" priority="2435" operator="equal">
      <formula>"Media"</formula>
    </cfRule>
    <cfRule type="cellIs" dxfId="2182" priority="2436" operator="equal">
      <formula>"Baja"</formula>
    </cfRule>
    <cfRule type="cellIs" dxfId="2181" priority="2437" operator="equal">
      <formula>"Muy Baja"</formula>
    </cfRule>
  </conditionalFormatting>
  <conditionalFormatting sqref="AD56">
    <cfRule type="cellIs" dxfId="2180" priority="2428" operator="equal">
      <formula>"Catastrófico"</formula>
    </cfRule>
    <cfRule type="cellIs" dxfId="2179" priority="2429" operator="equal">
      <formula>"Mayor"</formula>
    </cfRule>
    <cfRule type="cellIs" dxfId="2178" priority="2430" operator="equal">
      <formula>"Moderado"</formula>
    </cfRule>
    <cfRule type="cellIs" dxfId="2177" priority="2431" operator="equal">
      <formula>"Menor"</formula>
    </cfRule>
    <cfRule type="cellIs" dxfId="2176" priority="2432" operator="equal">
      <formula>"Leve"</formula>
    </cfRule>
  </conditionalFormatting>
  <conditionalFormatting sqref="AF56">
    <cfRule type="cellIs" dxfId="2175" priority="2424" operator="equal">
      <formula>"Extremo"</formula>
    </cfRule>
    <cfRule type="cellIs" dxfId="2174" priority="2425" operator="equal">
      <formula>"Alto"</formula>
    </cfRule>
    <cfRule type="cellIs" dxfId="2173" priority="2426" operator="equal">
      <formula>"Moderado"</formula>
    </cfRule>
    <cfRule type="cellIs" dxfId="2172" priority="2427" operator="equal">
      <formula>"Bajo"</formula>
    </cfRule>
  </conditionalFormatting>
  <conditionalFormatting sqref="AB57">
    <cfRule type="cellIs" dxfId="2171" priority="2419" operator="equal">
      <formula>"Muy Alta"</formula>
    </cfRule>
    <cfRule type="cellIs" dxfId="2170" priority="2420" operator="equal">
      <formula>"Alta"</formula>
    </cfRule>
    <cfRule type="cellIs" dxfId="2169" priority="2421" operator="equal">
      <formula>"Media"</formula>
    </cfRule>
    <cfRule type="cellIs" dxfId="2168" priority="2422" operator="equal">
      <formula>"Baja"</formula>
    </cfRule>
    <cfRule type="cellIs" dxfId="2167" priority="2423" operator="equal">
      <formula>"Muy Baja"</formula>
    </cfRule>
  </conditionalFormatting>
  <conditionalFormatting sqref="AD57">
    <cfRule type="cellIs" dxfId="2166" priority="2414" operator="equal">
      <formula>"Catastrófico"</formula>
    </cfRule>
    <cfRule type="cellIs" dxfId="2165" priority="2415" operator="equal">
      <formula>"Mayor"</formula>
    </cfRule>
    <cfRule type="cellIs" dxfId="2164" priority="2416" operator="equal">
      <formula>"Moderado"</formula>
    </cfRule>
    <cfRule type="cellIs" dxfId="2163" priority="2417" operator="equal">
      <formula>"Menor"</formula>
    </cfRule>
    <cfRule type="cellIs" dxfId="2162" priority="2418" operator="equal">
      <formula>"Leve"</formula>
    </cfRule>
  </conditionalFormatting>
  <conditionalFormatting sqref="AF57">
    <cfRule type="cellIs" dxfId="2161" priority="2410" operator="equal">
      <formula>"Extremo"</formula>
    </cfRule>
    <cfRule type="cellIs" dxfId="2160" priority="2411" operator="equal">
      <formula>"Alto"</formula>
    </cfRule>
    <cfRule type="cellIs" dxfId="2159" priority="2412" operator="equal">
      <formula>"Moderado"</formula>
    </cfRule>
    <cfRule type="cellIs" dxfId="2158" priority="2413" operator="equal">
      <formula>"Bajo"</formula>
    </cfRule>
  </conditionalFormatting>
  <conditionalFormatting sqref="AB59">
    <cfRule type="cellIs" dxfId="2157" priority="2405" operator="equal">
      <formula>"Muy Alta"</formula>
    </cfRule>
    <cfRule type="cellIs" dxfId="2156" priority="2406" operator="equal">
      <formula>"Alta"</formula>
    </cfRule>
    <cfRule type="cellIs" dxfId="2155" priority="2407" operator="equal">
      <formula>"Media"</formula>
    </cfRule>
    <cfRule type="cellIs" dxfId="2154" priority="2408" operator="equal">
      <formula>"Baja"</formula>
    </cfRule>
    <cfRule type="cellIs" dxfId="2153" priority="2409" operator="equal">
      <formula>"Muy Baja"</formula>
    </cfRule>
  </conditionalFormatting>
  <conditionalFormatting sqref="AD59">
    <cfRule type="cellIs" dxfId="2152" priority="2400" operator="equal">
      <formula>"Catastrófico"</formula>
    </cfRule>
    <cfRule type="cellIs" dxfId="2151" priority="2401" operator="equal">
      <formula>"Mayor"</formula>
    </cfRule>
    <cfRule type="cellIs" dxfId="2150" priority="2402" operator="equal">
      <formula>"Moderado"</formula>
    </cfRule>
    <cfRule type="cellIs" dxfId="2149" priority="2403" operator="equal">
      <formula>"Menor"</formula>
    </cfRule>
    <cfRule type="cellIs" dxfId="2148" priority="2404" operator="equal">
      <formula>"Leve"</formula>
    </cfRule>
  </conditionalFormatting>
  <conditionalFormatting sqref="AF59">
    <cfRule type="cellIs" dxfId="2147" priority="2396" operator="equal">
      <formula>"Extremo"</formula>
    </cfRule>
    <cfRule type="cellIs" dxfId="2146" priority="2397" operator="equal">
      <formula>"Alto"</formula>
    </cfRule>
    <cfRule type="cellIs" dxfId="2145" priority="2398" operator="equal">
      <formula>"Moderado"</formula>
    </cfRule>
    <cfRule type="cellIs" dxfId="2144" priority="2399" operator="equal">
      <formula>"Bajo"</formula>
    </cfRule>
  </conditionalFormatting>
  <conditionalFormatting sqref="AB60">
    <cfRule type="cellIs" dxfId="2143" priority="2391" operator="equal">
      <formula>"Muy Alta"</formula>
    </cfRule>
    <cfRule type="cellIs" dxfId="2142" priority="2392" operator="equal">
      <formula>"Alta"</formula>
    </cfRule>
    <cfRule type="cellIs" dxfId="2141" priority="2393" operator="equal">
      <formula>"Media"</formula>
    </cfRule>
    <cfRule type="cellIs" dxfId="2140" priority="2394" operator="equal">
      <formula>"Baja"</formula>
    </cfRule>
    <cfRule type="cellIs" dxfId="2139" priority="2395" operator="equal">
      <formula>"Muy Baja"</formula>
    </cfRule>
  </conditionalFormatting>
  <conditionalFormatting sqref="AD60">
    <cfRule type="cellIs" dxfId="2138" priority="2386" operator="equal">
      <formula>"Catastrófico"</formula>
    </cfRule>
    <cfRule type="cellIs" dxfId="2137" priority="2387" operator="equal">
      <formula>"Mayor"</formula>
    </cfRule>
    <cfRule type="cellIs" dxfId="2136" priority="2388" operator="equal">
      <formula>"Moderado"</formula>
    </cfRule>
    <cfRule type="cellIs" dxfId="2135" priority="2389" operator="equal">
      <formula>"Menor"</formula>
    </cfRule>
    <cfRule type="cellIs" dxfId="2134" priority="2390" operator="equal">
      <formula>"Leve"</formula>
    </cfRule>
  </conditionalFormatting>
  <conditionalFormatting sqref="AF60">
    <cfRule type="cellIs" dxfId="2133" priority="2382" operator="equal">
      <formula>"Extremo"</formula>
    </cfRule>
    <cfRule type="cellIs" dxfId="2132" priority="2383" operator="equal">
      <formula>"Alto"</formula>
    </cfRule>
    <cfRule type="cellIs" dxfId="2131" priority="2384" operator="equal">
      <formula>"Moderado"</formula>
    </cfRule>
    <cfRule type="cellIs" dxfId="2130" priority="2385" operator="equal">
      <formula>"Bajo"</formula>
    </cfRule>
  </conditionalFormatting>
  <conditionalFormatting sqref="AB62">
    <cfRule type="cellIs" dxfId="2129" priority="2377" operator="equal">
      <formula>"Muy Alta"</formula>
    </cfRule>
    <cfRule type="cellIs" dxfId="2128" priority="2378" operator="equal">
      <formula>"Alta"</formula>
    </cfRule>
    <cfRule type="cellIs" dxfId="2127" priority="2379" operator="equal">
      <formula>"Media"</formula>
    </cfRule>
    <cfRule type="cellIs" dxfId="2126" priority="2380" operator="equal">
      <formula>"Baja"</formula>
    </cfRule>
    <cfRule type="cellIs" dxfId="2125" priority="2381" operator="equal">
      <formula>"Muy Baja"</formula>
    </cfRule>
  </conditionalFormatting>
  <conditionalFormatting sqref="AD62">
    <cfRule type="cellIs" dxfId="2124" priority="2372" operator="equal">
      <formula>"Catastrófico"</formula>
    </cfRule>
    <cfRule type="cellIs" dxfId="2123" priority="2373" operator="equal">
      <formula>"Mayor"</formula>
    </cfRule>
    <cfRule type="cellIs" dxfId="2122" priority="2374" operator="equal">
      <formula>"Moderado"</formula>
    </cfRule>
    <cfRule type="cellIs" dxfId="2121" priority="2375" operator="equal">
      <formula>"Menor"</formula>
    </cfRule>
    <cfRule type="cellIs" dxfId="2120" priority="2376" operator="equal">
      <formula>"Leve"</formula>
    </cfRule>
  </conditionalFormatting>
  <conditionalFormatting sqref="AF62">
    <cfRule type="cellIs" dxfId="2119" priority="2368" operator="equal">
      <formula>"Extremo"</formula>
    </cfRule>
    <cfRule type="cellIs" dxfId="2118" priority="2369" operator="equal">
      <formula>"Alto"</formula>
    </cfRule>
    <cfRule type="cellIs" dxfId="2117" priority="2370" operator="equal">
      <formula>"Moderado"</formula>
    </cfRule>
    <cfRule type="cellIs" dxfId="2116" priority="2371" operator="equal">
      <formula>"Bajo"</formula>
    </cfRule>
  </conditionalFormatting>
  <conditionalFormatting sqref="AB63">
    <cfRule type="cellIs" dxfId="2115" priority="2363" operator="equal">
      <formula>"Muy Alta"</formula>
    </cfRule>
    <cfRule type="cellIs" dxfId="2114" priority="2364" operator="equal">
      <formula>"Alta"</formula>
    </cfRule>
    <cfRule type="cellIs" dxfId="2113" priority="2365" operator="equal">
      <formula>"Media"</formula>
    </cfRule>
    <cfRule type="cellIs" dxfId="2112" priority="2366" operator="equal">
      <formula>"Baja"</formula>
    </cfRule>
    <cfRule type="cellIs" dxfId="2111" priority="2367" operator="equal">
      <formula>"Muy Baja"</formula>
    </cfRule>
  </conditionalFormatting>
  <conditionalFormatting sqref="AD63">
    <cfRule type="cellIs" dxfId="2110" priority="2358" operator="equal">
      <formula>"Catastrófico"</formula>
    </cfRule>
    <cfRule type="cellIs" dxfId="2109" priority="2359" operator="equal">
      <formula>"Mayor"</formula>
    </cfRule>
    <cfRule type="cellIs" dxfId="2108" priority="2360" operator="equal">
      <formula>"Moderado"</formula>
    </cfRule>
    <cfRule type="cellIs" dxfId="2107" priority="2361" operator="equal">
      <formula>"Menor"</formula>
    </cfRule>
    <cfRule type="cellIs" dxfId="2106" priority="2362" operator="equal">
      <formula>"Leve"</formula>
    </cfRule>
  </conditionalFormatting>
  <conditionalFormatting sqref="AF63">
    <cfRule type="cellIs" dxfId="2105" priority="2354" operator="equal">
      <formula>"Extremo"</formula>
    </cfRule>
    <cfRule type="cellIs" dxfId="2104" priority="2355" operator="equal">
      <formula>"Alto"</formula>
    </cfRule>
    <cfRule type="cellIs" dxfId="2103" priority="2356" operator="equal">
      <formula>"Moderado"</formula>
    </cfRule>
    <cfRule type="cellIs" dxfId="2102" priority="2357" operator="equal">
      <formula>"Bajo"</formula>
    </cfRule>
  </conditionalFormatting>
  <conditionalFormatting sqref="AB65">
    <cfRule type="cellIs" dxfId="2101" priority="2349" operator="equal">
      <formula>"Muy Alta"</formula>
    </cfRule>
    <cfRule type="cellIs" dxfId="2100" priority="2350" operator="equal">
      <formula>"Alta"</formula>
    </cfRule>
    <cfRule type="cellIs" dxfId="2099" priority="2351" operator="equal">
      <formula>"Media"</formula>
    </cfRule>
    <cfRule type="cellIs" dxfId="2098" priority="2352" operator="equal">
      <formula>"Baja"</formula>
    </cfRule>
    <cfRule type="cellIs" dxfId="2097" priority="2353" operator="equal">
      <formula>"Muy Baja"</formula>
    </cfRule>
  </conditionalFormatting>
  <conditionalFormatting sqref="AD65">
    <cfRule type="cellIs" dxfId="2096" priority="2344" operator="equal">
      <formula>"Catastrófico"</formula>
    </cfRule>
    <cfRule type="cellIs" dxfId="2095" priority="2345" operator="equal">
      <formula>"Mayor"</formula>
    </cfRule>
    <cfRule type="cellIs" dxfId="2094" priority="2346" operator="equal">
      <formula>"Moderado"</formula>
    </cfRule>
    <cfRule type="cellIs" dxfId="2093" priority="2347" operator="equal">
      <formula>"Menor"</formula>
    </cfRule>
    <cfRule type="cellIs" dxfId="2092" priority="2348" operator="equal">
      <formula>"Leve"</formula>
    </cfRule>
  </conditionalFormatting>
  <conditionalFormatting sqref="AF65">
    <cfRule type="cellIs" dxfId="2091" priority="2340" operator="equal">
      <formula>"Extremo"</formula>
    </cfRule>
    <cfRule type="cellIs" dxfId="2090" priority="2341" operator="equal">
      <formula>"Alto"</formula>
    </cfRule>
    <cfRule type="cellIs" dxfId="2089" priority="2342" operator="equal">
      <formula>"Moderado"</formula>
    </cfRule>
    <cfRule type="cellIs" dxfId="2088" priority="2343" operator="equal">
      <formula>"Bajo"</formula>
    </cfRule>
  </conditionalFormatting>
  <conditionalFormatting sqref="AB66">
    <cfRule type="cellIs" dxfId="2087" priority="2335" operator="equal">
      <formula>"Muy Alta"</formula>
    </cfRule>
    <cfRule type="cellIs" dxfId="2086" priority="2336" operator="equal">
      <formula>"Alta"</formula>
    </cfRule>
    <cfRule type="cellIs" dxfId="2085" priority="2337" operator="equal">
      <formula>"Media"</formula>
    </cfRule>
    <cfRule type="cellIs" dxfId="2084" priority="2338" operator="equal">
      <formula>"Baja"</formula>
    </cfRule>
    <cfRule type="cellIs" dxfId="2083" priority="2339" operator="equal">
      <formula>"Muy Baja"</formula>
    </cfRule>
  </conditionalFormatting>
  <conditionalFormatting sqref="AD66">
    <cfRule type="cellIs" dxfId="2082" priority="2330" operator="equal">
      <formula>"Catastrófico"</formula>
    </cfRule>
    <cfRule type="cellIs" dxfId="2081" priority="2331" operator="equal">
      <formula>"Mayor"</formula>
    </cfRule>
    <cfRule type="cellIs" dxfId="2080" priority="2332" operator="equal">
      <formula>"Moderado"</formula>
    </cfRule>
    <cfRule type="cellIs" dxfId="2079" priority="2333" operator="equal">
      <formula>"Menor"</formula>
    </cfRule>
    <cfRule type="cellIs" dxfId="2078" priority="2334" operator="equal">
      <formula>"Leve"</formula>
    </cfRule>
  </conditionalFormatting>
  <conditionalFormatting sqref="AF66">
    <cfRule type="cellIs" dxfId="2077" priority="2326" operator="equal">
      <formula>"Extremo"</formula>
    </cfRule>
    <cfRule type="cellIs" dxfId="2076" priority="2327" operator="equal">
      <formula>"Alto"</formula>
    </cfRule>
    <cfRule type="cellIs" dxfId="2075" priority="2328" operator="equal">
      <formula>"Moderado"</formula>
    </cfRule>
    <cfRule type="cellIs" dxfId="2074" priority="2329" operator="equal">
      <formula>"Bajo"</formula>
    </cfRule>
  </conditionalFormatting>
  <conditionalFormatting sqref="AB68">
    <cfRule type="cellIs" dxfId="2073" priority="2321" operator="equal">
      <formula>"Muy Alta"</formula>
    </cfRule>
    <cfRule type="cellIs" dxfId="2072" priority="2322" operator="equal">
      <formula>"Alta"</formula>
    </cfRule>
    <cfRule type="cellIs" dxfId="2071" priority="2323" operator="equal">
      <formula>"Media"</formula>
    </cfRule>
    <cfRule type="cellIs" dxfId="2070" priority="2324" operator="equal">
      <formula>"Baja"</formula>
    </cfRule>
    <cfRule type="cellIs" dxfId="2069" priority="2325" operator="equal">
      <formula>"Muy Baja"</formula>
    </cfRule>
  </conditionalFormatting>
  <conditionalFormatting sqref="AD68">
    <cfRule type="cellIs" dxfId="2068" priority="2316" operator="equal">
      <formula>"Catastrófico"</formula>
    </cfRule>
    <cfRule type="cellIs" dxfId="2067" priority="2317" operator="equal">
      <formula>"Mayor"</formula>
    </cfRule>
    <cfRule type="cellIs" dxfId="2066" priority="2318" operator="equal">
      <formula>"Moderado"</formula>
    </cfRule>
    <cfRule type="cellIs" dxfId="2065" priority="2319" operator="equal">
      <formula>"Menor"</formula>
    </cfRule>
    <cfRule type="cellIs" dxfId="2064" priority="2320" operator="equal">
      <formula>"Leve"</formula>
    </cfRule>
  </conditionalFormatting>
  <conditionalFormatting sqref="AF68">
    <cfRule type="cellIs" dxfId="2063" priority="2312" operator="equal">
      <formula>"Extremo"</formula>
    </cfRule>
    <cfRule type="cellIs" dxfId="2062" priority="2313" operator="equal">
      <formula>"Alto"</formula>
    </cfRule>
    <cfRule type="cellIs" dxfId="2061" priority="2314" operator="equal">
      <formula>"Moderado"</formula>
    </cfRule>
    <cfRule type="cellIs" dxfId="2060" priority="2315" operator="equal">
      <formula>"Bajo"</formula>
    </cfRule>
  </conditionalFormatting>
  <conditionalFormatting sqref="AB69">
    <cfRule type="cellIs" dxfId="2059" priority="2307" operator="equal">
      <formula>"Muy Alta"</formula>
    </cfRule>
    <cfRule type="cellIs" dxfId="2058" priority="2308" operator="equal">
      <formula>"Alta"</formula>
    </cfRule>
    <cfRule type="cellIs" dxfId="2057" priority="2309" operator="equal">
      <formula>"Media"</formula>
    </cfRule>
    <cfRule type="cellIs" dxfId="2056" priority="2310" operator="equal">
      <formula>"Baja"</formula>
    </cfRule>
    <cfRule type="cellIs" dxfId="2055" priority="2311" operator="equal">
      <formula>"Muy Baja"</formula>
    </cfRule>
  </conditionalFormatting>
  <conditionalFormatting sqref="AD69">
    <cfRule type="cellIs" dxfId="2054" priority="2302" operator="equal">
      <formula>"Catastrófico"</formula>
    </cfRule>
    <cfRule type="cellIs" dxfId="2053" priority="2303" operator="equal">
      <formula>"Mayor"</formula>
    </cfRule>
    <cfRule type="cellIs" dxfId="2052" priority="2304" operator="equal">
      <formula>"Moderado"</formula>
    </cfRule>
    <cfRule type="cellIs" dxfId="2051" priority="2305" operator="equal">
      <formula>"Menor"</formula>
    </cfRule>
    <cfRule type="cellIs" dxfId="2050" priority="2306" operator="equal">
      <formula>"Leve"</formula>
    </cfRule>
  </conditionalFormatting>
  <conditionalFormatting sqref="AF69">
    <cfRule type="cellIs" dxfId="2049" priority="2298" operator="equal">
      <formula>"Extremo"</formula>
    </cfRule>
    <cfRule type="cellIs" dxfId="2048" priority="2299" operator="equal">
      <formula>"Alto"</formula>
    </cfRule>
    <cfRule type="cellIs" dxfId="2047" priority="2300" operator="equal">
      <formula>"Moderado"</formula>
    </cfRule>
    <cfRule type="cellIs" dxfId="2046" priority="2301" operator="equal">
      <formula>"Bajo"</formula>
    </cfRule>
  </conditionalFormatting>
  <conditionalFormatting sqref="AB73">
    <cfRule type="cellIs" dxfId="2045" priority="2293" operator="equal">
      <formula>"Muy Alta"</formula>
    </cfRule>
    <cfRule type="cellIs" dxfId="2044" priority="2294" operator="equal">
      <formula>"Alta"</formula>
    </cfRule>
    <cfRule type="cellIs" dxfId="2043" priority="2295" operator="equal">
      <formula>"Media"</formula>
    </cfRule>
    <cfRule type="cellIs" dxfId="2042" priority="2296" operator="equal">
      <formula>"Baja"</formula>
    </cfRule>
    <cfRule type="cellIs" dxfId="2041" priority="2297" operator="equal">
      <formula>"Muy Baja"</formula>
    </cfRule>
  </conditionalFormatting>
  <conditionalFormatting sqref="AD73">
    <cfRule type="cellIs" dxfId="2040" priority="2288" operator="equal">
      <formula>"Catastrófico"</formula>
    </cfRule>
    <cfRule type="cellIs" dxfId="2039" priority="2289" operator="equal">
      <formula>"Mayor"</formula>
    </cfRule>
    <cfRule type="cellIs" dxfId="2038" priority="2290" operator="equal">
      <formula>"Moderado"</formula>
    </cfRule>
    <cfRule type="cellIs" dxfId="2037" priority="2291" operator="equal">
      <formula>"Menor"</formula>
    </cfRule>
    <cfRule type="cellIs" dxfId="2036" priority="2292" operator="equal">
      <formula>"Leve"</formula>
    </cfRule>
  </conditionalFormatting>
  <conditionalFormatting sqref="AF73">
    <cfRule type="cellIs" dxfId="2035" priority="2284" operator="equal">
      <formula>"Extremo"</formula>
    </cfRule>
    <cfRule type="cellIs" dxfId="2034" priority="2285" operator="equal">
      <formula>"Alto"</formula>
    </cfRule>
    <cfRule type="cellIs" dxfId="2033" priority="2286" operator="equal">
      <formula>"Moderado"</formula>
    </cfRule>
    <cfRule type="cellIs" dxfId="2032" priority="2287" operator="equal">
      <formula>"Bajo"</formula>
    </cfRule>
  </conditionalFormatting>
  <conditionalFormatting sqref="AB74">
    <cfRule type="cellIs" dxfId="2031" priority="2279" operator="equal">
      <formula>"Muy Alta"</formula>
    </cfRule>
    <cfRule type="cellIs" dxfId="2030" priority="2280" operator="equal">
      <formula>"Alta"</formula>
    </cfRule>
    <cfRule type="cellIs" dxfId="2029" priority="2281" operator="equal">
      <formula>"Media"</formula>
    </cfRule>
    <cfRule type="cellIs" dxfId="2028" priority="2282" operator="equal">
      <formula>"Baja"</formula>
    </cfRule>
    <cfRule type="cellIs" dxfId="2027" priority="2283" operator="equal">
      <formula>"Muy Baja"</formula>
    </cfRule>
  </conditionalFormatting>
  <conditionalFormatting sqref="AD74">
    <cfRule type="cellIs" dxfId="2026" priority="2274" operator="equal">
      <formula>"Catastrófico"</formula>
    </cfRule>
    <cfRule type="cellIs" dxfId="2025" priority="2275" operator="equal">
      <formula>"Mayor"</formula>
    </cfRule>
    <cfRule type="cellIs" dxfId="2024" priority="2276" operator="equal">
      <formula>"Moderado"</formula>
    </cfRule>
    <cfRule type="cellIs" dxfId="2023" priority="2277" operator="equal">
      <formula>"Menor"</formula>
    </cfRule>
    <cfRule type="cellIs" dxfId="2022" priority="2278" operator="equal">
      <formula>"Leve"</formula>
    </cfRule>
  </conditionalFormatting>
  <conditionalFormatting sqref="AF74">
    <cfRule type="cellIs" dxfId="2021" priority="2270" operator="equal">
      <formula>"Extremo"</formula>
    </cfRule>
    <cfRule type="cellIs" dxfId="2020" priority="2271" operator="equal">
      <formula>"Alto"</formula>
    </cfRule>
    <cfRule type="cellIs" dxfId="2019" priority="2272" operator="equal">
      <formula>"Moderado"</formula>
    </cfRule>
    <cfRule type="cellIs" dxfId="2018" priority="2273" operator="equal">
      <formula>"Bajo"</formula>
    </cfRule>
  </conditionalFormatting>
  <conditionalFormatting sqref="AB75">
    <cfRule type="cellIs" dxfId="2017" priority="2265" operator="equal">
      <formula>"Muy Alta"</formula>
    </cfRule>
    <cfRule type="cellIs" dxfId="2016" priority="2266" operator="equal">
      <formula>"Alta"</formula>
    </cfRule>
    <cfRule type="cellIs" dxfId="2015" priority="2267" operator="equal">
      <formula>"Media"</formula>
    </cfRule>
    <cfRule type="cellIs" dxfId="2014" priority="2268" operator="equal">
      <formula>"Baja"</formula>
    </cfRule>
    <cfRule type="cellIs" dxfId="2013" priority="2269" operator="equal">
      <formula>"Muy Baja"</formula>
    </cfRule>
  </conditionalFormatting>
  <conditionalFormatting sqref="AD75">
    <cfRule type="cellIs" dxfId="2012" priority="2260" operator="equal">
      <formula>"Catastrófico"</formula>
    </cfRule>
    <cfRule type="cellIs" dxfId="2011" priority="2261" operator="equal">
      <formula>"Mayor"</formula>
    </cfRule>
    <cfRule type="cellIs" dxfId="2010" priority="2262" operator="equal">
      <formula>"Moderado"</formula>
    </cfRule>
    <cfRule type="cellIs" dxfId="2009" priority="2263" operator="equal">
      <formula>"Menor"</formula>
    </cfRule>
    <cfRule type="cellIs" dxfId="2008" priority="2264" operator="equal">
      <formula>"Leve"</formula>
    </cfRule>
  </conditionalFormatting>
  <conditionalFormatting sqref="AF75">
    <cfRule type="cellIs" dxfId="2007" priority="2256" operator="equal">
      <formula>"Extremo"</formula>
    </cfRule>
    <cfRule type="cellIs" dxfId="2006" priority="2257" operator="equal">
      <formula>"Alto"</formula>
    </cfRule>
    <cfRule type="cellIs" dxfId="2005" priority="2258" operator="equal">
      <formula>"Moderado"</formula>
    </cfRule>
    <cfRule type="cellIs" dxfId="2004" priority="2259" operator="equal">
      <formula>"Bajo"</formula>
    </cfRule>
  </conditionalFormatting>
  <conditionalFormatting sqref="AB77">
    <cfRule type="cellIs" dxfId="2003" priority="2251" operator="equal">
      <formula>"Muy Alta"</formula>
    </cfRule>
    <cfRule type="cellIs" dxfId="2002" priority="2252" operator="equal">
      <formula>"Alta"</formula>
    </cfRule>
    <cfRule type="cellIs" dxfId="2001" priority="2253" operator="equal">
      <formula>"Media"</formula>
    </cfRule>
    <cfRule type="cellIs" dxfId="2000" priority="2254" operator="equal">
      <formula>"Baja"</formula>
    </cfRule>
    <cfRule type="cellIs" dxfId="1999" priority="2255" operator="equal">
      <formula>"Muy Baja"</formula>
    </cfRule>
  </conditionalFormatting>
  <conditionalFormatting sqref="AD77">
    <cfRule type="cellIs" dxfId="1998" priority="2246" operator="equal">
      <formula>"Catastrófico"</formula>
    </cfRule>
    <cfRule type="cellIs" dxfId="1997" priority="2247" operator="equal">
      <formula>"Mayor"</formula>
    </cfRule>
    <cfRule type="cellIs" dxfId="1996" priority="2248" operator="equal">
      <formula>"Moderado"</formula>
    </cfRule>
    <cfRule type="cellIs" dxfId="1995" priority="2249" operator="equal">
      <formula>"Menor"</formula>
    </cfRule>
    <cfRule type="cellIs" dxfId="1994" priority="2250" operator="equal">
      <formula>"Leve"</formula>
    </cfRule>
  </conditionalFormatting>
  <conditionalFormatting sqref="AF77">
    <cfRule type="cellIs" dxfId="1993" priority="2242" operator="equal">
      <formula>"Extremo"</formula>
    </cfRule>
    <cfRule type="cellIs" dxfId="1992" priority="2243" operator="equal">
      <formula>"Alto"</formula>
    </cfRule>
    <cfRule type="cellIs" dxfId="1991" priority="2244" operator="equal">
      <formula>"Moderado"</formula>
    </cfRule>
    <cfRule type="cellIs" dxfId="1990" priority="2245" operator="equal">
      <formula>"Bajo"</formula>
    </cfRule>
  </conditionalFormatting>
  <conditionalFormatting sqref="AB76">
    <cfRule type="cellIs" dxfId="1989" priority="2237" operator="equal">
      <formula>"Muy Alta"</formula>
    </cfRule>
    <cfRule type="cellIs" dxfId="1988" priority="2238" operator="equal">
      <formula>"Alta"</formula>
    </cfRule>
    <cfRule type="cellIs" dxfId="1987" priority="2239" operator="equal">
      <formula>"Media"</formula>
    </cfRule>
    <cfRule type="cellIs" dxfId="1986" priority="2240" operator="equal">
      <formula>"Baja"</formula>
    </cfRule>
    <cfRule type="cellIs" dxfId="1985" priority="2241" operator="equal">
      <formula>"Muy Baja"</formula>
    </cfRule>
  </conditionalFormatting>
  <conditionalFormatting sqref="AD76">
    <cfRule type="cellIs" dxfId="1984" priority="2232" operator="equal">
      <formula>"Catastrófico"</formula>
    </cfRule>
    <cfRule type="cellIs" dxfId="1983" priority="2233" operator="equal">
      <formula>"Mayor"</formula>
    </cfRule>
    <cfRule type="cellIs" dxfId="1982" priority="2234" operator="equal">
      <formula>"Moderado"</formula>
    </cfRule>
    <cfRule type="cellIs" dxfId="1981" priority="2235" operator="equal">
      <formula>"Menor"</formula>
    </cfRule>
    <cfRule type="cellIs" dxfId="1980" priority="2236" operator="equal">
      <formula>"Leve"</formula>
    </cfRule>
  </conditionalFormatting>
  <conditionalFormatting sqref="AF76">
    <cfRule type="cellIs" dxfId="1979" priority="2228" operator="equal">
      <formula>"Extremo"</formula>
    </cfRule>
    <cfRule type="cellIs" dxfId="1978" priority="2229" operator="equal">
      <formula>"Alto"</formula>
    </cfRule>
    <cfRule type="cellIs" dxfId="1977" priority="2230" operator="equal">
      <formula>"Moderado"</formula>
    </cfRule>
    <cfRule type="cellIs" dxfId="1976" priority="2231" operator="equal">
      <formula>"Bajo"</formula>
    </cfRule>
  </conditionalFormatting>
  <conditionalFormatting sqref="AB78">
    <cfRule type="cellIs" dxfId="1975" priority="2223" operator="equal">
      <formula>"Muy Alta"</formula>
    </cfRule>
    <cfRule type="cellIs" dxfId="1974" priority="2224" operator="equal">
      <formula>"Alta"</formula>
    </cfRule>
    <cfRule type="cellIs" dxfId="1973" priority="2225" operator="equal">
      <formula>"Media"</formula>
    </cfRule>
    <cfRule type="cellIs" dxfId="1972" priority="2226" operator="equal">
      <formula>"Baja"</formula>
    </cfRule>
    <cfRule type="cellIs" dxfId="1971" priority="2227" operator="equal">
      <formula>"Muy Baja"</formula>
    </cfRule>
  </conditionalFormatting>
  <conditionalFormatting sqref="AD78">
    <cfRule type="cellIs" dxfId="1970" priority="2218" operator="equal">
      <formula>"Catastrófico"</formula>
    </cfRule>
    <cfRule type="cellIs" dxfId="1969" priority="2219" operator="equal">
      <formula>"Mayor"</formula>
    </cfRule>
    <cfRule type="cellIs" dxfId="1968" priority="2220" operator="equal">
      <formula>"Moderado"</formula>
    </cfRule>
    <cfRule type="cellIs" dxfId="1967" priority="2221" operator="equal">
      <formula>"Menor"</formula>
    </cfRule>
    <cfRule type="cellIs" dxfId="1966" priority="2222" operator="equal">
      <formula>"Leve"</formula>
    </cfRule>
  </conditionalFormatting>
  <conditionalFormatting sqref="AF78">
    <cfRule type="cellIs" dxfId="1965" priority="2214" operator="equal">
      <formula>"Extremo"</formula>
    </cfRule>
    <cfRule type="cellIs" dxfId="1964" priority="2215" operator="equal">
      <formula>"Alto"</formula>
    </cfRule>
    <cfRule type="cellIs" dxfId="1963" priority="2216" operator="equal">
      <formula>"Moderado"</formula>
    </cfRule>
    <cfRule type="cellIs" dxfId="1962" priority="2217" operator="equal">
      <formula>"Bajo"</formula>
    </cfRule>
  </conditionalFormatting>
  <conditionalFormatting sqref="AB80">
    <cfRule type="cellIs" dxfId="1961" priority="2209" operator="equal">
      <formula>"Muy Alta"</formula>
    </cfRule>
    <cfRule type="cellIs" dxfId="1960" priority="2210" operator="equal">
      <formula>"Alta"</formula>
    </cfRule>
    <cfRule type="cellIs" dxfId="1959" priority="2211" operator="equal">
      <formula>"Media"</formula>
    </cfRule>
    <cfRule type="cellIs" dxfId="1958" priority="2212" operator="equal">
      <formula>"Baja"</formula>
    </cfRule>
    <cfRule type="cellIs" dxfId="1957" priority="2213" operator="equal">
      <formula>"Muy Baja"</formula>
    </cfRule>
  </conditionalFormatting>
  <conditionalFormatting sqref="AD80">
    <cfRule type="cellIs" dxfId="1956" priority="2204" operator="equal">
      <formula>"Catastrófico"</formula>
    </cfRule>
    <cfRule type="cellIs" dxfId="1955" priority="2205" operator="equal">
      <formula>"Mayor"</formula>
    </cfRule>
    <cfRule type="cellIs" dxfId="1954" priority="2206" operator="equal">
      <formula>"Moderado"</formula>
    </cfRule>
    <cfRule type="cellIs" dxfId="1953" priority="2207" operator="equal">
      <formula>"Menor"</formula>
    </cfRule>
    <cfRule type="cellIs" dxfId="1952" priority="2208" operator="equal">
      <formula>"Leve"</formula>
    </cfRule>
  </conditionalFormatting>
  <conditionalFormatting sqref="AF80">
    <cfRule type="cellIs" dxfId="1951" priority="2200" operator="equal">
      <formula>"Extremo"</formula>
    </cfRule>
    <cfRule type="cellIs" dxfId="1950" priority="2201" operator="equal">
      <formula>"Alto"</formula>
    </cfRule>
    <cfRule type="cellIs" dxfId="1949" priority="2202" operator="equal">
      <formula>"Moderado"</formula>
    </cfRule>
    <cfRule type="cellIs" dxfId="1948" priority="2203" operator="equal">
      <formula>"Bajo"</formula>
    </cfRule>
  </conditionalFormatting>
  <conditionalFormatting sqref="AB81">
    <cfRule type="cellIs" dxfId="1947" priority="2195" operator="equal">
      <formula>"Muy Alta"</formula>
    </cfRule>
    <cfRule type="cellIs" dxfId="1946" priority="2196" operator="equal">
      <formula>"Alta"</formula>
    </cfRule>
    <cfRule type="cellIs" dxfId="1945" priority="2197" operator="equal">
      <formula>"Media"</formula>
    </cfRule>
    <cfRule type="cellIs" dxfId="1944" priority="2198" operator="equal">
      <formula>"Baja"</formula>
    </cfRule>
    <cfRule type="cellIs" dxfId="1943" priority="2199" operator="equal">
      <formula>"Muy Baja"</formula>
    </cfRule>
  </conditionalFormatting>
  <conditionalFormatting sqref="AD81">
    <cfRule type="cellIs" dxfId="1942" priority="2190" operator="equal">
      <formula>"Catastrófico"</formula>
    </cfRule>
    <cfRule type="cellIs" dxfId="1941" priority="2191" operator="equal">
      <formula>"Mayor"</formula>
    </cfRule>
    <cfRule type="cellIs" dxfId="1940" priority="2192" operator="equal">
      <formula>"Moderado"</formula>
    </cfRule>
    <cfRule type="cellIs" dxfId="1939" priority="2193" operator="equal">
      <formula>"Menor"</formula>
    </cfRule>
    <cfRule type="cellIs" dxfId="1938" priority="2194" operator="equal">
      <formula>"Leve"</formula>
    </cfRule>
  </conditionalFormatting>
  <conditionalFormatting sqref="AF81">
    <cfRule type="cellIs" dxfId="1937" priority="2186" operator="equal">
      <formula>"Extremo"</formula>
    </cfRule>
    <cfRule type="cellIs" dxfId="1936" priority="2187" operator="equal">
      <formula>"Alto"</formula>
    </cfRule>
    <cfRule type="cellIs" dxfId="1935" priority="2188" operator="equal">
      <formula>"Moderado"</formula>
    </cfRule>
    <cfRule type="cellIs" dxfId="1934" priority="2189" operator="equal">
      <formula>"Bajo"</formula>
    </cfRule>
  </conditionalFormatting>
  <conditionalFormatting sqref="AB83">
    <cfRule type="cellIs" dxfId="1933" priority="2181" operator="equal">
      <formula>"Muy Alta"</formula>
    </cfRule>
    <cfRule type="cellIs" dxfId="1932" priority="2182" operator="equal">
      <formula>"Alta"</formula>
    </cfRule>
    <cfRule type="cellIs" dxfId="1931" priority="2183" operator="equal">
      <formula>"Media"</formula>
    </cfRule>
    <cfRule type="cellIs" dxfId="1930" priority="2184" operator="equal">
      <formula>"Baja"</formula>
    </cfRule>
    <cfRule type="cellIs" dxfId="1929" priority="2185" operator="equal">
      <formula>"Muy Baja"</formula>
    </cfRule>
  </conditionalFormatting>
  <conditionalFormatting sqref="AD83">
    <cfRule type="cellIs" dxfId="1928" priority="2176" operator="equal">
      <formula>"Catastrófico"</formula>
    </cfRule>
    <cfRule type="cellIs" dxfId="1927" priority="2177" operator="equal">
      <formula>"Mayor"</formula>
    </cfRule>
    <cfRule type="cellIs" dxfId="1926" priority="2178" operator="equal">
      <formula>"Moderado"</formula>
    </cfRule>
    <cfRule type="cellIs" dxfId="1925" priority="2179" operator="equal">
      <formula>"Menor"</formula>
    </cfRule>
    <cfRule type="cellIs" dxfId="1924" priority="2180" operator="equal">
      <formula>"Leve"</formula>
    </cfRule>
  </conditionalFormatting>
  <conditionalFormatting sqref="AF83">
    <cfRule type="cellIs" dxfId="1923" priority="2172" operator="equal">
      <formula>"Extremo"</formula>
    </cfRule>
    <cfRule type="cellIs" dxfId="1922" priority="2173" operator="equal">
      <formula>"Alto"</formula>
    </cfRule>
    <cfRule type="cellIs" dxfId="1921" priority="2174" operator="equal">
      <formula>"Moderado"</formula>
    </cfRule>
    <cfRule type="cellIs" dxfId="1920" priority="2175" operator="equal">
      <formula>"Bajo"</formula>
    </cfRule>
  </conditionalFormatting>
  <conditionalFormatting sqref="AB84">
    <cfRule type="cellIs" dxfId="1919" priority="2167" operator="equal">
      <formula>"Muy Alta"</formula>
    </cfRule>
    <cfRule type="cellIs" dxfId="1918" priority="2168" operator="equal">
      <formula>"Alta"</formula>
    </cfRule>
    <cfRule type="cellIs" dxfId="1917" priority="2169" operator="equal">
      <formula>"Media"</formula>
    </cfRule>
    <cfRule type="cellIs" dxfId="1916" priority="2170" operator="equal">
      <formula>"Baja"</formula>
    </cfRule>
    <cfRule type="cellIs" dxfId="1915" priority="2171" operator="equal">
      <formula>"Muy Baja"</formula>
    </cfRule>
  </conditionalFormatting>
  <conditionalFormatting sqref="AD84">
    <cfRule type="cellIs" dxfId="1914" priority="2162" operator="equal">
      <formula>"Catastrófico"</formula>
    </cfRule>
    <cfRule type="cellIs" dxfId="1913" priority="2163" operator="equal">
      <formula>"Mayor"</formula>
    </cfRule>
    <cfRule type="cellIs" dxfId="1912" priority="2164" operator="equal">
      <formula>"Moderado"</formula>
    </cfRule>
    <cfRule type="cellIs" dxfId="1911" priority="2165" operator="equal">
      <formula>"Menor"</formula>
    </cfRule>
    <cfRule type="cellIs" dxfId="1910" priority="2166" operator="equal">
      <formula>"Leve"</formula>
    </cfRule>
  </conditionalFormatting>
  <conditionalFormatting sqref="AF84">
    <cfRule type="cellIs" dxfId="1909" priority="2158" operator="equal">
      <formula>"Extremo"</formula>
    </cfRule>
    <cfRule type="cellIs" dxfId="1908" priority="2159" operator="equal">
      <formula>"Alto"</formula>
    </cfRule>
    <cfRule type="cellIs" dxfId="1907" priority="2160" operator="equal">
      <formula>"Moderado"</formula>
    </cfRule>
    <cfRule type="cellIs" dxfId="1906" priority="2161" operator="equal">
      <formula>"Bajo"</formula>
    </cfRule>
  </conditionalFormatting>
  <conditionalFormatting sqref="AB89">
    <cfRule type="cellIs" dxfId="1905" priority="2153" operator="equal">
      <formula>"Muy Alta"</formula>
    </cfRule>
    <cfRule type="cellIs" dxfId="1904" priority="2154" operator="equal">
      <formula>"Alta"</formula>
    </cfRule>
    <cfRule type="cellIs" dxfId="1903" priority="2155" operator="equal">
      <formula>"Media"</formula>
    </cfRule>
    <cfRule type="cellIs" dxfId="1902" priority="2156" operator="equal">
      <formula>"Baja"</formula>
    </cfRule>
    <cfRule type="cellIs" dxfId="1901" priority="2157" operator="equal">
      <formula>"Muy Baja"</formula>
    </cfRule>
  </conditionalFormatting>
  <conditionalFormatting sqref="AD89">
    <cfRule type="cellIs" dxfId="1900" priority="2148" operator="equal">
      <formula>"Catastrófico"</formula>
    </cfRule>
    <cfRule type="cellIs" dxfId="1899" priority="2149" operator="equal">
      <formula>"Mayor"</formula>
    </cfRule>
    <cfRule type="cellIs" dxfId="1898" priority="2150" operator="equal">
      <formula>"Moderado"</formula>
    </cfRule>
    <cfRule type="cellIs" dxfId="1897" priority="2151" operator="equal">
      <formula>"Menor"</formula>
    </cfRule>
    <cfRule type="cellIs" dxfId="1896" priority="2152" operator="equal">
      <formula>"Leve"</formula>
    </cfRule>
  </conditionalFormatting>
  <conditionalFormatting sqref="AF89">
    <cfRule type="cellIs" dxfId="1895" priority="2144" operator="equal">
      <formula>"Extremo"</formula>
    </cfRule>
    <cfRule type="cellIs" dxfId="1894" priority="2145" operator="equal">
      <formula>"Alto"</formula>
    </cfRule>
    <cfRule type="cellIs" dxfId="1893" priority="2146" operator="equal">
      <formula>"Moderado"</formula>
    </cfRule>
    <cfRule type="cellIs" dxfId="1892" priority="2147" operator="equal">
      <formula>"Bajo"</formula>
    </cfRule>
  </conditionalFormatting>
  <conditionalFormatting sqref="AB90">
    <cfRule type="cellIs" dxfId="1891" priority="2139" operator="equal">
      <formula>"Muy Alta"</formula>
    </cfRule>
    <cfRule type="cellIs" dxfId="1890" priority="2140" operator="equal">
      <formula>"Alta"</formula>
    </cfRule>
    <cfRule type="cellIs" dxfId="1889" priority="2141" operator="equal">
      <formula>"Media"</formula>
    </cfRule>
    <cfRule type="cellIs" dxfId="1888" priority="2142" operator="equal">
      <formula>"Baja"</formula>
    </cfRule>
    <cfRule type="cellIs" dxfId="1887" priority="2143" operator="equal">
      <formula>"Muy Baja"</formula>
    </cfRule>
  </conditionalFormatting>
  <conditionalFormatting sqref="AD90">
    <cfRule type="cellIs" dxfId="1886" priority="2134" operator="equal">
      <formula>"Catastrófico"</formula>
    </cfRule>
    <cfRule type="cellIs" dxfId="1885" priority="2135" operator="equal">
      <formula>"Mayor"</formula>
    </cfRule>
    <cfRule type="cellIs" dxfId="1884" priority="2136" operator="equal">
      <formula>"Moderado"</formula>
    </cfRule>
    <cfRule type="cellIs" dxfId="1883" priority="2137" operator="equal">
      <formula>"Menor"</formula>
    </cfRule>
    <cfRule type="cellIs" dxfId="1882" priority="2138" operator="equal">
      <formula>"Leve"</formula>
    </cfRule>
  </conditionalFormatting>
  <conditionalFormatting sqref="AF90">
    <cfRule type="cellIs" dxfId="1881" priority="2130" operator="equal">
      <formula>"Extremo"</formula>
    </cfRule>
    <cfRule type="cellIs" dxfId="1880" priority="2131" operator="equal">
      <formula>"Alto"</formula>
    </cfRule>
    <cfRule type="cellIs" dxfId="1879" priority="2132" operator="equal">
      <formula>"Moderado"</formula>
    </cfRule>
    <cfRule type="cellIs" dxfId="1878" priority="2133" operator="equal">
      <formula>"Bajo"</formula>
    </cfRule>
  </conditionalFormatting>
  <conditionalFormatting sqref="AB92">
    <cfRule type="cellIs" dxfId="1877" priority="2125" operator="equal">
      <formula>"Muy Alta"</formula>
    </cfRule>
    <cfRule type="cellIs" dxfId="1876" priority="2126" operator="equal">
      <formula>"Alta"</formula>
    </cfRule>
    <cfRule type="cellIs" dxfId="1875" priority="2127" operator="equal">
      <formula>"Media"</formula>
    </cfRule>
    <cfRule type="cellIs" dxfId="1874" priority="2128" operator="equal">
      <formula>"Baja"</formula>
    </cfRule>
    <cfRule type="cellIs" dxfId="1873" priority="2129" operator="equal">
      <formula>"Muy Baja"</formula>
    </cfRule>
  </conditionalFormatting>
  <conditionalFormatting sqref="AD92">
    <cfRule type="cellIs" dxfId="1872" priority="2120" operator="equal">
      <formula>"Catastrófico"</formula>
    </cfRule>
    <cfRule type="cellIs" dxfId="1871" priority="2121" operator="equal">
      <formula>"Mayor"</formula>
    </cfRule>
    <cfRule type="cellIs" dxfId="1870" priority="2122" operator="equal">
      <formula>"Moderado"</formula>
    </cfRule>
    <cfRule type="cellIs" dxfId="1869" priority="2123" operator="equal">
      <formula>"Menor"</formula>
    </cfRule>
    <cfRule type="cellIs" dxfId="1868" priority="2124" operator="equal">
      <formula>"Leve"</formula>
    </cfRule>
  </conditionalFormatting>
  <conditionalFormatting sqref="AF92">
    <cfRule type="cellIs" dxfId="1867" priority="2116" operator="equal">
      <formula>"Extremo"</formula>
    </cfRule>
    <cfRule type="cellIs" dxfId="1866" priority="2117" operator="equal">
      <formula>"Alto"</formula>
    </cfRule>
    <cfRule type="cellIs" dxfId="1865" priority="2118" operator="equal">
      <formula>"Moderado"</formula>
    </cfRule>
    <cfRule type="cellIs" dxfId="1864" priority="2119" operator="equal">
      <formula>"Bajo"</formula>
    </cfRule>
  </conditionalFormatting>
  <conditionalFormatting sqref="AB94">
    <cfRule type="cellIs" dxfId="1863" priority="2111" operator="equal">
      <formula>"Muy Alta"</formula>
    </cfRule>
    <cfRule type="cellIs" dxfId="1862" priority="2112" operator="equal">
      <formula>"Alta"</formula>
    </cfRule>
    <cfRule type="cellIs" dxfId="1861" priority="2113" operator="equal">
      <formula>"Media"</formula>
    </cfRule>
    <cfRule type="cellIs" dxfId="1860" priority="2114" operator="equal">
      <formula>"Baja"</formula>
    </cfRule>
    <cfRule type="cellIs" dxfId="1859" priority="2115" operator="equal">
      <formula>"Muy Baja"</formula>
    </cfRule>
  </conditionalFormatting>
  <conditionalFormatting sqref="AD94">
    <cfRule type="cellIs" dxfId="1858" priority="2106" operator="equal">
      <formula>"Catastrófico"</formula>
    </cfRule>
    <cfRule type="cellIs" dxfId="1857" priority="2107" operator="equal">
      <formula>"Mayor"</formula>
    </cfRule>
    <cfRule type="cellIs" dxfId="1856" priority="2108" operator="equal">
      <formula>"Moderado"</formula>
    </cfRule>
    <cfRule type="cellIs" dxfId="1855" priority="2109" operator="equal">
      <formula>"Menor"</formula>
    </cfRule>
    <cfRule type="cellIs" dxfId="1854" priority="2110" operator="equal">
      <formula>"Leve"</formula>
    </cfRule>
  </conditionalFormatting>
  <conditionalFormatting sqref="AF94">
    <cfRule type="cellIs" dxfId="1853" priority="2102" operator="equal">
      <formula>"Extremo"</formula>
    </cfRule>
    <cfRule type="cellIs" dxfId="1852" priority="2103" operator="equal">
      <formula>"Alto"</formula>
    </cfRule>
    <cfRule type="cellIs" dxfId="1851" priority="2104" operator="equal">
      <formula>"Moderado"</formula>
    </cfRule>
    <cfRule type="cellIs" dxfId="1850" priority="2105" operator="equal">
      <formula>"Bajo"</formula>
    </cfRule>
  </conditionalFormatting>
  <conditionalFormatting sqref="AB93">
    <cfRule type="cellIs" dxfId="1849" priority="2097" operator="equal">
      <formula>"Muy Alta"</formula>
    </cfRule>
    <cfRule type="cellIs" dxfId="1848" priority="2098" operator="equal">
      <formula>"Alta"</formula>
    </cfRule>
    <cfRule type="cellIs" dxfId="1847" priority="2099" operator="equal">
      <formula>"Media"</formula>
    </cfRule>
    <cfRule type="cellIs" dxfId="1846" priority="2100" operator="equal">
      <formula>"Baja"</formula>
    </cfRule>
    <cfRule type="cellIs" dxfId="1845" priority="2101" operator="equal">
      <formula>"Muy Baja"</formula>
    </cfRule>
  </conditionalFormatting>
  <conditionalFormatting sqref="AD93">
    <cfRule type="cellIs" dxfId="1844" priority="2092" operator="equal">
      <formula>"Catastrófico"</formula>
    </cfRule>
    <cfRule type="cellIs" dxfId="1843" priority="2093" operator="equal">
      <formula>"Mayor"</formula>
    </cfRule>
    <cfRule type="cellIs" dxfId="1842" priority="2094" operator="equal">
      <formula>"Moderado"</formula>
    </cfRule>
    <cfRule type="cellIs" dxfId="1841" priority="2095" operator="equal">
      <formula>"Menor"</formula>
    </cfRule>
    <cfRule type="cellIs" dxfId="1840" priority="2096" operator="equal">
      <formula>"Leve"</formula>
    </cfRule>
  </conditionalFormatting>
  <conditionalFormatting sqref="AF93">
    <cfRule type="cellIs" dxfId="1839" priority="2088" operator="equal">
      <formula>"Extremo"</formula>
    </cfRule>
    <cfRule type="cellIs" dxfId="1838" priority="2089" operator="equal">
      <formula>"Alto"</formula>
    </cfRule>
    <cfRule type="cellIs" dxfId="1837" priority="2090" operator="equal">
      <formula>"Moderado"</formula>
    </cfRule>
    <cfRule type="cellIs" dxfId="1836" priority="2091" operator="equal">
      <formula>"Bajo"</formula>
    </cfRule>
  </conditionalFormatting>
  <conditionalFormatting sqref="AB95">
    <cfRule type="cellIs" dxfId="1835" priority="2083" operator="equal">
      <formula>"Muy Alta"</formula>
    </cfRule>
    <cfRule type="cellIs" dxfId="1834" priority="2084" operator="equal">
      <formula>"Alta"</formula>
    </cfRule>
    <cfRule type="cellIs" dxfId="1833" priority="2085" operator="equal">
      <formula>"Media"</formula>
    </cfRule>
    <cfRule type="cellIs" dxfId="1832" priority="2086" operator="equal">
      <formula>"Baja"</formula>
    </cfRule>
    <cfRule type="cellIs" dxfId="1831" priority="2087" operator="equal">
      <formula>"Muy Baja"</formula>
    </cfRule>
  </conditionalFormatting>
  <conditionalFormatting sqref="AD95">
    <cfRule type="cellIs" dxfId="1830" priority="2078" operator="equal">
      <formula>"Catastrófico"</formula>
    </cfRule>
    <cfRule type="cellIs" dxfId="1829" priority="2079" operator="equal">
      <formula>"Mayor"</formula>
    </cfRule>
    <cfRule type="cellIs" dxfId="1828" priority="2080" operator="equal">
      <formula>"Moderado"</formula>
    </cfRule>
    <cfRule type="cellIs" dxfId="1827" priority="2081" operator="equal">
      <formula>"Menor"</formula>
    </cfRule>
    <cfRule type="cellIs" dxfId="1826" priority="2082" operator="equal">
      <formula>"Leve"</formula>
    </cfRule>
  </conditionalFormatting>
  <conditionalFormatting sqref="AF95">
    <cfRule type="cellIs" dxfId="1825" priority="2074" operator="equal">
      <formula>"Extremo"</formula>
    </cfRule>
    <cfRule type="cellIs" dxfId="1824" priority="2075" operator="equal">
      <formula>"Alto"</formula>
    </cfRule>
    <cfRule type="cellIs" dxfId="1823" priority="2076" operator="equal">
      <formula>"Moderado"</formula>
    </cfRule>
    <cfRule type="cellIs" dxfId="1822" priority="2077" operator="equal">
      <formula>"Bajo"</formula>
    </cfRule>
  </conditionalFormatting>
  <conditionalFormatting sqref="AB96">
    <cfRule type="cellIs" dxfId="1821" priority="2069" operator="equal">
      <formula>"Muy Alta"</formula>
    </cfRule>
    <cfRule type="cellIs" dxfId="1820" priority="2070" operator="equal">
      <formula>"Alta"</formula>
    </cfRule>
    <cfRule type="cellIs" dxfId="1819" priority="2071" operator="equal">
      <formula>"Media"</formula>
    </cfRule>
    <cfRule type="cellIs" dxfId="1818" priority="2072" operator="equal">
      <formula>"Baja"</formula>
    </cfRule>
    <cfRule type="cellIs" dxfId="1817" priority="2073" operator="equal">
      <formula>"Muy Baja"</formula>
    </cfRule>
  </conditionalFormatting>
  <conditionalFormatting sqref="AD96">
    <cfRule type="cellIs" dxfId="1816" priority="2064" operator="equal">
      <formula>"Catastrófico"</formula>
    </cfRule>
    <cfRule type="cellIs" dxfId="1815" priority="2065" operator="equal">
      <formula>"Mayor"</formula>
    </cfRule>
    <cfRule type="cellIs" dxfId="1814" priority="2066" operator="equal">
      <formula>"Moderado"</formula>
    </cfRule>
    <cfRule type="cellIs" dxfId="1813" priority="2067" operator="equal">
      <formula>"Menor"</formula>
    </cfRule>
    <cfRule type="cellIs" dxfId="1812" priority="2068" operator="equal">
      <formula>"Leve"</formula>
    </cfRule>
  </conditionalFormatting>
  <conditionalFormatting sqref="AF96">
    <cfRule type="cellIs" dxfId="1811" priority="2060" operator="equal">
      <formula>"Extremo"</formula>
    </cfRule>
    <cfRule type="cellIs" dxfId="1810" priority="2061" operator="equal">
      <formula>"Alto"</formula>
    </cfRule>
    <cfRule type="cellIs" dxfId="1809" priority="2062" operator="equal">
      <formula>"Moderado"</formula>
    </cfRule>
    <cfRule type="cellIs" dxfId="1808" priority="2063" operator="equal">
      <formula>"Bajo"</formula>
    </cfRule>
  </conditionalFormatting>
  <conditionalFormatting sqref="AB98">
    <cfRule type="cellIs" dxfId="1807" priority="2055" operator="equal">
      <formula>"Muy Alta"</formula>
    </cfRule>
    <cfRule type="cellIs" dxfId="1806" priority="2056" operator="equal">
      <formula>"Alta"</formula>
    </cfRule>
    <cfRule type="cellIs" dxfId="1805" priority="2057" operator="equal">
      <formula>"Media"</formula>
    </cfRule>
    <cfRule type="cellIs" dxfId="1804" priority="2058" operator="equal">
      <formula>"Baja"</formula>
    </cfRule>
    <cfRule type="cellIs" dxfId="1803" priority="2059" operator="equal">
      <formula>"Muy Baja"</formula>
    </cfRule>
  </conditionalFormatting>
  <conditionalFormatting sqref="AD98">
    <cfRule type="cellIs" dxfId="1802" priority="2050" operator="equal">
      <formula>"Catastrófico"</formula>
    </cfRule>
    <cfRule type="cellIs" dxfId="1801" priority="2051" operator="equal">
      <formula>"Mayor"</formula>
    </cfRule>
    <cfRule type="cellIs" dxfId="1800" priority="2052" operator="equal">
      <formula>"Moderado"</formula>
    </cfRule>
    <cfRule type="cellIs" dxfId="1799" priority="2053" operator="equal">
      <formula>"Menor"</formula>
    </cfRule>
    <cfRule type="cellIs" dxfId="1798" priority="2054" operator="equal">
      <formula>"Leve"</formula>
    </cfRule>
  </conditionalFormatting>
  <conditionalFormatting sqref="AF98">
    <cfRule type="cellIs" dxfId="1797" priority="2046" operator="equal">
      <formula>"Extremo"</formula>
    </cfRule>
    <cfRule type="cellIs" dxfId="1796" priority="2047" operator="equal">
      <formula>"Alto"</formula>
    </cfRule>
    <cfRule type="cellIs" dxfId="1795" priority="2048" operator="equal">
      <formula>"Moderado"</formula>
    </cfRule>
    <cfRule type="cellIs" dxfId="1794" priority="2049" operator="equal">
      <formula>"Bajo"</formula>
    </cfRule>
  </conditionalFormatting>
  <conditionalFormatting sqref="AB100">
    <cfRule type="cellIs" dxfId="1793" priority="2027" operator="equal">
      <formula>"Muy Alta"</formula>
    </cfRule>
    <cfRule type="cellIs" dxfId="1792" priority="2028" operator="equal">
      <formula>"Alta"</formula>
    </cfRule>
    <cfRule type="cellIs" dxfId="1791" priority="2029" operator="equal">
      <formula>"Media"</formula>
    </cfRule>
    <cfRule type="cellIs" dxfId="1790" priority="2030" operator="equal">
      <formula>"Baja"</formula>
    </cfRule>
    <cfRule type="cellIs" dxfId="1789" priority="2031" operator="equal">
      <formula>"Muy Baja"</formula>
    </cfRule>
  </conditionalFormatting>
  <conditionalFormatting sqref="AD100">
    <cfRule type="cellIs" dxfId="1788" priority="2022" operator="equal">
      <formula>"Catastrófico"</formula>
    </cfRule>
    <cfRule type="cellIs" dxfId="1787" priority="2023" operator="equal">
      <formula>"Mayor"</formula>
    </cfRule>
    <cfRule type="cellIs" dxfId="1786" priority="2024" operator="equal">
      <formula>"Moderado"</formula>
    </cfRule>
    <cfRule type="cellIs" dxfId="1785" priority="2025" operator="equal">
      <formula>"Menor"</formula>
    </cfRule>
    <cfRule type="cellIs" dxfId="1784" priority="2026" operator="equal">
      <formula>"Leve"</formula>
    </cfRule>
  </conditionalFormatting>
  <conditionalFormatting sqref="AF100">
    <cfRule type="cellIs" dxfId="1783" priority="2018" operator="equal">
      <formula>"Extremo"</formula>
    </cfRule>
    <cfRule type="cellIs" dxfId="1782" priority="2019" operator="equal">
      <formula>"Alto"</formula>
    </cfRule>
    <cfRule type="cellIs" dxfId="1781" priority="2020" operator="equal">
      <formula>"Moderado"</formula>
    </cfRule>
    <cfRule type="cellIs" dxfId="1780" priority="2021" operator="equal">
      <formula>"Bajo"</formula>
    </cfRule>
  </conditionalFormatting>
  <conditionalFormatting sqref="AB106">
    <cfRule type="cellIs" dxfId="1779" priority="2013" operator="equal">
      <formula>"Muy Alta"</formula>
    </cfRule>
    <cfRule type="cellIs" dxfId="1778" priority="2014" operator="equal">
      <formula>"Alta"</formula>
    </cfRule>
    <cfRule type="cellIs" dxfId="1777" priority="2015" operator="equal">
      <formula>"Media"</formula>
    </cfRule>
    <cfRule type="cellIs" dxfId="1776" priority="2016" operator="equal">
      <formula>"Baja"</formula>
    </cfRule>
    <cfRule type="cellIs" dxfId="1775" priority="2017" operator="equal">
      <formula>"Muy Baja"</formula>
    </cfRule>
  </conditionalFormatting>
  <conditionalFormatting sqref="AD106">
    <cfRule type="cellIs" dxfId="1774" priority="2008" operator="equal">
      <formula>"Catastrófico"</formula>
    </cfRule>
    <cfRule type="cellIs" dxfId="1773" priority="2009" operator="equal">
      <formula>"Mayor"</formula>
    </cfRule>
    <cfRule type="cellIs" dxfId="1772" priority="2010" operator="equal">
      <formula>"Moderado"</formula>
    </cfRule>
    <cfRule type="cellIs" dxfId="1771" priority="2011" operator="equal">
      <formula>"Menor"</formula>
    </cfRule>
    <cfRule type="cellIs" dxfId="1770" priority="2012" operator="equal">
      <formula>"Leve"</formula>
    </cfRule>
  </conditionalFormatting>
  <conditionalFormatting sqref="AF106">
    <cfRule type="cellIs" dxfId="1769" priority="2004" operator="equal">
      <formula>"Extremo"</formula>
    </cfRule>
    <cfRule type="cellIs" dxfId="1768" priority="2005" operator="equal">
      <formula>"Alto"</formula>
    </cfRule>
    <cfRule type="cellIs" dxfId="1767" priority="2006" operator="equal">
      <formula>"Moderado"</formula>
    </cfRule>
    <cfRule type="cellIs" dxfId="1766" priority="2007" operator="equal">
      <formula>"Bajo"</formula>
    </cfRule>
  </conditionalFormatting>
  <conditionalFormatting sqref="AB107">
    <cfRule type="cellIs" dxfId="1765" priority="1971" operator="equal">
      <formula>"Muy Alta"</formula>
    </cfRule>
    <cfRule type="cellIs" dxfId="1764" priority="1972" operator="equal">
      <formula>"Alta"</formula>
    </cfRule>
    <cfRule type="cellIs" dxfId="1763" priority="1973" operator="equal">
      <formula>"Media"</formula>
    </cfRule>
    <cfRule type="cellIs" dxfId="1762" priority="1974" operator="equal">
      <formula>"Baja"</formula>
    </cfRule>
    <cfRule type="cellIs" dxfId="1761" priority="1975" operator="equal">
      <formula>"Muy Baja"</formula>
    </cfRule>
  </conditionalFormatting>
  <conditionalFormatting sqref="AD107">
    <cfRule type="cellIs" dxfId="1760" priority="1966" operator="equal">
      <formula>"Catastrófico"</formula>
    </cfRule>
    <cfRule type="cellIs" dxfId="1759" priority="1967" operator="equal">
      <formula>"Mayor"</formula>
    </cfRule>
    <cfRule type="cellIs" dxfId="1758" priority="1968" operator="equal">
      <formula>"Moderado"</formula>
    </cfRule>
    <cfRule type="cellIs" dxfId="1757" priority="1969" operator="equal">
      <formula>"Menor"</formula>
    </cfRule>
    <cfRule type="cellIs" dxfId="1756" priority="1970" operator="equal">
      <formula>"Leve"</formula>
    </cfRule>
  </conditionalFormatting>
  <conditionalFormatting sqref="AF107">
    <cfRule type="cellIs" dxfId="1755" priority="1962" operator="equal">
      <formula>"Extremo"</formula>
    </cfRule>
    <cfRule type="cellIs" dxfId="1754" priority="1963" operator="equal">
      <formula>"Alto"</formula>
    </cfRule>
    <cfRule type="cellIs" dxfId="1753" priority="1964" operator="equal">
      <formula>"Moderado"</formula>
    </cfRule>
    <cfRule type="cellIs" dxfId="1752" priority="1965" operator="equal">
      <formula>"Bajo"</formula>
    </cfRule>
  </conditionalFormatting>
  <conditionalFormatting sqref="AB108">
    <cfRule type="cellIs" dxfId="1751" priority="1957" operator="equal">
      <formula>"Muy Alta"</formula>
    </cfRule>
    <cfRule type="cellIs" dxfId="1750" priority="1958" operator="equal">
      <formula>"Alta"</formula>
    </cfRule>
    <cfRule type="cellIs" dxfId="1749" priority="1959" operator="equal">
      <formula>"Media"</formula>
    </cfRule>
    <cfRule type="cellIs" dxfId="1748" priority="1960" operator="equal">
      <formula>"Baja"</formula>
    </cfRule>
    <cfRule type="cellIs" dxfId="1747" priority="1961" operator="equal">
      <formula>"Muy Baja"</formula>
    </cfRule>
  </conditionalFormatting>
  <conditionalFormatting sqref="AD108">
    <cfRule type="cellIs" dxfId="1746" priority="1952" operator="equal">
      <formula>"Catastrófico"</formula>
    </cfRule>
    <cfRule type="cellIs" dxfId="1745" priority="1953" operator="equal">
      <formula>"Mayor"</formula>
    </cfRule>
    <cfRule type="cellIs" dxfId="1744" priority="1954" operator="equal">
      <formula>"Moderado"</formula>
    </cfRule>
    <cfRule type="cellIs" dxfId="1743" priority="1955" operator="equal">
      <formula>"Menor"</formula>
    </cfRule>
    <cfRule type="cellIs" dxfId="1742" priority="1956" operator="equal">
      <formula>"Leve"</formula>
    </cfRule>
  </conditionalFormatting>
  <conditionalFormatting sqref="AF108">
    <cfRule type="cellIs" dxfId="1741" priority="1948" operator="equal">
      <formula>"Extremo"</formula>
    </cfRule>
    <cfRule type="cellIs" dxfId="1740" priority="1949" operator="equal">
      <formula>"Alto"</formula>
    </cfRule>
    <cfRule type="cellIs" dxfId="1739" priority="1950" operator="equal">
      <formula>"Moderado"</formula>
    </cfRule>
    <cfRule type="cellIs" dxfId="1738" priority="1951" operator="equal">
      <formula>"Bajo"</formula>
    </cfRule>
  </conditionalFormatting>
  <conditionalFormatting sqref="AB110">
    <cfRule type="cellIs" dxfId="1737" priority="1943" operator="equal">
      <formula>"Muy Alta"</formula>
    </cfRule>
    <cfRule type="cellIs" dxfId="1736" priority="1944" operator="equal">
      <formula>"Alta"</formula>
    </cfRule>
    <cfRule type="cellIs" dxfId="1735" priority="1945" operator="equal">
      <formula>"Media"</formula>
    </cfRule>
    <cfRule type="cellIs" dxfId="1734" priority="1946" operator="equal">
      <formula>"Baja"</formula>
    </cfRule>
    <cfRule type="cellIs" dxfId="1733" priority="1947" operator="equal">
      <formula>"Muy Baja"</formula>
    </cfRule>
  </conditionalFormatting>
  <conditionalFormatting sqref="AD110">
    <cfRule type="cellIs" dxfId="1732" priority="1938" operator="equal">
      <formula>"Catastrófico"</formula>
    </cfRule>
    <cfRule type="cellIs" dxfId="1731" priority="1939" operator="equal">
      <formula>"Mayor"</formula>
    </cfRule>
    <cfRule type="cellIs" dxfId="1730" priority="1940" operator="equal">
      <formula>"Moderado"</formula>
    </cfRule>
    <cfRule type="cellIs" dxfId="1729" priority="1941" operator="equal">
      <formula>"Menor"</formula>
    </cfRule>
    <cfRule type="cellIs" dxfId="1728" priority="1942" operator="equal">
      <formula>"Leve"</formula>
    </cfRule>
  </conditionalFormatting>
  <conditionalFormatting sqref="AF110">
    <cfRule type="cellIs" dxfId="1727" priority="1934" operator="equal">
      <formula>"Extremo"</formula>
    </cfRule>
    <cfRule type="cellIs" dxfId="1726" priority="1935" operator="equal">
      <formula>"Alto"</formula>
    </cfRule>
    <cfRule type="cellIs" dxfId="1725" priority="1936" operator="equal">
      <formula>"Moderado"</formula>
    </cfRule>
    <cfRule type="cellIs" dxfId="1724" priority="1937" operator="equal">
      <formula>"Bajo"</formula>
    </cfRule>
  </conditionalFormatting>
  <conditionalFormatting sqref="AB111">
    <cfRule type="cellIs" dxfId="1723" priority="1929" operator="equal">
      <formula>"Muy Alta"</formula>
    </cfRule>
    <cfRule type="cellIs" dxfId="1722" priority="1930" operator="equal">
      <formula>"Alta"</formula>
    </cfRule>
    <cfRule type="cellIs" dxfId="1721" priority="1931" operator="equal">
      <formula>"Media"</formula>
    </cfRule>
    <cfRule type="cellIs" dxfId="1720" priority="1932" operator="equal">
      <formula>"Baja"</formula>
    </cfRule>
    <cfRule type="cellIs" dxfId="1719" priority="1933" operator="equal">
      <formula>"Muy Baja"</formula>
    </cfRule>
  </conditionalFormatting>
  <conditionalFormatting sqref="AD111">
    <cfRule type="cellIs" dxfId="1718" priority="1924" operator="equal">
      <formula>"Catastrófico"</formula>
    </cfRule>
    <cfRule type="cellIs" dxfId="1717" priority="1925" operator="equal">
      <formula>"Mayor"</formula>
    </cfRule>
    <cfRule type="cellIs" dxfId="1716" priority="1926" operator="equal">
      <formula>"Moderado"</formula>
    </cfRule>
    <cfRule type="cellIs" dxfId="1715" priority="1927" operator="equal">
      <formula>"Menor"</formula>
    </cfRule>
    <cfRule type="cellIs" dxfId="1714" priority="1928" operator="equal">
      <formula>"Leve"</formula>
    </cfRule>
  </conditionalFormatting>
  <conditionalFormatting sqref="AF111">
    <cfRule type="cellIs" dxfId="1713" priority="1920" operator="equal">
      <formula>"Extremo"</formula>
    </cfRule>
    <cfRule type="cellIs" dxfId="1712" priority="1921" operator="equal">
      <formula>"Alto"</formula>
    </cfRule>
    <cfRule type="cellIs" dxfId="1711" priority="1922" operator="equal">
      <formula>"Moderado"</formula>
    </cfRule>
    <cfRule type="cellIs" dxfId="1710" priority="1923" operator="equal">
      <formula>"Bajo"</formula>
    </cfRule>
  </conditionalFormatting>
  <conditionalFormatting sqref="AB127">
    <cfRule type="cellIs" dxfId="1709" priority="1915" operator="equal">
      <formula>"Muy Alta"</formula>
    </cfRule>
    <cfRule type="cellIs" dxfId="1708" priority="1916" operator="equal">
      <formula>"Alta"</formula>
    </cfRule>
    <cfRule type="cellIs" dxfId="1707" priority="1917" operator="equal">
      <formula>"Media"</formula>
    </cfRule>
    <cfRule type="cellIs" dxfId="1706" priority="1918" operator="equal">
      <formula>"Baja"</formula>
    </cfRule>
    <cfRule type="cellIs" dxfId="1705" priority="1919" operator="equal">
      <formula>"Muy Baja"</formula>
    </cfRule>
  </conditionalFormatting>
  <conditionalFormatting sqref="AD127">
    <cfRule type="cellIs" dxfId="1704" priority="1910" operator="equal">
      <formula>"Catastrófico"</formula>
    </cfRule>
    <cfRule type="cellIs" dxfId="1703" priority="1911" operator="equal">
      <formula>"Mayor"</formula>
    </cfRule>
    <cfRule type="cellIs" dxfId="1702" priority="1912" operator="equal">
      <formula>"Moderado"</formula>
    </cfRule>
    <cfRule type="cellIs" dxfId="1701" priority="1913" operator="equal">
      <formula>"Menor"</formula>
    </cfRule>
    <cfRule type="cellIs" dxfId="1700" priority="1914" operator="equal">
      <formula>"Leve"</formula>
    </cfRule>
  </conditionalFormatting>
  <conditionalFormatting sqref="AF127">
    <cfRule type="cellIs" dxfId="1699" priority="1906" operator="equal">
      <formula>"Extremo"</formula>
    </cfRule>
    <cfRule type="cellIs" dxfId="1698" priority="1907" operator="equal">
      <formula>"Alto"</formula>
    </cfRule>
    <cfRule type="cellIs" dxfId="1697" priority="1908" operator="equal">
      <formula>"Moderado"</formula>
    </cfRule>
    <cfRule type="cellIs" dxfId="1696" priority="1909" operator="equal">
      <formula>"Bajo"</formula>
    </cfRule>
  </conditionalFormatting>
  <conditionalFormatting sqref="AB128">
    <cfRule type="cellIs" dxfId="1695" priority="1901" operator="equal">
      <formula>"Muy Alta"</formula>
    </cfRule>
    <cfRule type="cellIs" dxfId="1694" priority="1902" operator="equal">
      <formula>"Alta"</formula>
    </cfRule>
    <cfRule type="cellIs" dxfId="1693" priority="1903" operator="equal">
      <formula>"Media"</formula>
    </cfRule>
    <cfRule type="cellIs" dxfId="1692" priority="1904" operator="equal">
      <formula>"Baja"</formula>
    </cfRule>
    <cfRule type="cellIs" dxfId="1691" priority="1905" operator="equal">
      <formula>"Muy Baja"</formula>
    </cfRule>
  </conditionalFormatting>
  <conditionalFormatting sqref="AD128">
    <cfRule type="cellIs" dxfId="1690" priority="1896" operator="equal">
      <formula>"Catastrófico"</formula>
    </cfRule>
    <cfRule type="cellIs" dxfId="1689" priority="1897" operator="equal">
      <formula>"Mayor"</formula>
    </cfRule>
    <cfRule type="cellIs" dxfId="1688" priority="1898" operator="equal">
      <formula>"Moderado"</formula>
    </cfRule>
    <cfRule type="cellIs" dxfId="1687" priority="1899" operator="equal">
      <formula>"Menor"</formula>
    </cfRule>
    <cfRule type="cellIs" dxfId="1686" priority="1900" operator="equal">
      <formula>"Leve"</formula>
    </cfRule>
  </conditionalFormatting>
  <conditionalFormatting sqref="AF128">
    <cfRule type="cellIs" dxfId="1685" priority="1892" operator="equal">
      <formula>"Extremo"</formula>
    </cfRule>
    <cfRule type="cellIs" dxfId="1684" priority="1893" operator="equal">
      <formula>"Alto"</formula>
    </cfRule>
    <cfRule type="cellIs" dxfId="1683" priority="1894" operator="equal">
      <formula>"Moderado"</formula>
    </cfRule>
    <cfRule type="cellIs" dxfId="1682" priority="1895" operator="equal">
      <formula>"Bajo"</formula>
    </cfRule>
  </conditionalFormatting>
  <conditionalFormatting sqref="AB129">
    <cfRule type="cellIs" dxfId="1681" priority="1887" operator="equal">
      <formula>"Muy Alta"</formula>
    </cfRule>
    <cfRule type="cellIs" dxfId="1680" priority="1888" operator="equal">
      <formula>"Alta"</formula>
    </cfRule>
    <cfRule type="cellIs" dxfId="1679" priority="1889" operator="equal">
      <formula>"Media"</formula>
    </cfRule>
    <cfRule type="cellIs" dxfId="1678" priority="1890" operator="equal">
      <formula>"Baja"</formula>
    </cfRule>
    <cfRule type="cellIs" dxfId="1677" priority="1891" operator="equal">
      <formula>"Muy Baja"</formula>
    </cfRule>
  </conditionalFormatting>
  <conditionalFormatting sqref="AD129">
    <cfRule type="cellIs" dxfId="1676" priority="1882" operator="equal">
      <formula>"Catastrófico"</formula>
    </cfRule>
    <cfRule type="cellIs" dxfId="1675" priority="1883" operator="equal">
      <formula>"Mayor"</formula>
    </cfRule>
    <cfRule type="cellIs" dxfId="1674" priority="1884" operator="equal">
      <formula>"Moderado"</formula>
    </cfRule>
    <cfRule type="cellIs" dxfId="1673" priority="1885" operator="equal">
      <formula>"Menor"</formula>
    </cfRule>
    <cfRule type="cellIs" dxfId="1672" priority="1886" operator="equal">
      <formula>"Leve"</formula>
    </cfRule>
  </conditionalFormatting>
  <conditionalFormatting sqref="AF129">
    <cfRule type="cellIs" dxfId="1671" priority="1878" operator="equal">
      <formula>"Extremo"</formula>
    </cfRule>
    <cfRule type="cellIs" dxfId="1670" priority="1879" operator="equal">
      <formula>"Alto"</formula>
    </cfRule>
    <cfRule type="cellIs" dxfId="1669" priority="1880" operator="equal">
      <formula>"Moderado"</formula>
    </cfRule>
    <cfRule type="cellIs" dxfId="1668" priority="1881" operator="equal">
      <formula>"Bajo"</formula>
    </cfRule>
  </conditionalFormatting>
  <conditionalFormatting sqref="K10">
    <cfRule type="cellIs" dxfId="1667" priority="1873" operator="equal">
      <formula>"Muy Alta"</formula>
    </cfRule>
    <cfRule type="cellIs" dxfId="1666" priority="1874" operator="equal">
      <formula>"Alta"</formula>
    </cfRule>
    <cfRule type="cellIs" dxfId="1665" priority="1875" operator="equal">
      <formula>"Media"</formula>
    </cfRule>
    <cfRule type="cellIs" dxfId="1664" priority="1876" operator="equal">
      <formula>"Baja"</formula>
    </cfRule>
    <cfRule type="cellIs" dxfId="1663" priority="1877" operator="equal">
      <formula>"Muy Baja"</formula>
    </cfRule>
  </conditionalFormatting>
  <conditionalFormatting sqref="O10">
    <cfRule type="cellIs" dxfId="1662" priority="1868" operator="equal">
      <formula>"Catastrófico"</formula>
    </cfRule>
    <cfRule type="cellIs" dxfId="1661" priority="1869" operator="equal">
      <formula>"Mayor"</formula>
    </cfRule>
    <cfRule type="cellIs" dxfId="1660" priority="1870" operator="equal">
      <formula>"Moderado"</formula>
    </cfRule>
    <cfRule type="cellIs" dxfId="1659" priority="1871" operator="equal">
      <formula>"Menor"</formula>
    </cfRule>
    <cfRule type="cellIs" dxfId="1658" priority="1872" operator="equal">
      <formula>"Leve"</formula>
    </cfRule>
  </conditionalFormatting>
  <conditionalFormatting sqref="Q10">
    <cfRule type="cellIs" dxfId="1657" priority="1864" operator="equal">
      <formula>"Extremo"</formula>
    </cfRule>
    <cfRule type="cellIs" dxfId="1656" priority="1865" operator="equal">
      <formula>"Alto"</formula>
    </cfRule>
    <cfRule type="cellIs" dxfId="1655" priority="1866" operator="equal">
      <formula>"Moderado"</formula>
    </cfRule>
    <cfRule type="cellIs" dxfId="1654" priority="1867" operator="equal">
      <formula>"Bajo"</formula>
    </cfRule>
  </conditionalFormatting>
  <conditionalFormatting sqref="N10:N12">
    <cfRule type="containsText" dxfId="1653" priority="1863" operator="containsText" text="❌">
      <formula>NOT(ISERROR(SEARCH("❌",N10)))</formula>
    </cfRule>
  </conditionalFormatting>
  <conditionalFormatting sqref="K13">
    <cfRule type="cellIs" dxfId="1652" priority="1858" operator="equal">
      <formula>"Muy Alta"</formula>
    </cfRule>
    <cfRule type="cellIs" dxfId="1651" priority="1859" operator="equal">
      <formula>"Alta"</formula>
    </cfRule>
    <cfRule type="cellIs" dxfId="1650" priority="1860" operator="equal">
      <formula>"Media"</formula>
    </cfRule>
    <cfRule type="cellIs" dxfId="1649" priority="1861" operator="equal">
      <formula>"Baja"</formula>
    </cfRule>
    <cfRule type="cellIs" dxfId="1648" priority="1862" operator="equal">
      <formula>"Muy Baja"</formula>
    </cfRule>
  </conditionalFormatting>
  <conditionalFormatting sqref="O13">
    <cfRule type="cellIs" dxfId="1647" priority="1853" operator="equal">
      <formula>"Catastrófico"</formula>
    </cfRule>
    <cfRule type="cellIs" dxfId="1646" priority="1854" operator="equal">
      <formula>"Mayor"</formula>
    </cfRule>
    <cfRule type="cellIs" dxfId="1645" priority="1855" operator="equal">
      <formula>"Moderado"</formula>
    </cfRule>
    <cfRule type="cellIs" dxfId="1644" priority="1856" operator="equal">
      <formula>"Menor"</formula>
    </cfRule>
    <cfRule type="cellIs" dxfId="1643" priority="1857" operator="equal">
      <formula>"Leve"</formula>
    </cfRule>
  </conditionalFormatting>
  <conditionalFormatting sqref="Q13">
    <cfRule type="cellIs" dxfId="1642" priority="1849" operator="equal">
      <formula>"Extremo"</formula>
    </cfRule>
    <cfRule type="cellIs" dxfId="1641" priority="1850" operator="equal">
      <formula>"Alto"</formula>
    </cfRule>
    <cfRule type="cellIs" dxfId="1640" priority="1851" operator="equal">
      <formula>"Moderado"</formula>
    </cfRule>
    <cfRule type="cellIs" dxfId="1639" priority="1852" operator="equal">
      <formula>"Bajo"</formula>
    </cfRule>
  </conditionalFormatting>
  <conditionalFormatting sqref="N13:N15">
    <cfRule type="containsText" dxfId="1638" priority="1848" operator="containsText" text="❌">
      <formula>NOT(ISERROR(SEARCH("❌",N13)))</formula>
    </cfRule>
  </conditionalFormatting>
  <conditionalFormatting sqref="K16">
    <cfRule type="cellIs" dxfId="1637" priority="1828" operator="equal">
      <formula>"Muy Alta"</formula>
    </cfRule>
    <cfRule type="cellIs" dxfId="1636" priority="1829" operator="equal">
      <formula>"Alta"</formula>
    </cfRule>
    <cfRule type="cellIs" dxfId="1635" priority="1830" operator="equal">
      <formula>"Media"</formula>
    </cfRule>
    <cfRule type="cellIs" dxfId="1634" priority="1831" operator="equal">
      <formula>"Baja"</formula>
    </cfRule>
    <cfRule type="cellIs" dxfId="1633" priority="1832" operator="equal">
      <formula>"Muy Baja"</formula>
    </cfRule>
  </conditionalFormatting>
  <conditionalFormatting sqref="O16">
    <cfRule type="cellIs" dxfId="1632" priority="1823" operator="equal">
      <formula>"Catastrófico"</formula>
    </cfRule>
    <cfRule type="cellIs" dxfId="1631" priority="1824" operator="equal">
      <formula>"Mayor"</formula>
    </cfRule>
    <cfRule type="cellIs" dxfId="1630" priority="1825" operator="equal">
      <formula>"Moderado"</formula>
    </cfRule>
    <cfRule type="cellIs" dxfId="1629" priority="1826" operator="equal">
      <formula>"Menor"</formula>
    </cfRule>
    <cfRule type="cellIs" dxfId="1628" priority="1827" operator="equal">
      <formula>"Leve"</formula>
    </cfRule>
  </conditionalFormatting>
  <conditionalFormatting sqref="Q16">
    <cfRule type="cellIs" dxfId="1627" priority="1819" operator="equal">
      <formula>"Extremo"</formula>
    </cfRule>
    <cfRule type="cellIs" dxfId="1626" priority="1820" operator="equal">
      <formula>"Alto"</formula>
    </cfRule>
    <cfRule type="cellIs" dxfId="1625" priority="1821" operator="equal">
      <formula>"Moderado"</formula>
    </cfRule>
    <cfRule type="cellIs" dxfId="1624" priority="1822" operator="equal">
      <formula>"Bajo"</formula>
    </cfRule>
  </conditionalFormatting>
  <conditionalFormatting sqref="N16:N18">
    <cfRule type="containsText" dxfId="1623" priority="1818" operator="containsText" text="❌">
      <formula>NOT(ISERROR(SEARCH("❌",N16)))</formula>
    </cfRule>
  </conditionalFormatting>
  <conditionalFormatting sqref="K19">
    <cfRule type="cellIs" dxfId="1622" priority="1813" operator="equal">
      <formula>"Muy Alta"</formula>
    </cfRule>
    <cfRule type="cellIs" dxfId="1621" priority="1814" operator="equal">
      <formula>"Alta"</formula>
    </cfRule>
    <cfRule type="cellIs" dxfId="1620" priority="1815" operator="equal">
      <formula>"Media"</formula>
    </cfRule>
    <cfRule type="cellIs" dxfId="1619" priority="1816" operator="equal">
      <formula>"Baja"</formula>
    </cfRule>
    <cfRule type="cellIs" dxfId="1618" priority="1817" operator="equal">
      <formula>"Muy Baja"</formula>
    </cfRule>
  </conditionalFormatting>
  <conditionalFormatting sqref="O19">
    <cfRule type="cellIs" dxfId="1617" priority="1808" operator="equal">
      <formula>"Catastrófico"</formula>
    </cfRule>
    <cfRule type="cellIs" dxfId="1616" priority="1809" operator="equal">
      <formula>"Mayor"</formula>
    </cfRule>
    <cfRule type="cellIs" dxfId="1615" priority="1810" operator="equal">
      <formula>"Moderado"</formula>
    </cfRule>
    <cfRule type="cellIs" dxfId="1614" priority="1811" operator="equal">
      <formula>"Menor"</formula>
    </cfRule>
    <cfRule type="cellIs" dxfId="1613" priority="1812" operator="equal">
      <formula>"Leve"</formula>
    </cfRule>
  </conditionalFormatting>
  <conditionalFormatting sqref="Q19">
    <cfRule type="cellIs" dxfId="1612" priority="1804" operator="equal">
      <formula>"Extremo"</formula>
    </cfRule>
    <cfRule type="cellIs" dxfId="1611" priority="1805" operator="equal">
      <formula>"Alto"</formula>
    </cfRule>
    <cfRule type="cellIs" dxfId="1610" priority="1806" operator="equal">
      <formula>"Moderado"</formula>
    </cfRule>
    <cfRule type="cellIs" dxfId="1609" priority="1807" operator="equal">
      <formula>"Bajo"</formula>
    </cfRule>
  </conditionalFormatting>
  <conditionalFormatting sqref="N19:N21">
    <cfRule type="containsText" dxfId="1608" priority="1803" operator="containsText" text="❌">
      <formula>NOT(ISERROR(SEARCH("❌",N19)))</formula>
    </cfRule>
  </conditionalFormatting>
  <conditionalFormatting sqref="K22">
    <cfRule type="cellIs" dxfId="1607" priority="1798" operator="equal">
      <formula>"Muy Alta"</formula>
    </cfRule>
    <cfRule type="cellIs" dxfId="1606" priority="1799" operator="equal">
      <formula>"Alta"</formula>
    </cfRule>
    <cfRule type="cellIs" dxfId="1605" priority="1800" operator="equal">
      <formula>"Media"</formula>
    </cfRule>
    <cfRule type="cellIs" dxfId="1604" priority="1801" operator="equal">
      <formula>"Baja"</formula>
    </cfRule>
    <cfRule type="cellIs" dxfId="1603" priority="1802" operator="equal">
      <formula>"Muy Baja"</formula>
    </cfRule>
  </conditionalFormatting>
  <conditionalFormatting sqref="O22">
    <cfRule type="cellIs" dxfId="1602" priority="1793" operator="equal">
      <formula>"Catastrófico"</formula>
    </cfRule>
    <cfRule type="cellIs" dxfId="1601" priority="1794" operator="equal">
      <formula>"Mayor"</formula>
    </cfRule>
    <cfRule type="cellIs" dxfId="1600" priority="1795" operator="equal">
      <formula>"Moderado"</formula>
    </cfRule>
    <cfRule type="cellIs" dxfId="1599" priority="1796" operator="equal">
      <formula>"Menor"</formula>
    </cfRule>
    <cfRule type="cellIs" dxfId="1598" priority="1797" operator="equal">
      <formula>"Leve"</formula>
    </cfRule>
  </conditionalFormatting>
  <conditionalFormatting sqref="Q22">
    <cfRule type="cellIs" dxfId="1597" priority="1789" operator="equal">
      <formula>"Extremo"</formula>
    </cfRule>
    <cfRule type="cellIs" dxfId="1596" priority="1790" operator="equal">
      <formula>"Alto"</formula>
    </cfRule>
    <cfRule type="cellIs" dxfId="1595" priority="1791" operator="equal">
      <formula>"Moderado"</formula>
    </cfRule>
    <cfRule type="cellIs" dxfId="1594" priority="1792" operator="equal">
      <formula>"Bajo"</formula>
    </cfRule>
  </conditionalFormatting>
  <conditionalFormatting sqref="N22:N24">
    <cfRule type="containsText" dxfId="1593" priority="1788" operator="containsText" text="❌">
      <formula>NOT(ISERROR(SEARCH("❌",N22)))</formula>
    </cfRule>
  </conditionalFormatting>
  <conditionalFormatting sqref="K25">
    <cfRule type="cellIs" dxfId="1592" priority="1783" operator="equal">
      <formula>"Muy Alta"</formula>
    </cfRule>
    <cfRule type="cellIs" dxfId="1591" priority="1784" operator="equal">
      <formula>"Alta"</formula>
    </cfRule>
    <cfRule type="cellIs" dxfId="1590" priority="1785" operator="equal">
      <formula>"Media"</formula>
    </cfRule>
    <cfRule type="cellIs" dxfId="1589" priority="1786" operator="equal">
      <formula>"Baja"</formula>
    </cfRule>
    <cfRule type="cellIs" dxfId="1588" priority="1787" operator="equal">
      <formula>"Muy Baja"</formula>
    </cfRule>
  </conditionalFormatting>
  <conditionalFormatting sqref="O25">
    <cfRule type="cellIs" dxfId="1587" priority="1778" operator="equal">
      <formula>"Catastrófico"</formula>
    </cfRule>
    <cfRule type="cellIs" dxfId="1586" priority="1779" operator="equal">
      <formula>"Mayor"</formula>
    </cfRule>
    <cfRule type="cellIs" dxfId="1585" priority="1780" operator="equal">
      <formula>"Moderado"</formula>
    </cfRule>
    <cfRule type="cellIs" dxfId="1584" priority="1781" operator="equal">
      <formula>"Menor"</formula>
    </cfRule>
    <cfRule type="cellIs" dxfId="1583" priority="1782" operator="equal">
      <formula>"Leve"</formula>
    </cfRule>
  </conditionalFormatting>
  <conditionalFormatting sqref="Q25">
    <cfRule type="cellIs" dxfId="1582" priority="1774" operator="equal">
      <formula>"Extremo"</formula>
    </cfRule>
    <cfRule type="cellIs" dxfId="1581" priority="1775" operator="equal">
      <formula>"Alto"</formula>
    </cfRule>
    <cfRule type="cellIs" dxfId="1580" priority="1776" operator="equal">
      <formula>"Moderado"</formula>
    </cfRule>
    <cfRule type="cellIs" dxfId="1579" priority="1777" operator="equal">
      <formula>"Bajo"</formula>
    </cfRule>
  </conditionalFormatting>
  <conditionalFormatting sqref="N25:N27">
    <cfRule type="containsText" dxfId="1578" priority="1773" operator="containsText" text="❌">
      <formula>NOT(ISERROR(SEARCH("❌",N25)))</formula>
    </cfRule>
  </conditionalFormatting>
  <conditionalFormatting sqref="K28">
    <cfRule type="cellIs" dxfId="1577" priority="1768" operator="equal">
      <formula>"Muy Alta"</formula>
    </cfRule>
    <cfRule type="cellIs" dxfId="1576" priority="1769" operator="equal">
      <formula>"Alta"</formula>
    </cfRule>
    <cfRule type="cellIs" dxfId="1575" priority="1770" operator="equal">
      <formula>"Media"</formula>
    </cfRule>
    <cfRule type="cellIs" dxfId="1574" priority="1771" operator="equal">
      <formula>"Baja"</formula>
    </cfRule>
    <cfRule type="cellIs" dxfId="1573" priority="1772" operator="equal">
      <formula>"Muy Baja"</formula>
    </cfRule>
  </conditionalFormatting>
  <conditionalFormatting sqref="O28">
    <cfRule type="cellIs" dxfId="1572" priority="1763" operator="equal">
      <formula>"Catastrófico"</formula>
    </cfRule>
    <cfRule type="cellIs" dxfId="1571" priority="1764" operator="equal">
      <formula>"Mayor"</formula>
    </cfRule>
    <cfRule type="cellIs" dxfId="1570" priority="1765" operator="equal">
      <formula>"Moderado"</formula>
    </cfRule>
    <cfRule type="cellIs" dxfId="1569" priority="1766" operator="equal">
      <formula>"Menor"</formula>
    </cfRule>
    <cfRule type="cellIs" dxfId="1568" priority="1767" operator="equal">
      <formula>"Leve"</formula>
    </cfRule>
  </conditionalFormatting>
  <conditionalFormatting sqref="Q28">
    <cfRule type="cellIs" dxfId="1567" priority="1759" operator="equal">
      <formula>"Extremo"</formula>
    </cfRule>
    <cfRule type="cellIs" dxfId="1566" priority="1760" operator="equal">
      <formula>"Alto"</formula>
    </cfRule>
    <cfRule type="cellIs" dxfId="1565" priority="1761" operator="equal">
      <formula>"Moderado"</formula>
    </cfRule>
    <cfRule type="cellIs" dxfId="1564" priority="1762" operator="equal">
      <formula>"Bajo"</formula>
    </cfRule>
  </conditionalFormatting>
  <conditionalFormatting sqref="K31">
    <cfRule type="cellIs" dxfId="1563" priority="1753" operator="equal">
      <formula>"Muy Alta"</formula>
    </cfRule>
    <cfRule type="cellIs" dxfId="1562" priority="1754" operator="equal">
      <formula>"Alta"</formula>
    </cfRule>
    <cfRule type="cellIs" dxfId="1561" priority="1755" operator="equal">
      <formula>"Media"</formula>
    </cfRule>
    <cfRule type="cellIs" dxfId="1560" priority="1756" operator="equal">
      <formula>"Baja"</formula>
    </cfRule>
    <cfRule type="cellIs" dxfId="1559" priority="1757" operator="equal">
      <formula>"Muy Baja"</formula>
    </cfRule>
  </conditionalFormatting>
  <conditionalFormatting sqref="O31">
    <cfRule type="cellIs" dxfId="1558" priority="1748" operator="equal">
      <formula>"Catastrófico"</formula>
    </cfRule>
    <cfRule type="cellIs" dxfId="1557" priority="1749" operator="equal">
      <formula>"Mayor"</formula>
    </cfRule>
    <cfRule type="cellIs" dxfId="1556" priority="1750" operator="equal">
      <formula>"Moderado"</formula>
    </cfRule>
    <cfRule type="cellIs" dxfId="1555" priority="1751" operator="equal">
      <formula>"Menor"</formula>
    </cfRule>
    <cfRule type="cellIs" dxfId="1554" priority="1752" operator="equal">
      <formula>"Leve"</formula>
    </cfRule>
  </conditionalFormatting>
  <conditionalFormatting sqref="Q31">
    <cfRule type="cellIs" dxfId="1553" priority="1744" operator="equal">
      <formula>"Extremo"</formula>
    </cfRule>
    <cfRule type="cellIs" dxfId="1552" priority="1745" operator="equal">
      <formula>"Alto"</formula>
    </cfRule>
    <cfRule type="cellIs" dxfId="1551" priority="1746" operator="equal">
      <formula>"Moderado"</formula>
    </cfRule>
    <cfRule type="cellIs" dxfId="1550" priority="1747" operator="equal">
      <formula>"Bajo"</formula>
    </cfRule>
  </conditionalFormatting>
  <conditionalFormatting sqref="N31:N33">
    <cfRule type="containsText" dxfId="1549" priority="1743" operator="containsText" text="❌">
      <formula>NOT(ISERROR(SEARCH("❌",N31)))</formula>
    </cfRule>
  </conditionalFormatting>
  <conditionalFormatting sqref="K34">
    <cfRule type="cellIs" dxfId="1548" priority="1738" operator="equal">
      <formula>"Muy Alta"</formula>
    </cfRule>
    <cfRule type="cellIs" dxfId="1547" priority="1739" operator="equal">
      <formula>"Alta"</formula>
    </cfRule>
    <cfRule type="cellIs" dxfId="1546" priority="1740" operator="equal">
      <formula>"Media"</formula>
    </cfRule>
    <cfRule type="cellIs" dxfId="1545" priority="1741" operator="equal">
      <formula>"Baja"</formula>
    </cfRule>
    <cfRule type="cellIs" dxfId="1544" priority="1742" operator="equal">
      <formula>"Muy Baja"</formula>
    </cfRule>
  </conditionalFormatting>
  <conditionalFormatting sqref="O34">
    <cfRule type="cellIs" dxfId="1543" priority="1733" operator="equal">
      <formula>"Catastrófico"</formula>
    </cfRule>
    <cfRule type="cellIs" dxfId="1542" priority="1734" operator="equal">
      <formula>"Mayor"</formula>
    </cfRule>
    <cfRule type="cellIs" dxfId="1541" priority="1735" operator="equal">
      <formula>"Moderado"</formula>
    </cfRule>
    <cfRule type="cellIs" dxfId="1540" priority="1736" operator="equal">
      <formula>"Menor"</formula>
    </cfRule>
    <cfRule type="cellIs" dxfId="1539" priority="1737" operator="equal">
      <formula>"Leve"</formula>
    </cfRule>
  </conditionalFormatting>
  <conditionalFormatting sqref="Q34">
    <cfRule type="cellIs" dxfId="1538" priority="1729" operator="equal">
      <formula>"Extremo"</formula>
    </cfRule>
    <cfRule type="cellIs" dxfId="1537" priority="1730" operator="equal">
      <formula>"Alto"</formula>
    </cfRule>
    <cfRule type="cellIs" dxfId="1536" priority="1731" operator="equal">
      <formula>"Moderado"</formula>
    </cfRule>
    <cfRule type="cellIs" dxfId="1535" priority="1732" operator="equal">
      <formula>"Bajo"</formula>
    </cfRule>
  </conditionalFormatting>
  <conditionalFormatting sqref="N34:N36">
    <cfRule type="containsText" dxfId="1534" priority="1728" operator="containsText" text="❌">
      <formula>NOT(ISERROR(SEARCH("❌",N34)))</formula>
    </cfRule>
  </conditionalFormatting>
  <conditionalFormatting sqref="K37">
    <cfRule type="cellIs" dxfId="1533" priority="1723" operator="equal">
      <formula>"Muy Alta"</formula>
    </cfRule>
    <cfRule type="cellIs" dxfId="1532" priority="1724" operator="equal">
      <formula>"Alta"</formula>
    </cfRule>
    <cfRule type="cellIs" dxfId="1531" priority="1725" operator="equal">
      <formula>"Media"</formula>
    </cfRule>
    <cfRule type="cellIs" dxfId="1530" priority="1726" operator="equal">
      <formula>"Baja"</formula>
    </cfRule>
    <cfRule type="cellIs" dxfId="1529" priority="1727" operator="equal">
      <formula>"Muy Baja"</formula>
    </cfRule>
  </conditionalFormatting>
  <conditionalFormatting sqref="O37">
    <cfRule type="cellIs" dxfId="1528" priority="1718" operator="equal">
      <formula>"Catastrófico"</formula>
    </cfRule>
    <cfRule type="cellIs" dxfId="1527" priority="1719" operator="equal">
      <formula>"Mayor"</formula>
    </cfRule>
    <cfRule type="cellIs" dxfId="1526" priority="1720" operator="equal">
      <formula>"Moderado"</formula>
    </cfRule>
    <cfRule type="cellIs" dxfId="1525" priority="1721" operator="equal">
      <formula>"Menor"</formula>
    </cfRule>
    <cfRule type="cellIs" dxfId="1524" priority="1722" operator="equal">
      <formula>"Leve"</formula>
    </cfRule>
  </conditionalFormatting>
  <conditionalFormatting sqref="Q37">
    <cfRule type="cellIs" dxfId="1523" priority="1714" operator="equal">
      <formula>"Extremo"</formula>
    </cfRule>
    <cfRule type="cellIs" dxfId="1522" priority="1715" operator="equal">
      <formula>"Alto"</formula>
    </cfRule>
    <cfRule type="cellIs" dxfId="1521" priority="1716" operator="equal">
      <formula>"Moderado"</formula>
    </cfRule>
    <cfRule type="cellIs" dxfId="1520" priority="1717" operator="equal">
      <formula>"Bajo"</formula>
    </cfRule>
  </conditionalFormatting>
  <conditionalFormatting sqref="N37:N39">
    <cfRule type="containsText" dxfId="1519" priority="1713" operator="containsText" text="❌">
      <formula>NOT(ISERROR(SEARCH("❌",N37)))</formula>
    </cfRule>
  </conditionalFormatting>
  <conditionalFormatting sqref="K40">
    <cfRule type="cellIs" dxfId="1518" priority="1708" operator="equal">
      <formula>"Muy Alta"</formula>
    </cfRule>
    <cfRule type="cellIs" dxfId="1517" priority="1709" operator="equal">
      <formula>"Alta"</formula>
    </cfRule>
    <cfRule type="cellIs" dxfId="1516" priority="1710" operator="equal">
      <formula>"Media"</formula>
    </cfRule>
    <cfRule type="cellIs" dxfId="1515" priority="1711" operator="equal">
      <formula>"Baja"</formula>
    </cfRule>
    <cfRule type="cellIs" dxfId="1514" priority="1712" operator="equal">
      <formula>"Muy Baja"</formula>
    </cfRule>
  </conditionalFormatting>
  <conditionalFormatting sqref="O40">
    <cfRule type="cellIs" dxfId="1513" priority="1703" operator="equal">
      <formula>"Catastrófico"</formula>
    </cfRule>
    <cfRule type="cellIs" dxfId="1512" priority="1704" operator="equal">
      <formula>"Mayor"</formula>
    </cfRule>
    <cfRule type="cellIs" dxfId="1511" priority="1705" operator="equal">
      <formula>"Moderado"</formula>
    </cfRule>
    <cfRule type="cellIs" dxfId="1510" priority="1706" operator="equal">
      <formula>"Menor"</formula>
    </cfRule>
    <cfRule type="cellIs" dxfId="1509" priority="1707" operator="equal">
      <formula>"Leve"</formula>
    </cfRule>
  </conditionalFormatting>
  <conditionalFormatting sqref="Q40">
    <cfRule type="cellIs" dxfId="1508" priority="1699" operator="equal">
      <formula>"Extremo"</formula>
    </cfRule>
    <cfRule type="cellIs" dxfId="1507" priority="1700" operator="equal">
      <formula>"Alto"</formula>
    </cfRule>
    <cfRule type="cellIs" dxfId="1506" priority="1701" operator="equal">
      <formula>"Moderado"</formula>
    </cfRule>
    <cfRule type="cellIs" dxfId="1505" priority="1702" operator="equal">
      <formula>"Bajo"</formula>
    </cfRule>
  </conditionalFormatting>
  <conditionalFormatting sqref="N40:N42">
    <cfRule type="containsText" dxfId="1504" priority="1698" operator="containsText" text="❌">
      <formula>NOT(ISERROR(SEARCH("❌",N40)))</formula>
    </cfRule>
  </conditionalFormatting>
  <conditionalFormatting sqref="K43">
    <cfRule type="cellIs" dxfId="1503" priority="1678" operator="equal">
      <formula>"Muy Alta"</formula>
    </cfRule>
    <cfRule type="cellIs" dxfId="1502" priority="1679" operator="equal">
      <formula>"Alta"</formula>
    </cfRule>
    <cfRule type="cellIs" dxfId="1501" priority="1680" operator="equal">
      <formula>"Media"</formula>
    </cfRule>
    <cfRule type="cellIs" dxfId="1500" priority="1681" operator="equal">
      <formula>"Baja"</formula>
    </cfRule>
    <cfRule type="cellIs" dxfId="1499" priority="1682" operator="equal">
      <formula>"Muy Baja"</formula>
    </cfRule>
  </conditionalFormatting>
  <conditionalFormatting sqref="O43">
    <cfRule type="cellIs" dxfId="1498" priority="1673" operator="equal">
      <formula>"Catastrófico"</formula>
    </cfRule>
    <cfRule type="cellIs" dxfId="1497" priority="1674" operator="equal">
      <formula>"Mayor"</formula>
    </cfRule>
    <cfRule type="cellIs" dxfId="1496" priority="1675" operator="equal">
      <formula>"Moderado"</formula>
    </cfRule>
    <cfRule type="cellIs" dxfId="1495" priority="1676" operator="equal">
      <formula>"Menor"</formula>
    </cfRule>
    <cfRule type="cellIs" dxfId="1494" priority="1677" operator="equal">
      <formula>"Leve"</formula>
    </cfRule>
  </conditionalFormatting>
  <conditionalFormatting sqref="Q43">
    <cfRule type="cellIs" dxfId="1493" priority="1669" operator="equal">
      <formula>"Extremo"</formula>
    </cfRule>
    <cfRule type="cellIs" dxfId="1492" priority="1670" operator="equal">
      <formula>"Alto"</formula>
    </cfRule>
    <cfRule type="cellIs" dxfId="1491" priority="1671" operator="equal">
      <formula>"Moderado"</formula>
    </cfRule>
    <cfRule type="cellIs" dxfId="1490" priority="1672" operator="equal">
      <formula>"Bajo"</formula>
    </cfRule>
  </conditionalFormatting>
  <conditionalFormatting sqref="N43:N45">
    <cfRule type="containsText" dxfId="1489" priority="1668" operator="containsText" text="❌">
      <formula>NOT(ISERROR(SEARCH("❌",N43)))</formula>
    </cfRule>
  </conditionalFormatting>
  <conditionalFormatting sqref="K46">
    <cfRule type="cellIs" dxfId="1488" priority="1663" operator="equal">
      <formula>"Muy Alta"</formula>
    </cfRule>
    <cfRule type="cellIs" dxfId="1487" priority="1664" operator="equal">
      <formula>"Alta"</formula>
    </cfRule>
    <cfRule type="cellIs" dxfId="1486" priority="1665" operator="equal">
      <formula>"Media"</formula>
    </cfRule>
    <cfRule type="cellIs" dxfId="1485" priority="1666" operator="equal">
      <formula>"Baja"</formula>
    </cfRule>
    <cfRule type="cellIs" dxfId="1484" priority="1667" operator="equal">
      <formula>"Muy Baja"</formula>
    </cfRule>
  </conditionalFormatting>
  <conditionalFormatting sqref="O46">
    <cfRule type="cellIs" dxfId="1483" priority="1658" operator="equal">
      <formula>"Catastrófico"</formula>
    </cfRule>
    <cfRule type="cellIs" dxfId="1482" priority="1659" operator="equal">
      <formula>"Mayor"</formula>
    </cfRule>
    <cfRule type="cellIs" dxfId="1481" priority="1660" operator="equal">
      <formula>"Moderado"</formula>
    </cfRule>
    <cfRule type="cellIs" dxfId="1480" priority="1661" operator="equal">
      <formula>"Menor"</formula>
    </cfRule>
    <cfRule type="cellIs" dxfId="1479" priority="1662" operator="equal">
      <formula>"Leve"</formula>
    </cfRule>
  </conditionalFormatting>
  <conditionalFormatting sqref="Q46">
    <cfRule type="cellIs" dxfId="1478" priority="1654" operator="equal">
      <formula>"Extremo"</formula>
    </cfRule>
    <cfRule type="cellIs" dxfId="1477" priority="1655" operator="equal">
      <formula>"Alto"</formula>
    </cfRule>
    <cfRule type="cellIs" dxfId="1476" priority="1656" operator="equal">
      <formula>"Moderado"</formula>
    </cfRule>
    <cfRule type="cellIs" dxfId="1475" priority="1657" operator="equal">
      <formula>"Bajo"</formula>
    </cfRule>
  </conditionalFormatting>
  <conditionalFormatting sqref="N46:N48">
    <cfRule type="containsText" dxfId="1474" priority="1653" operator="containsText" text="❌">
      <formula>NOT(ISERROR(SEARCH("❌",N46)))</formula>
    </cfRule>
  </conditionalFormatting>
  <conditionalFormatting sqref="K49">
    <cfRule type="cellIs" dxfId="1473" priority="1648" operator="equal">
      <formula>"Muy Alta"</formula>
    </cfRule>
    <cfRule type="cellIs" dxfId="1472" priority="1649" operator="equal">
      <formula>"Alta"</formula>
    </cfRule>
    <cfRule type="cellIs" dxfId="1471" priority="1650" operator="equal">
      <formula>"Media"</formula>
    </cfRule>
    <cfRule type="cellIs" dxfId="1470" priority="1651" operator="equal">
      <formula>"Baja"</formula>
    </cfRule>
    <cfRule type="cellIs" dxfId="1469" priority="1652" operator="equal">
      <formula>"Muy Baja"</formula>
    </cfRule>
  </conditionalFormatting>
  <conditionalFormatting sqref="O49">
    <cfRule type="cellIs" dxfId="1468" priority="1643" operator="equal">
      <formula>"Catastrófico"</formula>
    </cfRule>
    <cfRule type="cellIs" dxfId="1467" priority="1644" operator="equal">
      <formula>"Mayor"</formula>
    </cfRule>
    <cfRule type="cellIs" dxfId="1466" priority="1645" operator="equal">
      <formula>"Moderado"</formula>
    </cfRule>
    <cfRule type="cellIs" dxfId="1465" priority="1646" operator="equal">
      <formula>"Menor"</formula>
    </cfRule>
    <cfRule type="cellIs" dxfId="1464" priority="1647" operator="equal">
      <formula>"Leve"</formula>
    </cfRule>
  </conditionalFormatting>
  <conditionalFormatting sqref="Q49">
    <cfRule type="cellIs" dxfId="1463" priority="1639" operator="equal">
      <formula>"Extremo"</formula>
    </cfRule>
    <cfRule type="cellIs" dxfId="1462" priority="1640" operator="equal">
      <formula>"Alto"</formula>
    </cfRule>
    <cfRule type="cellIs" dxfId="1461" priority="1641" operator="equal">
      <formula>"Moderado"</formula>
    </cfRule>
    <cfRule type="cellIs" dxfId="1460" priority="1642" operator="equal">
      <formula>"Bajo"</formula>
    </cfRule>
  </conditionalFormatting>
  <conditionalFormatting sqref="N49:N51">
    <cfRule type="containsText" dxfId="1459" priority="1638" operator="containsText" text="❌">
      <formula>NOT(ISERROR(SEARCH("❌",N49)))</formula>
    </cfRule>
  </conditionalFormatting>
  <conditionalFormatting sqref="K52">
    <cfRule type="cellIs" dxfId="1458" priority="1633" operator="equal">
      <formula>"Muy Alta"</formula>
    </cfRule>
    <cfRule type="cellIs" dxfId="1457" priority="1634" operator="equal">
      <formula>"Alta"</formula>
    </cfRule>
    <cfRule type="cellIs" dxfId="1456" priority="1635" operator="equal">
      <formula>"Media"</formula>
    </cfRule>
    <cfRule type="cellIs" dxfId="1455" priority="1636" operator="equal">
      <formula>"Baja"</formula>
    </cfRule>
    <cfRule type="cellIs" dxfId="1454" priority="1637" operator="equal">
      <formula>"Muy Baja"</formula>
    </cfRule>
  </conditionalFormatting>
  <conditionalFormatting sqref="O52">
    <cfRule type="cellIs" dxfId="1453" priority="1628" operator="equal">
      <formula>"Catastrófico"</formula>
    </cfRule>
    <cfRule type="cellIs" dxfId="1452" priority="1629" operator="equal">
      <formula>"Mayor"</formula>
    </cfRule>
    <cfRule type="cellIs" dxfId="1451" priority="1630" operator="equal">
      <formula>"Moderado"</formula>
    </cfRule>
    <cfRule type="cellIs" dxfId="1450" priority="1631" operator="equal">
      <formula>"Menor"</formula>
    </cfRule>
    <cfRule type="cellIs" dxfId="1449" priority="1632" operator="equal">
      <formula>"Leve"</formula>
    </cfRule>
  </conditionalFormatting>
  <conditionalFormatting sqref="Q52">
    <cfRule type="cellIs" dxfId="1448" priority="1624" operator="equal">
      <formula>"Extremo"</formula>
    </cfRule>
    <cfRule type="cellIs" dxfId="1447" priority="1625" operator="equal">
      <formula>"Alto"</formula>
    </cfRule>
    <cfRule type="cellIs" dxfId="1446" priority="1626" operator="equal">
      <formula>"Moderado"</formula>
    </cfRule>
    <cfRule type="cellIs" dxfId="1445" priority="1627" operator="equal">
      <formula>"Bajo"</formula>
    </cfRule>
  </conditionalFormatting>
  <conditionalFormatting sqref="N52:N54">
    <cfRule type="containsText" dxfId="1444" priority="1623" operator="containsText" text="❌">
      <formula>NOT(ISERROR(SEARCH("❌",N52)))</formula>
    </cfRule>
  </conditionalFormatting>
  <conditionalFormatting sqref="K55">
    <cfRule type="cellIs" dxfId="1443" priority="1618" operator="equal">
      <formula>"Muy Alta"</formula>
    </cfRule>
    <cfRule type="cellIs" dxfId="1442" priority="1619" operator="equal">
      <formula>"Alta"</formula>
    </cfRule>
    <cfRule type="cellIs" dxfId="1441" priority="1620" operator="equal">
      <formula>"Media"</formula>
    </cfRule>
    <cfRule type="cellIs" dxfId="1440" priority="1621" operator="equal">
      <formula>"Baja"</formula>
    </cfRule>
    <cfRule type="cellIs" dxfId="1439" priority="1622" operator="equal">
      <formula>"Muy Baja"</formula>
    </cfRule>
  </conditionalFormatting>
  <conditionalFormatting sqref="O55">
    <cfRule type="cellIs" dxfId="1438" priority="1613" operator="equal">
      <formula>"Catastrófico"</formula>
    </cfRule>
    <cfRule type="cellIs" dxfId="1437" priority="1614" operator="equal">
      <formula>"Mayor"</formula>
    </cfRule>
    <cfRule type="cellIs" dxfId="1436" priority="1615" operator="equal">
      <formula>"Moderado"</formula>
    </cfRule>
    <cfRule type="cellIs" dxfId="1435" priority="1616" operator="equal">
      <formula>"Menor"</formula>
    </cfRule>
    <cfRule type="cellIs" dxfId="1434" priority="1617" operator="equal">
      <formula>"Leve"</formula>
    </cfRule>
  </conditionalFormatting>
  <conditionalFormatting sqref="Q55">
    <cfRule type="cellIs" dxfId="1433" priority="1609" operator="equal">
      <formula>"Extremo"</formula>
    </cfRule>
    <cfRule type="cellIs" dxfId="1432" priority="1610" operator="equal">
      <formula>"Alto"</formula>
    </cfRule>
    <cfRule type="cellIs" dxfId="1431" priority="1611" operator="equal">
      <formula>"Moderado"</formula>
    </cfRule>
    <cfRule type="cellIs" dxfId="1430" priority="1612" operator="equal">
      <formula>"Bajo"</formula>
    </cfRule>
  </conditionalFormatting>
  <conditionalFormatting sqref="N55:N57">
    <cfRule type="containsText" dxfId="1429" priority="1608" operator="containsText" text="❌">
      <formula>NOT(ISERROR(SEARCH("❌",N55)))</formula>
    </cfRule>
  </conditionalFormatting>
  <conditionalFormatting sqref="K58">
    <cfRule type="cellIs" dxfId="1428" priority="1603" operator="equal">
      <formula>"Muy Alta"</formula>
    </cfRule>
    <cfRule type="cellIs" dxfId="1427" priority="1604" operator="equal">
      <formula>"Alta"</formula>
    </cfRule>
    <cfRule type="cellIs" dxfId="1426" priority="1605" operator="equal">
      <formula>"Media"</formula>
    </cfRule>
    <cfRule type="cellIs" dxfId="1425" priority="1606" operator="equal">
      <formula>"Baja"</formula>
    </cfRule>
    <cfRule type="cellIs" dxfId="1424" priority="1607" operator="equal">
      <formula>"Muy Baja"</formula>
    </cfRule>
  </conditionalFormatting>
  <conditionalFormatting sqref="O58">
    <cfRule type="cellIs" dxfId="1423" priority="1598" operator="equal">
      <formula>"Catastrófico"</formula>
    </cfRule>
    <cfRule type="cellIs" dxfId="1422" priority="1599" operator="equal">
      <formula>"Mayor"</formula>
    </cfRule>
    <cfRule type="cellIs" dxfId="1421" priority="1600" operator="equal">
      <formula>"Moderado"</formula>
    </cfRule>
    <cfRule type="cellIs" dxfId="1420" priority="1601" operator="equal">
      <formula>"Menor"</formula>
    </cfRule>
    <cfRule type="cellIs" dxfId="1419" priority="1602" operator="equal">
      <formula>"Leve"</formula>
    </cfRule>
  </conditionalFormatting>
  <conditionalFormatting sqref="Q58">
    <cfRule type="cellIs" dxfId="1418" priority="1594" operator="equal">
      <formula>"Extremo"</formula>
    </cfRule>
    <cfRule type="cellIs" dxfId="1417" priority="1595" operator="equal">
      <formula>"Alto"</formula>
    </cfRule>
    <cfRule type="cellIs" dxfId="1416" priority="1596" operator="equal">
      <formula>"Moderado"</formula>
    </cfRule>
    <cfRule type="cellIs" dxfId="1415" priority="1597" operator="equal">
      <formula>"Bajo"</formula>
    </cfRule>
  </conditionalFormatting>
  <conditionalFormatting sqref="N58:N60">
    <cfRule type="containsText" dxfId="1414" priority="1593" operator="containsText" text="❌">
      <formula>NOT(ISERROR(SEARCH("❌",N58)))</formula>
    </cfRule>
  </conditionalFormatting>
  <conditionalFormatting sqref="K61">
    <cfRule type="cellIs" dxfId="1413" priority="1588" operator="equal">
      <formula>"Muy Alta"</formula>
    </cfRule>
    <cfRule type="cellIs" dxfId="1412" priority="1589" operator="equal">
      <formula>"Alta"</formula>
    </cfRule>
    <cfRule type="cellIs" dxfId="1411" priority="1590" operator="equal">
      <formula>"Media"</formula>
    </cfRule>
    <cfRule type="cellIs" dxfId="1410" priority="1591" operator="equal">
      <formula>"Baja"</formula>
    </cfRule>
    <cfRule type="cellIs" dxfId="1409" priority="1592" operator="equal">
      <formula>"Muy Baja"</formula>
    </cfRule>
  </conditionalFormatting>
  <conditionalFormatting sqref="O61">
    <cfRule type="cellIs" dxfId="1408" priority="1583" operator="equal">
      <formula>"Catastrófico"</formula>
    </cfRule>
    <cfRule type="cellIs" dxfId="1407" priority="1584" operator="equal">
      <formula>"Mayor"</formula>
    </cfRule>
    <cfRule type="cellIs" dxfId="1406" priority="1585" operator="equal">
      <formula>"Moderado"</formula>
    </cfRule>
    <cfRule type="cellIs" dxfId="1405" priority="1586" operator="equal">
      <formula>"Menor"</formula>
    </cfRule>
    <cfRule type="cellIs" dxfId="1404" priority="1587" operator="equal">
      <formula>"Leve"</formula>
    </cfRule>
  </conditionalFormatting>
  <conditionalFormatting sqref="Q61">
    <cfRule type="cellIs" dxfId="1403" priority="1579" operator="equal">
      <formula>"Extremo"</formula>
    </cfRule>
    <cfRule type="cellIs" dxfId="1402" priority="1580" operator="equal">
      <formula>"Alto"</formula>
    </cfRule>
    <cfRule type="cellIs" dxfId="1401" priority="1581" operator="equal">
      <formula>"Moderado"</formula>
    </cfRule>
    <cfRule type="cellIs" dxfId="1400" priority="1582" operator="equal">
      <formula>"Bajo"</formula>
    </cfRule>
  </conditionalFormatting>
  <conditionalFormatting sqref="N61:N63">
    <cfRule type="containsText" dxfId="1399" priority="1578" operator="containsText" text="❌">
      <formula>NOT(ISERROR(SEARCH("❌",N61)))</formula>
    </cfRule>
  </conditionalFormatting>
  <conditionalFormatting sqref="K64">
    <cfRule type="cellIs" dxfId="1398" priority="1573" operator="equal">
      <formula>"Muy Alta"</formula>
    </cfRule>
    <cfRule type="cellIs" dxfId="1397" priority="1574" operator="equal">
      <formula>"Alta"</formula>
    </cfRule>
    <cfRule type="cellIs" dxfId="1396" priority="1575" operator="equal">
      <formula>"Media"</formula>
    </cfRule>
    <cfRule type="cellIs" dxfId="1395" priority="1576" operator="equal">
      <formula>"Baja"</formula>
    </cfRule>
    <cfRule type="cellIs" dxfId="1394" priority="1577" operator="equal">
      <formula>"Muy Baja"</formula>
    </cfRule>
  </conditionalFormatting>
  <conditionalFormatting sqref="O64">
    <cfRule type="cellIs" dxfId="1393" priority="1568" operator="equal">
      <formula>"Catastrófico"</formula>
    </cfRule>
    <cfRule type="cellIs" dxfId="1392" priority="1569" operator="equal">
      <formula>"Mayor"</formula>
    </cfRule>
    <cfRule type="cellIs" dxfId="1391" priority="1570" operator="equal">
      <formula>"Moderado"</formula>
    </cfRule>
    <cfRule type="cellIs" dxfId="1390" priority="1571" operator="equal">
      <formula>"Menor"</formula>
    </cfRule>
    <cfRule type="cellIs" dxfId="1389" priority="1572" operator="equal">
      <formula>"Leve"</formula>
    </cfRule>
  </conditionalFormatting>
  <conditionalFormatting sqref="Q64">
    <cfRule type="cellIs" dxfId="1388" priority="1564" operator="equal">
      <formula>"Extremo"</formula>
    </cfRule>
    <cfRule type="cellIs" dxfId="1387" priority="1565" operator="equal">
      <formula>"Alto"</formula>
    </cfRule>
    <cfRule type="cellIs" dxfId="1386" priority="1566" operator="equal">
      <formula>"Moderado"</formula>
    </cfRule>
    <cfRule type="cellIs" dxfId="1385" priority="1567" operator="equal">
      <formula>"Bajo"</formula>
    </cfRule>
  </conditionalFormatting>
  <conditionalFormatting sqref="N64:N66">
    <cfRule type="containsText" dxfId="1384" priority="1563" operator="containsText" text="❌">
      <formula>NOT(ISERROR(SEARCH("❌",N64)))</formula>
    </cfRule>
  </conditionalFormatting>
  <conditionalFormatting sqref="K67">
    <cfRule type="cellIs" dxfId="1383" priority="1558" operator="equal">
      <formula>"Muy Alta"</formula>
    </cfRule>
    <cfRule type="cellIs" dxfId="1382" priority="1559" operator="equal">
      <formula>"Alta"</formula>
    </cfRule>
    <cfRule type="cellIs" dxfId="1381" priority="1560" operator="equal">
      <formula>"Media"</formula>
    </cfRule>
    <cfRule type="cellIs" dxfId="1380" priority="1561" operator="equal">
      <formula>"Baja"</formula>
    </cfRule>
    <cfRule type="cellIs" dxfId="1379" priority="1562" operator="equal">
      <formula>"Muy Baja"</formula>
    </cfRule>
  </conditionalFormatting>
  <conditionalFormatting sqref="O67">
    <cfRule type="cellIs" dxfId="1378" priority="1553" operator="equal">
      <formula>"Catastrófico"</formula>
    </cfRule>
    <cfRule type="cellIs" dxfId="1377" priority="1554" operator="equal">
      <formula>"Mayor"</formula>
    </cfRule>
    <cfRule type="cellIs" dxfId="1376" priority="1555" operator="equal">
      <formula>"Moderado"</formula>
    </cfRule>
    <cfRule type="cellIs" dxfId="1375" priority="1556" operator="equal">
      <formula>"Menor"</formula>
    </cfRule>
    <cfRule type="cellIs" dxfId="1374" priority="1557" operator="equal">
      <formula>"Leve"</formula>
    </cfRule>
  </conditionalFormatting>
  <conditionalFormatting sqref="Q67">
    <cfRule type="cellIs" dxfId="1373" priority="1549" operator="equal">
      <formula>"Extremo"</formula>
    </cfRule>
    <cfRule type="cellIs" dxfId="1372" priority="1550" operator="equal">
      <formula>"Alto"</formula>
    </cfRule>
    <cfRule type="cellIs" dxfId="1371" priority="1551" operator="equal">
      <formula>"Moderado"</formula>
    </cfRule>
    <cfRule type="cellIs" dxfId="1370" priority="1552" operator="equal">
      <formula>"Bajo"</formula>
    </cfRule>
  </conditionalFormatting>
  <conditionalFormatting sqref="N67:N69">
    <cfRule type="containsText" dxfId="1369" priority="1548" operator="containsText" text="❌">
      <formula>NOT(ISERROR(SEARCH("❌",N67)))</formula>
    </cfRule>
  </conditionalFormatting>
  <conditionalFormatting sqref="K73">
    <cfRule type="cellIs" dxfId="1368" priority="1543" operator="equal">
      <formula>"Muy Alta"</formula>
    </cfRule>
    <cfRule type="cellIs" dxfId="1367" priority="1544" operator="equal">
      <formula>"Alta"</formula>
    </cfRule>
    <cfRule type="cellIs" dxfId="1366" priority="1545" operator="equal">
      <formula>"Media"</formula>
    </cfRule>
    <cfRule type="cellIs" dxfId="1365" priority="1546" operator="equal">
      <formula>"Baja"</formula>
    </cfRule>
    <cfRule type="cellIs" dxfId="1364" priority="1547" operator="equal">
      <formula>"Muy Baja"</formula>
    </cfRule>
  </conditionalFormatting>
  <conditionalFormatting sqref="O73">
    <cfRule type="cellIs" dxfId="1363" priority="1538" operator="equal">
      <formula>"Catastrófico"</formula>
    </cfRule>
    <cfRule type="cellIs" dxfId="1362" priority="1539" operator="equal">
      <formula>"Mayor"</formula>
    </cfRule>
    <cfRule type="cellIs" dxfId="1361" priority="1540" operator="equal">
      <formula>"Moderado"</formula>
    </cfRule>
    <cfRule type="cellIs" dxfId="1360" priority="1541" operator="equal">
      <formula>"Menor"</formula>
    </cfRule>
    <cfRule type="cellIs" dxfId="1359" priority="1542" operator="equal">
      <formula>"Leve"</formula>
    </cfRule>
  </conditionalFormatting>
  <conditionalFormatting sqref="Q73">
    <cfRule type="cellIs" dxfId="1358" priority="1534" operator="equal">
      <formula>"Extremo"</formula>
    </cfRule>
    <cfRule type="cellIs" dxfId="1357" priority="1535" operator="equal">
      <formula>"Alto"</formula>
    </cfRule>
    <cfRule type="cellIs" dxfId="1356" priority="1536" operator="equal">
      <formula>"Moderado"</formula>
    </cfRule>
    <cfRule type="cellIs" dxfId="1355" priority="1537" operator="equal">
      <formula>"Bajo"</formula>
    </cfRule>
  </conditionalFormatting>
  <conditionalFormatting sqref="N73:N75">
    <cfRule type="containsText" dxfId="1354" priority="1533" operator="containsText" text="❌">
      <formula>NOT(ISERROR(SEARCH("❌",N73)))</formula>
    </cfRule>
  </conditionalFormatting>
  <conditionalFormatting sqref="K76">
    <cfRule type="cellIs" dxfId="1353" priority="1528" operator="equal">
      <formula>"Muy Alta"</formula>
    </cfRule>
    <cfRule type="cellIs" dxfId="1352" priority="1529" operator="equal">
      <formula>"Alta"</formula>
    </cfRule>
    <cfRule type="cellIs" dxfId="1351" priority="1530" operator="equal">
      <formula>"Media"</formula>
    </cfRule>
    <cfRule type="cellIs" dxfId="1350" priority="1531" operator="equal">
      <formula>"Baja"</formula>
    </cfRule>
    <cfRule type="cellIs" dxfId="1349" priority="1532" operator="equal">
      <formula>"Muy Baja"</formula>
    </cfRule>
  </conditionalFormatting>
  <conditionalFormatting sqref="O76">
    <cfRule type="cellIs" dxfId="1348" priority="1523" operator="equal">
      <formula>"Catastrófico"</formula>
    </cfRule>
    <cfRule type="cellIs" dxfId="1347" priority="1524" operator="equal">
      <formula>"Mayor"</formula>
    </cfRule>
    <cfRule type="cellIs" dxfId="1346" priority="1525" operator="equal">
      <formula>"Moderado"</formula>
    </cfRule>
    <cfRule type="cellIs" dxfId="1345" priority="1526" operator="equal">
      <formula>"Menor"</formula>
    </cfRule>
    <cfRule type="cellIs" dxfId="1344" priority="1527" operator="equal">
      <formula>"Leve"</formula>
    </cfRule>
  </conditionalFormatting>
  <conditionalFormatting sqref="Q76">
    <cfRule type="cellIs" dxfId="1343" priority="1519" operator="equal">
      <formula>"Extremo"</formula>
    </cfRule>
    <cfRule type="cellIs" dxfId="1342" priority="1520" operator="equal">
      <formula>"Alto"</formula>
    </cfRule>
    <cfRule type="cellIs" dxfId="1341" priority="1521" operator="equal">
      <formula>"Moderado"</formula>
    </cfRule>
    <cfRule type="cellIs" dxfId="1340" priority="1522" operator="equal">
      <formula>"Bajo"</formula>
    </cfRule>
  </conditionalFormatting>
  <conditionalFormatting sqref="N76:N78">
    <cfRule type="containsText" dxfId="1339" priority="1518" operator="containsText" text="❌">
      <formula>NOT(ISERROR(SEARCH("❌",N76)))</formula>
    </cfRule>
  </conditionalFormatting>
  <conditionalFormatting sqref="K79">
    <cfRule type="cellIs" dxfId="1338" priority="1513" operator="equal">
      <formula>"Muy Alta"</formula>
    </cfRule>
    <cfRule type="cellIs" dxfId="1337" priority="1514" operator="equal">
      <formula>"Alta"</formula>
    </cfRule>
    <cfRule type="cellIs" dxfId="1336" priority="1515" operator="equal">
      <formula>"Media"</formula>
    </cfRule>
    <cfRule type="cellIs" dxfId="1335" priority="1516" operator="equal">
      <formula>"Baja"</formula>
    </cfRule>
    <cfRule type="cellIs" dxfId="1334" priority="1517" operator="equal">
      <formula>"Muy Baja"</formula>
    </cfRule>
  </conditionalFormatting>
  <conditionalFormatting sqref="O79">
    <cfRule type="cellIs" dxfId="1333" priority="1508" operator="equal">
      <formula>"Catastrófico"</formula>
    </cfRule>
    <cfRule type="cellIs" dxfId="1332" priority="1509" operator="equal">
      <formula>"Mayor"</formula>
    </cfRule>
    <cfRule type="cellIs" dxfId="1331" priority="1510" operator="equal">
      <formula>"Moderado"</formula>
    </cfRule>
    <cfRule type="cellIs" dxfId="1330" priority="1511" operator="equal">
      <formula>"Menor"</formula>
    </cfRule>
    <cfRule type="cellIs" dxfId="1329" priority="1512" operator="equal">
      <formula>"Leve"</formula>
    </cfRule>
  </conditionalFormatting>
  <conditionalFormatting sqref="Q79">
    <cfRule type="cellIs" dxfId="1328" priority="1504" operator="equal">
      <formula>"Extremo"</formula>
    </cfRule>
    <cfRule type="cellIs" dxfId="1327" priority="1505" operator="equal">
      <formula>"Alto"</formula>
    </cfRule>
    <cfRule type="cellIs" dxfId="1326" priority="1506" operator="equal">
      <formula>"Moderado"</formula>
    </cfRule>
    <cfRule type="cellIs" dxfId="1325" priority="1507" operator="equal">
      <formula>"Bajo"</formula>
    </cfRule>
  </conditionalFormatting>
  <conditionalFormatting sqref="N79:N81">
    <cfRule type="containsText" dxfId="1324" priority="1503" operator="containsText" text="❌">
      <formula>NOT(ISERROR(SEARCH("❌",N79)))</formula>
    </cfRule>
  </conditionalFormatting>
  <conditionalFormatting sqref="O82">
    <cfRule type="cellIs" dxfId="1323" priority="1493" operator="equal">
      <formula>"Catastrófico"</formula>
    </cfRule>
    <cfRule type="cellIs" dxfId="1322" priority="1494" operator="equal">
      <formula>"Mayor"</formula>
    </cfRule>
    <cfRule type="cellIs" dxfId="1321" priority="1495" operator="equal">
      <formula>"Moderado"</formula>
    </cfRule>
    <cfRule type="cellIs" dxfId="1320" priority="1496" operator="equal">
      <formula>"Menor"</formula>
    </cfRule>
    <cfRule type="cellIs" dxfId="1319" priority="1497" operator="equal">
      <formula>"Leve"</formula>
    </cfRule>
  </conditionalFormatting>
  <conditionalFormatting sqref="Q82">
    <cfRule type="cellIs" dxfId="1318" priority="1489" operator="equal">
      <formula>"Extremo"</formula>
    </cfRule>
    <cfRule type="cellIs" dxfId="1317" priority="1490" operator="equal">
      <formula>"Alto"</formula>
    </cfRule>
    <cfRule type="cellIs" dxfId="1316" priority="1491" operator="equal">
      <formula>"Moderado"</formula>
    </cfRule>
    <cfRule type="cellIs" dxfId="1315" priority="1492" operator="equal">
      <formula>"Bajo"</formula>
    </cfRule>
  </conditionalFormatting>
  <conditionalFormatting sqref="N82:N84">
    <cfRule type="containsText" dxfId="1314" priority="1488" operator="containsText" text="❌">
      <formula>NOT(ISERROR(SEARCH("❌",N82)))</formula>
    </cfRule>
  </conditionalFormatting>
  <conditionalFormatting sqref="K88">
    <cfRule type="cellIs" dxfId="1313" priority="1483" operator="equal">
      <formula>"Muy Alta"</formula>
    </cfRule>
    <cfRule type="cellIs" dxfId="1312" priority="1484" operator="equal">
      <formula>"Alta"</formula>
    </cfRule>
    <cfRule type="cellIs" dxfId="1311" priority="1485" operator="equal">
      <formula>"Media"</formula>
    </cfRule>
    <cfRule type="cellIs" dxfId="1310" priority="1486" operator="equal">
      <formula>"Baja"</formula>
    </cfRule>
    <cfRule type="cellIs" dxfId="1309" priority="1487" operator="equal">
      <formula>"Muy Baja"</formula>
    </cfRule>
  </conditionalFormatting>
  <conditionalFormatting sqref="O88">
    <cfRule type="cellIs" dxfId="1308" priority="1478" operator="equal">
      <formula>"Catastrófico"</formula>
    </cfRule>
    <cfRule type="cellIs" dxfId="1307" priority="1479" operator="equal">
      <formula>"Mayor"</formula>
    </cfRule>
    <cfRule type="cellIs" dxfId="1306" priority="1480" operator="equal">
      <formula>"Moderado"</formula>
    </cfRule>
    <cfRule type="cellIs" dxfId="1305" priority="1481" operator="equal">
      <formula>"Menor"</formula>
    </cfRule>
    <cfRule type="cellIs" dxfId="1304" priority="1482" operator="equal">
      <formula>"Leve"</formula>
    </cfRule>
  </conditionalFormatting>
  <conditionalFormatting sqref="Q88">
    <cfRule type="cellIs" dxfId="1303" priority="1474" operator="equal">
      <formula>"Extremo"</formula>
    </cfRule>
    <cfRule type="cellIs" dxfId="1302" priority="1475" operator="equal">
      <formula>"Alto"</formula>
    </cfRule>
    <cfRule type="cellIs" dxfId="1301" priority="1476" operator="equal">
      <formula>"Moderado"</formula>
    </cfRule>
    <cfRule type="cellIs" dxfId="1300" priority="1477" operator="equal">
      <formula>"Bajo"</formula>
    </cfRule>
  </conditionalFormatting>
  <conditionalFormatting sqref="N88:N90">
    <cfRule type="containsText" dxfId="1299" priority="1473" operator="containsText" text="❌">
      <formula>NOT(ISERROR(SEARCH("❌",N88)))</formula>
    </cfRule>
  </conditionalFormatting>
  <conditionalFormatting sqref="K91">
    <cfRule type="cellIs" dxfId="1298" priority="1468" operator="equal">
      <formula>"Muy Alta"</formula>
    </cfRule>
    <cfRule type="cellIs" dxfId="1297" priority="1469" operator="equal">
      <formula>"Alta"</formula>
    </cfRule>
    <cfRule type="cellIs" dxfId="1296" priority="1470" operator="equal">
      <formula>"Media"</formula>
    </cfRule>
    <cfRule type="cellIs" dxfId="1295" priority="1471" operator="equal">
      <formula>"Baja"</formula>
    </cfRule>
    <cfRule type="cellIs" dxfId="1294" priority="1472" operator="equal">
      <formula>"Muy Baja"</formula>
    </cfRule>
  </conditionalFormatting>
  <conditionalFormatting sqref="O91">
    <cfRule type="cellIs" dxfId="1293" priority="1463" operator="equal">
      <formula>"Catastrófico"</formula>
    </cfRule>
    <cfRule type="cellIs" dxfId="1292" priority="1464" operator="equal">
      <formula>"Mayor"</formula>
    </cfRule>
    <cfRule type="cellIs" dxfId="1291" priority="1465" operator="equal">
      <formula>"Moderado"</formula>
    </cfRule>
    <cfRule type="cellIs" dxfId="1290" priority="1466" operator="equal">
      <formula>"Menor"</formula>
    </cfRule>
    <cfRule type="cellIs" dxfId="1289" priority="1467" operator="equal">
      <formula>"Leve"</formula>
    </cfRule>
  </conditionalFormatting>
  <conditionalFormatting sqref="Q91">
    <cfRule type="cellIs" dxfId="1288" priority="1459" operator="equal">
      <formula>"Extremo"</formula>
    </cfRule>
    <cfRule type="cellIs" dxfId="1287" priority="1460" operator="equal">
      <formula>"Alto"</formula>
    </cfRule>
    <cfRule type="cellIs" dxfId="1286" priority="1461" operator="equal">
      <formula>"Moderado"</formula>
    </cfRule>
    <cfRule type="cellIs" dxfId="1285" priority="1462" operator="equal">
      <formula>"Bajo"</formula>
    </cfRule>
  </conditionalFormatting>
  <conditionalFormatting sqref="N91:N93">
    <cfRule type="containsText" dxfId="1284" priority="1458" operator="containsText" text="❌">
      <formula>NOT(ISERROR(SEARCH("❌",N91)))</formula>
    </cfRule>
  </conditionalFormatting>
  <conditionalFormatting sqref="K94">
    <cfRule type="cellIs" dxfId="1283" priority="1453" operator="equal">
      <formula>"Muy Alta"</formula>
    </cfRule>
    <cfRule type="cellIs" dxfId="1282" priority="1454" operator="equal">
      <formula>"Alta"</formula>
    </cfRule>
    <cfRule type="cellIs" dxfId="1281" priority="1455" operator="equal">
      <formula>"Media"</formula>
    </cfRule>
    <cfRule type="cellIs" dxfId="1280" priority="1456" operator="equal">
      <formula>"Baja"</formula>
    </cfRule>
    <cfRule type="cellIs" dxfId="1279" priority="1457" operator="equal">
      <formula>"Muy Baja"</formula>
    </cfRule>
  </conditionalFormatting>
  <conditionalFormatting sqref="O94">
    <cfRule type="cellIs" dxfId="1278" priority="1448" operator="equal">
      <formula>"Catastrófico"</formula>
    </cfRule>
    <cfRule type="cellIs" dxfId="1277" priority="1449" operator="equal">
      <formula>"Mayor"</formula>
    </cfRule>
    <cfRule type="cellIs" dxfId="1276" priority="1450" operator="equal">
      <formula>"Moderado"</formula>
    </cfRule>
    <cfRule type="cellIs" dxfId="1275" priority="1451" operator="equal">
      <formula>"Menor"</formula>
    </cfRule>
    <cfRule type="cellIs" dxfId="1274" priority="1452" operator="equal">
      <formula>"Leve"</formula>
    </cfRule>
  </conditionalFormatting>
  <conditionalFormatting sqref="Q94">
    <cfRule type="cellIs" dxfId="1273" priority="1444" operator="equal">
      <formula>"Extremo"</formula>
    </cfRule>
    <cfRule type="cellIs" dxfId="1272" priority="1445" operator="equal">
      <formula>"Alto"</formula>
    </cfRule>
    <cfRule type="cellIs" dxfId="1271" priority="1446" operator="equal">
      <formula>"Moderado"</formula>
    </cfRule>
    <cfRule type="cellIs" dxfId="1270" priority="1447" operator="equal">
      <formula>"Bajo"</formula>
    </cfRule>
  </conditionalFormatting>
  <conditionalFormatting sqref="N94:N96">
    <cfRule type="containsText" dxfId="1269" priority="1443" operator="containsText" text="❌">
      <formula>NOT(ISERROR(SEARCH("❌",N94)))</formula>
    </cfRule>
  </conditionalFormatting>
  <conditionalFormatting sqref="O97:O98">
    <cfRule type="cellIs" dxfId="1268" priority="1433" operator="equal">
      <formula>"Catastrófico"</formula>
    </cfRule>
    <cfRule type="cellIs" dxfId="1267" priority="1434" operator="equal">
      <formula>"Mayor"</formula>
    </cfRule>
    <cfRule type="cellIs" dxfId="1266" priority="1435" operator="equal">
      <formula>"Moderado"</formula>
    </cfRule>
    <cfRule type="cellIs" dxfId="1265" priority="1436" operator="equal">
      <formula>"Menor"</formula>
    </cfRule>
    <cfRule type="cellIs" dxfId="1264" priority="1437" operator="equal">
      <formula>"Leve"</formula>
    </cfRule>
  </conditionalFormatting>
  <conditionalFormatting sqref="Q97:Q98">
    <cfRule type="cellIs" dxfId="1263" priority="1429" operator="equal">
      <formula>"Extremo"</formula>
    </cfRule>
    <cfRule type="cellIs" dxfId="1262" priority="1430" operator="equal">
      <formula>"Alto"</formula>
    </cfRule>
    <cfRule type="cellIs" dxfId="1261" priority="1431" operator="equal">
      <formula>"Moderado"</formula>
    </cfRule>
    <cfRule type="cellIs" dxfId="1260" priority="1432" operator="equal">
      <formula>"Bajo"</formula>
    </cfRule>
  </conditionalFormatting>
  <conditionalFormatting sqref="N97:N99">
    <cfRule type="containsText" dxfId="1259" priority="1428" operator="containsText" text="❌">
      <formula>NOT(ISERROR(SEARCH("❌",N97)))</formula>
    </cfRule>
  </conditionalFormatting>
  <conditionalFormatting sqref="K100">
    <cfRule type="cellIs" dxfId="1258" priority="1423" operator="equal">
      <formula>"Muy Alta"</formula>
    </cfRule>
    <cfRule type="cellIs" dxfId="1257" priority="1424" operator="equal">
      <formula>"Alta"</formula>
    </cfRule>
    <cfRule type="cellIs" dxfId="1256" priority="1425" operator="equal">
      <formula>"Media"</formula>
    </cfRule>
    <cfRule type="cellIs" dxfId="1255" priority="1426" operator="equal">
      <formula>"Baja"</formula>
    </cfRule>
    <cfRule type="cellIs" dxfId="1254" priority="1427" operator="equal">
      <formula>"Muy Baja"</formula>
    </cfRule>
  </conditionalFormatting>
  <conditionalFormatting sqref="O100">
    <cfRule type="cellIs" dxfId="1253" priority="1418" operator="equal">
      <formula>"Catastrófico"</formula>
    </cfRule>
    <cfRule type="cellIs" dxfId="1252" priority="1419" operator="equal">
      <formula>"Mayor"</formula>
    </cfRule>
    <cfRule type="cellIs" dxfId="1251" priority="1420" operator="equal">
      <formula>"Moderado"</formula>
    </cfRule>
    <cfRule type="cellIs" dxfId="1250" priority="1421" operator="equal">
      <formula>"Menor"</formula>
    </cfRule>
    <cfRule type="cellIs" dxfId="1249" priority="1422" operator="equal">
      <formula>"Leve"</formula>
    </cfRule>
  </conditionalFormatting>
  <conditionalFormatting sqref="Q100">
    <cfRule type="cellIs" dxfId="1248" priority="1414" operator="equal">
      <formula>"Extremo"</formula>
    </cfRule>
    <cfRule type="cellIs" dxfId="1247" priority="1415" operator="equal">
      <formula>"Alto"</formula>
    </cfRule>
    <cfRule type="cellIs" dxfId="1246" priority="1416" operator="equal">
      <formula>"Moderado"</formula>
    </cfRule>
    <cfRule type="cellIs" dxfId="1245" priority="1417" operator="equal">
      <formula>"Bajo"</formula>
    </cfRule>
  </conditionalFormatting>
  <conditionalFormatting sqref="N100">
    <cfRule type="containsText" dxfId="1244" priority="1413" operator="containsText" text="❌">
      <formula>NOT(ISERROR(SEARCH("❌",N100)))</formula>
    </cfRule>
  </conditionalFormatting>
  <conditionalFormatting sqref="K106">
    <cfRule type="cellIs" dxfId="1243" priority="1408" operator="equal">
      <formula>"Muy Alta"</formula>
    </cfRule>
    <cfRule type="cellIs" dxfId="1242" priority="1409" operator="equal">
      <formula>"Alta"</formula>
    </cfRule>
    <cfRule type="cellIs" dxfId="1241" priority="1410" operator="equal">
      <formula>"Media"</formula>
    </cfRule>
    <cfRule type="cellIs" dxfId="1240" priority="1411" operator="equal">
      <formula>"Baja"</formula>
    </cfRule>
    <cfRule type="cellIs" dxfId="1239" priority="1412" operator="equal">
      <formula>"Muy Baja"</formula>
    </cfRule>
  </conditionalFormatting>
  <conditionalFormatting sqref="O106">
    <cfRule type="cellIs" dxfId="1238" priority="1403" operator="equal">
      <formula>"Catastrófico"</formula>
    </cfRule>
    <cfRule type="cellIs" dxfId="1237" priority="1404" operator="equal">
      <formula>"Mayor"</formula>
    </cfRule>
    <cfRule type="cellIs" dxfId="1236" priority="1405" operator="equal">
      <formula>"Moderado"</formula>
    </cfRule>
    <cfRule type="cellIs" dxfId="1235" priority="1406" operator="equal">
      <formula>"Menor"</formula>
    </cfRule>
    <cfRule type="cellIs" dxfId="1234" priority="1407" operator="equal">
      <formula>"Leve"</formula>
    </cfRule>
  </conditionalFormatting>
  <conditionalFormatting sqref="Q106">
    <cfRule type="cellIs" dxfId="1233" priority="1399" operator="equal">
      <formula>"Extremo"</formula>
    </cfRule>
    <cfRule type="cellIs" dxfId="1232" priority="1400" operator="equal">
      <formula>"Alto"</formula>
    </cfRule>
    <cfRule type="cellIs" dxfId="1231" priority="1401" operator="equal">
      <formula>"Moderado"</formula>
    </cfRule>
    <cfRule type="cellIs" dxfId="1230" priority="1402" operator="equal">
      <formula>"Bajo"</formula>
    </cfRule>
  </conditionalFormatting>
  <conditionalFormatting sqref="N106:N108">
    <cfRule type="containsText" dxfId="1229" priority="1398" operator="containsText" text="❌">
      <formula>NOT(ISERROR(SEARCH("❌",N106)))</formula>
    </cfRule>
  </conditionalFormatting>
  <conditionalFormatting sqref="K109">
    <cfRule type="cellIs" dxfId="1228" priority="1393" operator="equal">
      <formula>"Muy Alta"</formula>
    </cfRule>
    <cfRule type="cellIs" dxfId="1227" priority="1394" operator="equal">
      <formula>"Alta"</formula>
    </cfRule>
    <cfRule type="cellIs" dxfId="1226" priority="1395" operator="equal">
      <formula>"Media"</formula>
    </cfRule>
    <cfRule type="cellIs" dxfId="1225" priority="1396" operator="equal">
      <formula>"Baja"</formula>
    </cfRule>
    <cfRule type="cellIs" dxfId="1224" priority="1397" operator="equal">
      <formula>"Muy Baja"</formula>
    </cfRule>
  </conditionalFormatting>
  <conditionalFormatting sqref="O109">
    <cfRule type="cellIs" dxfId="1223" priority="1388" operator="equal">
      <formula>"Catastrófico"</formula>
    </cfRule>
    <cfRule type="cellIs" dxfId="1222" priority="1389" operator="equal">
      <formula>"Mayor"</formula>
    </cfRule>
    <cfRule type="cellIs" dxfId="1221" priority="1390" operator="equal">
      <formula>"Moderado"</formula>
    </cfRule>
    <cfRule type="cellIs" dxfId="1220" priority="1391" operator="equal">
      <formula>"Menor"</formula>
    </cfRule>
    <cfRule type="cellIs" dxfId="1219" priority="1392" operator="equal">
      <formula>"Leve"</formula>
    </cfRule>
  </conditionalFormatting>
  <conditionalFormatting sqref="Q109">
    <cfRule type="cellIs" dxfId="1218" priority="1384" operator="equal">
      <formula>"Extremo"</formula>
    </cfRule>
    <cfRule type="cellIs" dxfId="1217" priority="1385" operator="equal">
      <formula>"Alto"</formula>
    </cfRule>
    <cfRule type="cellIs" dxfId="1216" priority="1386" operator="equal">
      <formula>"Moderado"</formula>
    </cfRule>
    <cfRule type="cellIs" dxfId="1215" priority="1387" operator="equal">
      <formula>"Bajo"</formula>
    </cfRule>
  </conditionalFormatting>
  <conditionalFormatting sqref="N109:N111">
    <cfRule type="containsText" dxfId="1214" priority="1383" operator="containsText" text="❌">
      <formula>NOT(ISERROR(SEARCH("❌",N109)))</formula>
    </cfRule>
  </conditionalFormatting>
  <conditionalFormatting sqref="K127">
    <cfRule type="cellIs" dxfId="1213" priority="1378" operator="equal">
      <formula>"Muy Alta"</formula>
    </cfRule>
    <cfRule type="cellIs" dxfId="1212" priority="1379" operator="equal">
      <formula>"Alta"</formula>
    </cfRule>
    <cfRule type="cellIs" dxfId="1211" priority="1380" operator="equal">
      <formula>"Media"</formula>
    </cfRule>
    <cfRule type="cellIs" dxfId="1210" priority="1381" operator="equal">
      <formula>"Baja"</formula>
    </cfRule>
    <cfRule type="cellIs" dxfId="1209" priority="1382" operator="equal">
      <formula>"Muy Baja"</formula>
    </cfRule>
  </conditionalFormatting>
  <conditionalFormatting sqref="O127">
    <cfRule type="cellIs" dxfId="1208" priority="1373" operator="equal">
      <formula>"Catastrófico"</formula>
    </cfRule>
    <cfRule type="cellIs" dxfId="1207" priority="1374" operator="equal">
      <formula>"Mayor"</formula>
    </cfRule>
    <cfRule type="cellIs" dxfId="1206" priority="1375" operator="equal">
      <formula>"Moderado"</formula>
    </cfRule>
    <cfRule type="cellIs" dxfId="1205" priority="1376" operator="equal">
      <formula>"Menor"</formula>
    </cfRule>
    <cfRule type="cellIs" dxfId="1204" priority="1377" operator="equal">
      <formula>"Leve"</formula>
    </cfRule>
  </conditionalFormatting>
  <conditionalFormatting sqref="Q127">
    <cfRule type="cellIs" dxfId="1203" priority="1369" operator="equal">
      <formula>"Extremo"</formula>
    </cfRule>
    <cfRule type="cellIs" dxfId="1202" priority="1370" operator="equal">
      <formula>"Alto"</formula>
    </cfRule>
    <cfRule type="cellIs" dxfId="1201" priority="1371" operator="equal">
      <formula>"Moderado"</formula>
    </cfRule>
    <cfRule type="cellIs" dxfId="1200" priority="1372" operator="equal">
      <formula>"Bajo"</formula>
    </cfRule>
  </conditionalFormatting>
  <conditionalFormatting sqref="N127:N129">
    <cfRule type="containsText" dxfId="1199" priority="1368" operator="containsText" text="❌">
      <formula>NOT(ISERROR(SEARCH("❌",N127)))</formula>
    </cfRule>
  </conditionalFormatting>
  <conditionalFormatting sqref="AB112">
    <cfRule type="cellIs" dxfId="1198" priority="1363" operator="equal">
      <formula>"Muy Alta"</formula>
    </cfRule>
    <cfRule type="cellIs" dxfId="1197" priority="1364" operator="equal">
      <formula>"Alta"</formula>
    </cfRule>
    <cfRule type="cellIs" dxfId="1196" priority="1365" operator="equal">
      <formula>"Media"</formula>
    </cfRule>
    <cfRule type="cellIs" dxfId="1195" priority="1366" operator="equal">
      <formula>"Baja"</formula>
    </cfRule>
    <cfRule type="cellIs" dxfId="1194" priority="1367" operator="equal">
      <formula>"Muy Baja"</formula>
    </cfRule>
  </conditionalFormatting>
  <conditionalFormatting sqref="AD112">
    <cfRule type="cellIs" dxfId="1193" priority="1358" operator="equal">
      <formula>"Catastrófico"</formula>
    </cfRule>
    <cfRule type="cellIs" dxfId="1192" priority="1359" operator="equal">
      <formula>"Mayor"</formula>
    </cfRule>
    <cfRule type="cellIs" dxfId="1191" priority="1360" operator="equal">
      <formula>"Moderado"</formula>
    </cfRule>
    <cfRule type="cellIs" dxfId="1190" priority="1361" operator="equal">
      <formula>"Menor"</formula>
    </cfRule>
    <cfRule type="cellIs" dxfId="1189" priority="1362" operator="equal">
      <formula>"Leve"</formula>
    </cfRule>
  </conditionalFormatting>
  <conditionalFormatting sqref="AF112">
    <cfRule type="cellIs" dxfId="1188" priority="1354" operator="equal">
      <formula>"Extremo"</formula>
    </cfRule>
    <cfRule type="cellIs" dxfId="1187" priority="1355" operator="equal">
      <formula>"Alto"</formula>
    </cfRule>
    <cfRule type="cellIs" dxfId="1186" priority="1356" operator="equal">
      <formula>"Moderado"</formula>
    </cfRule>
    <cfRule type="cellIs" dxfId="1185" priority="1357" operator="equal">
      <formula>"Bajo"</formula>
    </cfRule>
  </conditionalFormatting>
  <conditionalFormatting sqref="AB113">
    <cfRule type="cellIs" dxfId="1184" priority="1349" operator="equal">
      <formula>"Muy Alta"</formula>
    </cfRule>
    <cfRule type="cellIs" dxfId="1183" priority="1350" operator="equal">
      <formula>"Alta"</formula>
    </cfRule>
    <cfRule type="cellIs" dxfId="1182" priority="1351" operator="equal">
      <formula>"Media"</formula>
    </cfRule>
    <cfRule type="cellIs" dxfId="1181" priority="1352" operator="equal">
      <formula>"Baja"</formula>
    </cfRule>
    <cfRule type="cellIs" dxfId="1180" priority="1353" operator="equal">
      <formula>"Muy Baja"</formula>
    </cfRule>
  </conditionalFormatting>
  <conditionalFormatting sqref="AD113">
    <cfRule type="cellIs" dxfId="1179" priority="1344" operator="equal">
      <formula>"Catastrófico"</formula>
    </cfRule>
    <cfRule type="cellIs" dxfId="1178" priority="1345" operator="equal">
      <formula>"Mayor"</formula>
    </cfRule>
    <cfRule type="cellIs" dxfId="1177" priority="1346" operator="equal">
      <formula>"Moderado"</formula>
    </cfRule>
    <cfRule type="cellIs" dxfId="1176" priority="1347" operator="equal">
      <formula>"Menor"</formula>
    </cfRule>
    <cfRule type="cellIs" dxfId="1175" priority="1348" operator="equal">
      <formula>"Leve"</formula>
    </cfRule>
  </conditionalFormatting>
  <conditionalFormatting sqref="AF113">
    <cfRule type="cellIs" dxfId="1174" priority="1340" operator="equal">
      <formula>"Extremo"</formula>
    </cfRule>
    <cfRule type="cellIs" dxfId="1173" priority="1341" operator="equal">
      <formula>"Alto"</formula>
    </cfRule>
    <cfRule type="cellIs" dxfId="1172" priority="1342" operator="equal">
      <formula>"Moderado"</formula>
    </cfRule>
    <cfRule type="cellIs" dxfId="1171" priority="1343" operator="equal">
      <formula>"Bajo"</formula>
    </cfRule>
  </conditionalFormatting>
  <conditionalFormatting sqref="AB114">
    <cfRule type="cellIs" dxfId="1170" priority="1335" operator="equal">
      <formula>"Muy Alta"</formula>
    </cfRule>
    <cfRule type="cellIs" dxfId="1169" priority="1336" operator="equal">
      <formula>"Alta"</formula>
    </cfRule>
    <cfRule type="cellIs" dxfId="1168" priority="1337" operator="equal">
      <formula>"Media"</formula>
    </cfRule>
    <cfRule type="cellIs" dxfId="1167" priority="1338" operator="equal">
      <formula>"Baja"</formula>
    </cfRule>
    <cfRule type="cellIs" dxfId="1166" priority="1339" operator="equal">
      <formula>"Muy Baja"</formula>
    </cfRule>
  </conditionalFormatting>
  <conditionalFormatting sqref="AD114">
    <cfRule type="cellIs" dxfId="1165" priority="1330" operator="equal">
      <formula>"Catastrófico"</formula>
    </cfRule>
    <cfRule type="cellIs" dxfId="1164" priority="1331" operator="equal">
      <formula>"Mayor"</formula>
    </cfRule>
    <cfRule type="cellIs" dxfId="1163" priority="1332" operator="equal">
      <formula>"Moderado"</formula>
    </cfRule>
    <cfRule type="cellIs" dxfId="1162" priority="1333" operator="equal">
      <formula>"Menor"</formula>
    </cfRule>
    <cfRule type="cellIs" dxfId="1161" priority="1334" operator="equal">
      <formula>"Leve"</formula>
    </cfRule>
  </conditionalFormatting>
  <conditionalFormatting sqref="AF114">
    <cfRule type="cellIs" dxfId="1160" priority="1326" operator="equal">
      <formula>"Extremo"</formula>
    </cfRule>
    <cfRule type="cellIs" dxfId="1159" priority="1327" operator="equal">
      <formula>"Alto"</formula>
    </cfRule>
    <cfRule type="cellIs" dxfId="1158" priority="1328" operator="equal">
      <formula>"Moderado"</formula>
    </cfRule>
    <cfRule type="cellIs" dxfId="1157" priority="1329" operator="equal">
      <formula>"Bajo"</formula>
    </cfRule>
  </conditionalFormatting>
  <conditionalFormatting sqref="K112">
    <cfRule type="cellIs" dxfId="1156" priority="1321" operator="equal">
      <formula>"Muy Alta"</formula>
    </cfRule>
    <cfRule type="cellIs" dxfId="1155" priority="1322" operator="equal">
      <formula>"Alta"</formula>
    </cfRule>
    <cfRule type="cellIs" dxfId="1154" priority="1323" operator="equal">
      <formula>"Media"</formula>
    </cfRule>
    <cfRule type="cellIs" dxfId="1153" priority="1324" operator="equal">
      <formula>"Baja"</formula>
    </cfRule>
    <cfRule type="cellIs" dxfId="1152" priority="1325" operator="equal">
      <formula>"Muy Baja"</formula>
    </cfRule>
  </conditionalFormatting>
  <conditionalFormatting sqref="O112">
    <cfRule type="cellIs" dxfId="1151" priority="1316" operator="equal">
      <formula>"Catastrófico"</formula>
    </cfRule>
    <cfRule type="cellIs" dxfId="1150" priority="1317" operator="equal">
      <formula>"Mayor"</formula>
    </cfRule>
    <cfRule type="cellIs" dxfId="1149" priority="1318" operator="equal">
      <formula>"Moderado"</formula>
    </cfRule>
    <cfRule type="cellIs" dxfId="1148" priority="1319" operator="equal">
      <formula>"Menor"</formula>
    </cfRule>
    <cfRule type="cellIs" dxfId="1147" priority="1320" operator="equal">
      <formula>"Leve"</formula>
    </cfRule>
  </conditionalFormatting>
  <conditionalFormatting sqref="Q112">
    <cfRule type="cellIs" dxfId="1146" priority="1312" operator="equal">
      <formula>"Extremo"</formula>
    </cfRule>
    <cfRule type="cellIs" dxfId="1145" priority="1313" operator="equal">
      <formula>"Alto"</formula>
    </cfRule>
    <cfRule type="cellIs" dxfId="1144" priority="1314" operator="equal">
      <formula>"Moderado"</formula>
    </cfRule>
    <cfRule type="cellIs" dxfId="1143" priority="1315" operator="equal">
      <formula>"Bajo"</formula>
    </cfRule>
  </conditionalFormatting>
  <conditionalFormatting sqref="N112:N114">
    <cfRule type="containsText" dxfId="1142" priority="1311" operator="containsText" text="❌">
      <formula>NOT(ISERROR(SEARCH("❌",N112)))</formula>
    </cfRule>
  </conditionalFormatting>
  <conditionalFormatting sqref="AB115">
    <cfRule type="cellIs" dxfId="1141" priority="1306" operator="equal">
      <formula>"Muy Alta"</formula>
    </cfRule>
    <cfRule type="cellIs" dxfId="1140" priority="1307" operator="equal">
      <formula>"Alta"</formula>
    </cfRule>
    <cfRule type="cellIs" dxfId="1139" priority="1308" operator="equal">
      <formula>"Media"</formula>
    </cfRule>
    <cfRule type="cellIs" dxfId="1138" priority="1309" operator="equal">
      <formula>"Baja"</formula>
    </cfRule>
    <cfRule type="cellIs" dxfId="1137" priority="1310" operator="equal">
      <formula>"Muy Baja"</formula>
    </cfRule>
  </conditionalFormatting>
  <conditionalFormatting sqref="AD115">
    <cfRule type="cellIs" dxfId="1136" priority="1301" operator="equal">
      <formula>"Catastrófico"</formula>
    </cfRule>
    <cfRule type="cellIs" dxfId="1135" priority="1302" operator="equal">
      <formula>"Mayor"</formula>
    </cfRule>
    <cfRule type="cellIs" dxfId="1134" priority="1303" operator="equal">
      <formula>"Moderado"</formula>
    </cfRule>
    <cfRule type="cellIs" dxfId="1133" priority="1304" operator="equal">
      <formula>"Menor"</formula>
    </cfRule>
    <cfRule type="cellIs" dxfId="1132" priority="1305" operator="equal">
      <formula>"Leve"</formula>
    </cfRule>
  </conditionalFormatting>
  <conditionalFormatting sqref="AF115">
    <cfRule type="cellIs" dxfId="1131" priority="1297" operator="equal">
      <formula>"Extremo"</formula>
    </cfRule>
    <cfRule type="cellIs" dxfId="1130" priority="1298" operator="equal">
      <formula>"Alto"</formula>
    </cfRule>
    <cfRule type="cellIs" dxfId="1129" priority="1299" operator="equal">
      <formula>"Moderado"</formula>
    </cfRule>
    <cfRule type="cellIs" dxfId="1128" priority="1300" operator="equal">
      <formula>"Bajo"</formula>
    </cfRule>
  </conditionalFormatting>
  <conditionalFormatting sqref="AB116">
    <cfRule type="cellIs" dxfId="1127" priority="1292" operator="equal">
      <formula>"Muy Alta"</formula>
    </cfRule>
    <cfRule type="cellIs" dxfId="1126" priority="1293" operator="equal">
      <formula>"Alta"</formula>
    </cfRule>
    <cfRule type="cellIs" dxfId="1125" priority="1294" operator="equal">
      <formula>"Media"</formula>
    </cfRule>
    <cfRule type="cellIs" dxfId="1124" priority="1295" operator="equal">
      <formula>"Baja"</formula>
    </cfRule>
    <cfRule type="cellIs" dxfId="1123" priority="1296" operator="equal">
      <formula>"Muy Baja"</formula>
    </cfRule>
  </conditionalFormatting>
  <conditionalFormatting sqref="AD116">
    <cfRule type="cellIs" dxfId="1122" priority="1287" operator="equal">
      <formula>"Catastrófico"</formula>
    </cfRule>
    <cfRule type="cellIs" dxfId="1121" priority="1288" operator="equal">
      <formula>"Mayor"</formula>
    </cfRule>
    <cfRule type="cellIs" dxfId="1120" priority="1289" operator="equal">
      <formula>"Moderado"</formula>
    </cfRule>
    <cfRule type="cellIs" dxfId="1119" priority="1290" operator="equal">
      <formula>"Menor"</formula>
    </cfRule>
    <cfRule type="cellIs" dxfId="1118" priority="1291" operator="equal">
      <formula>"Leve"</formula>
    </cfRule>
  </conditionalFormatting>
  <conditionalFormatting sqref="AF116">
    <cfRule type="cellIs" dxfId="1117" priority="1283" operator="equal">
      <formula>"Extremo"</formula>
    </cfRule>
    <cfRule type="cellIs" dxfId="1116" priority="1284" operator="equal">
      <formula>"Alto"</formula>
    </cfRule>
    <cfRule type="cellIs" dxfId="1115" priority="1285" operator="equal">
      <formula>"Moderado"</formula>
    </cfRule>
    <cfRule type="cellIs" dxfId="1114" priority="1286" operator="equal">
      <formula>"Bajo"</formula>
    </cfRule>
  </conditionalFormatting>
  <conditionalFormatting sqref="AB117">
    <cfRule type="cellIs" dxfId="1113" priority="1278" operator="equal">
      <formula>"Muy Alta"</formula>
    </cfRule>
    <cfRule type="cellIs" dxfId="1112" priority="1279" operator="equal">
      <formula>"Alta"</formula>
    </cfRule>
    <cfRule type="cellIs" dxfId="1111" priority="1280" operator="equal">
      <formula>"Media"</formula>
    </cfRule>
    <cfRule type="cellIs" dxfId="1110" priority="1281" operator="equal">
      <formula>"Baja"</formula>
    </cfRule>
    <cfRule type="cellIs" dxfId="1109" priority="1282" operator="equal">
      <formula>"Muy Baja"</formula>
    </cfRule>
  </conditionalFormatting>
  <conditionalFormatting sqref="AD117">
    <cfRule type="cellIs" dxfId="1108" priority="1273" operator="equal">
      <formula>"Catastrófico"</formula>
    </cfRule>
    <cfRule type="cellIs" dxfId="1107" priority="1274" operator="equal">
      <formula>"Mayor"</formula>
    </cfRule>
    <cfRule type="cellIs" dxfId="1106" priority="1275" operator="equal">
      <formula>"Moderado"</formula>
    </cfRule>
    <cfRule type="cellIs" dxfId="1105" priority="1276" operator="equal">
      <formula>"Menor"</formula>
    </cfRule>
    <cfRule type="cellIs" dxfId="1104" priority="1277" operator="equal">
      <formula>"Leve"</formula>
    </cfRule>
  </conditionalFormatting>
  <conditionalFormatting sqref="AF117">
    <cfRule type="cellIs" dxfId="1103" priority="1269" operator="equal">
      <formula>"Extremo"</formula>
    </cfRule>
    <cfRule type="cellIs" dxfId="1102" priority="1270" operator="equal">
      <formula>"Alto"</formula>
    </cfRule>
    <cfRule type="cellIs" dxfId="1101" priority="1271" operator="equal">
      <formula>"Moderado"</formula>
    </cfRule>
    <cfRule type="cellIs" dxfId="1100" priority="1272" operator="equal">
      <formula>"Bajo"</formula>
    </cfRule>
  </conditionalFormatting>
  <conditionalFormatting sqref="K115">
    <cfRule type="cellIs" dxfId="1099" priority="1264" operator="equal">
      <formula>"Muy Alta"</formula>
    </cfRule>
    <cfRule type="cellIs" dxfId="1098" priority="1265" operator="equal">
      <formula>"Alta"</formula>
    </cfRule>
    <cfRule type="cellIs" dxfId="1097" priority="1266" operator="equal">
      <formula>"Media"</formula>
    </cfRule>
    <cfRule type="cellIs" dxfId="1096" priority="1267" operator="equal">
      <formula>"Baja"</formula>
    </cfRule>
    <cfRule type="cellIs" dxfId="1095" priority="1268" operator="equal">
      <formula>"Muy Baja"</formula>
    </cfRule>
  </conditionalFormatting>
  <conditionalFormatting sqref="O115">
    <cfRule type="cellIs" dxfId="1094" priority="1259" operator="equal">
      <formula>"Catastrófico"</formula>
    </cfRule>
    <cfRule type="cellIs" dxfId="1093" priority="1260" operator="equal">
      <formula>"Mayor"</formula>
    </cfRule>
    <cfRule type="cellIs" dxfId="1092" priority="1261" operator="equal">
      <formula>"Moderado"</formula>
    </cfRule>
    <cfRule type="cellIs" dxfId="1091" priority="1262" operator="equal">
      <formula>"Menor"</formula>
    </cfRule>
    <cfRule type="cellIs" dxfId="1090" priority="1263" operator="equal">
      <formula>"Leve"</formula>
    </cfRule>
  </conditionalFormatting>
  <conditionalFormatting sqref="Q115">
    <cfRule type="cellIs" dxfId="1089" priority="1255" operator="equal">
      <formula>"Extremo"</formula>
    </cfRule>
    <cfRule type="cellIs" dxfId="1088" priority="1256" operator="equal">
      <formula>"Alto"</formula>
    </cfRule>
    <cfRule type="cellIs" dxfId="1087" priority="1257" operator="equal">
      <formula>"Moderado"</formula>
    </cfRule>
    <cfRule type="cellIs" dxfId="1086" priority="1258" operator="equal">
      <formula>"Bajo"</formula>
    </cfRule>
  </conditionalFormatting>
  <conditionalFormatting sqref="N115:N117">
    <cfRule type="containsText" dxfId="1085" priority="1254" operator="containsText" text="❌">
      <formula>NOT(ISERROR(SEARCH("❌",N115)))</formula>
    </cfRule>
  </conditionalFormatting>
  <conditionalFormatting sqref="AB118">
    <cfRule type="cellIs" dxfId="1084" priority="1249" operator="equal">
      <formula>"Muy Alta"</formula>
    </cfRule>
    <cfRule type="cellIs" dxfId="1083" priority="1250" operator="equal">
      <formula>"Alta"</formula>
    </cfRule>
    <cfRule type="cellIs" dxfId="1082" priority="1251" operator="equal">
      <formula>"Media"</formula>
    </cfRule>
    <cfRule type="cellIs" dxfId="1081" priority="1252" operator="equal">
      <formula>"Baja"</formula>
    </cfRule>
    <cfRule type="cellIs" dxfId="1080" priority="1253" operator="equal">
      <formula>"Muy Baja"</formula>
    </cfRule>
  </conditionalFormatting>
  <conditionalFormatting sqref="AD118">
    <cfRule type="cellIs" dxfId="1079" priority="1244" operator="equal">
      <formula>"Catastrófico"</formula>
    </cfRule>
    <cfRule type="cellIs" dxfId="1078" priority="1245" operator="equal">
      <formula>"Mayor"</formula>
    </cfRule>
    <cfRule type="cellIs" dxfId="1077" priority="1246" operator="equal">
      <formula>"Moderado"</formula>
    </cfRule>
    <cfRule type="cellIs" dxfId="1076" priority="1247" operator="equal">
      <formula>"Menor"</formula>
    </cfRule>
    <cfRule type="cellIs" dxfId="1075" priority="1248" operator="equal">
      <formula>"Leve"</formula>
    </cfRule>
  </conditionalFormatting>
  <conditionalFormatting sqref="AF118">
    <cfRule type="cellIs" dxfId="1074" priority="1240" operator="equal">
      <formula>"Extremo"</formula>
    </cfRule>
    <cfRule type="cellIs" dxfId="1073" priority="1241" operator="equal">
      <formula>"Alto"</formula>
    </cfRule>
    <cfRule type="cellIs" dxfId="1072" priority="1242" operator="equal">
      <formula>"Moderado"</formula>
    </cfRule>
    <cfRule type="cellIs" dxfId="1071" priority="1243" operator="equal">
      <formula>"Bajo"</formula>
    </cfRule>
  </conditionalFormatting>
  <conditionalFormatting sqref="AB119">
    <cfRule type="cellIs" dxfId="1070" priority="1235" operator="equal">
      <formula>"Muy Alta"</formula>
    </cfRule>
    <cfRule type="cellIs" dxfId="1069" priority="1236" operator="equal">
      <formula>"Alta"</formula>
    </cfRule>
    <cfRule type="cellIs" dxfId="1068" priority="1237" operator="equal">
      <formula>"Media"</formula>
    </cfRule>
    <cfRule type="cellIs" dxfId="1067" priority="1238" operator="equal">
      <formula>"Baja"</formula>
    </cfRule>
    <cfRule type="cellIs" dxfId="1066" priority="1239" operator="equal">
      <formula>"Muy Baja"</formula>
    </cfRule>
  </conditionalFormatting>
  <conditionalFormatting sqref="AD119">
    <cfRule type="cellIs" dxfId="1065" priority="1230" operator="equal">
      <formula>"Catastrófico"</formula>
    </cfRule>
    <cfRule type="cellIs" dxfId="1064" priority="1231" operator="equal">
      <formula>"Mayor"</formula>
    </cfRule>
    <cfRule type="cellIs" dxfId="1063" priority="1232" operator="equal">
      <formula>"Moderado"</formula>
    </cfRule>
    <cfRule type="cellIs" dxfId="1062" priority="1233" operator="equal">
      <formula>"Menor"</formula>
    </cfRule>
    <cfRule type="cellIs" dxfId="1061" priority="1234" operator="equal">
      <formula>"Leve"</formula>
    </cfRule>
  </conditionalFormatting>
  <conditionalFormatting sqref="AF119">
    <cfRule type="cellIs" dxfId="1060" priority="1226" operator="equal">
      <formula>"Extremo"</formula>
    </cfRule>
    <cfRule type="cellIs" dxfId="1059" priority="1227" operator="equal">
      <formula>"Alto"</formula>
    </cfRule>
    <cfRule type="cellIs" dxfId="1058" priority="1228" operator="equal">
      <formula>"Moderado"</formula>
    </cfRule>
    <cfRule type="cellIs" dxfId="1057" priority="1229" operator="equal">
      <formula>"Bajo"</formula>
    </cfRule>
  </conditionalFormatting>
  <conditionalFormatting sqref="AB120">
    <cfRule type="cellIs" dxfId="1056" priority="1221" operator="equal">
      <formula>"Muy Alta"</formula>
    </cfRule>
    <cfRule type="cellIs" dxfId="1055" priority="1222" operator="equal">
      <formula>"Alta"</formula>
    </cfRule>
    <cfRule type="cellIs" dxfId="1054" priority="1223" operator="equal">
      <formula>"Media"</formula>
    </cfRule>
    <cfRule type="cellIs" dxfId="1053" priority="1224" operator="equal">
      <formula>"Baja"</formula>
    </cfRule>
    <cfRule type="cellIs" dxfId="1052" priority="1225" operator="equal">
      <formula>"Muy Baja"</formula>
    </cfRule>
  </conditionalFormatting>
  <conditionalFormatting sqref="AD120">
    <cfRule type="cellIs" dxfId="1051" priority="1216" operator="equal">
      <formula>"Catastrófico"</formula>
    </cfRule>
    <cfRule type="cellIs" dxfId="1050" priority="1217" operator="equal">
      <formula>"Mayor"</formula>
    </cfRule>
    <cfRule type="cellIs" dxfId="1049" priority="1218" operator="equal">
      <formula>"Moderado"</formula>
    </cfRule>
    <cfRule type="cellIs" dxfId="1048" priority="1219" operator="equal">
      <formula>"Menor"</formula>
    </cfRule>
    <cfRule type="cellIs" dxfId="1047" priority="1220" operator="equal">
      <formula>"Leve"</formula>
    </cfRule>
  </conditionalFormatting>
  <conditionalFormatting sqref="AF120">
    <cfRule type="cellIs" dxfId="1046" priority="1212" operator="equal">
      <formula>"Extremo"</formula>
    </cfRule>
    <cfRule type="cellIs" dxfId="1045" priority="1213" operator="equal">
      <formula>"Alto"</formula>
    </cfRule>
    <cfRule type="cellIs" dxfId="1044" priority="1214" operator="equal">
      <formula>"Moderado"</formula>
    </cfRule>
    <cfRule type="cellIs" dxfId="1043" priority="1215" operator="equal">
      <formula>"Bajo"</formula>
    </cfRule>
  </conditionalFormatting>
  <conditionalFormatting sqref="K118">
    <cfRule type="cellIs" dxfId="1042" priority="1207" operator="equal">
      <formula>"Muy Alta"</formula>
    </cfRule>
    <cfRule type="cellIs" dxfId="1041" priority="1208" operator="equal">
      <formula>"Alta"</formula>
    </cfRule>
    <cfRule type="cellIs" dxfId="1040" priority="1209" operator="equal">
      <formula>"Media"</formula>
    </cfRule>
    <cfRule type="cellIs" dxfId="1039" priority="1210" operator="equal">
      <formula>"Baja"</formula>
    </cfRule>
    <cfRule type="cellIs" dxfId="1038" priority="1211" operator="equal">
      <formula>"Muy Baja"</formula>
    </cfRule>
  </conditionalFormatting>
  <conditionalFormatting sqref="O118">
    <cfRule type="cellIs" dxfId="1037" priority="1202" operator="equal">
      <formula>"Catastrófico"</formula>
    </cfRule>
    <cfRule type="cellIs" dxfId="1036" priority="1203" operator="equal">
      <formula>"Mayor"</formula>
    </cfRule>
    <cfRule type="cellIs" dxfId="1035" priority="1204" operator="equal">
      <formula>"Moderado"</formula>
    </cfRule>
    <cfRule type="cellIs" dxfId="1034" priority="1205" operator="equal">
      <formula>"Menor"</formula>
    </cfRule>
    <cfRule type="cellIs" dxfId="1033" priority="1206" operator="equal">
      <formula>"Leve"</formula>
    </cfRule>
  </conditionalFormatting>
  <conditionalFormatting sqref="Q118">
    <cfRule type="cellIs" dxfId="1032" priority="1198" operator="equal">
      <formula>"Extremo"</formula>
    </cfRule>
    <cfRule type="cellIs" dxfId="1031" priority="1199" operator="equal">
      <formula>"Alto"</formula>
    </cfRule>
    <cfRule type="cellIs" dxfId="1030" priority="1200" operator="equal">
      <formula>"Moderado"</formula>
    </cfRule>
    <cfRule type="cellIs" dxfId="1029" priority="1201" operator="equal">
      <formula>"Bajo"</formula>
    </cfRule>
  </conditionalFormatting>
  <conditionalFormatting sqref="N118:N120">
    <cfRule type="containsText" dxfId="1028" priority="1197" operator="containsText" text="❌">
      <formula>NOT(ISERROR(SEARCH("❌",N118)))</formula>
    </cfRule>
  </conditionalFormatting>
  <conditionalFormatting sqref="AB121">
    <cfRule type="cellIs" dxfId="1027" priority="1192" operator="equal">
      <formula>"Muy Alta"</formula>
    </cfRule>
    <cfRule type="cellIs" dxfId="1026" priority="1193" operator="equal">
      <formula>"Alta"</formula>
    </cfRule>
    <cfRule type="cellIs" dxfId="1025" priority="1194" operator="equal">
      <formula>"Media"</formula>
    </cfRule>
    <cfRule type="cellIs" dxfId="1024" priority="1195" operator="equal">
      <formula>"Baja"</formula>
    </cfRule>
    <cfRule type="cellIs" dxfId="1023" priority="1196" operator="equal">
      <formula>"Muy Baja"</formula>
    </cfRule>
  </conditionalFormatting>
  <conditionalFormatting sqref="AD121">
    <cfRule type="cellIs" dxfId="1022" priority="1187" operator="equal">
      <formula>"Catastrófico"</formula>
    </cfRule>
    <cfRule type="cellIs" dxfId="1021" priority="1188" operator="equal">
      <formula>"Mayor"</formula>
    </cfRule>
    <cfRule type="cellIs" dxfId="1020" priority="1189" operator="equal">
      <formula>"Moderado"</formula>
    </cfRule>
    <cfRule type="cellIs" dxfId="1019" priority="1190" operator="equal">
      <formula>"Menor"</formula>
    </cfRule>
    <cfRule type="cellIs" dxfId="1018" priority="1191" operator="equal">
      <formula>"Leve"</formula>
    </cfRule>
  </conditionalFormatting>
  <conditionalFormatting sqref="AF121">
    <cfRule type="cellIs" dxfId="1017" priority="1183" operator="equal">
      <formula>"Extremo"</formula>
    </cfRule>
    <cfRule type="cellIs" dxfId="1016" priority="1184" operator="equal">
      <formula>"Alto"</formula>
    </cfRule>
    <cfRule type="cellIs" dxfId="1015" priority="1185" operator="equal">
      <formula>"Moderado"</formula>
    </cfRule>
    <cfRule type="cellIs" dxfId="1014" priority="1186" operator="equal">
      <formula>"Bajo"</formula>
    </cfRule>
  </conditionalFormatting>
  <conditionalFormatting sqref="AB122">
    <cfRule type="cellIs" dxfId="1013" priority="1178" operator="equal">
      <formula>"Muy Alta"</formula>
    </cfRule>
    <cfRule type="cellIs" dxfId="1012" priority="1179" operator="equal">
      <formula>"Alta"</formula>
    </cfRule>
    <cfRule type="cellIs" dxfId="1011" priority="1180" operator="equal">
      <formula>"Media"</formula>
    </cfRule>
    <cfRule type="cellIs" dxfId="1010" priority="1181" operator="equal">
      <formula>"Baja"</formula>
    </cfRule>
    <cfRule type="cellIs" dxfId="1009" priority="1182" operator="equal">
      <formula>"Muy Baja"</formula>
    </cfRule>
  </conditionalFormatting>
  <conditionalFormatting sqref="AD122">
    <cfRule type="cellIs" dxfId="1008" priority="1173" operator="equal">
      <formula>"Catastrófico"</formula>
    </cfRule>
    <cfRule type="cellIs" dxfId="1007" priority="1174" operator="equal">
      <formula>"Mayor"</formula>
    </cfRule>
    <cfRule type="cellIs" dxfId="1006" priority="1175" operator="equal">
      <formula>"Moderado"</formula>
    </cfRule>
    <cfRule type="cellIs" dxfId="1005" priority="1176" operator="equal">
      <formula>"Menor"</formula>
    </cfRule>
    <cfRule type="cellIs" dxfId="1004" priority="1177" operator="equal">
      <formula>"Leve"</formula>
    </cfRule>
  </conditionalFormatting>
  <conditionalFormatting sqref="AF122">
    <cfRule type="cellIs" dxfId="1003" priority="1169" operator="equal">
      <formula>"Extremo"</formula>
    </cfRule>
    <cfRule type="cellIs" dxfId="1002" priority="1170" operator="equal">
      <formula>"Alto"</formula>
    </cfRule>
    <cfRule type="cellIs" dxfId="1001" priority="1171" operator="equal">
      <formula>"Moderado"</formula>
    </cfRule>
    <cfRule type="cellIs" dxfId="1000" priority="1172" operator="equal">
      <formula>"Bajo"</formula>
    </cfRule>
  </conditionalFormatting>
  <conditionalFormatting sqref="AB123">
    <cfRule type="cellIs" dxfId="999" priority="1164" operator="equal">
      <formula>"Muy Alta"</formula>
    </cfRule>
    <cfRule type="cellIs" dxfId="998" priority="1165" operator="equal">
      <formula>"Alta"</formula>
    </cfRule>
    <cfRule type="cellIs" dxfId="997" priority="1166" operator="equal">
      <formula>"Media"</formula>
    </cfRule>
    <cfRule type="cellIs" dxfId="996" priority="1167" operator="equal">
      <formula>"Baja"</formula>
    </cfRule>
    <cfRule type="cellIs" dxfId="995" priority="1168" operator="equal">
      <formula>"Muy Baja"</formula>
    </cfRule>
  </conditionalFormatting>
  <conditionalFormatting sqref="AD123">
    <cfRule type="cellIs" dxfId="994" priority="1159" operator="equal">
      <formula>"Catastrófico"</formula>
    </cfRule>
    <cfRule type="cellIs" dxfId="993" priority="1160" operator="equal">
      <formula>"Mayor"</formula>
    </cfRule>
    <cfRule type="cellIs" dxfId="992" priority="1161" operator="equal">
      <formula>"Moderado"</formula>
    </cfRule>
    <cfRule type="cellIs" dxfId="991" priority="1162" operator="equal">
      <formula>"Menor"</formula>
    </cfRule>
    <cfRule type="cellIs" dxfId="990" priority="1163" operator="equal">
      <formula>"Leve"</formula>
    </cfRule>
  </conditionalFormatting>
  <conditionalFormatting sqref="AF123">
    <cfRule type="cellIs" dxfId="989" priority="1155" operator="equal">
      <formula>"Extremo"</formula>
    </cfRule>
    <cfRule type="cellIs" dxfId="988" priority="1156" operator="equal">
      <formula>"Alto"</formula>
    </cfRule>
    <cfRule type="cellIs" dxfId="987" priority="1157" operator="equal">
      <formula>"Moderado"</formula>
    </cfRule>
    <cfRule type="cellIs" dxfId="986" priority="1158" operator="equal">
      <formula>"Bajo"</formula>
    </cfRule>
  </conditionalFormatting>
  <conditionalFormatting sqref="K121">
    <cfRule type="cellIs" dxfId="985" priority="1150" operator="equal">
      <formula>"Muy Alta"</formula>
    </cfRule>
    <cfRule type="cellIs" dxfId="984" priority="1151" operator="equal">
      <formula>"Alta"</formula>
    </cfRule>
    <cfRule type="cellIs" dxfId="983" priority="1152" operator="equal">
      <formula>"Media"</formula>
    </cfRule>
    <cfRule type="cellIs" dxfId="982" priority="1153" operator="equal">
      <formula>"Baja"</formula>
    </cfRule>
    <cfRule type="cellIs" dxfId="981" priority="1154" operator="equal">
      <formula>"Muy Baja"</formula>
    </cfRule>
  </conditionalFormatting>
  <conditionalFormatting sqref="O121">
    <cfRule type="cellIs" dxfId="980" priority="1145" operator="equal">
      <formula>"Catastrófico"</formula>
    </cfRule>
    <cfRule type="cellIs" dxfId="979" priority="1146" operator="equal">
      <formula>"Mayor"</formula>
    </cfRule>
    <cfRule type="cellIs" dxfId="978" priority="1147" operator="equal">
      <formula>"Moderado"</formula>
    </cfRule>
    <cfRule type="cellIs" dxfId="977" priority="1148" operator="equal">
      <formula>"Menor"</formula>
    </cfRule>
    <cfRule type="cellIs" dxfId="976" priority="1149" operator="equal">
      <formula>"Leve"</formula>
    </cfRule>
  </conditionalFormatting>
  <conditionalFormatting sqref="Q121">
    <cfRule type="cellIs" dxfId="975" priority="1141" operator="equal">
      <formula>"Extremo"</formula>
    </cfRule>
    <cfRule type="cellIs" dxfId="974" priority="1142" operator="equal">
      <formula>"Alto"</formula>
    </cfRule>
    <cfRule type="cellIs" dxfId="973" priority="1143" operator="equal">
      <formula>"Moderado"</formula>
    </cfRule>
    <cfRule type="cellIs" dxfId="972" priority="1144" operator="equal">
      <formula>"Bajo"</formula>
    </cfRule>
  </conditionalFormatting>
  <conditionalFormatting sqref="N121:N123">
    <cfRule type="containsText" dxfId="971" priority="1140" operator="containsText" text="❌">
      <formula>NOT(ISERROR(SEARCH("❌",N121)))</formula>
    </cfRule>
  </conditionalFormatting>
  <conditionalFormatting sqref="AB124">
    <cfRule type="cellIs" dxfId="970" priority="1135" operator="equal">
      <formula>"Muy Alta"</formula>
    </cfRule>
    <cfRule type="cellIs" dxfId="969" priority="1136" operator="equal">
      <formula>"Alta"</formula>
    </cfRule>
    <cfRule type="cellIs" dxfId="968" priority="1137" operator="equal">
      <formula>"Media"</formula>
    </cfRule>
    <cfRule type="cellIs" dxfId="967" priority="1138" operator="equal">
      <formula>"Baja"</formula>
    </cfRule>
    <cfRule type="cellIs" dxfId="966" priority="1139" operator="equal">
      <formula>"Muy Baja"</formula>
    </cfRule>
  </conditionalFormatting>
  <conditionalFormatting sqref="AD124">
    <cfRule type="cellIs" dxfId="965" priority="1130" operator="equal">
      <formula>"Catastrófico"</formula>
    </cfRule>
    <cfRule type="cellIs" dxfId="964" priority="1131" operator="equal">
      <formula>"Mayor"</formula>
    </cfRule>
    <cfRule type="cellIs" dxfId="963" priority="1132" operator="equal">
      <formula>"Moderado"</formula>
    </cfRule>
    <cfRule type="cellIs" dxfId="962" priority="1133" operator="equal">
      <formula>"Menor"</formula>
    </cfRule>
    <cfRule type="cellIs" dxfId="961" priority="1134" operator="equal">
      <formula>"Leve"</formula>
    </cfRule>
  </conditionalFormatting>
  <conditionalFormatting sqref="AF124">
    <cfRule type="cellIs" dxfId="960" priority="1126" operator="equal">
      <formula>"Extremo"</formula>
    </cfRule>
    <cfRule type="cellIs" dxfId="959" priority="1127" operator="equal">
      <formula>"Alto"</formula>
    </cfRule>
    <cfRule type="cellIs" dxfId="958" priority="1128" operator="equal">
      <formula>"Moderado"</formula>
    </cfRule>
    <cfRule type="cellIs" dxfId="957" priority="1129" operator="equal">
      <formula>"Bajo"</formula>
    </cfRule>
  </conditionalFormatting>
  <conditionalFormatting sqref="AB125">
    <cfRule type="cellIs" dxfId="956" priority="1121" operator="equal">
      <formula>"Muy Alta"</formula>
    </cfRule>
    <cfRule type="cellIs" dxfId="955" priority="1122" operator="equal">
      <formula>"Alta"</formula>
    </cfRule>
    <cfRule type="cellIs" dxfId="954" priority="1123" operator="equal">
      <formula>"Media"</formula>
    </cfRule>
    <cfRule type="cellIs" dxfId="953" priority="1124" operator="equal">
      <formula>"Baja"</formula>
    </cfRule>
    <cfRule type="cellIs" dxfId="952" priority="1125" operator="equal">
      <formula>"Muy Baja"</formula>
    </cfRule>
  </conditionalFormatting>
  <conditionalFormatting sqref="AD125">
    <cfRule type="cellIs" dxfId="951" priority="1116" operator="equal">
      <formula>"Catastrófico"</formula>
    </cfRule>
    <cfRule type="cellIs" dxfId="950" priority="1117" operator="equal">
      <formula>"Mayor"</formula>
    </cfRule>
    <cfRule type="cellIs" dxfId="949" priority="1118" operator="equal">
      <formula>"Moderado"</formula>
    </cfRule>
    <cfRule type="cellIs" dxfId="948" priority="1119" operator="equal">
      <formula>"Menor"</formula>
    </cfRule>
    <cfRule type="cellIs" dxfId="947" priority="1120" operator="equal">
      <formula>"Leve"</formula>
    </cfRule>
  </conditionalFormatting>
  <conditionalFormatting sqref="AF125">
    <cfRule type="cellIs" dxfId="946" priority="1112" operator="equal">
      <formula>"Extremo"</formula>
    </cfRule>
    <cfRule type="cellIs" dxfId="945" priority="1113" operator="equal">
      <formula>"Alto"</formula>
    </cfRule>
    <cfRule type="cellIs" dxfId="944" priority="1114" operator="equal">
      <formula>"Moderado"</formula>
    </cfRule>
    <cfRule type="cellIs" dxfId="943" priority="1115" operator="equal">
      <formula>"Bajo"</formula>
    </cfRule>
  </conditionalFormatting>
  <conditionalFormatting sqref="AB126:AB129">
    <cfRule type="cellIs" dxfId="942" priority="1107" operator="equal">
      <formula>"Muy Alta"</formula>
    </cfRule>
    <cfRule type="cellIs" dxfId="941" priority="1108" operator="equal">
      <formula>"Alta"</formula>
    </cfRule>
    <cfRule type="cellIs" dxfId="940" priority="1109" operator="equal">
      <formula>"Media"</formula>
    </cfRule>
    <cfRule type="cellIs" dxfId="939" priority="1110" operator="equal">
      <formula>"Baja"</formula>
    </cfRule>
    <cfRule type="cellIs" dxfId="938" priority="1111" operator="equal">
      <formula>"Muy Baja"</formula>
    </cfRule>
  </conditionalFormatting>
  <conditionalFormatting sqref="AD126:AD129">
    <cfRule type="cellIs" dxfId="937" priority="1102" operator="equal">
      <formula>"Catastrófico"</formula>
    </cfRule>
    <cfRule type="cellIs" dxfId="936" priority="1103" operator="equal">
      <formula>"Mayor"</formula>
    </cfRule>
    <cfRule type="cellIs" dxfId="935" priority="1104" operator="equal">
      <formula>"Moderado"</formula>
    </cfRule>
    <cfRule type="cellIs" dxfId="934" priority="1105" operator="equal">
      <formula>"Menor"</formula>
    </cfRule>
    <cfRule type="cellIs" dxfId="933" priority="1106" operator="equal">
      <formula>"Leve"</formula>
    </cfRule>
  </conditionalFormatting>
  <conditionalFormatting sqref="AF126:AF129">
    <cfRule type="cellIs" dxfId="932" priority="1098" operator="equal">
      <formula>"Extremo"</formula>
    </cfRule>
    <cfRule type="cellIs" dxfId="931" priority="1099" operator="equal">
      <formula>"Alto"</formula>
    </cfRule>
    <cfRule type="cellIs" dxfId="930" priority="1100" operator="equal">
      <formula>"Moderado"</formula>
    </cfRule>
    <cfRule type="cellIs" dxfId="929" priority="1101" operator="equal">
      <formula>"Bajo"</formula>
    </cfRule>
  </conditionalFormatting>
  <conditionalFormatting sqref="K124">
    <cfRule type="cellIs" dxfId="928" priority="1093" operator="equal">
      <formula>"Muy Alta"</formula>
    </cfRule>
    <cfRule type="cellIs" dxfId="927" priority="1094" operator="equal">
      <formula>"Alta"</formula>
    </cfRule>
    <cfRule type="cellIs" dxfId="926" priority="1095" operator="equal">
      <formula>"Media"</formula>
    </cfRule>
    <cfRule type="cellIs" dxfId="925" priority="1096" operator="equal">
      <formula>"Baja"</formula>
    </cfRule>
    <cfRule type="cellIs" dxfId="924" priority="1097" operator="equal">
      <formula>"Muy Baja"</formula>
    </cfRule>
  </conditionalFormatting>
  <conditionalFormatting sqref="O124">
    <cfRule type="cellIs" dxfId="923" priority="1088" operator="equal">
      <formula>"Catastrófico"</formula>
    </cfRule>
    <cfRule type="cellIs" dxfId="922" priority="1089" operator="equal">
      <formula>"Mayor"</formula>
    </cfRule>
    <cfRule type="cellIs" dxfId="921" priority="1090" operator="equal">
      <formula>"Moderado"</formula>
    </cfRule>
    <cfRule type="cellIs" dxfId="920" priority="1091" operator="equal">
      <formula>"Menor"</formula>
    </cfRule>
    <cfRule type="cellIs" dxfId="919" priority="1092" operator="equal">
      <formula>"Leve"</formula>
    </cfRule>
  </conditionalFormatting>
  <conditionalFormatting sqref="Q124">
    <cfRule type="cellIs" dxfId="918" priority="1084" operator="equal">
      <formula>"Extremo"</formula>
    </cfRule>
    <cfRule type="cellIs" dxfId="917" priority="1085" operator="equal">
      <formula>"Alto"</formula>
    </cfRule>
    <cfRule type="cellIs" dxfId="916" priority="1086" operator="equal">
      <formula>"Moderado"</formula>
    </cfRule>
    <cfRule type="cellIs" dxfId="915" priority="1087" operator="equal">
      <formula>"Bajo"</formula>
    </cfRule>
  </conditionalFormatting>
  <conditionalFormatting sqref="N124:N129">
    <cfRule type="containsText" dxfId="914" priority="1083" operator="containsText" text="❌">
      <formula>NOT(ISERROR(SEARCH("❌",N124)))</formula>
    </cfRule>
  </conditionalFormatting>
  <conditionalFormatting sqref="AB130">
    <cfRule type="cellIs" dxfId="913" priority="1078" operator="equal">
      <formula>"Muy Alta"</formula>
    </cfRule>
    <cfRule type="cellIs" dxfId="912" priority="1079" operator="equal">
      <formula>"Alta"</formula>
    </cfRule>
    <cfRule type="cellIs" dxfId="911" priority="1080" operator="equal">
      <formula>"Media"</formula>
    </cfRule>
    <cfRule type="cellIs" dxfId="910" priority="1081" operator="equal">
      <formula>"Baja"</formula>
    </cfRule>
    <cfRule type="cellIs" dxfId="909" priority="1082" operator="equal">
      <formula>"Muy Baja"</formula>
    </cfRule>
  </conditionalFormatting>
  <conditionalFormatting sqref="AD130">
    <cfRule type="cellIs" dxfId="908" priority="1073" operator="equal">
      <formula>"Catastrófico"</formula>
    </cfRule>
    <cfRule type="cellIs" dxfId="907" priority="1074" operator="equal">
      <formula>"Mayor"</formula>
    </cfRule>
    <cfRule type="cellIs" dxfId="906" priority="1075" operator="equal">
      <formula>"Moderado"</formula>
    </cfRule>
    <cfRule type="cellIs" dxfId="905" priority="1076" operator="equal">
      <formula>"Menor"</formula>
    </cfRule>
    <cfRule type="cellIs" dxfId="904" priority="1077" operator="equal">
      <formula>"Leve"</formula>
    </cfRule>
  </conditionalFormatting>
  <conditionalFormatting sqref="AF130">
    <cfRule type="cellIs" dxfId="903" priority="1069" operator="equal">
      <formula>"Extremo"</formula>
    </cfRule>
    <cfRule type="cellIs" dxfId="902" priority="1070" operator="equal">
      <formula>"Alto"</formula>
    </cfRule>
    <cfRule type="cellIs" dxfId="901" priority="1071" operator="equal">
      <formula>"Moderado"</formula>
    </cfRule>
    <cfRule type="cellIs" dxfId="900" priority="1072" operator="equal">
      <formula>"Bajo"</formula>
    </cfRule>
  </conditionalFormatting>
  <conditionalFormatting sqref="AB131">
    <cfRule type="cellIs" dxfId="899" priority="1064" operator="equal">
      <formula>"Muy Alta"</formula>
    </cfRule>
    <cfRule type="cellIs" dxfId="898" priority="1065" operator="equal">
      <formula>"Alta"</formula>
    </cfRule>
    <cfRule type="cellIs" dxfId="897" priority="1066" operator="equal">
      <formula>"Media"</formula>
    </cfRule>
    <cfRule type="cellIs" dxfId="896" priority="1067" operator="equal">
      <formula>"Baja"</formula>
    </cfRule>
    <cfRule type="cellIs" dxfId="895" priority="1068" operator="equal">
      <formula>"Muy Baja"</formula>
    </cfRule>
  </conditionalFormatting>
  <conditionalFormatting sqref="AD131">
    <cfRule type="cellIs" dxfId="894" priority="1059" operator="equal">
      <formula>"Catastrófico"</formula>
    </cfRule>
    <cfRule type="cellIs" dxfId="893" priority="1060" operator="equal">
      <formula>"Mayor"</formula>
    </cfRule>
    <cfRule type="cellIs" dxfId="892" priority="1061" operator="equal">
      <formula>"Moderado"</formula>
    </cfRule>
    <cfRule type="cellIs" dxfId="891" priority="1062" operator="equal">
      <formula>"Menor"</formula>
    </cfRule>
    <cfRule type="cellIs" dxfId="890" priority="1063" operator="equal">
      <formula>"Leve"</formula>
    </cfRule>
  </conditionalFormatting>
  <conditionalFormatting sqref="AF131">
    <cfRule type="cellIs" dxfId="889" priority="1055" operator="equal">
      <formula>"Extremo"</formula>
    </cfRule>
    <cfRule type="cellIs" dxfId="888" priority="1056" operator="equal">
      <formula>"Alto"</formula>
    </cfRule>
    <cfRule type="cellIs" dxfId="887" priority="1057" operator="equal">
      <formula>"Moderado"</formula>
    </cfRule>
    <cfRule type="cellIs" dxfId="886" priority="1058" operator="equal">
      <formula>"Bajo"</formula>
    </cfRule>
  </conditionalFormatting>
  <conditionalFormatting sqref="AB132">
    <cfRule type="cellIs" dxfId="885" priority="1050" operator="equal">
      <formula>"Muy Alta"</formula>
    </cfRule>
    <cfRule type="cellIs" dxfId="884" priority="1051" operator="equal">
      <formula>"Alta"</formula>
    </cfRule>
    <cfRule type="cellIs" dxfId="883" priority="1052" operator="equal">
      <formula>"Media"</formula>
    </cfRule>
    <cfRule type="cellIs" dxfId="882" priority="1053" operator="equal">
      <formula>"Baja"</formula>
    </cfRule>
    <cfRule type="cellIs" dxfId="881" priority="1054" operator="equal">
      <formula>"Muy Baja"</formula>
    </cfRule>
  </conditionalFormatting>
  <conditionalFormatting sqref="AD132">
    <cfRule type="cellIs" dxfId="880" priority="1045" operator="equal">
      <formula>"Catastrófico"</formula>
    </cfRule>
    <cfRule type="cellIs" dxfId="879" priority="1046" operator="equal">
      <formula>"Mayor"</formula>
    </cfRule>
    <cfRule type="cellIs" dxfId="878" priority="1047" operator="equal">
      <formula>"Moderado"</formula>
    </cfRule>
    <cfRule type="cellIs" dxfId="877" priority="1048" operator="equal">
      <formula>"Menor"</formula>
    </cfRule>
    <cfRule type="cellIs" dxfId="876" priority="1049" operator="equal">
      <formula>"Leve"</formula>
    </cfRule>
  </conditionalFormatting>
  <conditionalFormatting sqref="AF132">
    <cfRule type="cellIs" dxfId="875" priority="1041" operator="equal">
      <formula>"Extremo"</formula>
    </cfRule>
    <cfRule type="cellIs" dxfId="874" priority="1042" operator="equal">
      <formula>"Alto"</formula>
    </cfRule>
    <cfRule type="cellIs" dxfId="873" priority="1043" operator="equal">
      <formula>"Moderado"</formula>
    </cfRule>
    <cfRule type="cellIs" dxfId="872" priority="1044" operator="equal">
      <formula>"Bajo"</formula>
    </cfRule>
  </conditionalFormatting>
  <conditionalFormatting sqref="K130">
    <cfRule type="cellIs" dxfId="871" priority="1036" operator="equal">
      <formula>"Muy Alta"</formula>
    </cfRule>
    <cfRule type="cellIs" dxfId="870" priority="1037" operator="equal">
      <formula>"Alta"</formula>
    </cfRule>
    <cfRule type="cellIs" dxfId="869" priority="1038" operator="equal">
      <formula>"Media"</formula>
    </cfRule>
    <cfRule type="cellIs" dxfId="868" priority="1039" operator="equal">
      <formula>"Baja"</formula>
    </cfRule>
    <cfRule type="cellIs" dxfId="867" priority="1040" operator="equal">
      <formula>"Muy Baja"</formula>
    </cfRule>
  </conditionalFormatting>
  <conditionalFormatting sqref="O130">
    <cfRule type="cellIs" dxfId="866" priority="1031" operator="equal">
      <formula>"Catastrófico"</formula>
    </cfRule>
    <cfRule type="cellIs" dxfId="865" priority="1032" operator="equal">
      <formula>"Mayor"</formula>
    </cfRule>
    <cfRule type="cellIs" dxfId="864" priority="1033" operator="equal">
      <formula>"Moderado"</formula>
    </cfRule>
    <cfRule type="cellIs" dxfId="863" priority="1034" operator="equal">
      <formula>"Menor"</formula>
    </cfRule>
    <cfRule type="cellIs" dxfId="862" priority="1035" operator="equal">
      <formula>"Leve"</formula>
    </cfRule>
  </conditionalFormatting>
  <conditionalFormatting sqref="Q130">
    <cfRule type="cellIs" dxfId="861" priority="1027" operator="equal">
      <formula>"Extremo"</formula>
    </cfRule>
    <cfRule type="cellIs" dxfId="860" priority="1028" operator="equal">
      <formula>"Alto"</formula>
    </cfRule>
    <cfRule type="cellIs" dxfId="859" priority="1029" operator="equal">
      <formula>"Moderado"</formula>
    </cfRule>
    <cfRule type="cellIs" dxfId="858" priority="1030" operator="equal">
      <formula>"Bajo"</formula>
    </cfRule>
  </conditionalFormatting>
  <conditionalFormatting sqref="N130:N132">
    <cfRule type="containsText" dxfId="857" priority="1026" operator="containsText" text="❌">
      <formula>NOT(ISERROR(SEARCH("❌",N130)))</formula>
    </cfRule>
  </conditionalFormatting>
  <conditionalFormatting sqref="AB130:AB132">
    <cfRule type="cellIs" dxfId="856" priority="1021" operator="equal">
      <formula>"Muy Alta"</formula>
    </cfRule>
    <cfRule type="cellIs" dxfId="855" priority="1022" operator="equal">
      <formula>"Alta"</formula>
    </cfRule>
    <cfRule type="cellIs" dxfId="854" priority="1023" operator="equal">
      <formula>"Media"</formula>
    </cfRule>
    <cfRule type="cellIs" dxfId="853" priority="1024" operator="equal">
      <formula>"Baja"</formula>
    </cfRule>
    <cfRule type="cellIs" dxfId="852" priority="1025" operator="equal">
      <formula>"Muy Baja"</formula>
    </cfRule>
  </conditionalFormatting>
  <conditionalFormatting sqref="AD130:AD132">
    <cfRule type="cellIs" dxfId="851" priority="1016" operator="equal">
      <formula>"Catastrófico"</formula>
    </cfRule>
    <cfRule type="cellIs" dxfId="850" priority="1017" operator="equal">
      <formula>"Mayor"</formula>
    </cfRule>
    <cfRule type="cellIs" dxfId="849" priority="1018" operator="equal">
      <formula>"Moderado"</formula>
    </cfRule>
    <cfRule type="cellIs" dxfId="848" priority="1019" operator="equal">
      <formula>"Menor"</formula>
    </cfRule>
    <cfRule type="cellIs" dxfId="847" priority="1020" operator="equal">
      <formula>"Leve"</formula>
    </cfRule>
  </conditionalFormatting>
  <conditionalFormatting sqref="AF130:AF132">
    <cfRule type="cellIs" dxfId="846" priority="1012" operator="equal">
      <formula>"Extremo"</formula>
    </cfRule>
    <cfRule type="cellIs" dxfId="845" priority="1013" operator="equal">
      <formula>"Alto"</formula>
    </cfRule>
    <cfRule type="cellIs" dxfId="844" priority="1014" operator="equal">
      <formula>"Moderado"</formula>
    </cfRule>
    <cfRule type="cellIs" dxfId="843" priority="1015" operator="equal">
      <formula>"Bajo"</formula>
    </cfRule>
  </conditionalFormatting>
  <conditionalFormatting sqref="N130:N132">
    <cfRule type="containsText" dxfId="842" priority="1011" operator="containsText" text="❌">
      <formula>NOT(ISERROR(SEARCH("❌",N130)))</formula>
    </cfRule>
  </conditionalFormatting>
  <conditionalFormatting sqref="AB133">
    <cfRule type="cellIs" dxfId="841" priority="1006" operator="equal">
      <formula>"Muy Alta"</formula>
    </cfRule>
    <cfRule type="cellIs" dxfId="840" priority="1007" operator="equal">
      <formula>"Alta"</formula>
    </cfRule>
    <cfRule type="cellIs" dxfId="839" priority="1008" operator="equal">
      <formula>"Media"</formula>
    </cfRule>
    <cfRule type="cellIs" dxfId="838" priority="1009" operator="equal">
      <formula>"Baja"</formula>
    </cfRule>
    <cfRule type="cellIs" dxfId="837" priority="1010" operator="equal">
      <formula>"Muy Baja"</formula>
    </cfRule>
  </conditionalFormatting>
  <conditionalFormatting sqref="AD133">
    <cfRule type="cellIs" dxfId="836" priority="1001" operator="equal">
      <formula>"Catastrófico"</formula>
    </cfRule>
    <cfRule type="cellIs" dxfId="835" priority="1002" operator="equal">
      <formula>"Mayor"</formula>
    </cfRule>
    <cfRule type="cellIs" dxfId="834" priority="1003" operator="equal">
      <formula>"Moderado"</formula>
    </cfRule>
    <cfRule type="cellIs" dxfId="833" priority="1004" operator="equal">
      <formula>"Menor"</formula>
    </cfRule>
    <cfRule type="cellIs" dxfId="832" priority="1005" operator="equal">
      <formula>"Leve"</formula>
    </cfRule>
  </conditionalFormatting>
  <conditionalFormatting sqref="AF133">
    <cfRule type="cellIs" dxfId="831" priority="997" operator="equal">
      <formula>"Extremo"</formula>
    </cfRule>
    <cfRule type="cellIs" dxfId="830" priority="998" operator="equal">
      <formula>"Alto"</formula>
    </cfRule>
    <cfRule type="cellIs" dxfId="829" priority="999" operator="equal">
      <formula>"Moderado"</formula>
    </cfRule>
    <cfRule type="cellIs" dxfId="828" priority="1000" operator="equal">
      <formula>"Bajo"</formula>
    </cfRule>
  </conditionalFormatting>
  <conditionalFormatting sqref="AB134">
    <cfRule type="cellIs" dxfId="827" priority="992" operator="equal">
      <formula>"Muy Alta"</formula>
    </cfRule>
    <cfRule type="cellIs" dxfId="826" priority="993" operator="equal">
      <formula>"Alta"</formula>
    </cfRule>
    <cfRule type="cellIs" dxfId="825" priority="994" operator="equal">
      <formula>"Media"</formula>
    </cfRule>
    <cfRule type="cellIs" dxfId="824" priority="995" operator="equal">
      <formula>"Baja"</formula>
    </cfRule>
    <cfRule type="cellIs" dxfId="823" priority="996" operator="equal">
      <formula>"Muy Baja"</formula>
    </cfRule>
  </conditionalFormatting>
  <conditionalFormatting sqref="AD134">
    <cfRule type="cellIs" dxfId="822" priority="987" operator="equal">
      <formula>"Catastrófico"</formula>
    </cfRule>
    <cfRule type="cellIs" dxfId="821" priority="988" operator="equal">
      <formula>"Mayor"</formula>
    </cfRule>
    <cfRule type="cellIs" dxfId="820" priority="989" operator="equal">
      <formula>"Moderado"</formula>
    </cfRule>
    <cfRule type="cellIs" dxfId="819" priority="990" operator="equal">
      <formula>"Menor"</formula>
    </cfRule>
    <cfRule type="cellIs" dxfId="818" priority="991" operator="equal">
      <formula>"Leve"</formula>
    </cfRule>
  </conditionalFormatting>
  <conditionalFormatting sqref="AF134">
    <cfRule type="cellIs" dxfId="817" priority="983" operator="equal">
      <formula>"Extremo"</formula>
    </cfRule>
    <cfRule type="cellIs" dxfId="816" priority="984" operator="equal">
      <formula>"Alto"</formula>
    </cfRule>
    <cfRule type="cellIs" dxfId="815" priority="985" operator="equal">
      <formula>"Moderado"</formula>
    </cfRule>
    <cfRule type="cellIs" dxfId="814" priority="986" operator="equal">
      <formula>"Bajo"</formula>
    </cfRule>
  </conditionalFormatting>
  <conditionalFormatting sqref="AB135">
    <cfRule type="cellIs" dxfId="813" priority="978" operator="equal">
      <formula>"Muy Alta"</formula>
    </cfRule>
    <cfRule type="cellIs" dxfId="812" priority="979" operator="equal">
      <formula>"Alta"</formula>
    </cfRule>
    <cfRule type="cellIs" dxfId="811" priority="980" operator="equal">
      <formula>"Media"</formula>
    </cfRule>
    <cfRule type="cellIs" dxfId="810" priority="981" operator="equal">
      <formula>"Baja"</formula>
    </cfRule>
    <cfRule type="cellIs" dxfId="809" priority="982" operator="equal">
      <formula>"Muy Baja"</formula>
    </cfRule>
  </conditionalFormatting>
  <conditionalFormatting sqref="AD135">
    <cfRule type="cellIs" dxfId="808" priority="973" operator="equal">
      <formula>"Catastrófico"</formula>
    </cfRule>
    <cfRule type="cellIs" dxfId="807" priority="974" operator="equal">
      <formula>"Mayor"</formula>
    </cfRule>
    <cfRule type="cellIs" dxfId="806" priority="975" operator="equal">
      <formula>"Moderado"</formula>
    </cfRule>
    <cfRule type="cellIs" dxfId="805" priority="976" operator="equal">
      <formula>"Menor"</formula>
    </cfRule>
    <cfRule type="cellIs" dxfId="804" priority="977" operator="equal">
      <formula>"Leve"</formula>
    </cfRule>
  </conditionalFormatting>
  <conditionalFormatting sqref="AF135">
    <cfRule type="cellIs" dxfId="803" priority="969" operator="equal">
      <formula>"Extremo"</formula>
    </cfRule>
    <cfRule type="cellIs" dxfId="802" priority="970" operator="equal">
      <formula>"Alto"</formula>
    </cfRule>
    <cfRule type="cellIs" dxfId="801" priority="971" operator="equal">
      <formula>"Moderado"</formula>
    </cfRule>
    <cfRule type="cellIs" dxfId="800" priority="972" operator="equal">
      <formula>"Bajo"</formula>
    </cfRule>
  </conditionalFormatting>
  <conditionalFormatting sqref="K133">
    <cfRule type="cellIs" dxfId="799" priority="964" operator="equal">
      <formula>"Muy Alta"</formula>
    </cfRule>
    <cfRule type="cellIs" dxfId="798" priority="965" operator="equal">
      <formula>"Alta"</formula>
    </cfRule>
    <cfRule type="cellIs" dxfId="797" priority="966" operator="equal">
      <formula>"Media"</formula>
    </cfRule>
    <cfRule type="cellIs" dxfId="796" priority="967" operator="equal">
      <formula>"Baja"</formula>
    </cfRule>
    <cfRule type="cellIs" dxfId="795" priority="968" operator="equal">
      <formula>"Muy Baja"</formula>
    </cfRule>
  </conditionalFormatting>
  <conditionalFormatting sqref="O133">
    <cfRule type="cellIs" dxfId="794" priority="959" operator="equal">
      <formula>"Catastrófico"</formula>
    </cfRule>
    <cfRule type="cellIs" dxfId="793" priority="960" operator="equal">
      <formula>"Mayor"</formula>
    </cfRule>
    <cfRule type="cellIs" dxfId="792" priority="961" operator="equal">
      <formula>"Moderado"</formula>
    </cfRule>
    <cfRule type="cellIs" dxfId="791" priority="962" operator="equal">
      <formula>"Menor"</formula>
    </cfRule>
    <cfRule type="cellIs" dxfId="790" priority="963" operator="equal">
      <formula>"Leve"</formula>
    </cfRule>
  </conditionalFormatting>
  <conditionalFormatting sqref="Q133">
    <cfRule type="cellIs" dxfId="789" priority="955" operator="equal">
      <formula>"Extremo"</formula>
    </cfRule>
    <cfRule type="cellIs" dxfId="788" priority="956" operator="equal">
      <formula>"Alto"</formula>
    </cfRule>
    <cfRule type="cellIs" dxfId="787" priority="957" operator="equal">
      <formula>"Moderado"</formula>
    </cfRule>
    <cfRule type="cellIs" dxfId="786" priority="958" operator="equal">
      <formula>"Bajo"</formula>
    </cfRule>
  </conditionalFormatting>
  <conditionalFormatting sqref="N133:N135">
    <cfRule type="containsText" dxfId="785" priority="954" operator="containsText" text="❌">
      <formula>NOT(ISERROR(SEARCH("❌",N133)))</formula>
    </cfRule>
  </conditionalFormatting>
  <conditionalFormatting sqref="AB133:AB135">
    <cfRule type="cellIs" dxfId="784" priority="949" operator="equal">
      <formula>"Muy Alta"</formula>
    </cfRule>
    <cfRule type="cellIs" dxfId="783" priority="950" operator="equal">
      <formula>"Alta"</formula>
    </cfRule>
    <cfRule type="cellIs" dxfId="782" priority="951" operator="equal">
      <formula>"Media"</formula>
    </cfRule>
    <cfRule type="cellIs" dxfId="781" priority="952" operator="equal">
      <formula>"Baja"</formula>
    </cfRule>
    <cfRule type="cellIs" dxfId="780" priority="953" operator="equal">
      <formula>"Muy Baja"</formula>
    </cfRule>
  </conditionalFormatting>
  <conditionalFormatting sqref="AD133:AD135">
    <cfRule type="cellIs" dxfId="779" priority="944" operator="equal">
      <formula>"Catastrófico"</formula>
    </cfRule>
    <cfRule type="cellIs" dxfId="778" priority="945" operator="equal">
      <formula>"Mayor"</formula>
    </cfRule>
    <cfRule type="cellIs" dxfId="777" priority="946" operator="equal">
      <formula>"Moderado"</formula>
    </cfRule>
    <cfRule type="cellIs" dxfId="776" priority="947" operator="equal">
      <formula>"Menor"</formula>
    </cfRule>
    <cfRule type="cellIs" dxfId="775" priority="948" operator="equal">
      <formula>"Leve"</formula>
    </cfRule>
  </conditionalFormatting>
  <conditionalFormatting sqref="AF133:AF135">
    <cfRule type="cellIs" dxfId="774" priority="940" operator="equal">
      <formula>"Extremo"</formula>
    </cfRule>
    <cfRule type="cellIs" dxfId="773" priority="941" operator="equal">
      <formula>"Alto"</formula>
    </cfRule>
    <cfRule type="cellIs" dxfId="772" priority="942" operator="equal">
      <formula>"Moderado"</formula>
    </cfRule>
    <cfRule type="cellIs" dxfId="771" priority="943" operator="equal">
      <formula>"Bajo"</formula>
    </cfRule>
  </conditionalFormatting>
  <conditionalFormatting sqref="N133:N135">
    <cfRule type="containsText" dxfId="770" priority="939" operator="containsText" text="❌">
      <formula>NOT(ISERROR(SEARCH("❌",N133)))</formula>
    </cfRule>
  </conditionalFormatting>
  <conditionalFormatting sqref="AB136">
    <cfRule type="cellIs" dxfId="769" priority="934" operator="equal">
      <formula>"Muy Alta"</formula>
    </cfRule>
    <cfRule type="cellIs" dxfId="768" priority="935" operator="equal">
      <formula>"Alta"</formula>
    </cfRule>
    <cfRule type="cellIs" dxfId="767" priority="936" operator="equal">
      <formula>"Media"</formula>
    </cfRule>
    <cfRule type="cellIs" dxfId="766" priority="937" operator="equal">
      <formula>"Baja"</formula>
    </cfRule>
    <cfRule type="cellIs" dxfId="765" priority="938" operator="equal">
      <formula>"Muy Baja"</formula>
    </cfRule>
  </conditionalFormatting>
  <conditionalFormatting sqref="AD136">
    <cfRule type="cellIs" dxfId="764" priority="929" operator="equal">
      <formula>"Catastrófico"</formula>
    </cfRule>
    <cfRule type="cellIs" dxfId="763" priority="930" operator="equal">
      <formula>"Mayor"</formula>
    </cfRule>
    <cfRule type="cellIs" dxfId="762" priority="931" operator="equal">
      <formula>"Moderado"</formula>
    </cfRule>
    <cfRule type="cellIs" dxfId="761" priority="932" operator="equal">
      <formula>"Menor"</formula>
    </cfRule>
    <cfRule type="cellIs" dxfId="760" priority="933" operator="equal">
      <formula>"Leve"</formula>
    </cfRule>
  </conditionalFormatting>
  <conditionalFormatting sqref="AF136">
    <cfRule type="cellIs" dxfId="759" priority="925" operator="equal">
      <formula>"Extremo"</formula>
    </cfRule>
    <cfRule type="cellIs" dxfId="758" priority="926" operator="equal">
      <formula>"Alto"</formula>
    </cfRule>
    <cfRule type="cellIs" dxfId="757" priority="927" operator="equal">
      <formula>"Moderado"</formula>
    </cfRule>
    <cfRule type="cellIs" dxfId="756" priority="928" operator="equal">
      <formula>"Bajo"</formula>
    </cfRule>
  </conditionalFormatting>
  <conditionalFormatting sqref="AB137">
    <cfRule type="cellIs" dxfId="755" priority="920" operator="equal">
      <formula>"Muy Alta"</formula>
    </cfRule>
    <cfRule type="cellIs" dxfId="754" priority="921" operator="equal">
      <formula>"Alta"</formula>
    </cfRule>
    <cfRule type="cellIs" dxfId="753" priority="922" operator="equal">
      <formula>"Media"</formula>
    </cfRule>
    <cfRule type="cellIs" dxfId="752" priority="923" operator="equal">
      <formula>"Baja"</formula>
    </cfRule>
    <cfRule type="cellIs" dxfId="751" priority="924" operator="equal">
      <formula>"Muy Baja"</formula>
    </cfRule>
  </conditionalFormatting>
  <conditionalFormatting sqref="AD137">
    <cfRule type="cellIs" dxfId="750" priority="915" operator="equal">
      <formula>"Catastrófico"</formula>
    </cfRule>
    <cfRule type="cellIs" dxfId="749" priority="916" operator="equal">
      <formula>"Mayor"</formula>
    </cfRule>
    <cfRule type="cellIs" dxfId="748" priority="917" operator="equal">
      <formula>"Moderado"</formula>
    </cfRule>
    <cfRule type="cellIs" dxfId="747" priority="918" operator="equal">
      <formula>"Menor"</formula>
    </cfRule>
    <cfRule type="cellIs" dxfId="746" priority="919" operator="equal">
      <formula>"Leve"</formula>
    </cfRule>
  </conditionalFormatting>
  <conditionalFormatting sqref="AF137">
    <cfRule type="cellIs" dxfId="745" priority="911" operator="equal">
      <formula>"Extremo"</formula>
    </cfRule>
    <cfRule type="cellIs" dxfId="744" priority="912" operator="equal">
      <formula>"Alto"</formula>
    </cfRule>
    <cfRule type="cellIs" dxfId="743" priority="913" operator="equal">
      <formula>"Moderado"</formula>
    </cfRule>
    <cfRule type="cellIs" dxfId="742" priority="914" operator="equal">
      <formula>"Bajo"</formula>
    </cfRule>
  </conditionalFormatting>
  <conditionalFormatting sqref="AB138">
    <cfRule type="cellIs" dxfId="741" priority="906" operator="equal">
      <formula>"Muy Alta"</formula>
    </cfRule>
    <cfRule type="cellIs" dxfId="740" priority="907" operator="equal">
      <formula>"Alta"</formula>
    </cfRule>
    <cfRule type="cellIs" dxfId="739" priority="908" operator="equal">
      <formula>"Media"</formula>
    </cfRule>
    <cfRule type="cellIs" dxfId="738" priority="909" operator="equal">
      <formula>"Baja"</formula>
    </cfRule>
    <cfRule type="cellIs" dxfId="737" priority="910" operator="equal">
      <formula>"Muy Baja"</formula>
    </cfRule>
  </conditionalFormatting>
  <conditionalFormatting sqref="AD138">
    <cfRule type="cellIs" dxfId="736" priority="901" operator="equal">
      <formula>"Catastrófico"</formula>
    </cfRule>
    <cfRule type="cellIs" dxfId="735" priority="902" operator="equal">
      <formula>"Mayor"</formula>
    </cfRule>
    <cfRule type="cellIs" dxfId="734" priority="903" operator="equal">
      <formula>"Moderado"</formula>
    </cfRule>
    <cfRule type="cellIs" dxfId="733" priority="904" operator="equal">
      <formula>"Menor"</formula>
    </cfRule>
    <cfRule type="cellIs" dxfId="732" priority="905" operator="equal">
      <formula>"Leve"</formula>
    </cfRule>
  </conditionalFormatting>
  <conditionalFormatting sqref="AF138">
    <cfRule type="cellIs" dxfId="731" priority="897" operator="equal">
      <formula>"Extremo"</formula>
    </cfRule>
    <cfRule type="cellIs" dxfId="730" priority="898" operator="equal">
      <formula>"Alto"</formula>
    </cfRule>
    <cfRule type="cellIs" dxfId="729" priority="899" operator="equal">
      <formula>"Moderado"</formula>
    </cfRule>
    <cfRule type="cellIs" dxfId="728" priority="900" operator="equal">
      <formula>"Bajo"</formula>
    </cfRule>
  </conditionalFormatting>
  <conditionalFormatting sqref="K136">
    <cfRule type="cellIs" dxfId="727" priority="892" operator="equal">
      <formula>"Muy Alta"</formula>
    </cfRule>
    <cfRule type="cellIs" dxfId="726" priority="893" operator="equal">
      <formula>"Alta"</formula>
    </cfRule>
    <cfRule type="cellIs" dxfId="725" priority="894" operator="equal">
      <formula>"Media"</formula>
    </cfRule>
    <cfRule type="cellIs" dxfId="724" priority="895" operator="equal">
      <formula>"Baja"</formula>
    </cfRule>
    <cfRule type="cellIs" dxfId="723" priority="896" operator="equal">
      <formula>"Muy Baja"</formula>
    </cfRule>
  </conditionalFormatting>
  <conditionalFormatting sqref="O136">
    <cfRule type="cellIs" dxfId="722" priority="887" operator="equal">
      <formula>"Catastrófico"</formula>
    </cfRule>
    <cfRule type="cellIs" dxfId="721" priority="888" operator="equal">
      <formula>"Mayor"</formula>
    </cfRule>
    <cfRule type="cellIs" dxfId="720" priority="889" operator="equal">
      <formula>"Moderado"</formula>
    </cfRule>
    <cfRule type="cellIs" dxfId="719" priority="890" operator="equal">
      <formula>"Menor"</formula>
    </cfRule>
    <cfRule type="cellIs" dxfId="718" priority="891" operator="equal">
      <formula>"Leve"</formula>
    </cfRule>
  </conditionalFormatting>
  <conditionalFormatting sqref="Q136">
    <cfRule type="cellIs" dxfId="717" priority="883" operator="equal">
      <formula>"Extremo"</formula>
    </cfRule>
    <cfRule type="cellIs" dxfId="716" priority="884" operator="equal">
      <formula>"Alto"</formula>
    </cfRule>
    <cfRule type="cellIs" dxfId="715" priority="885" operator="equal">
      <formula>"Moderado"</formula>
    </cfRule>
    <cfRule type="cellIs" dxfId="714" priority="886" operator="equal">
      <formula>"Bajo"</formula>
    </cfRule>
  </conditionalFormatting>
  <conditionalFormatting sqref="N136:N138">
    <cfRule type="containsText" dxfId="713" priority="882" operator="containsText" text="❌">
      <formula>NOT(ISERROR(SEARCH("❌",N136)))</formula>
    </cfRule>
  </conditionalFormatting>
  <conditionalFormatting sqref="AB136:AB138">
    <cfRule type="cellIs" dxfId="712" priority="877" operator="equal">
      <formula>"Muy Alta"</formula>
    </cfRule>
    <cfRule type="cellIs" dxfId="711" priority="878" operator="equal">
      <formula>"Alta"</formula>
    </cfRule>
    <cfRule type="cellIs" dxfId="710" priority="879" operator="equal">
      <formula>"Media"</formula>
    </cfRule>
    <cfRule type="cellIs" dxfId="709" priority="880" operator="equal">
      <formula>"Baja"</formula>
    </cfRule>
    <cfRule type="cellIs" dxfId="708" priority="881" operator="equal">
      <formula>"Muy Baja"</formula>
    </cfRule>
  </conditionalFormatting>
  <conditionalFormatting sqref="AD136:AD138">
    <cfRule type="cellIs" dxfId="707" priority="872" operator="equal">
      <formula>"Catastrófico"</formula>
    </cfRule>
    <cfRule type="cellIs" dxfId="706" priority="873" operator="equal">
      <formula>"Mayor"</formula>
    </cfRule>
    <cfRule type="cellIs" dxfId="705" priority="874" operator="equal">
      <formula>"Moderado"</formula>
    </cfRule>
    <cfRule type="cellIs" dxfId="704" priority="875" operator="equal">
      <formula>"Menor"</formula>
    </cfRule>
    <cfRule type="cellIs" dxfId="703" priority="876" operator="equal">
      <formula>"Leve"</formula>
    </cfRule>
  </conditionalFormatting>
  <conditionalFormatting sqref="AF136:AF138">
    <cfRule type="cellIs" dxfId="702" priority="868" operator="equal">
      <formula>"Extremo"</formula>
    </cfRule>
    <cfRule type="cellIs" dxfId="701" priority="869" operator="equal">
      <formula>"Alto"</formula>
    </cfRule>
    <cfRule type="cellIs" dxfId="700" priority="870" operator="equal">
      <formula>"Moderado"</formula>
    </cfRule>
    <cfRule type="cellIs" dxfId="699" priority="871" operator="equal">
      <formula>"Bajo"</formula>
    </cfRule>
  </conditionalFormatting>
  <conditionalFormatting sqref="N136:N138">
    <cfRule type="containsText" dxfId="698" priority="867" operator="containsText" text="❌">
      <formula>NOT(ISERROR(SEARCH("❌",N136)))</formula>
    </cfRule>
  </conditionalFormatting>
  <conditionalFormatting sqref="AB139">
    <cfRule type="cellIs" dxfId="697" priority="862" operator="equal">
      <formula>"Muy Alta"</formula>
    </cfRule>
    <cfRule type="cellIs" dxfId="696" priority="863" operator="equal">
      <formula>"Alta"</formula>
    </cfRule>
    <cfRule type="cellIs" dxfId="695" priority="864" operator="equal">
      <formula>"Media"</formula>
    </cfRule>
    <cfRule type="cellIs" dxfId="694" priority="865" operator="equal">
      <formula>"Baja"</formula>
    </cfRule>
    <cfRule type="cellIs" dxfId="693" priority="866" operator="equal">
      <formula>"Muy Baja"</formula>
    </cfRule>
  </conditionalFormatting>
  <conditionalFormatting sqref="AD139">
    <cfRule type="cellIs" dxfId="692" priority="857" operator="equal">
      <formula>"Catastrófico"</formula>
    </cfRule>
    <cfRule type="cellIs" dxfId="691" priority="858" operator="equal">
      <formula>"Mayor"</formula>
    </cfRule>
    <cfRule type="cellIs" dxfId="690" priority="859" operator="equal">
      <formula>"Moderado"</formula>
    </cfRule>
    <cfRule type="cellIs" dxfId="689" priority="860" operator="equal">
      <formula>"Menor"</formula>
    </cfRule>
    <cfRule type="cellIs" dxfId="688" priority="861" operator="equal">
      <formula>"Leve"</formula>
    </cfRule>
  </conditionalFormatting>
  <conditionalFormatting sqref="AF139">
    <cfRule type="cellIs" dxfId="687" priority="853" operator="equal">
      <formula>"Extremo"</formula>
    </cfRule>
    <cfRule type="cellIs" dxfId="686" priority="854" operator="equal">
      <formula>"Alto"</formula>
    </cfRule>
    <cfRule type="cellIs" dxfId="685" priority="855" operator="equal">
      <formula>"Moderado"</formula>
    </cfRule>
    <cfRule type="cellIs" dxfId="684" priority="856" operator="equal">
      <formula>"Bajo"</formula>
    </cfRule>
  </conditionalFormatting>
  <conditionalFormatting sqref="AB140">
    <cfRule type="cellIs" dxfId="683" priority="848" operator="equal">
      <formula>"Muy Alta"</formula>
    </cfRule>
    <cfRule type="cellIs" dxfId="682" priority="849" operator="equal">
      <formula>"Alta"</formula>
    </cfRule>
    <cfRule type="cellIs" dxfId="681" priority="850" operator="equal">
      <formula>"Media"</formula>
    </cfRule>
    <cfRule type="cellIs" dxfId="680" priority="851" operator="equal">
      <formula>"Baja"</formula>
    </cfRule>
    <cfRule type="cellIs" dxfId="679" priority="852" operator="equal">
      <formula>"Muy Baja"</formula>
    </cfRule>
  </conditionalFormatting>
  <conditionalFormatting sqref="AD140">
    <cfRule type="cellIs" dxfId="678" priority="843" operator="equal">
      <formula>"Catastrófico"</formula>
    </cfRule>
    <cfRule type="cellIs" dxfId="677" priority="844" operator="equal">
      <formula>"Mayor"</formula>
    </cfRule>
    <cfRule type="cellIs" dxfId="676" priority="845" operator="equal">
      <formula>"Moderado"</formula>
    </cfRule>
    <cfRule type="cellIs" dxfId="675" priority="846" operator="equal">
      <formula>"Menor"</formula>
    </cfRule>
    <cfRule type="cellIs" dxfId="674" priority="847" operator="equal">
      <formula>"Leve"</formula>
    </cfRule>
  </conditionalFormatting>
  <conditionalFormatting sqref="AF140">
    <cfRule type="cellIs" dxfId="673" priority="839" operator="equal">
      <formula>"Extremo"</formula>
    </cfRule>
    <cfRule type="cellIs" dxfId="672" priority="840" operator="equal">
      <formula>"Alto"</formula>
    </cfRule>
    <cfRule type="cellIs" dxfId="671" priority="841" operator="equal">
      <formula>"Moderado"</formula>
    </cfRule>
    <cfRule type="cellIs" dxfId="670" priority="842" operator="equal">
      <formula>"Bajo"</formula>
    </cfRule>
  </conditionalFormatting>
  <conditionalFormatting sqref="AB141">
    <cfRule type="cellIs" dxfId="669" priority="834" operator="equal">
      <formula>"Muy Alta"</formula>
    </cfRule>
    <cfRule type="cellIs" dxfId="668" priority="835" operator="equal">
      <formula>"Alta"</formula>
    </cfRule>
    <cfRule type="cellIs" dxfId="667" priority="836" operator="equal">
      <formula>"Media"</formula>
    </cfRule>
    <cfRule type="cellIs" dxfId="666" priority="837" operator="equal">
      <formula>"Baja"</formula>
    </cfRule>
    <cfRule type="cellIs" dxfId="665" priority="838" operator="equal">
      <formula>"Muy Baja"</formula>
    </cfRule>
  </conditionalFormatting>
  <conditionalFormatting sqref="AD141">
    <cfRule type="cellIs" dxfId="664" priority="829" operator="equal">
      <formula>"Catastrófico"</formula>
    </cfRule>
    <cfRule type="cellIs" dxfId="663" priority="830" operator="equal">
      <formula>"Mayor"</formula>
    </cfRule>
    <cfRule type="cellIs" dxfId="662" priority="831" operator="equal">
      <formula>"Moderado"</formula>
    </cfRule>
    <cfRule type="cellIs" dxfId="661" priority="832" operator="equal">
      <formula>"Menor"</formula>
    </cfRule>
    <cfRule type="cellIs" dxfId="660" priority="833" operator="equal">
      <formula>"Leve"</formula>
    </cfRule>
  </conditionalFormatting>
  <conditionalFormatting sqref="AF141">
    <cfRule type="cellIs" dxfId="659" priority="825" operator="equal">
      <formula>"Extremo"</formula>
    </cfRule>
    <cfRule type="cellIs" dxfId="658" priority="826" operator="equal">
      <formula>"Alto"</formula>
    </cfRule>
    <cfRule type="cellIs" dxfId="657" priority="827" operator="equal">
      <formula>"Moderado"</formula>
    </cfRule>
    <cfRule type="cellIs" dxfId="656" priority="828" operator="equal">
      <formula>"Bajo"</formula>
    </cfRule>
  </conditionalFormatting>
  <conditionalFormatting sqref="K139">
    <cfRule type="cellIs" dxfId="655" priority="820" operator="equal">
      <formula>"Muy Alta"</formula>
    </cfRule>
    <cfRule type="cellIs" dxfId="654" priority="821" operator="equal">
      <formula>"Alta"</formula>
    </cfRule>
    <cfRule type="cellIs" dxfId="653" priority="822" operator="equal">
      <formula>"Media"</formula>
    </cfRule>
    <cfRule type="cellIs" dxfId="652" priority="823" operator="equal">
      <formula>"Baja"</formula>
    </cfRule>
    <cfRule type="cellIs" dxfId="651" priority="824" operator="equal">
      <formula>"Muy Baja"</formula>
    </cfRule>
  </conditionalFormatting>
  <conditionalFormatting sqref="O139">
    <cfRule type="cellIs" dxfId="650" priority="815" operator="equal">
      <formula>"Catastrófico"</formula>
    </cfRule>
    <cfRule type="cellIs" dxfId="649" priority="816" operator="equal">
      <formula>"Mayor"</formula>
    </cfRule>
    <cfRule type="cellIs" dxfId="648" priority="817" operator="equal">
      <formula>"Moderado"</formula>
    </cfRule>
    <cfRule type="cellIs" dxfId="647" priority="818" operator="equal">
      <formula>"Menor"</formula>
    </cfRule>
    <cfRule type="cellIs" dxfId="646" priority="819" operator="equal">
      <formula>"Leve"</formula>
    </cfRule>
  </conditionalFormatting>
  <conditionalFormatting sqref="Q139">
    <cfRule type="cellIs" dxfId="645" priority="811" operator="equal">
      <formula>"Extremo"</formula>
    </cfRule>
    <cfRule type="cellIs" dxfId="644" priority="812" operator="equal">
      <formula>"Alto"</formula>
    </cfRule>
    <cfRule type="cellIs" dxfId="643" priority="813" operator="equal">
      <formula>"Moderado"</formula>
    </cfRule>
    <cfRule type="cellIs" dxfId="642" priority="814" operator="equal">
      <formula>"Bajo"</formula>
    </cfRule>
  </conditionalFormatting>
  <conditionalFormatting sqref="N139:N141">
    <cfRule type="containsText" dxfId="641" priority="810" operator="containsText" text="❌">
      <formula>NOT(ISERROR(SEARCH("❌",N139)))</formula>
    </cfRule>
  </conditionalFormatting>
  <conditionalFormatting sqref="AB139:AB141">
    <cfRule type="cellIs" dxfId="640" priority="805" operator="equal">
      <formula>"Muy Alta"</formula>
    </cfRule>
    <cfRule type="cellIs" dxfId="639" priority="806" operator="equal">
      <formula>"Alta"</formula>
    </cfRule>
    <cfRule type="cellIs" dxfId="638" priority="807" operator="equal">
      <formula>"Media"</formula>
    </cfRule>
    <cfRule type="cellIs" dxfId="637" priority="808" operator="equal">
      <formula>"Baja"</formula>
    </cfRule>
    <cfRule type="cellIs" dxfId="636" priority="809" operator="equal">
      <formula>"Muy Baja"</formula>
    </cfRule>
  </conditionalFormatting>
  <conditionalFormatting sqref="AD139:AD141">
    <cfRule type="cellIs" dxfId="635" priority="800" operator="equal">
      <formula>"Catastrófico"</formula>
    </cfRule>
    <cfRule type="cellIs" dxfId="634" priority="801" operator="equal">
      <formula>"Mayor"</formula>
    </cfRule>
    <cfRule type="cellIs" dxfId="633" priority="802" operator="equal">
      <formula>"Moderado"</formula>
    </cfRule>
    <cfRule type="cellIs" dxfId="632" priority="803" operator="equal">
      <formula>"Menor"</formula>
    </cfRule>
    <cfRule type="cellIs" dxfId="631" priority="804" operator="equal">
      <formula>"Leve"</formula>
    </cfRule>
  </conditionalFormatting>
  <conditionalFormatting sqref="AF139:AF141">
    <cfRule type="cellIs" dxfId="630" priority="796" operator="equal">
      <formula>"Extremo"</formula>
    </cfRule>
    <cfRule type="cellIs" dxfId="629" priority="797" operator="equal">
      <formula>"Alto"</formula>
    </cfRule>
    <cfRule type="cellIs" dxfId="628" priority="798" operator="equal">
      <formula>"Moderado"</formula>
    </cfRule>
    <cfRule type="cellIs" dxfId="627" priority="799" operator="equal">
      <formula>"Bajo"</formula>
    </cfRule>
  </conditionalFormatting>
  <conditionalFormatting sqref="N139:N141">
    <cfRule type="containsText" dxfId="626" priority="795" operator="containsText" text="❌">
      <formula>NOT(ISERROR(SEARCH("❌",N139)))</formula>
    </cfRule>
  </conditionalFormatting>
  <conditionalFormatting sqref="AB142">
    <cfRule type="cellIs" dxfId="625" priority="718" operator="equal">
      <formula>"Muy Alta"</formula>
    </cfRule>
    <cfRule type="cellIs" dxfId="624" priority="719" operator="equal">
      <formula>"Alta"</formula>
    </cfRule>
    <cfRule type="cellIs" dxfId="623" priority="720" operator="equal">
      <formula>"Media"</formula>
    </cfRule>
    <cfRule type="cellIs" dxfId="622" priority="721" operator="equal">
      <formula>"Baja"</formula>
    </cfRule>
    <cfRule type="cellIs" dxfId="621" priority="722" operator="equal">
      <formula>"Muy Baja"</formula>
    </cfRule>
  </conditionalFormatting>
  <conditionalFormatting sqref="AD142">
    <cfRule type="cellIs" dxfId="620" priority="713" operator="equal">
      <formula>"Catastrófico"</formula>
    </cfRule>
    <cfRule type="cellIs" dxfId="619" priority="714" operator="equal">
      <formula>"Mayor"</formula>
    </cfRule>
    <cfRule type="cellIs" dxfId="618" priority="715" operator="equal">
      <formula>"Moderado"</formula>
    </cfRule>
    <cfRule type="cellIs" dxfId="617" priority="716" operator="equal">
      <formula>"Menor"</formula>
    </cfRule>
    <cfRule type="cellIs" dxfId="616" priority="717" operator="equal">
      <formula>"Leve"</formula>
    </cfRule>
  </conditionalFormatting>
  <conditionalFormatting sqref="AF142">
    <cfRule type="cellIs" dxfId="615" priority="709" operator="equal">
      <formula>"Extremo"</formula>
    </cfRule>
    <cfRule type="cellIs" dxfId="614" priority="710" operator="equal">
      <formula>"Alto"</formula>
    </cfRule>
    <cfRule type="cellIs" dxfId="613" priority="711" operator="equal">
      <formula>"Moderado"</formula>
    </cfRule>
    <cfRule type="cellIs" dxfId="612" priority="712" operator="equal">
      <formula>"Bajo"</formula>
    </cfRule>
  </conditionalFormatting>
  <conditionalFormatting sqref="AB143">
    <cfRule type="cellIs" dxfId="611" priority="704" operator="equal">
      <formula>"Muy Alta"</formula>
    </cfRule>
    <cfRule type="cellIs" dxfId="610" priority="705" operator="equal">
      <formula>"Alta"</formula>
    </cfRule>
    <cfRule type="cellIs" dxfId="609" priority="706" operator="equal">
      <formula>"Media"</formula>
    </cfRule>
    <cfRule type="cellIs" dxfId="608" priority="707" operator="equal">
      <formula>"Baja"</formula>
    </cfRule>
    <cfRule type="cellIs" dxfId="607" priority="708" operator="equal">
      <formula>"Muy Baja"</formula>
    </cfRule>
  </conditionalFormatting>
  <conditionalFormatting sqref="AD143">
    <cfRule type="cellIs" dxfId="606" priority="699" operator="equal">
      <formula>"Catastrófico"</formula>
    </cfRule>
    <cfRule type="cellIs" dxfId="605" priority="700" operator="equal">
      <formula>"Mayor"</formula>
    </cfRule>
    <cfRule type="cellIs" dxfId="604" priority="701" operator="equal">
      <formula>"Moderado"</formula>
    </cfRule>
    <cfRule type="cellIs" dxfId="603" priority="702" operator="equal">
      <formula>"Menor"</formula>
    </cfRule>
    <cfRule type="cellIs" dxfId="602" priority="703" operator="equal">
      <formula>"Leve"</formula>
    </cfRule>
  </conditionalFormatting>
  <conditionalFormatting sqref="AF143">
    <cfRule type="cellIs" dxfId="601" priority="695" operator="equal">
      <formula>"Extremo"</formula>
    </cfRule>
    <cfRule type="cellIs" dxfId="600" priority="696" operator="equal">
      <formula>"Alto"</formula>
    </cfRule>
    <cfRule type="cellIs" dxfId="599" priority="697" operator="equal">
      <formula>"Moderado"</formula>
    </cfRule>
    <cfRule type="cellIs" dxfId="598" priority="698" operator="equal">
      <formula>"Bajo"</formula>
    </cfRule>
  </conditionalFormatting>
  <conditionalFormatting sqref="AB144">
    <cfRule type="cellIs" dxfId="597" priority="690" operator="equal">
      <formula>"Muy Alta"</formula>
    </cfRule>
    <cfRule type="cellIs" dxfId="596" priority="691" operator="equal">
      <formula>"Alta"</formula>
    </cfRule>
    <cfRule type="cellIs" dxfId="595" priority="692" operator="equal">
      <formula>"Media"</formula>
    </cfRule>
    <cfRule type="cellIs" dxfId="594" priority="693" operator="equal">
      <formula>"Baja"</formula>
    </cfRule>
    <cfRule type="cellIs" dxfId="593" priority="694" operator="equal">
      <formula>"Muy Baja"</formula>
    </cfRule>
  </conditionalFormatting>
  <conditionalFormatting sqref="AD144">
    <cfRule type="cellIs" dxfId="592" priority="685" operator="equal">
      <formula>"Catastrófico"</formula>
    </cfRule>
    <cfRule type="cellIs" dxfId="591" priority="686" operator="equal">
      <formula>"Mayor"</formula>
    </cfRule>
    <cfRule type="cellIs" dxfId="590" priority="687" operator="equal">
      <formula>"Moderado"</formula>
    </cfRule>
    <cfRule type="cellIs" dxfId="589" priority="688" operator="equal">
      <formula>"Menor"</formula>
    </cfRule>
    <cfRule type="cellIs" dxfId="588" priority="689" operator="equal">
      <formula>"Leve"</formula>
    </cfRule>
  </conditionalFormatting>
  <conditionalFormatting sqref="AF144">
    <cfRule type="cellIs" dxfId="587" priority="681" operator="equal">
      <formula>"Extremo"</formula>
    </cfRule>
    <cfRule type="cellIs" dxfId="586" priority="682" operator="equal">
      <formula>"Alto"</formula>
    </cfRule>
    <cfRule type="cellIs" dxfId="585" priority="683" operator="equal">
      <formula>"Moderado"</formula>
    </cfRule>
    <cfRule type="cellIs" dxfId="584" priority="684" operator="equal">
      <formula>"Bajo"</formula>
    </cfRule>
  </conditionalFormatting>
  <conditionalFormatting sqref="K142">
    <cfRule type="cellIs" dxfId="583" priority="676" operator="equal">
      <formula>"Muy Alta"</formula>
    </cfRule>
    <cfRule type="cellIs" dxfId="582" priority="677" operator="equal">
      <formula>"Alta"</formula>
    </cfRule>
    <cfRule type="cellIs" dxfId="581" priority="678" operator="equal">
      <formula>"Media"</formula>
    </cfRule>
    <cfRule type="cellIs" dxfId="580" priority="679" operator="equal">
      <formula>"Baja"</formula>
    </cfRule>
    <cfRule type="cellIs" dxfId="579" priority="680" operator="equal">
      <formula>"Muy Baja"</formula>
    </cfRule>
  </conditionalFormatting>
  <conditionalFormatting sqref="O142">
    <cfRule type="cellIs" dxfId="578" priority="671" operator="equal">
      <formula>"Catastrófico"</formula>
    </cfRule>
    <cfRule type="cellIs" dxfId="577" priority="672" operator="equal">
      <formula>"Mayor"</formula>
    </cfRule>
    <cfRule type="cellIs" dxfId="576" priority="673" operator="equal">
      <formula>"Moderado"</formula>
    </cfRule>
    <cfRule type="cellIs" dxfId="575" priority="674" operator="equal">
      <formula>"Menor"</formula>
    </cfRule>
    <cfRule type="cellIs" dxfId="574" priority="675" operator="equal">
      <formula>"Leve"</formula>
    </cfRule>
  </conditionalFormatting>
  <conditionalFormatting sqref="Q142">
    <cfRule type="cellIs" dxfId="573" priority="667" operator="equal">
      <formula>"Extremo"</formula>
    </cfRule>
    <cfRule type="cellIs" dxfId="572" priority="668" operator="equal">
      <formula>"Alto"</formula>
    </cfRule>
    <cfRule type="cellIs" dxfId="571" priority="669" operator="equal">
      <formula>"Moderado"</formula>
    </cfRule>
    <cfRule type="cellIs" dxfId="570" priority="670" operator="equal">
      <formula>"Bajo"</formula>
    </cfRule>
  </conditionalFormatting>
  <conditionalFormatting sqref="N142:N144">
    <cfRule type="containsText" dxfId="569" priority="666" operator="containsText" text="❌">
      <formula>NOT(ISERROR(SEARCH("❌",N142)))</formula>
    </cfRule>
  </conditionalFormatting>
  <conditionalFormatting sqref="AB142:AB144">
    <cfRule type="cellIs" dxfId="568" priority="661" operator="equal">
      <formula>"Muy Alta"</formula>
    </cfRule>
    <cfRule type="cellIs" dxfId="567" priority="662" operator="equal">
      <formula>"Alta"</formula>
    </cfRule>
    <cfRule type="cellIs" dxfId="566" priority="663" operator="equal">
      <formula>"Media"</formula>
    </cfRule>
    <cfRule type="cellIs" dxfId="565" priority="664" operator="equal">
      <formula>"Baja"</formula>
    </cfRule>
    <cfRule type="cellIs" dxfId="564" priority="665" operator="equal">
      <formula>"Muy Baja"</formula>
    </cfRule>
  </conditionalFormatting>
  <conditionalFormatting sqref="AD142:AD144">
    <cfRule type="cellIs" dxfId="563" priority="656" operator="equal">
      <formula>"Catastrófico"</formula>
    </cfRule>
    <cfRule type="cellIs" dxfId="562" priority="657" operator="equal">
      <formula>"Mayor"</formula>
    </cfRule>
    <cfRule type="cellIs" dxfId="561" priority="658" operator="equal">
      <formula>"Moderado"</formula>
    </cfRule>
    <cfRule type="cellIs" dxfId="560" priority="659" operator="equal">
      <formula>"Menor"</formula>
    </cfRule>
    <cfRule type="cellIs" dxfId="559" priority="660" operator="equal">
      <formula>"Leve"</formula>
    </cfRule>
  </conditionalFormatting>
  <conditionalFormatting sqref="AF142:AF144">
    <cfRule type="cellIs" dxfId="558" priority="652" operator="equal">
      <formula>"Extremo"</formula>
    </cfRule>
    <cfRule type="cellIs" dxfId="557" priority="653" operator="equal">
      <formula>"Alto"</formula>
    </cfRule>
    <cfRule type="cellIs" dxfId="556" priority="654" operator="equal">
      <formula>"Moderado"</formula>
    </cfRule>
    <cfRule type="cellIs" dxfId="555" priority="655" operator="equal">
      <formula>"Bajo"</formula>
    </cfRule>
  </conditionalFormatting>
  <conditionalFormatting sqref="N142:N144">
    <cfRule type="containsText" dxfId="554" priority="651" operator="containsText" text="❌">
      <formula>NOT(ISERROR(SEARCH("❌",N142)))</formula>
    </cfRule>
  </conditionalFormatting>
  <conditionalFormatting sqref="AB145">
    <cfRule type="cellIs" dxfId="553" priority="646" operator="equal">
      <formula>"Muy Alta"</formula>
    </cfRule>
    <cfRule type="cellIs" dxfId="552" priority="647" operator="equal">
      <formula>"Alta"</formula>
    </cfRule>
    <cfRule type="cellIs" dxfId="551" priority="648" operator="equal">
      <formula>"Media"</formula>
    </cfRule>
    <cfRule type="cellIs" dxfId="550" priority="649" operator="equal">
      <formula>"Baja"</formula>
    </cfRule>
    <cfRule type="cellIs" dxfId="549" priority="650" operator="equal">
      <formula>"Muy Baja"</formula>
    </cfRule>
  </conditionalFormatting>
  <conditionalFormatting sqref="AD145">
    <cfRule type="cellIs" dxfId="548" priority="641" operator="equal">
      <formula>"Catastrófico"</formula>
    </cfRule>
    <cfRule type="cellIs" dxfId="547" priority="642" operator="equal">
      <formula>"Mayor"</formula>
    </cfRule>
    <cfRule type="cellIs" dxfId="546" priority="643" operator="equal">
      <formula>"Moderado"</formula>
    </cfRule>
    <cfRule type="cellIs" dxfId="545" priority="644" operator="equal">
      <formula>"Menor"</formula>
    </cfRule>
    <cfRule type="cellIs" dxfId="544" priority="645" operator="equal">
      <formula>"Leve"</formula>
    </cfRule>
  </conditionalFormatting>
  <conditionalFormatting sqref="AF145">
    <cfRule type="cellIs" dxfId="543" priority="637" operator="equal">
      <formula>"Extremo"</formula>
    </cfRule>
    <cfRule type="cellIs" dxfId="542" priority="638" operator="equal">
      <formula>"Alto"</formula>
    </cfRule>
    <cfRule type="cellIs" dxfId="541" priority="639" operator="equal">
      <formula>"Moderado"</formula>
    </cfRule>
    <cfRule type="cellIs" dxfId="540" priority="640" operator="equal">
      <formula>"Bajo"</formula>
    </cfRule>
  </conditionalFormatting>
  <conditionalFormatting sqref="AB146">
    <cfRule type="cellIs" dxfId="539" priority="632" operator="equal">
      <formula>"Muy Alta"</formula>
    </cfRule>
    <cfRule type="cellIs" dxfId="538" priority="633" operator="equal">
      <formula>"Alta"</formula>
    </cfRule>
    <cfRule type="cellIs" dxfId="537" priority="634" operator="equal">
      <formula>"Media"</formula>
    </cfRule>
    <cfRule type="cellIs" dxfId="536" priority="635" operator="equal">
      <formula>"Baja"</formula>
    </cfRule>
    <cfRule type="cellIs" dxfId="535" priority="636" operator="equal">
      <formula>"Muy Baja"</formula>
    </cfRule>
  </conditionalFormatting>
  <conditionalFormatting sqref="AD146">
    <cfRule type="cellIs" dxfId="534" priority="627" operator="equal">
      <formula>"Catastrófico"</formula>
    </cfRule>
    <cfRule type="cellIs" dxfId="533" priority="628" operator="equal">
      <formula>"Mayor"</formula>
    </cfRule>
    <cfRule type="cellIs" dxfId="532" priority="629" operator="equal">
      <formula>"Moderado"</formula>
    </cfRule>
    <cfRule type="cellIs" dxfId="531" priority="630" operator="equal">
      <formula>"Menor"</formula>
    </cfRule>
    <cfRule type="cellIs" dxfId="530" priority="631" operator="equal">
      <formula>"Leve"</formula>
    </cfRule>
  </conditionalFormatting>
  <conditionalFormatting sqref="AF146">
    <cfRule type="cellIs" dxfId="529" priority="623" operator="equal">
      <formula>"Extremo"</formula>
    </cfRule>
    <cfRule type="cellIs" dxfId="528" priority="624" operator="equal">
      <formula>"Alto"</formula>
    </cfRule>
    <cfRule type="cellIs" dxfId="527" priority="625" operator="equal">
      <formula>"Moderado"</formula>
    </cfRule>
    <cfRule type="cellIs" dxfId="526" priority="626" operator="equal">
      <formula>"Bajo"</formula>
    </cfRule>
  </conditionalFormatting>
  <conditionalFormatting sqref="AB147">
    <cfRule type="cellIs" dxfId="525" priority="618" operator="equal">
      <formula>"Muy Alta"</formula>
    </cfRule>
    <cfRule type="cellIs" dxfId="524" priority="619" operator="equal">
      <formula>"Alta"</formula>
    </cfRule>
    <cfRule type="cellIs" dxfId="523" priority="620" operator="equal">
      <formula>"Media"</formula>
    </cfRule>
    <cfRule type="cellIs" dxfId="522" priority="621" operator="equal">
      <formula>"Baja"</formula>
    </cfRule>
    <cfRule type="cellIs" dxfId="521" priority="622" operator="equal">
      <formula>"Muy Baja"</formula>
    </cfRule>
  </conditionalFormatting>
  <conditionalFormatting sqref="AD147">
    <cfRule type="cellIs" dxfId="520" priority="613" operator="equal">
      <formula>"Catastrófico"</formula>
    </cfRule>
    <cfRule type="cellIs" dxfId="519" priority="614" operator="equal">
      <formula>"Mayor"</formula>
    </cfRule>
    <cfRule type="cellIs" dxfId="518" priority="615" operator="equal">
      <formula>"Moderado"</formula>
    </cfRule>
    <cfRule type="cellIs" dxfId="517" priority="616" operator="equal">
      <formula>"Menor"</formula>
    </cfRule>
    <cfRule type="cellIs" dxfId="516" priority="617" operator="equal">
      <formula>"Leve"</formula>
    </cfRule>
  </conditionalFormatting>
  <conditionalFormatting sqref="AF147">
    <cfRule type="cellIs" dxfId="515" priority="609" operator="equal">
      <formula>"Extremo"</formula>
    </cfRule>
    <cfRule type="cellIs" dxfId="514" priority="610" operator="equal">
      <formula>"Alto"</formula>
    </cfRule>
    <cfRule type="cellIs" dxfId="513" priority="611" operator="equal">
      <formula>"Moderado"</formula>
    </cfRule>
    <cfRule type="cellIs" dxfId="512" priority="612" operator="equal">
      <formula>"Bajo"</formula>
    </cfRule>
  </conditionalFormatting>
  <conditionalFormatting sqref="K145">
    <cfRule type="cellIs" dxfId="511" priority="604" operator="equal">
      <formula>"Muy Alta"</formula>
    </cfRule>
    <cfRule type="cellIs" dxfId="510" priority="605" operator="equal">
      <formula>"Alta"</formula>
    </cfRule>
    <cfRule type="cellIs" dxfId="509" priority="606" operator="equal">
      <formula>"Media"</formula>
    </cfRule>
    <cfRule type="cellIs" dxfId="508" priority="607" operator="equal">
      <formula>"Baja"</formula>
    </cfRule>
    <cfRule type="cellIs" dxfId="507" priority="608" operator="equal">
      <formula>"Muy Baja"</formula>
    </cfRule>
  </conditionalFormatting>
  <conditionalFormatting sqref="O145">
    <cfRule type="cellIs" dxfId="506" priority="599" operator="equal">
      <formula>"Catastrófico"</formula>
    </cfRule>
    <cfRule type="cellIs" dxfId="505" priority="600" operator="equal">
      <formula>"Mayor"</formula>
    </cfRule>
    <cfRule type="cellIs" dxfId="504" priority="601" operator="equal">
      <formula>"Moderado"</formula>
    </cfRule>
    <cfRule type="cellIs" dxfId="503" priority="602" operator="equal">
      <formula>"Menor"</formula>
    </cfRule>
    <cfRule type="cellIs" dxfId="502" priority="603" operator="equal">
      <formula>"Leve"</formula>
    </cfRule>
  </conditionalFormatting>
  <conditionalFormatting sqref="Q145">
    <cfRule type="cellIs" dxfId="501" priority="595" operator="equal">
      <formula>"Extremo"</formula>
    </cfRule>
    <cfRule type="cellIs" dxfId="500" priority="596" operator="equal">
      <formula>"Alto"</formula>
    </cfRule>
    <cfRule type="cellIs" dxfId="499" priority="597" operator="equal">
      <formula>"Moderado"</formula>
    </cfRule>
    <cfRule type="cellIs" dxfId="498" priority="598" operator="equal">
      <formula>"Bajo"</formula>
    </cfRule>
  </conditionalFormatting>
  <conditionalFormatting sqref="N145:N147">
    <cfRule type="containsText" dxfId="497" priority="594" operator="containsText" text="❌">
      <formula>NOT(ISERROR(SEARCH("❌",N145)))</formula>
    </cfRule>
  </conditionalFormatting>
  <conditionalFormatting sqref="AB145:AB147">
    <cfRule type="cellIs" dxfId="496" priority="589" operator="equal">
      <formula>"Muy Alta"</formula>
    </cfRule>
    <cfRule type="cellIs" dxfId="495" priority="590" operator="equal">
      <formula>"Alta"</formula>
    </cfRule>
    <cfRule type="cellIs" dxfId="494" priority="591" operator="equal">
      <formula>"Media"</formula>
    </cfRule>
    <cfRule type="cellIs" dxfId="493" priority="592" operator="equal">
      <formula>"Baja"</formula>
    </cfRule>
    <cfRule type="cellIs" dxfId="492" priority="593" operator="equal">
      <formula>"Muy Baja"</formula>
    </cfRule>
  </conditionalFormatting>
  <conditionalFormatting sqref="AD145:AD147">
    <cfRule type="cellIs" dxfId="491" priority="584" operator="equal">
      <formula>"Catastrófico"</formula>
    </cfRule>
    <cfRule type="cellIs" dxfId="490" priority="585" operator="equal">
      <formula>"Mayor"</formula>
    </cfRule>
    <cfRule type="cellIs" dxfId="489" priority="586" operator="equal">
      <formula>"Moderado"</formula>
    </cfRule>
    <cfRule type="cellIs" dxfId="488" priority="587" operator="equal">
      <formula>"Menor"</formula>
    </cfRule>
    <cfRule type="cellIs" dxfId="487" priority="588" operator="equal">
      <formula>"Leve"</formula>
    </cfRule>
  </conditionalFormatting>
  <conditionalFormatting sqref="AF145:AF147">
    <cfRule type="cellIs" dxfId="486" priority="580" operator="equal">
      <formula>"Extremo"</formula>
    </cfRule>
    <cfRule type="cellIs" dxfId="485" priority="581" operator="equal">
      <formula>"Alto"</formula>
    </cfRule>
    <cfRule type="cellIs" dxfId="484" priority="582" operator="equal">
      <formula>"Moderado"</formula>
    </cfRule>
    <cfRule type="cellIs" dxfId="483" priority="583" operator="equal">
      <formula>"Bajo"</formula>
    </cfRule>
  </conditionalFormatting>
  <conditionalFormatting sqref="N145:N147">
    <cfRule type="containsText" dxfId="482" priority="579" operator="containsText" text="❌">
      <formula>NOT(ISERROR(SEARCH("❌",N145)))</formula>
    </cfRule>
  </conditionalFormatting>
  <conditionalFormatting sqref="AB148">
    <cfRule type="cellIs" dxfId="481" priority="574" operator="equal">
      <formula>"Muy Alta"</formula>
    </cfRule>
    <cfRule type="cellIs" dxfId="480" priority="575" operator="equal">
      <formula>"Alta"</formula>
    </cfRule>
    <cfRule type="cellIs" dxfId="479" priority="576" operator="equal">
      <formula>"Media"</formula>
    </cfRule>
    <cfRule type="cellIs" dxfId="478" priority="577" operator="equal">
      <formula>"Baja"</formula>
    </cfRule>
    <cfRule type="cellIs" dxfId="477" priority="578" operator="equal">
      <formula>"Muy Baja"</formula>
    </cfRule>
  </conditionalFormatting>
  <conditionalFormatting sqref="AD148">
    <cfRule type="cellIs" dxfId="476" priority="569" operator="equal">
      <formula>"Catastrófico"</formula>
    </cfRule>
    <cfRule type="cellIs" dxfId="475" priority="570" operator="equal">
      <formula>"Mayor"</formula>
    </cfRule>
    <cfRule type="cellIs" dxfId="474" priority="571" operator="equal">
      <formula>"Moderado"</formula>
    </cfRule>
    <cfRule type="cellIs" dxfId="473" priority="572" operator="equal">
      <formula>"Menor"</formula>
    </cfRule>
    <cfRule type="cellIs" dxfId="472" priority="573" operator="equal">
      <formula>"Leve"</formula>
    </cfRule>
  </conditionalFormatting>
  <conditionalFormatting sqref="AF148">
    <cfRule type="cellIs" dxfId="471" priority="565" operator="equal">
      <formula>"Extremo"</formula>
    </cfRule>
    <cfRule type="cellIs" dxfId="470" priority="566" operator="equal">
      <formula>"Alto"</formula>
    </cfRule>
    <cfRule type="cellIs" dxfId="469" priority="567" operator="equal">
      <formula>"Moderado"</formula>
    </cfRule>
    <cfRule type="cellIs" dxfId="468" priority="568" operator="equal">
      <formula>"Bajo"</formula>
    </cfRule>
  </conditionalFormatting>
  <conditionalFormatting sqref="AB149">
    <cfRule type="cellIs" dxfId="467" priority="560" operator="equal">
      <formula>"Muy Alta"</formula>
    </cfRule>
    <cfRule type="cellIs" dxfId="466" priority="561" operator="equal">
      <formula>"Alta"</formula>
    </cfRule>
    <cfRule type="cellIs" dxfId="465" priority="562" operator="equal">
      <formula>"Media"</formula>
    </cfRule>
    <cfRule type="cellIs" dxfId="464" priority="563" operator="equal">
      <formula>"Baja"</formula>
    </cfRule>
    <cfRule type="cellIs" dxfId="463" priority="564" operator="equal">
      <formula>"Muy Baja"</formula>
    </cfRule>
  </conditionalFormatting>
  <conditionalFormatting sqref="AD149">
    <cfRule type="cellIs" dxfId="462" priority="555" operator="equal">
      <formula>"Catastrófico"</formula>
    </cfRule>
    <cfRule type="cellIs" dxfId="461" priority="556" operator="equal">
      <formula>"Mayor"</formula>
    </cfRule>
    <cfRule type="cellIs" dxfId="460" priority="557" operator="equal">
      <formula>"Moderado"</formula>
    </cfRule>
    <cfRule type="cellIs" dxfId="459" priority="558" operator="equal">
      <formula>"Menor"</formula>
    </cfRule>
    <cfRule type="cellIs" dxfId="458" priority="559" operator="equal">
      <formula>"Leve"</formula>
    </cfRule>
  </conditionalFormatting>
  <conditionalFormatting sqref="AF149">
    <cfRule type="cellIs" dxfId="457" priority="551" operator="equal">
      <formula>"Extremo"</formula>
    </cfRule>
    <cfRule type="cellIs" dxfId="456" priority="552" operator="equal">
      <formula>"Alto"</formula>
    </cfRule>
    <cfRule type="cellIs" dxfId="455" priority="553" operator="equal">
      <formula>"Moderado"</formula>
    </cfRule>
    <cfRule type="cellIs" dxfId="454" priority="554" operator="equal">
      <formula>"Bajo"</formula>
    </cfRule>
  </conditionalFormatting>
  <conditionalFormatting sqref="AB150">
    <cfRule type="cellIs" dxfId="453" priority="546" operator="equal">
      <formula>"Muy Alta"</formula>
    </cfRule>
    <cfRule type="cellIs" dxfId="452" priority="547" operator="equal">
      <formula>"Alta"</formula>
    </cfRule>
    <cfRule type="cellIs" dxfId="451" priority="548" operator="equal">
      <formula>"Media"</formula>
    </cfRule>
    <cfRule type="cellIs" dxfId="450" priority="549" operator="equal">
      <formula>"Baja"</formula>
    </cfRule>
    <cfRule type="cellIs" dxfId="449" priority="550" operator="equal">
      <formula>"Muy Baja"</formula>
    </cfRule>
  </conditionalFormatting>
  <conditionalFormatting sqref="AD150">
    <cfRule type="cellIs" dxfId="448" priority="541" operator="equal">
      <formula>"Catastrófico"</formula>
    </cfRule>
    <cfRule type="cellIs" dxfId="447" priority="542" operator="equal">
      <formula>"Mayor"</formula>
    </cfRule>
    <cfRule type="cellIs" dxfId="446" priority="543" operator="equal">
      <formula>"Moderado"</formula>
    </cfRule>
    <cfRule type="cellIs" dxfId="445" priority="544" operator="equal">
      <formula>"Menor"</formula>
    </cfRule>
    <cfRule type="cellIs" dxfId="444" priority="545" operator="equal">
      <formula>"Leve"</formula>
    </cfRule>
  </conditionalFormatting>
  <conditionalFormatting sqref="AF150">
    <cfRule type="cellIs" dxfId="443" priority="537" operator="equal">
      <formula>"Extremo"</formula>
    </cfRule>
    <cfRule type="cellIs" dxfId="442" priority="538" operator="equal">
      <formula>"Alto"</formula>
    </cfRule>
    <cfRule type="cellIs" dxfId="441" priority="539" operator="equal">
      <formula>"Moderado"</formula>
    </cfRule>
    <cfRule type="cellIs" dxfId="440" priority="540" operator="equal">
      <formula>"Bajo"</formula>
    </cfRule>
  </conditionalFormatting>
  <conditionalFormatting sqref="K148">
    <cfRule type="cellIs" dxfId="439" priority="532" operator="equal">
      <formula>"Muy Alta"</formula>
    </cfRule>
    <cfRule type="cellIs" dxfId="438" priority="533" operator="equal">
      <formula>"Alta"</formula>
    </cfRule>
    <cfRule type="cellIs" dxfId="437" priority="534" operator="equal">
      <formula>"Media"</formula>
    </cfRule>
    <cfRule type="cellIs" dxfId="436" priority="535" operator="equal">
      <formula>"Baja"</formula>
    </cfRule>
    <cfRule type="cellIs" dxfId="435" priority="536" operator="equal">
      <formula>"Muy Baja"</formula>
    </cfRule>
  </conditionalFormatting>
  <conditionalFormatting sqref="O148">
    <cfRule type="cellIs" dxfId="434" priority="527" operator="equal">
      <formula>"Catastrófico"</formula>
    </cfRule>
    <cfRule type="cellIs" dxfId="433" priority="528" operator="equal">
      <formula>"Mayor"</formula>
    </cfRule>
    <cfRule type="cellIs" dxfId="432" priority="529" operator="equal">
      <formula>"Moderado"</formula>
    </cfRule>
    <cfRule type="cellIs" dxfId="431" priority="530" operator="equal">
      <formula>"Menor"</formula>
    </cfRule>
    <cfRule type="cellIs" dxfId="430" priority="531" operator="equal">
      <formula>"Leve"</formula>
    </cfRule>
  </conditionalFormatting>
  <conditionalFormatting sqref="Q148">
    <cfRule type="cellIs" dxfId="429" priority="523" operator="equal">
      <formula>"Extremo"</formula>
    </cfRule>
    <cfRule type="cellIs" dxfId="428" priority="524" operator="equal">
      <formula>"Alto"</formula>
    </cfRule>
    <cfRule type="cellIs" dxfId="427" priority="525" operator="equal">
      <formula>"Moderado"</formula>
    </cfRule>
    <cfRule type="cellIs" dxfId="426" priority="526" operator="equal">
      <formula>"Bajo"</formula>
    </cfRule>
  </conditionalFormatting>
  <conditionalFormatting sqref="N148:N150">
    <cfRule type="containsText" dxfId="425" priority="522" operator="containsText" text="❌">
      <formula>NOT(ISERROR(SEARCH("❌",N148)))</formula>
    </cfRule>
  </conditionalFormatting>
  <conditionalFormatting sqref="AB148:AB150">
    <cfRule type="cellIs" dxfId="424" priority="517" operator="equal">
      <formula>"Muy Alta"</formula>
    </cfRule>
    <cfRule type="cellIs" dxfId="423" priority="518" operator="equal">
      <formula>"Alta"</formula>
    </cfRule>
    <cfRule type="cellIs" dxfId="422" priority="519" operator="equal">
      <formula>"Media"</formula>
    </cfRule>
    <cfRule type="cellIs" dxfId="421" priority="520" operator="equal">
      <formula>"Baja"</formula>
    </cfRule>
    <cfRule type="cellIs" dxfId="420" priority="521" operator="equal">
      <formula>"Muy Baja"</formula>
    </cfRule>
  </conditionalFormatting>
  <conditionalFormatting sqref="AD148:AD150">
    <cfRule type="cellIs" dxfId="419" priority="512" operator="equal">
      <formula>"Catastrófico"</formula>
    </cfRule>
    <cfRule type="cellIs" dxfId="418" priority="513" operator="equal">
      <formula>"Mayor"</formula>
    </cfRule>
    <cfRule type="cellIs" dxfId="417" priority="514" operator="equal">
      <formula>"Moderado"</formula>
    </cfRule>
    <cfRule type="cellIs" dxfId="416" priority="515" operator="equal">
      <formula>"Menor"</formula>
    </cfRule>
    <cfRule type="cellIs" dxfId="415" priority="516" operator="equal">
      <formula>"Leve"</formula>
    </cfRule>
  </conditionalFormatting>
  <conditionalFormatting sqref="AF148:AF150">
    <cfRule type="cellIs" dxfId="414" priority="508" operator="equal">
      <formula>"Extremo"</formula>
    </cfRule>
    <cfRule type="cellIs" dxfId="413" priority="509" operator="equal">
      <formula>"Alto"</formula>
    </cfRule>
    <cfRule type="cellIs" dxfId="412" priority="510" operator="equal">
      <formula>"Moderado"</formula>
    </cfRule>
    <cfRule type="cellIs" dxfId="411" priority="511" operator="equal">
      <formula>"Bajo"</formula>
    </cfRule>
  </conditionalFormatting>
  <conditionalFormatting sqref="N148:N150">
    <cfRule type="containsText" dxfId="410" priority="507" operator="containsText" text="❌">
      <formula>NOT(ISERROR(SEARCH("❌",N148)))</formula>
    </cfRule>
  </conditionalFormatting>
  <conditionalFormatting sqref="AB151">
    <cfRule type="cellIs" dxfId="409" priority="502" operator="equal">
      <formula>"Muy Alta"</formula>
    </cfRule>
    <cfRule type="cellIs" dxfId="408" priority="503" operator="equal">
      <formula>"Alta"</formula>
    </cfRule>
    <cfRule type="cellIs" dxfId="407" priority="504" operator="equal">
      <formula>"Media"</formula>
    </cfRule>
    <cfRule type="cellIs" dxfId="406" priority="505" operator="equal">
      <formula>"Baja"</formula>
    </cfRule>
    <cfRule type="cellIs" dxfId="405" priority="506" operator="equal">
      <formula>"Muy Baja"</formula>
    </cfRule>
  </conditionalFormatting>
  <conditionalFormatting sqref="AD151">
    <cfRule type="cellIs" dxfId="404" priority="497" operator="equal">
      <formula>"Catastrófico"</formula>
    </cfRule>
    <cfRule type="cellIs" dxfId="403" priority="498" operator="equal">
      <formula>"Mayor"</formula>
    </cfRule>
    <cfRule type="cellIs" dxfId="402" priority="499" operator="equal">
      <formula>"Moderado"</formula>
    </cfRule>
    <cfRule type="cellIs" dxfId="401" priority="500" operator="equal">
      <formula>"Menor"</formula>
    </cfRule>
    <cfRule type="cellIs" dxfId="400" priority="501" operator="equal">
      <formula>"Leve"</formula>
    </cfRule>
  </conditionalFormatting>
  <conditionalFormatting sqref="AF151">
    <cfRule type="cellIs" dxfId="399" priority="493" operator="equal">
      <formula>"Extremo"</formula>
    </cfRule>
    <cfRule type="cellIs" dxfId="398" priority="494" operator="equal">
      <formula>"Alto"</formula>
    </cfRule>
    <cfRule type="cellIs" dxfId="397" priority="495" operator="equal">
      <formula>"Moderado"</formula>
    </cfRule>
    <cfRule type="cellIs" dxfId="396" priority="496" operator="equal">
      <formula>"Bajo"</formula>
    </cfRule>
  </conditionalFormatting>
  <conditionalFormatting sqref="AB152">
    <cfRule type="cellIs" dxfId="395" priority="488" operator="equal">
      <formula>"Muy Alta"</formula>
    </cfRule>
    <cfRule type="cellIs" dxfId="394" priority="489" operator="equal">
      <formula>"Alta"</formula>
    </cfRule>
    <cfRule type="cellIs" dxfId="393" priority="490" operator="equal">
      <formula>"Media"</formula>
    </cfRule>
    <cfRule type="cellIs" dxfId="392" priority="491" operator="equal">
      <formula>"Baja"</formula>
    </cfRule>
    <cfRule type="cellIs" dxfId="391" priority="492" operator="equal">
      <formula>"Muy Baja"</formula>
    </cfRule>
  </conditionalFormatting>
  <conditionalFormatting sqref="AD152">
    <cfRule type="cellIs" dxfId="390" priority="483" operator="equal">
      <formula>"Catastrófico"</formula>
    </cfRule>
    <cfRule type="cellIs" dxfId="389" priority="484" operator="equal">
      <formula>"Mayor"</formula>
    </cfRule>
    <cfRule type="cellIs" dxfId="388" priority="485" operator="equal">
      <formula>"Moderado"</formula>
    </cfRule>
    <cfRule type="cellIs" dxfId="387" priority="486" operator="equal">
      <formula>"Menor"</formula>
    </cfRule>
    <cfRule type="cellIs" dxfId="386" priority="487" operator="equal">
      <formula>"Leve"</formula>
    </cfRule>
  </conditionalFormatting>
  <conditionalFormatting sqref="AF152">
    <cfRule type="cellIs" dxfId="385" priority="479" operator="equal">
      <formula>"Extremo"</formula>
    </cfRule>
    <cfRule type="cellIs" dxfId="384" priority="480" operator="equal">
      <formula>"Alto"</formula>
    </cfRule>
    <cfRule type="cellIs" dxfId="383" priority="481" operator="equal">
      <formula>"Moderado"</formula>
    </cfRule>
    <cfRule type="cellIs" dxfId="382" priority="482" operator="equal">
      <formula>"Bajo"</formula>
    </cfRule>
  </conditionalFormatting>
  <conditionalFormatting sqref="AB153">
    <cfRule type="cellIs" dxfId="381" priority="474" operator="equal">
      <formula>"Muy Alta"</formula>
    </cfRule>
    <cfRule type="cellIs" dxfId="380" priority="475" operator="equal">
      <formula>"Alta"</formula>
    </cfRule>
    <cfRule type="cellIs" dxfId="379" priority="476" operator="equal">
      <formula>"Media"</formula>
    </cfRule>
    <cfRule type="cellIs" dxfId="378" priority="477" operator="equal">
      <formula>"Baja"</formula>
    </cfRule>
    <cfRule type="cellIs" dxfId="377" priority="478" operator="equal">
      <formula>"Muy Baja"</formula>
    </cfRule>
  </conditionalFormatting>
  <conditionalFormatting sqref="AD153">
    <cfRule type="cellIs" dxfId="376" priority="469" operator="equal">
      <formula>"Catastrófico"</formula>
    </cfRule>
    <cfRule type="cellIs" dxfId="375" priority="470" operator="equal">
      <formula>"Mayor"</formula>
    </cfRule>
    <cfRule type="cellIs" dxfId="374" priority="471" operator="equal">
      <formula>"Moderado"</formula>
    </cfRule>
    <cfRule type="cellIs" dxfId="373" priority="472" operator="equal">
      <formula>"Menor"</formula>
    </cfRule>
    <cfRule type="cellIs" dxfId="372" priority="473" operator="equal">
      <formula>"Leve"</formula>
    </cfRule>
  </conditionalFormatting>
  <conditionalFormatting sqref="AF153">
    <cfRule type="cellIs" dxfId="371" priority="465" operator="equal">
      <formula>"Extremo"</formula>
    </cfRule>
    <cfRule type="cellIs" dxfId="370" priority="466" operator="equal">
      <formula>"Alto"</formula>
    </cfRule>
    <cfRule type="cellIs" dxfId="369" priority="467" operator="equal">
      <formula>"Moderado"</formula>
    </cfRule>
    <cfRule type="cellIs" dxfId="368" priority="468" operator="equal">
      <formula>"Bajo"</formula>
    </cfRule>
  </conditionalFormatting>
  <conditionalFormatting sqref="K151">
    <cfRule type="cellIs" dxfId="367" priority="460" operator="equal">
      <formula>"Muy Alta"</formula>
    </cfRule>
    <cfRule type="cellIs" dxfId="366" priority="461" operator="equal">
      <formula>"Alta"</formula>
    </cfRule>
    <cfRule type="cellIs" dxfId="365" priority="462" operator="equal">
      <formula>"Media"</formula>
    </cfRule>
    <cfRule type="cellIs" dxfId="364" priority="463" operator="equal">
      <formula>"Baja"</formula>
    </cfRule>
    <cfRule type="cellIs" dxfId="363" priority="464" operator="equal">
      <formula>"Muy Baja"</formula>
    </cfRule>
  </conditionalFormatting>
  <conditionalFormatting sqref="O151">
    <cfRule type="cellIs" dxfId="362" priority="455" operator="equal">
      <formula>"Catastrófico"</formula>
    </cfRule>
    <cfRule type="cellIs" dxfId="361" priority="456" operator="equal">
      <formula>"Mayor"</formula>
    </cfRule>
    <cfRule type="cellIs" dxfId="360" priority="457" operator="equal">
      <formula>"Moderado"</formula>
    </cfRule>
    <cfRule type="cellIs" dxfId="359" priority="458" operator="equal">
      <formula>"Menor"</formula>
    </cfRule>
    <cfRule type="cellIs" dxfId="358" priority="459" operator="equal">
      <formula>"Leve"</formula>
    </cfRule>
  </conditionalFormatting>
  <conditionalFormatting sqref="Q151">
    <cfRule type="cellIs" dxfId="357" priority="451" operator="equal">
      <formula>"Extremo"</formula>
    </cfRule>
    <cfRule type="cellIs" dxfId="356" priority="452" operator="equal">
      <formula>"Alto"</formula>
    </cfRule>
    <cfRule type="cellIs" dxfId="355" priority="453" operator="equal">
      <formula>"Moderado"</formula>
    </cfRule>
    <cfRule type="cellIs" dxfId="354" priority="454" operator="equal">
      <formula>"Bajo"</formula>
    </cfRule>
  </conditionalFormatting>
  <conditionalFormatting sqref="N151:N153">
    <cfRule type="containsText" dxfId="353" priority="450" operator="containsText" text="❌">
      <formula>NOT(ISERROR(SEARCH("❌",N151)))</formula>
    </cfRule>
  </conditionalFormatting>
  <conditionalFormatting sqref="AB151:AB153">
    <cfRule type="cellIs" dxfId="352" priority="445" operator="equal">
      <formula>"Muy Alta"</formula>
    </cfRule>
    <cfRule type="cellIs" dxfId="351" priority="446" operator="equal">
      <formula>"Alta"</formula>
    </cfRule>
    <cfRule type="cellIs" dxfId="350" priority="447" operator="equal">
      <formula>"Media"</formula>
    </cfRule>
    <cfRule type="cellIs" dxfId="349" priority="448" operator="equal">
      <formula>"Baja"</formula>
    </cfRule>
    <cfRule type="cellIs" dxfId="348" priority="449" operator="equal">
      <formula>"Muy Baja"</formula>
    </cfRule>
  </conditionalFormatting>
  <conditionalFormatting sqref="AD151:AD153">
    <cfRule type="cellIs" dxfId="347" priority="440" operator="equal">
      <formula>"Catastrófico"</formula>
    </cfRule>
    <cfRule type="cellIs" dxfId="346" priority="441" operator="equal">
      <formula>"Mayor"</formula>
    </cfRule>
    <cfRule type="cellIs" dxfId="345" priority="442" operator="equal">
      <formula>"Moderado"</formula>
    </cfRule>
    <cfRule type="cellIs" dxfId="344" priority="443" operator="equal">
      <formula>"Menor"</formula>
    </cfRule>
    <cfRule type="cellIs" dxfId="343" priority="444" operator="equal">
      <formula>"Leve"</formula>
    </cfRule>
  </conditionalFormatting>
  <conditionalFormatting sqref="AF151:AF153">
    <cfRule type="cellIs" dxfId="342" priority="436" operator="equal">
      <formula>"Extremo"</formula>
    </cfRule>
    <cfRule type="cellIs" dxfId="341" priority="437" operator="equal">
      <formula>"Alto"</formula>
    </cfRule>
    <cfRule type="cellIs" dxfId="340" priority="438" operator="equal">
      <formula>"Moderado"</formula>
    </cfRule>
    <cfRule type="cellIs" dxfId="339" priority="439" operator="equal">
      <formula>"Bajo"</formula>
    </cfRule>
  </conditionalFormatting>
  <conditionalFormatting sqref="N151:N153">
    <cfRule type="containsText" dxfId="338" priority="435" operator="containsText" text="❌">
      <formula>NOT(ISERROR(SEARCH("❌",N151)))</formula>
    </cfRule>
  </conditionalFormatting>
  <conditionalFormatting sqref="AB154">
    <cfRule type="cellIs" dxfId="337" priority="430" operator="equal">
      <formula>"Muy Alta"</formula>
    </cfRule>
    <cfRule type="cellIs" dxfId="336" priority="431" operator="equal">
      <formula>"Alta"</formula>
    </cfRule>
    <cfRule type="cellIs" dxfId="335" priority="432" operator="equal">
      <formula>"Media"</formula>
    </cfRule>
    <cfRule type="cellIs" dxfId="334" priority="433" operator="equal">
      <formula>"Baja"</formula>
    </cfRule>
    <cfRule type="cellIs" dxfId="333" priority="434" operator="equal">
      <formula>"Muy Baja"</formula>
    </cfRule>
  </conditionalFormatting>
  <conditionalFormatting sqref="AD154">
    <cfRule type="cellIs" dxfId="332" priority="425" operator="equal">
      <formula>"Catastrófico"</formula>
    </cfRule>
    <cfRule type="cellIs" dxfId="331" priority="426" operator="equal">
      <formula>"Mayor"</formula>
    </cfRule>
    <cfRule type="cellIs" dxfId="330" priority="427" operator="equal">
      <formula>"Moderado"</formula>
    </cfRule>
    <cfRule type="cellIs" dxfId="329" priority="428" operator="equal">
      <formula>"Menor"</formula>
    </cfRule>
    <cfRule type="cellIs" dxfId="328" priority="429" operator="equal">
      <formula>"Leve"</formula>
    </cfRule>
  </conditionalFormatting>
  <conditionalFormatting sqref="AF154">
    <cfRule type="cellIs" dxfId="327" priority="421" operator="equal">
      <formula>"Extremo"</formula>
    </cfRule>
    <cfRule type="cellIs" dxfId="326" priority="422" operator="equal">
      <formula>"Alto"</formula>
    </cfRule>
    <cfRule type="cellIs" dxfId="325" priority="423" operator="equal">
      <formula>"Moderado"</formula>
    </cfRule>
    <cfRule type="cellIs" dxfId="324" priority="424" operator="equal">
      <formula>"Bajo"</formula>
    </cfRule>
  </conditionalFormatting>
  <conditionalFormatting sqref="AB155">
    <cfRule type="cellIs" dxfId="323" priority="416" operator="equal">
      <formula>"Muy Alta"</formula>
    </cfRule>
    <cfRule type="cellIs" dxfId="322" priority="417" operator="equal">
      <formula>"Alta"</formula>
    </cfRule>
    <cfRule type="cellIs" dxfId="321" priority="418" operator="equal">
      <formula>"Media"</formula>
    </cfRule>
    <cfRule type="cellIs" dxfId="320" priority="419" operator="equal">
      <formula>"Baja"</formula>
    </cfRule>
    <cfRule type="cellIs" dxfId="319" priority="420" operator="equal">
      <formula>"Muy Baja"</formula>
    </cfRule>
  </conditionalFormatting>
  <conditionalFormatting sqref="AD155">
    <cfRule type="cellIs" dxfId="318" priority="411" operator="equal">
      <formula>"Catastrófico"</formula>
    </cfRule>
    <cfRule type="cellIs" dxfId="317" priority="412" operator="equal">
      <formula>"Mayor"</formula>
    </cfRule>
    <cfRule type="cellIs" dxfId="316" priority="413" operator="equal">
      <formula>"Moderado"</formula>
    </cfRule>
    <cfRule type="cellIs" dxfId="315" priority="414" operator="equal">
      <formula>"Menor"</formula>
    </cfRule>
    <cfRule type="cellIs" dxfId="314" priority="415" operator="equal">
      <formula>"Leve"</formula>
    </cfRule>
  </conditionalFormatting>
  <conditionalFormatting sqref="AF155">
    <cfRule type="cellIs" dxfId="313" priority="407" operator="equal">
      <formula>"Extremo"</formula>
    </cfRule>
    <cfRule type="cellIs" dxfId="312" priority="408" operator="equal">
      <formula>"Alto"</formula>
    </cfRule>
    <cfRule type="cellIs" dxfId="311" priority="409" operator="equal">
      <formula>"Moderado"</formula>
    </cfRule>
    <cfRule type="cellIs" dxfId="310" priority="410" operator="equal">
      <formula>"Bajo"</formula>
    </cfRule>
  </conditionalFormatting>
  <conditionalFormatting sqref="AB156:AB157">
    <cfRule type="cellIs" dxfId="309" priority="402" operator="equal">
      <formula>"Muy Alta"</formula>
    </cfRule>
    <cfRule type="cellIs" dxfId="308" priority="403" operator="equal">
      <formula>"Alta"</formula>
    </cfRule>
    <cfRule type="cellIs" dxfId="307" priority="404" operator="equal">
      <formula>"Media"</formula>
    </cfRule>
    <cfRule type="cellIs" dxfId="306" priority="405" operator="equal">
      <formula>"Baja"</formula>
    </cfRule>
    <cfRule type="cellIs" dxfId="305" priority="406" operator="equal">
      <formula>"Muy Baja"</formula>
    </cfRule>
  </conditionalFormatting>
  <conditionalFormatting sqref="AD156:AD157">
    <cfRule type="cellIs" dxfId="304" priority="397" operator="equal">
      <formula>"Catastrófico"</formula>
    </cfRule>
    <cfRule type="cellIs" dxfId="303" priority="398" operator="equal">
      <formula>"Mayor"</formula>
    </cfRule>
    <cfRule type="cellIs" dxfId="302" priority="399" operator="equal">
      <formula>"Moderado"</formula>
    </cfRule>
    <cfRule type="cellIs" dxfId="301" priority="400" operator="equal">
      <formula>"Menor"</formula>
    </cfRule>
    <cfRule type="cellIs" dxfId="300" priority="401" operator="equal">
      <formula>"Leve"</formula>
    </cfRule>
  </conditionalFormatting>
  <conditionalFormatting sqref="AF156:AF157">
    <cfRule type="cellIs" dxfId="299" priority="393" operator="equal">
      <formula>"Extremo"</formula>
    </cfRule>
    <cfRule type="cellIs" dxfId="298" priority="394" operator="equal">
      <formula>"Alto"</formula>
    </cfRule>
    <cfRule type="cellIs" dxfId="297" priority="395" operator="equal">
      <formula>"Moderado"</formula>
    </cfRule>
    <cfRule type="cellIs" dxfId="296" priority="396" operator="equal">
      <formula>"Bajo"</formula>
    </cfRule>
  </conditionalFormatting>
  <conditionalFormatting sqref="K154">
    <cfRule type="cellIs" dxfId="295" priority="388" operator="equal">
      <formula>"Muy Alta"</formula>
    </cfRule>
    <cfRule type="cellIs" dxfId="294" priority="389" operator="equal">
      <formula>"Alta"</formula>
    </cfRule>
    <cfRule type="cellIs" dxfId="293" priority="390" operator="equal">
      <formula>"Media"</formula>
    </cfRule>
    <cfRule type="cellIs" dxfId="292" priority="391" operator="equal">
      <formula>"Baja"</formula>
    </cfRule>
    <cfRule type="cellIs" dxfId="291" priority="392" operator="equal">
      <formula>"Muy Baja"</formula>
    </cfRule>
  </conditionalFormatting>
  <conditionalFormatting sqref="O154">
    <cfRule type="cellIs" dxfId="290" priority="383" operator="equal">
      <formula>"Catastrófico"</formula>
    </cfRule>
    <cfRule type="cellIs" dxfId="289" priority="384" operator="equal">
      <formula>"Mayor"</formula>
    </cfRule>
    <cfRule type="cellIs" dxfId="288" priority="385" operator="equal">
      <formula>"Moderado"</formula>
    </cfRule>
    <cfRule type="cellIs" dxfId="287" priority="386" operator="equal">
      <formula>"Menor"</formula>
    </cfRule>
    <cfRule type="cellIs" dxfId="286" priority="387" operator="equal">
      <formula>"Leve"</formula>
    </cfRule>
  </conditionalFormatting>
  <conditionalFormatting sqref="Q154">
    <cfRule type="cellIs" dxfId="285" priority="379" operator="equal">
      <formula>"Extremo"</formula>
    </cfRule>
    <cfRule type="cellIs" dxfId="284" priority="380" operator="equal">
      <formula>"Alto"</formula>
    </cfRule>
    <cfRule type="cellIs" dxfId="283" priority="381" operator="equal">
      <formula>"Moderado"</formula>
    </cfRule>
    <cfRule type="cellIs" dxfId="282" priority="382" operator="equal">
      <formula>"Bajo"</formula>
    </cfRule>
  </conditionalFormatting>
  <conditionalFormatting sqref="N154:N157">
    <cfRule type="containsText" dxfId="281" priority="378" operator="containsText" text="❌">
      <formula>NOT(ISERROR(SEARCH("❌",N154)))</formula>
    </cfRule>
  </conditionalFormatting>
  <conditionalFormatting sqref="AB154:AB157">
    <cfRule type="cellIs" dxfId="280" priority="373" operator="equal">
      <formula>"Muy Alta"</formula>
    </cfRule>
    <cfRule type="cellIs" dxfId="279" priority="374" operator="equal">
      <formula>"Alta"</formula>
    </cfRule>
    <cfRule type="cellIs" dxfId="278" priority="375" operator="equal">
      <formula>"Media"</formula>
    </cfRule>
    <cfRule type="cellIs" dxfId="277" priority="376" operator="equal">
      <formula>"Baja"</formula>
    </cfRule>
    <cfRule type="cellIs" dxfId="276" priority="377" operator="equal">
      <formula>"Muy Baja"</formula>
    </cfRule>
  </conditionalFormatting>
  <conditionalFormatting sqref="AD154:AD157">
    <cfRule type="cellIs" dxfId="275" priority="368" operator="equal">
      <formula>"Catastrófico"</formula>
    </cfRule>
    <cfRule type="cellIs" dxfId="274" priority="369" operator="equal">
      <formula>"Mayor"</formula>
    </cfRule>
    <cfRule type="cellIs" dxfId="273" priority="370" operator="equal">
      <formula>"Moderado"</formula>
    </cfRule>
    <cfRule type="cellIs" dxfId="272" priority="371" operator="equal">
      <formula>"Menor"</formula>
    </cfRule>
    <cfRule type="cellIs" dxfId="271" priority="372" operator="equal">
      <formula>"Leve"</formula>
    </cfRule>
  </conditionalFormatting>
  <conditionalFormatting sqref="AF154:AF157">
    <cfRule type="cellIs" dxfId="270" priority="364" operator="equal">
      <formula>"Extremo"</formula>
    </cfRule>
    <cfRule type="cellIs" dxfId="269" priority="365" operator="equal">
      <formula>"Alto"</formula>
    </cfRule>
    <cfRule type="cellIs" dxfId="268" priority="366" operator="equal">
      <formula>"Moderado"</formula>
    </cfRule>
    <cfRule type="cellIs" dxfId="267" priority="367" operator="equal">
      <formula>"Bajo"</formula>
    </cfRule>
  </conditionalFormatting>
  <conditionalFormatting sqref="N154:N157">
    <cfRule type="containsText" dxfId="266" priority="363" operator="containsText" text="❌">
      <formula>NOT(ISERROR(SEARCH("❌",N154)))</formula>
    </cfRule>
  </conditionalFormatting>
  <conditionalFormatting sqref="AB17">
    <cfRule type="cellIs" dxfId="265" priority="358" operator="equal">
      <formula>"Muy Alta"</formula>
    </cfRule>
    <cfRule type="cellIs" dxfId="264" priority="359" operator="equal">
      <formula>"Alta"</formula>
    </cfRule>
    <cfRule type="cellIs" dxfId="263" priority="360" operator="equal">
      <formula>"Media"</formula>
    </cfRule>
    <cfRule type="cellIs" dxfId="262" priority="361" operator="equal">
      <formula>"Baja"</formula>
    </cfRule>
    <cfRule type="cellIs" dxfId="261" priority="362" operator="equal">
      <formula>"Muy Baja"</formula>
    </cfRule>
  </conditionalFormatting>
  <conditionalFormatting sqref="AD17">
    <cfRule type="cellIs" dxfId="260" priority="353" operator="equal">
      <formula>"Catastrófico"</formula>
    </cfRule>
    <cfRule type="cellIs" dxfId="259" priority="354" operator="equal">
      <formula>"Mayor"</formula>
    </cfRule>
    <cfRule type="cellIs" dxfId="258" priority="355" operator="equal">
      <formula>"Moderado"</formula>
    </cfRule>
    <cfRule type="cellIs" dxfId="257" priority="356" operator="equal">
      <formula>"Menor"</formula>
    </cfRule>
    <cfRule type="cellIs" dxfId="256" priority="357" operator="equal">
      <formula>"Leve"</formula>
    </cfRule>
  </conditionalFormatting>
  <conditionalFormatting sqref="AF17">
    <cfRule type="cellIs" dxfId="255" priority="349" operator="equal">
      <formula>"Extremo"</formula>
    </cfRule>
    <cfRule type="cellIs" dxfId="254" priority="350" operator="equal">
      <formula>"Alto"</formula>
    </cfRule>
    <cfRule type="cellIs" dxfId="253" priority="351" operator="equal">
      <formula>"Moderado"</formula>
    </cfRule>
    <cfRule type="cellIs" dxfId="252" priority="352" operator="equal">
      <formula>"Bajo"</formula>
    </cfRule>
  </conditionalFormatting>
  <conditionalFormatting sqref="AB18">
    <cfRule type="cellIs" dxfId="251" priority="344" operator="equal">
      <formula>"Muy Alta"</formula>
    </cfRule>
    <cfRule type="cellIs" dxfId="250" priority="345" operator="equal">
      <formula>"Alta"</formula>
    </cfRule>
    <cfRule type="cellIs" dxfId="249" priority="346" operator="equal">
      <formula>"Media"</formula>
    </cfRule>
    <cfRule type="cellIs" dxfId="248" priority="347" operator="equal">
      <formula>"Baja"</formula>
    </cfRule>
    <cfRule type="cellIs" dxfId="247" priority="348" operator="equal">
      <formula>"Muy Baja"</formula>
    </cfRule>
  </conditionalFormatting>
  <conditionalFormatting sqref="AD18">
    <cfRule type="cellIs" dxfId="246" priority="339" operator="equal">
      <formula>"Catastrófico"</formula>
    </cfRule>
    <cfRule type="cellIs" dxfId="245" priority="340" operator="equal">
      <formula>"Mayor"</formula>
    </cfRule>
    <cfRule type="cellIs" dxfId="244" priority="341" operator="equal">
      <formula>"Moderado"</formula>
    </cfRule>
    <cfRule type="cellIs" dxfId="243" priority="342" operator="equal">
      <formula>"Menor"</formula>
    </cfRule>
    <cfRule type="cellIs" dxfId="242" priority="343" operator="equal">
      <formula>"Leve"</formula>
    </cfRule>
  </conditionalFormatting>
  <conditionalFormatting sqref="AF18">
    <cfRule type="cellIs" dxfId="241" priority="335" operator="equal">
      <formula>"Extremo"</formula>
    </cfRule>
    <cfRule type="cellIs" dxfId="240" priority="336" operator="equal">
      <formula>"Alto"</formula>
    </cfRule>
    <cfRule type="cellIs" dxfId="239" priority="337" operator="equal">
      <formula>"Moderado"</formula>
    </cfRule>
    <cfRule type="cellIs" dxfId="238" priority="338" operator="equal">
      <formula>"Bajo"</formula>
    </cfRule>
  </conditionalFormatting>
  <conditionalFormatting sqref="AB20">
    <cfRule type="cellIs" dxfId="237" priority="330" operator="equal">
      <formula>"Muy Alta"</formula>
    </cfRule>
    <cfRule type="cellIs" dxfId="236" priority="331" operator="equal">
      <formula>"Alta"</formula>
    </cfRule>
    <cfRule type="cellIs" dxfId="235" priority="332" operator="equal">
      <formula>"Media"</formula>
    </cfRule>
    <cfRule type="cellIs" dxfId="234" priority="333" operator="equal">
      <formula>"Baja"</formula>
    </cfRule>
    <cfRule type="cellIs" dxfId="233" priority="334" operator="equal">
      <formula>"Muy Baja"</formula>
    </cfRule>
  </conditionalFormatting>
  <conditionalFormatting sqref="AD20">
    <cfRule type="cellIs" dxfId="232" priority="325" operator="equal">
      <formula>"Catastrófico"</formula>
    </cfRule>
    <cfRule type="cellIs" dxfId="231" priority="326" operator="equal">
      <formula>"Mayor"</formula>
    </cfRule>
    <cfRule type="cellIs" dxfId="230" priority="327" operator="equal">
      <formula>"Moderado"</formula>
    </cfRule>
    <cfRule type="cellIs" dxfId="229" priority="328" operator="equal">
      <formula>"Menor"</formula>
    </cfRule>
    <cfRule type="cellIs" dxfId="228" priority="329" operator="equal">
      <formula>"Leve"</formula>
    </cfRule>
  </conditionalFormatting>
  <conditionalFormatting sqref="AF20">
    <cfRule type="cellIs" dxfId="227" priority="321" operator="equal">
      <formula>"Extremo"</formula>
    </cfRule>
    <cfRule type="cellIs" dxfId="226" priority="322" operator="equal">
      <formula>"Alto"</formula>
    </cfRule>
    <cfRule type="cellIs" dxfId="225" priority="323" operator="equal">
      <formula>"Moderado"</formula>
    </cfRule>
    <cfRule type="cellIs" dxfId="224" priority="324" operator="equal">
      <formula>"Bajo"</formula>
    </cfRule>
  </conditionalFormatting>
  <conditionalFormatting sqref="AB21">
    <cfRule type="cellIs" dxfId="223" priority="316" operator="equal">
      <formula>"Muy Alta"</formula>
    </cfRule>
    <cfRule type="cellIs" dxfId="222" priority="317" operator="equal">
      <formula>"Alta"</formula>
    </cfRule>
    <cfRule type="cellIs" dxfId="221" priority="318" operator="equal">
      <formula>"Media"</formula>
    </cfRule>
    <cfRule type="cellIs" dxfId="220" priority="319" operator="equal">
      <formula>"Baja"</formula>
    </cfRule>
    <cfRule type="cellIs" dxfId="219" priority="320" operator="equal">
      <formula>"Muy Baja"</formula>
    </cfRule>
  </conditionalFormatting>
  <conditionalFormatting sqref="AD21">
    <cfRule type="cellIs" dxfId="218" priority="311" operator="equal">
      <formula>"Catastrófico"</formula>
    </cfRule>
    <cfRule type="cellIs" dxfId="217" priority="312" operator="equal">
      <formula>"Mayor"</formula>
    </cfRule>
    <cfRule type="cellIs" dxfId="216" priority="313" operator="equal">
      <formula>"Moderado"</formula>
    </cfRule>
    <cfRule type="cellIs" dxfId="215" priority="314" operator="equal">
      <formula>"Menor"</formula>
    </cfRule>
    <cfRule type="cellIs" dxfId="214" priority="315" operator="equal">
      <formula>"Leve"</formula>
    </cfRule>
  </conditionalFormatting>
  <conditionalFormatting sqref="AF21">
    <cfRule type="cellIs" dxfId="213" priority="307" operator="equal">
      <formula>"Extremo"</formula>
    </cfRule>
    <cfRule type="cellIs" dxfId="212" priority="308" operator="equal">
      <formula>"Alto"</formula>
    </cfRule>
    <cfRule type="cellIs" dxfId="211" priority="309" operator="equal">
      <formula>"Moderado"</formula>
    </cfRule>
    <cfRule type="cellIs" dxfId="210" priority="310" operator="equal">
      <formula>"Bajo"</formula>
    </cfRule>
  </conditionalFormatting>
  <conditionalFormatting sqref="O7">
    <cfRule type="cellIs" dxfId="209" priority="302" operator="equal">
      <formula>"Catastrófico"</formula>
    </cfRule>
    <cfRule type="cellIs" dxfId="208" priority="303" operator="equal">
      <formula>"Mayor"</formula>
    </cfRule>
    <cfRule type="cellIs" dxfId="207" priority="304" operator="equal">
      <formula>"Moderado"</formula>
    </cfRule>
    <cfRule type="cellIs" dxfId="206" priority="305" operator="equal">
      <formula>"Menor"</formula>
    </cfRule>
    <cfRule type="cellIs" dxfId="205" priority="306" operator="equal">
      <formula>"Leve"</formula>
    </cfRule>
  </conditionalFormatting>
  <conditionalFormatting sqref="AB85">
    <cfRule type="cellIs" dxfId="204" priority="225" operator="equal">
      <formula>"Muy Alta"</formula>
    </cfRule>
    <cfRule type="cellIs" dxfId="203" priority="226" operator="equal">
      <formula>"Alta"</formula>
    </cfRule>
    <cfRule type="cellIs" dxfId="202" priority="227" operator="equal">
      <formula>"Media"</formula>
    </cfRule>
    <cfRule type="cellIs" dxfId="201" priority="228" operator="equal">
      <formula>"Baja"</formula>
    </cfRule>
    <cfRule type="cellIs" dxfId="200" priority="229" operator="equal">
      <formula>"Muy Baja"</formula>
    </cfRule>
  </conditionalFormatting>
  <conditionalFormatting sqref="AD85">
    <cfRule type="cellIs" dxfId="199" priority="220" operator="equal">
      <formula>"Catastrófico"</formula>
    </cfRule>
    <cfRule type="cellIs" dxfId="198" priority="221" operator="equal">
      <formula>"Mayor"</formula>
    </cfRule>
    <cfRule type="cellIs" dxfId="197" priority="222" operator="equal">
      <formula>"Moderado"</formula>
    </cfRule>
    <cfRule type="cellIs" dxfId="196" priority="223" operator="equal">
      <formula>"Menor"</formula>
    </cfRule>
    <cfRule type="cellIs" dxfId="195" priority="224" operator="equal">
      <formula>"Leve"</formula>
    </cfRule>
  </conditionalFormatting>
  <conditionalFormatting sqref="AF85">
    <cfRule type="cellIs" dxfId="194" priority="216" operator="equal">
      <formula>"Extremo"</formula>
    </cfRule>
    <cfRule type="cellIs" dxfId="193" priority="217" operator="equal">
      <formula>"Alto"</formula>
    </cfRule>
    <cfRule type="cellIs" dxfId="192" priority="218" operator="equal">
      <formula>"Moderado"</formula>
    </cfRule>
    <cfRule type="cellIs" dxfId="191" priority="219" operator="equal">
      <formula>"Bajo"</formula>
    </cfRule>
  </conditionalFormatting>
  <conditionalFormatting sqref="K85">
    <cfRule type="cellIs" dxfId="190" priority="183" operator="equal">
      <formula>"Muy Alta"</formula>
    </cfRule>
    <cfRule type="cellIs" dxfId="189" priority="184" operator="equal">
      <formula>"Alta"</formula>
    </cfRule>
    <cfRule type="cellIs" dxfId="188" priority="185" operator="equal">
      <formula>"Media"</formula>
    </cfRule>
    <cfRule type="cellIs" dxfId="187" priority="186" operator="equal">
      <formula>"Baja"</formula>
    </cfRule>
    <cfRule type="cellIs" dxfId="186" priority="187" operator="equal">
      <formula>"Muy Baja"</formula>
    </cfRule>
  </conditionalFormatting>
  <conditionalFormatting sqref="AB86">
    <cfRule type="cellIs" dxfId="185" priority="211" operator="equal">
      <formula>"Muy Alta"</formula>
    </cfRule>
    <cfRule type="cellIs" dxfId="184" priority="212" operator="equal">
      <formula>"Alta"</formula>
    </cfRule>
    <cfRule type="cellIs" dxfId="183" priority="213" operator="equal">
      <formula>"Media"</formula>
    </cfRule>
    <cfRule type="cellIs" dxfId="182" priority="214" operator="equal">
      <formula>"Baja"</formula>
    </cfRule>
    <cfRule type="cellIs" dxfId="181" priority="215" operator="equal">
      <formula>"Muy Baja"</formula>
    </cfRule>
  </conditionalFormatting>
  <conditionalFormatting sqref="AD86">
    <cfRule type="cellIs" dxfId="180" priority="206" operator="equal">
      <formula>"Catastrófico"</formula>
    </cfRule>
    <cfRule type="cellIs" dxfId="179" priority="207" operator="equal">
      <formula>"Mayor"</formula>
    </cfRule>
    <cfRule type="cellIs" dxfId="178" priority="208" operator="equal">
      <formula>"Moderado"</formula>
    </cfRule>
    <cfRule type="cellIs" dxfId="177" priority="209" operator="equal">
      <formula>"Menor"</formula>
    </cfRule>
    <cfRule type="cellIs" dxfId="176" priority="210" operator="equal">
      <formula>"Leve"</formula>
    </cfRule>
  </conditionalFormatting>
  <conditionalFormatting sqref="AF86">
    <cfRule type="cellIs" dxfId="175" priority="202" operator="equal">
      <formula>"Extremo"</formula>
    </cfRule>
    <cfRule type="cellIs" dxfId="174" priority="203" operator="equal">
      <formula>"Alto"</formula>
    </cfRule>
    <cfRule type="cellIs" dxfId="173" priority="204" operator="equal">
      <formula>"Moderado"</formula>
    </cfRule>
    <cfRule type="cellIs" dxfId="172" priority="205" operator="equal">
      <formula>"Bajo"</formula>
    </cfRule>
  </conditionalFormatting>
  <conditionalFormatting sqref="AB87">
    <cfRule type="cellIs" dxfId="171" priority="197" operator="equal">
      <formula>"Muy Alta"</formula>
    </cfRule>
    <cfRule type="cellIs" dxfId="170" priority="198" operator="equal">
      <formula>"Alta"</formula>
    </cfRule>
    <cfRule type="cellIs" dxfId="169" priority="199" operator="equal">
      <formula>"Media"</formula>
    </cfRule>
    <cfRule type="cellIs" dxfId="168" priority="200" operator="equal">
      <formula>"Baja"</formula>
    </cfRule>
    <cfRule type="cellIs" dxfId="167" priority="201" operator="equal">
      <formula>"Muy Baja"</formula>
    </cfRule>
  </conditionalFormatting>
  <conditionalFormatting sqref="AD87">
    <cfRule type="cellIs" dxfId="166" priority="192" operator="equal">
      <formula>"Catastrófico"</formula>
    </cfRule>
    <cfRule type="cellIs" dxfId="165" priority="193" operator="equal">
      <formula>"Mayor"</formula>
    </cfRule>
    <cfRule type="cellIs" dxfId="164" priority="194" operator="equal">
      <formula>"Moderado"</formula>
    </cfRule>
    <cfRule type="cellIs" dxfId="163" priority="195" operator="equal">
      <formula>"Menor"</formula>
    </cfRule>
    <cfRule type="cellIs" dxfId="162" priority="196" operator="equal">
      <formula>"Leve"</formula>
    </cfRule>
  </conditionalFormatting>
  <conditionalFormatting sqref="AF87">
    <cfRule type="cellIs" dxfId="161" priority="188" operator="equal">
      <formula>"Extremo"</formula>
    </cfRule>
    <cfRule type="cellIs" dxfId="160" priority="189" operator="equal">
      <formula>"Alto"</formula>
    </cfRule>
    <cfRule type="cellIs" dxfId="159" priority="190" operator="equal">
      <formula>"Moderado"</formula>
    </cfRule>
    <cfRule type="cellIs" dxfId="158" priority="191" operator="equal">
      <formula>"Bajo"</formula>
    </cfRule>
  </conditionalFormatting>
  <conditionalFormatting sqref="O85">
    <cfRule type="cellIs" dxfId="157" priority="178" operator="equal">
      <formula>"Catastrófico"</formula>
    </cfRule>
    <cfRule type="cellIs" dxfId="156" priority="179" operator="equal">
      <formula>"Mayor"</formula>
    </cfRule>
    <cfRule type="cellIs" dxfId="155" priority="180" operator="equal">
      <formula>"Moderado"</formula>
    </cfRule>
    <cfRule type="cellIs" dxfId="154" priority="181" operator="equal">
      <formula>"Menor"</formula>
    </cfRule>
    <cfRule type="cellIs" dxfId="153" priority="182" operator="equal">
      <formula>"Leve"</formula>
    </cfRule>
  </conditionalFormatting>
  <conditionalFormatting sqref="Q85">
    <cfRule type="cellIs" dxfId="152" priority="174" operator="equal">
      <formula>"Extremo"</formula>
    </cfRule>
    <cfRule type="cellIs" dxfId="151" priority="175" operator="equal">
      <formula>"Alto"</formula>
    </cfRule>
    <cfRule type="cellIs" dxfId="150" priority="176" operator="equal">
      <formula>"Moderado"</formula>
    </cfRule>
    <cfRule type="cellIs" dxfId="149" priority="177" operator="equal">
      <formula>"Bajo"</formula>
    </cfRule>
  </conditionalFormatting>
  <conditionalFormatting sqref="N85:N87">
    <cfRule type="containsText" dxfId="148" priority="173" operator="containsText" text="❌">
      <formula>NOT(ISERROR(SEARCH("❌",N85)))</formula>
    </cfRule>
  </conditionalFormatting>
  <conditionalFormatting sqref="AB101:AB102">
    <cfRule type="cellIs" dxfId="147" priority="168" operator="equal">
      <formula>"Muy Alta"</formula>
    </cfRule>
    <cfRule type="cellIs" dxfId="146" priority="169" operator="equal">
      <formula>"Alta"</formula>
    </cfRule>
    <cfRule type="cellIs" dxfId="145" priority="170" operator="equal">
      <formula>"Media"</formula>
    </cfRule>
    <cfRule type="cellIs" dxfId="144" priority="171" operator="equal">
      <formula>"Baja"</formula>
    </cfRule>
    <cfRule type="cellIs" dxfId="143" priority="172" operator="equal">
      <formula>"Muy Baja"</formula>
    </cfRule>
  </conditionalFormatting>
  <conditionalFormatting sqref="AD101:AD102">
    <cfRule type="cellIs" dxfId="142" priority="163" operator="equal">
      <formula>"Catastrófico"</formula>
    </cfRule>
    <cfRule type="cellIs" dxfId="141" priority="164" operator="equal">
      <formula>"Mayor"</formula>
    </cfRule>
    <cfRule type="cellIs" dxfId="140" priority="165" operator="equal">
      <formula>"Moderado"</formula>
    </cfRule>
    <cfRule type="cellIs" dxfId="139" priority="166" operator="equal">
      <formula>"Menor"</formula>
    </cfRule>
    <cfRule type="cellIs" dxfId="138" priority="167" operator="equal">
      <formula>"Leve"</formula>
    </cfRule>
  </conditionalFormatting>
  <conditionalFormatting sqref="AF101:AF102">
    <cfRule type="cellIs" dxfId="137" priority="159" operator="equal">
      <formula>"Extremo"</formula>
    </cfRule>
    <cfRule type="cellIs" dxfId="136" priority="160" operator="equal">
      <formula>"Alto"</formula>
    </cfRule>
    <cfRule type="cellIs" dxfId="135" priority="161" operator="equal">
      <formula>"Moderado"</formula>
    </cfRule>
    <cfRule type="cellIs" dxfId="134" priority="162" operator="equal">
      <formula>"Bajo"</formula>
    </cfRule>
  </conditionalFormatting>
  <conditionalFormatting sqref="AF99">
    <cfRule type="cellIs" dxfId="133" priority="117" operator="equal">
      <formula>"Extremo"</formula>
    </cfRule>
    <cfRule type="cellIs" dxfId="132" priority="118" operator="equal">
      <formula>"Alto"</formula>
    </cfRule>
    <cfRule type="cellIs" dxfId="131" priority="119" operator="equal">
      <formula>"Moderado"</formula>
    </cfRule>
    <cfRule type="cellIs" dxfId="130" priority="120" operator="equal">
      <formula>"Bajo"</formula>
    </cfRule>
  </conditionalFormatting>
  <conditionalFormatting sqref="AB99">
    <cfRule type="cellIs" dxfId="129" priority="126" operator="equal">
      <formula>"Muy Alta"</formula>
    </cfRule>
    <cfRule type="cellIs" dxfId="128" priority="127" operator="equal">
      <formula>"Alta"</formula>
    </cfRule>
    <cfRule type="cellIs" dxfId="127" priority="128" operator="equal">
      <formula>"Media"</formula>
    </cfRule>
    <cfRule type="cellIs" dxfId="126" priority="129" operator="equal">
      <formula>"Baja"</formula>
    </cfRule>
    <cfRule type="cellIs" dxfId="125" priority="130" operator="equal">
      <formula>"Muy Baja"</formula>
    </cfRule>
  </conditionalFormatting>
  <conditionalFormatting sqref="AD99">
    <cfRule type="cellIs" dxfId="124" priority="121" operator="equal">
      <formula>"Catastrófico"</formula>
    </cfRule>
    <cfRule type="cellIs" dxfId="123" priority="122" operator="equal">
      <formula>"Mayor"</formula>
    </cfRule>
    <cfRule type="cellIs" dxfId="122" priority="123" operator="equal">
      <formula>"Moderado"</formula>
    </cfRule>
    <cfRule type="cellIs" dxfId="121" priority="124" operator="equal">
      <formula>"Menor"</formula>
    </cfRule>
    <cfRule type="cellIs" dxfId="120" priority="125" operator="equal">
      <formula>"Leve"</formula>
    </cfRule>
  </conditionalFormatting>
  <conditionalFormatting sqref="AB103:AB105">
    <cfRule type="cellIs" dxfId="119" priority="112" operator="equal">
      <formula>"Muy Alta"</formula>
    </cfRule>
    <cfRule type="cellIs" dxfId="118" priority="113" operator="equal">
      <formula>"Alta"</formula>
    </cfRule>
    <cfRule type="cellIs" dxfId="117" priority="114" operator="equal">
      <formula>"Media"</formula>
    </cfRule>
    <cfRule type="cellIs" dxfId="116" priority="115" operator="equal">
      <formula>"Baja"</formula>
    </cfRule>
    <cfRule type="cellIs" dxfId="115" priority="116" operator="equal">
      <formula>"Muy Baja"</formula>
    </cfRule>
  </conditionalFormatting>
  <conditionalFormatting sqref="AD103:AD105">
    <cfRule type="cellIs" dxfId="114" priority="107" operator="equal">
      <formula>"Catastrófico"</formula>
    </cfRule>
    <cfRule type="cellIs" dxfId="113" priority="108" operator="equal">
      <formula>"Mayor"</formula>
    </cfRule>
    <cfRule type="cellIs" dxfId="112" priority="109" operator="equal">
      <formula>"Moderado"</formula>
    </cfRule>
    <cfRule type="cellIs" dxfId="111" priority="110" operator="equal">
      <formula>"Menor"</formula>
    </cfRule>
    <cfRule type="cellIs" dxfId="110" priority="111" operator="equal">
      <formula>"Leve"</formula>
    </cfRule>
  </conditionalFormatting>
  <conditionalFormatting sqref="AF103:AF105">
    <cfRule type="cellIs" dxfId="109" priority="103" operator="equal">
      <formula>"Extremo"</formula>
    </cfRule>
    <cfRule type="cellIs" dxfId="108" priority="104" operator="equal">
      <formula>"Alto"</formula>
    </cfRule>
    <cfRule type="cellIs" dxfId="107" priority="105" operator="equal">
      <formula>"Moderado"</formula>
    </cfRule>
    <cfRule type="cellIs" dxfId="106" priority="106" operator="equal">
      <formula>"Bajo"</formula>
    </cfRule>
  </conditionalFormatting>
  <conditionalFormatting sqref="K103">
    <cfRule type="cellIs" dxfId="105" priority="98" operator="equal">
      <formula>"Muy Alta"</formula>
    </cfRule>
    <cfRule type="cellIs" dxfId="104" priority="99" operator="equal">
      <formula>"Alta"</formula>
    </cfRule>
    <cfRule type="cellIs" dxfId="103" priority="100" operator="equal">
      <formula>"Media"</formula>
    </cfRule>
    <cfRule type="cellIs" dxfId="102" priority="101" operator="equal">
      <formula>"Baja"</formula>
    </cfRule>
    <cfRule type="cellIs" dxfId="101" priority="102" operator="equal">
      <formula>"Muy Baja"</formula>
    </cfRule>
  </conditionalFormatting>
  <conditionalFormatting sqref="O103">
    <cfRule type="cellIs" dxfId="100" priority="93" operator="equal">
      <formula>"Catastrófico"</formula>
    </cfRule>
    <cfRule type="cellIs" dxfId="99" priority="94" operator="equal">
      <formula>"Mayor"</formula>
    </cfRule>
    <cfRule type="cellIs" dxfId="98" priority="95" operator="equal">
      <formula>"Moderado"</formula>
    </cfRule>
    <cfRule type="cellIs" dxfId="97" priority="96" operator="equal">
      <formula>"Menor"</formula>
    </cfRule>
    <cfRule type="cellIs" dxfId="96" priority="97" operator="equal">
      <formula>"Leve"</formula>
    </cfRule>
  </conditionalFormatting>
  <conditionalFormatting sqref="Q103">
    <cfRule type="cellIs" dxfId="95" priority="89" operator="equal">
      <formula>"Extremo"</formula>
    </cfRule>
    <cfRule type="cellIs" dxfId="94" priority="90" operator="equal">
      <formula>"Alto"</formula>
    </cfRule>
    <cfRule type="cellIs" dxfId="93" priority="91" operator="equal">
      <formula>"Moderado"</formula>
    </cfRule>
    <cfRule type="cellIs" dxfId="92" priority="92" operator="equal">
      <formula>"Bajo"</formula>
    </cfRule>
  </conditionalFormatting>
  <conditionalFormatting sqref="N103">
    <cfRule type="containsText" dxfId="91" priority="88" operator="containsText" text="❌">
      <formula>NOT(ISERROR(SEARCH("❌",N103)))</formula>
    </cfRule>
  </conditionalFormatting>
  <conditionalFormatting sqref="AB103:AB105">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AD103:AD105">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AF103:AF105">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103">
    <cfRule type="containsText" dxfId="76" priority="73" operator="containsText" text="❌">
      <formula>NOT(ISERROR(SEARCH("❌",N103)))</formula>
    </cfRule>
  </conditionalFormatting>
  <conditionalFormatting sqref="AB70">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70">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70">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AB71">
    <cfRule type="cellIs" dxfId="61" priority="54" operator="equal">
      <formula>"Muy Alta"</formula>
    </cfRule>
    <cfRule type="cellIs" dxfId="60" priority="55" operator="equal">
      <formula>"Alta"</formula>
    </cfRule>
    <cfRule type="cellIs" dxfId="59" priority="56" operator="equal">
      <formula>"Media"</formula>
    </cfRule>
    <cfRule type="cellIs" dxfId="58" priority="57" operator="equal">
      <formula>"Baja"</formula>
    </cfRule>
    <cfRule type="cellIs" dxfId="57" priority="58" operator="equal">
      <formula>"Muy Baja"</formula>
    </cfRule>
  </conditionalFormatting>
  <conditionalFormatting sqref="AD71">
    <cfRule type="cellIs" dxfId="56" priority="49" operator="equal">
      <formula>"Catastrófico"</formula>
    </cfRule>
    <cfRule type="cellIs" dxfId="55" priority="50" operator="equal">
      <formula>"Mayor"</formula>
    </cfRule>
    <cfRule type="cellIs" dxfId="54" priority="51" operator="equal">
      <formula>"Moderado"</formula>
    </cfRule>
    <cfRule type="cellIs" dxfId="53" priority="52" operator="equal">
      <formula>"Menor"</formula>
    </cfRule>
    <cfRule type="cellIs" dxfId="52" priority="53" operator="equal">
      <formula>"Leve"</formula>
    </cfRule>
  </conditionalFormatting>
  <conditionalFormatting sqref="AF71">
    <cfRule type="cellIs" dxfId="51" priority="45" operator="equal">
      <formula>"Extremo"</formula>
    </cfRule>
    <cfRule type="cellIs" dxfId="50" priority="46" operator="equal">
      <formula>"Alto"</formula>
    </cfRule>
    <cfRule type="cellIs" dxfId="49" priority="47" operator="equal">
      <formula>"Moderado"</formula>
    </cfRule>
    <cfRule type="cellIs" dxfId="48" priority="48" operator="equal">
      <formula>"Bajo"</formula>
    </cfRule>
  </conditionalFormatting>
  <conditionalFormatting sqref="AB72">
    <cfRule type="cellIs" dxfId="47" priority="40" operator="equal">
      <formula>"Muy Alta"</formula>
    </cfRule>
    <cfRule type="cellIs" dxfId="46" priority="41" operator="equal">
      <formula>"Alta"</formula>
    </cfRule>
    <cfRule type="cellIs" dxfId="45" priority="42" operator="equal">
      <formula>"Media"</formula>
    </cfRule>
    <cfRule type="cellIs" dxfId="44" priority="43" operator="equal">
      <formula>"Baja"</formula>
    </cfRule>
    <cfRule type="cellIs" dxfId="43" priority="44" operator="equal">
      <formula>"Muy Baja"</formula>
    </cfRule>
  </conditionalFormatting>
  <conditionalFormatting sqref="AD72">
    <cfRule type="cellIs" dxfId="42" priority="35" operator="equal">
      <formula>"Catastrófico"</formula>
    </cfRule>
    <cfRule type="cellIs" dxfId="41" priority="36" operator="equal">
      <formula>"Mayor"</formula>
    </cfRule>
    <cfRule type="cellIs" dxfId="40" priority="37" operator="equal">
      <formula>"Moderado"</formula>
    </cfRule>
    <cfRule type="cellIs" dxfId="39" priority="38" operator="equal">
      <formula>"Menor"</formula>
    </cfRule>
    <cfRule type="cellIs" dxfId="38" priority="39" operator="equal">
      <formula>"Leve"</formula>
    </cfRule>
  </conditionalFormatting>
  <conditionalFormatting sqref="AF72">
    <cfRule type="cellIs" dxfId="37" priority="31" operator="equal">
      <formula>"Extremo"</formula>
    </cfRule>
    <cfRule type="cellIs" dxfId="36" priority="32" operator="equal">
      <formula>"Alto"</formula>
    </cfRule>
    <cfRule type="cellIs" dxfId="35" priority="33" operator="equal">
      <formula>"Moderado"</formula>
    </cfRule>
    <cfRule type="cellIs" dxfId="34" priority="34" operator="equal">
      <formula>"Bajo"</formula>
    </cfRule>
  </conditionalFormatting>
  <conditionalFormatting sqref="K70">
    <cfRule type="cellIs" dxfId="33" priority="26" operator="equal">
      <formula>"Muy Alta"</formula>
    </cfRule>
    <cfRule type="cellIs" dxfId="32" priority="27" operator="equal">
      <formula>"Alta"</formula>
    </cfRule>
    <cfRule type="cellIs" dxfId="31" priority="28" operator="equal">
      <formula>"Media"</formula>
    </cfRule>
    <cfRule type="cellIs" dxfId="30" priority="29" operator="equal">
      <formula>"Baja"</formula>
    </cfRule>
    <cfRule type="cellIs" dxfId="29" priority="30" operator="equal">
      <formula>"Muy Baja"</formula>
    </cfRule>
  </conditionalFormatting>
  <conditionalFormatting sqref="O70">
    <cfRule type="cellIs" dxfId="28" priority="21" operator="equal">
      <formula>"Catastrófico"</formula>
    </cfRule>
    <cfRule type="cellIs" dxfId="27" priority="22" operator="equal">
      <formula>"Mayor"</formula>
    </cfRule>
    <cfRule type="cellIs" dxfId="26" priority="23" operator="equal">
      <formula>"Moderado"</formula>
    </cfRule>
    <cfRule type="cellIs" dxfId="25" priority="24" operator="equal">
      <formula>"Menor"</formula>
    </cfRule>
    <cfRule type="cellIs" dxfId="24" priority="25" operator="equal">
      <formula>"Leve"</formula>
    </cfRule>
  </conditionalFormatting>
  <conditionalFormatting sqref="Q70">
    <cfRule type="cellIs" dxfId="23" priority="17" operator="equal">
      <formula>"Extremo"</formula>
    </cfRule>
    <cfRule type="cellIs" dxfId="22" priority="18" operator="equal">
      <formula>"Alto"</formula>
    </cfRule>
    <cfRule type="cellIs" dxfId="21" priority="19" operator="equal">
      <formula>"Moderado"</formula>
    </cfRule>
    <cfRule type="cellIs" dxfId="20" priority="20" operator="equal">
      <formula>"Bajo"</formula>
    </cfRule>
  </conditionalFormatting>
  <conditionalFormatting sqref="N70:N72">
    <cfRule type="containsText" dxfId="19" priority="16" operator="containsText" text="❌">
      <formula>NOT(ISERROR(SEARCH("❌",N70)))</formula>
    </cfRule>
  </conditionalFormatting>
  <conditionalFormatting sqref="N28:N30">
    <cfRule type="containsText" dxfId="18" priority="15" operator="containsText" text="❌">
      <formula>NOT(ISERROR(SEARCH("❌",N28)))</formula>
    </cfRule>
  </conditionalFormatting>
  <conditionalFormatting sqref="AB30">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D30">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F30">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hyperlinks>
    <hyperlink ref="AO61" r:id="rId1" xr:uid="{00000000-0004-0000-0200-000001000000}"/>
    <hyperlink ref="AR61" r:id="rId2" xr:uid="{00000000-0004-0000-0200-000002000000}"/>
    <hyperlink ref="AO100" r:id="rId3" xr:uid="{00000000-0004-0000-0200-000003000000}"/>
    <hyperlink ref="AO98" r:id="rId4" xr:uid="{00000000-0004-0000-0200-000004000000}"/>
    <hyperlink ref="AO101" r:id="rId5" xr:uid="{00000000-0004-0000-0200-000005000000}"/>
    <hyperlink ref="AO97" r:id="rId6" xr:uid="{00000000-0004-0000-0200-000006000000}"/>
    <hyperlink ref="AO103" r:id="rId7" xr:uid="{00000000-0004-0000-0200-000007000000}"/>
    <hyperlink ref="AR97" r:id="rId8" xr:uid="{00000000-0004-0000-0200-000008000000}"/>
    <hyperlink ref="AR98" r:id="rId9" xr:uid="{00000000-0004-0000-0200-000009000000}"/>
    <hyperlink ref="AR100" r:id="rId10" xr:uid="{00000000-0004-0000-0200-00000A000000}"/>
  </hyperlinks>
  <pageMargins left="0.7" right="0.7" top="0.75" bottom="0.75" header="0.3" footer="0.3"/>
  <pageSetup orientation="portrait" r:id="rId1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AM133:AM157 AM16:AM125</xm:sqref>
        </x14:dataValidation>
        <x14:dataValidation type="list" allowBlank="1" showInputMessage="1" showErrorMessage="1" xr:uid="{00000000-0002-0000-0200-000001000000}">
          <x14:formula1>
            <xm:f>'Opciones Tratamiento'!$B$13:$B$19</xm:f>
          </x14:formula1>
          <xm:sqref>I7 I10 I13 I106 I16 I19 I22 I25 I28 I31 I34 I37 I40 I43 I46 I49 I52 I55 I109 I58 I61 I64 I67 I73 I76 I79 I82 I88 I91 I94 I97:I98 I142 I127 I112 I115 I118 I121 I124 I130 I133 I136 I139 I145 I148 I151 I154 I85 I100:I102 I70</xm:sqref>
        </x14:dataValidation>
        <x14:dataValidation type="list" allowBlank="1" showInputMessage="1" showErrorMessage="1" xr:uid="{00000000-0002-0000-0200-000002000000}">
          <x14:formula1>
            <xm:f>'Opciones Tratamiento'!$E$2:$E$4</xm:f>
          </x14:formula1>
          <xm:sqref>E7 E10 E13 E106 E16 E19 E22 E25 E28 E31 E34 E37 E40 E43 E46 E49 E52 E55 E109 E58 E61 E64 E67 E73 E76 E79 E82 E88 E91 E94 E97:E98 E142 E127 E112 E115 E118 E121 E124 E130 E133 E136 E139 E145 E148 E151 E154 E85 E100:E102 E70</xm:sqref>
        </x14:dataValidation>
        <x14:dataValidation type="list" allowBlank="1" showInputMessage="1" showErrorMessage="1" xr:uid="{00000000-0002-0000-0200-000003000000}">
          <x14:formula1>
            <xm:f>'Tabla Impacto'!$F$210:$F$221</xm:f>
          </x14:formula1>
          <xm:sqref>M7 M10 M13 M151 M16 M19 M22 M25 M28 M31 M34 M37 M40 M43 M46 M49 M52 M55 M154 M58 M61 M64 M67 M73 M145 M148 M76 M79 M82 M85 M88 M91 M94 M97:M98 M142 M106 M109 M112 M115 M118 M121 M124 M127 M130 M133 M136 M139 M100 M70</xm:sqref>
        </x14:dataValidation>
        <x14:dataValidation type="list" allowBlank="1" showInputMessage="1" showErrorMessage="1" xr:uid="{00000000-0002-0000-0200-000004000000}">
          <x14:formula1>
            <xm:f>'Tabla Valoración controles'!$D$4:$D$6</xm:f>
          </x14:formula1>
          <xm:sqref>U106:U157 U100:U102 U7:U29 U31:U98</xm:sqref>
        </x14:dataValidation>
        <x14:dataValidation type="list" allowBlank="1" showInputMessage="1" showErrorMessage="1" xr:uid="{00000000-0002-0000-0200-000005000000}">
          <x14:formula1>
            <xm:f>'Tabla Valoración controles'!$D$7:$D$8</xm:f>
          </x14:formula1>
          <xm:sqref>V106:V157 V100:V102 V7:V29 V31:V98</xm:sqref>
        </x14:dataValidation>
        <x14:dataValidation type="list" allowBlank="1" showInputMessage="1" showErrorMessage="1" xr:uid="{00000000-0002-0000-0200-000006000000}">
          <x14:formula1>
            <xm:f>'Tabla Valoración controles'!$D$9:$D$10</xm:f>
          </x14:formula1>
          <xm:sqref>X106:X157 X100:X102 X7:X29 X31:X98</xm:sqref>
        </x14:dataValidation>
        <x14:dataValidation type="list" allowBlank="1" showInputMessage="1" showErrorMessage="1" xr:uid="{00000000-0002-0000-0200-000007000000}">
          <x14:formula1>
            <xm:f>'Tabla Valoración controles'!$D$11:$D$12</xm:f>
          </x14:formula1>
          <xm:sqref>Y106:Y157 Y100:Y102 Y7:Y29 Y31:Y98</xm:sqref>
        </x14:dataValidation>
        <x14:dataValidation type="list" allowBlank="1" showInputMessage="1" showErrorMessage="1" xr:uid="{00000000-0002-0000-0200-000008000000}">
          <x14:formula1>
            <xm:f>'Tabla Valoración controles'!$D$13:$D$14</xm:f>
          </x14:formula1>
          <xm:sqref>Z106:Z157 Z100:Z102 Z7:Z29 Z31:Z98</xm:sqref>
        </x14:dataValidation>
        <x14:dataValidation type="list" allowBlank="1" showInputMessage="1" showErrorMessage="1" xr:uid="{00000000-0002-0000-0200-000009000000}">
          <x14:formula1>
            <xm:f>'Opciones Tratamiento'!$B$2:$B$5</xm:f>
          </x14:formula1>
          <xm:sqref>AG106:AG157 AG100:AG102 AG7:AG29 AG31:AG98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E1" zoomScale="40" zoomScaleNormal="40" workbookViewId="0">
      <selection activeCell="AJ64" sqref="AJ64:AK6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row>
    <row r="2" spans="1:119" ht="18" customHeight="1" x14ac:dyDescent="0.25">
      <c r="A2" s="55"/>
      <c r="B2" s="568" t="s">
        <v>135</v>
      </c>
      <c r="C2" s="568"/>
      <c r="D2" s="568"/>
      <c r="E2" s="568"/>
      <c r="F2" s="568"/>
      <c r="G2" s="568"/>
      <c r="H2" s="568"/>
      <c r="I2" s="568"/>
      <c r="J2" s="337" t="s">
        <v>2</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row>
    <row r="3" spans="1:119" ht="18.75" customHeight="1" x14ac:dyDescent="0.25">
      <c r="A3" s="55"/>
      <c r="B3" s="568"/>
      <c r="C3" s="568"/>
      <c r="D3" s="568"/>
      <c r="E3" s="568"/>
      <c r="F3" s="568"/>
      <c r="G3" s="568"/>
      <c r="H3" s="568"/>
      <c r="I3" s="568"/>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row>
    <row r="4" spans="1:119" ht="15" customHeight="1" x14ac:dyDescent="0.25">
      <c r="A4" s="55"/>
      <c r="B4" s="568"/>
      <c r="C4" s="568"/>
      <c r="D4" s="568"/>
      <c r="E4" s="568"/>
      <c r="F4" s="568"/>
      <c r="G4" s="568"/>
      <c r="H4" s="568"/>
      <c r="I4" s="568"/>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row>
    <row r="5" spans="1:11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row>
    <row r="6" spans="1:119" ht="15" customHeight="1" x14ac:dyDescent="0.25">
      <c r="A6" s="55"/>
      <c r="B6" s="338" t="s">
        <v>4</v>
      </c>
      <c r="C6" s="338"/>
      <c r="D6" s="339"/>
      <c r="E6" s="553" t="s">
        <v>107</v>
      </c>
      <c r="F6" s="554"/>
      <c r="G6" s="554"/>
      <c r="H6" s="554"/>
      <c r="I6" s="559"/>
      <c r="J6" s="569" t="str">
        <f ca="1">IF(AND('Mapa final'!$K$7="Muy Alta",'Mapa final'!$O$7="Leve"),CONCATENATE("R",'Mapa final'!$A$7),"")</f>
        <v/>
      </c>
      <c r="K6" s="563"/>
      <c r="L6" s="563" t="str">
        <f ca="1">IF(AND('Mapa final'!$K$10="Muy Alta",'Mapa final'!$O$10="Leve"),CONCATENATE("R",'Mapa final'!$A$10),"")</f>
        <v/>
      </c>
      <c r="M6" s="563"/>
      <c r="N6" s="563" t="str">
        <f ca="1">IF(AND('Mapa final'!$K$13="Muy Alta",'Mapa final'!$O$13="Leve"),CONCATENATE("R",'Mapa final'!$A$13),"")</f>
        <v/>
      </c>
      <c r="O6" s="563"/>
      <c r="P6" s="563" t="e">
        <f>IF(AND('Mapa final'!#REF!="Muy Alta",'Mapa final'!#REF!="Leve"),CONCATENATE("R",'Mapa final'!#REF!),"")</f>
        <v>#REF!</v>
      </c>
      <c r="Q6" s="563"/>
      <c r="R6" s="563" t="str">
        <f ca="1">IF(AND('Mapa final'!$K$16="Muy Alta",'Mapa final'!$O$16="Leve"),CONCATENATE("R",'Mapa final'!$A$16),"")</f>
        <v/>
      </c>
      <c r="S6" s="563"/>
      <c r="T6" s="504" t="str">
        <f ca="1">IF(AND('Mapa final'!$K$7="Muy Alta",'Mapa final'!$O$7="Menor"),CONCATENATE("R",'Mapa final'!$A$7),"")</f>
        <v/>
      </c>
      <c r="U6" s="505"/>
      <c r="V6" s="505" t="str">
        <f ca="1">IF(AND('Mapa final'!$K$10="Muy Alta",'Mapa final'!$O$10="Menor"),CONCATENATE("R",'Mapa final'!$A$10),"")</f>
        <v/>
      </c>
      <c r="W6" s="505"/>
      <c r="X6" s="505" t="str">
        <f ca="1">IF(AND('Mapa final'!$K$13="Muy Alta",'Mapa final'!$O$13="Menor"),CONCATENATE("R",'Mapa final'!$A$13),"")</f>
        <v/>
      </c>
      <c r="Y6" s="505"/>
      <c r="Z6" s="505" t="e">
        <f>IF(AND('Mapa final'!#REF!="Muy Alta",'Mapa final'!#REF!="Menor"),CONCATENATE("R",'Mapa final'!#REF!),"")</f>
        <v>#REF!</v>
      </c>
      <c r="AA6" s="505"/>
      <c r="AB6" s="505" t="str">
        <f ca="1">IF(AND('Mapa final'!$K$16="Muy Alta",'Mapa final'!$O$16="Menor"),CONCATENATE("R",'Mapa final'!$A$16),"")</f>
        <v/>
      </c>
      <c r="AC6" s="506"/>
      <c r="AD6" s="504" t="str">
        <f ca="1">IF(AND('Mapa final'!$K$7="Muy Alta",'Mapa final'!$O$7="Moderado"),CONCATENATE("R",'Mapa final'!$A$7),"")</f>
        <v/>
      </c>
      <c r="AE6" s="505"/>
      <c r="AF6" s="505" t="str">
        <f ca="1">IF(AND('Mapa final'!$K$10="Muy Alta",'Mapa final'!$O$10="Moderado"),CONCATENATE("R",'Mapa final'!$A$10),"")</f>
        <v/>
      </c>
      <c r="AG6" s="505"/>
      <c r="AH6" s="505" t="str">
        <f ca="1">IF(AND('Mapa final'!$K$13="Muy Alta",'Mapa final'!$O$13="Moderado"),CONCATENATE("R",'Mapa final'!$A$13),"")</f>
        <v/>
      </c>
      <c r="AI6" s="505"/>
      <c r="AJ6" s="505" t="e">
        <f>IF(AND('Mapa final'!#REF!="Muy Alta",'Mapa final'!#REF!="Moderado"),CONCATENATE("R",'Mapa final'!#REF!),"")</f>
        <v>#REF!</v>
      </c>
      <c r="AK6" s="505"/>
      <c r="AL6" s="505" t="str">
        <f ca="1">IF(AND('Mapa final'!$K$16="Muy Alta",'Mapa final'!$O$16="Moderado"),CONCATENATE("R",'Mapa final'!$A$16),"")</f>
        <v/>
      </c>
      <c r="AM6" s="506"/>
      <c r="AN6" s="504" t="str">
        <f ca="1">IF(AND('Mapa final'!$K$7="Muy Alta",'Mapa final'!$O$7="Mayor"),CONCATENATE("R",'Mapa final'!$A$7),"")</f>
        <v/>
      </c>
      <c r="AO6" s="505"/>
      <c r="AP6" s="505" t="str">
        <f ca="1">IF(AND('Mapa final'!$K$10="Muy Alta",'Mapa final'!$O$10="Mayor"),CONCATENATE("R",'Mapa final'!$A$10),"")</f>
        <v/>
      </c>
      <c r="AQ6" s="505"/>
      <c r="AR6" s="505" t="str">
        <f ca="1">IF(AND('Mapa final'!$K$13="Muy Alta",'Mapa final'!$O$13="Mayor"),CONCATENATE("R",'Mapa final'!$A$13),"")</f>
        <v/>
      </c>
      <c r="AS6" s="505"/>
      <c r="AT6" s="505" t="e">
        <f>IF(AND('Mapa final'!#REF!="Muy Alta",'Mapa final'!#REF!="Mayor"),CONCATENATE("R",'Mapa final'!#REF!),"")</f>
        <v>#REF!</v>
      </c>
      <c r="AU6" s="505"/>
      <c r="AV6" s="505" t="str">
        <f ca="1">IF(AND('Mapa final'!$K$16="Muy Alta",'Mapa final'!$O$16="Mayor"),CONCATENATE("R",'Mapa final'!$A$16),"")</f>
        <v/>
      </c>
      <c r="AW6" s="506"/>
      <c r="AX6" s="511" t="str">
        <f ca="1">IF(AND('Mapa final'!$K$7="Muy Alta",'Mapa final'!$O$7="Catastrófico"),CONCATENATE("R",'Mapa final'!$A$7),"")</f>
        <v/>
      </c>
      <c r="AY6" s="510"/>
      <c r="AZ6" s="510" t="str">
        <f ca="1">IF(AND('Mapa final'!$K$10="Muy Alta",'Mapa final'!$O$10="Catastrófico"),CONCATENATE("R",'Mapa final'!$A$10),"")</f>
        <v/>
      </c>
      <c r="BA6" s="510"/>
      <c r="BB6" s="510" t="str">
        <f ca="1">IF(AND('Mapa final'!$K$13="Muy Alta",'Mapa final'!$O$13="Catastrófico"),CONCATENATE("R",'Mapa final'!$A$13),"")</f>
        <v/>
      </c>
      <c r="BC6" s="510"/>
      <c r="BD6" s="510" t="e">
        <f>IF(AND('Mapa final'!#REF!="Muy Alta",'Mapa final'!#REF!="Catastrófico"),CONCATENATE("R",'Mapa final'!#REF!),"")</f>
        <v>#REF!</v>
      </c>
      <c r="BE6" s="510"/>
      <c r="BF6" s="510" t="str">
        <f ca="1">IF(AND('Mapa final'!$K$16="Muy Alta",'Mapa final'!$O$16="Catastrófico"),CONCATENATE("R",'Mapa final'!$A$16),"")</f>
        <v/>
      </c>
      <c r="BG6" s="566"/>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row>
    <row r="7" spans="1:119" ht="15" customHeight="1" x14ac:dyDescent="0.25">
      <c r="A7" s="55"/>
      <c r="B7" s="338"/>
      <c r="C7" s="338"/>
      <c r="D7" s="339"/>
      <c r="E7" s="555"/>
      <c r="F7" s="556"/>
      <c r="G7" s="556"/>
      <c r="H7" s="556"/>
      <c r="I7" s="560"/>
      <c r="J7" s="565"/>
      <c r="K7" s="492"/>
      <c r="L7" s="492"/>
      <c r="M7" s="492"/>
      <c r="N7" s="492"/>
      <c r="O7" s="492"/>
      <c r="P7" s="492"/>
      <c r="Q7" s="492"/>
      <c r="R7" s="492"/>
      <c r="S7" s="492"/>
      <c r="T7" s="494"/>
      <c r="U7" s="492"/>
      <c r="V7" s="492"/>
      <c r="W7" s="492"/>
      <c r="X7" s="492"/>
      <c r="Y7" s="492"/>
      <c r="Z7" s="492"/>
      <c r="AA7" s="492"/>
      <c r="AB7" s="492"/>
      <c r="AC7" s="493"/>
      <c r="AD7" s="494"/>
      <c r="AE7" s="492"/>
      <c r="AF7" s="492"/>
      <c r="AG7" s="492"/>
      <c r="AH7" s="492"/>
      <c r="AI7" s="492"/>
      <c r="AJ7" s="492"/>
      <c r="AK7" s="492"/>
      <c r="AL7" s="492"/>
      <c r="AM7" s="493"/>
      <c r="AN7" s="494"/>
      <c r="AO7" s="492"/>
      <c r="AP7" s="492"/>
      <c r="AQ7" s="492"/>
      <c r="AR7" s="492"/>
      <c r="AS7" s="492"/>
      <c r="AT7" s="492"/>
      <c r="AU7" s="492"/>
      <c r="AV7" s="492"/>
      <c r="AW7" s="493"/>
      <c r="AX7" s="488"/>
      <c r="AY7" s="486"/>
      <c r="AZ7" s="486"/>
      <c r="BA7" s="486"/>
      <c r="BB7" s="486"/>
      <c r="BC7" s="486"/>
      <c r="BD7" s="486"/>
      <c r="BE7" s="486"/>
      <c r="BF7" s="486"/>
      <c r="BG7" s="487"/>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row>
    <row r="8" spans="1:119" ht="15" customHeight="1" x14ac:dyDescent="0.25">
      <c r="A8" s="55"/>
      <c r="B8" s="338"/>
      <c r="C8" s="338"/>
      <c r="D8" s="339"/>
      <c r="E8" s="555"/>
      <c r="F8" s="556"/>
      <c r="G8" s="556"/>
      <c r="H8" s="556"/>
      <c r="I8" s="560"/>
      <c r="J8" s="565" t="str">
        <f ca="1">IF(AND('Mapa final'!$K$19="Muy Alta",'Mapa final'!$O$19="Leve"),CONCATENATE("R",'Mapa final'!$A$19),"")</f>
        <v/>
      </c>
      <c r="K8" s="492"/>
      <c r="L8" s="492" t="str">
        <f ca="1">IF(AND('Mapa final'!$K$22="Muy Alta",'Mapa final'!$O$22="Leve"),CONCATENATE("R",'Mapa final'!$A$22),"")</f>
        <v/>
      </c>
      <c r="M8" s="492"/>
      <c r="N8" s="492" t="str">
        <f ca="1">IF(AND('Mapa final'!$K$25="Muy Alta",'Mapa final'!$O$25="Leve"),CONCATENATE("R",'Mapa final'!$A$25),"")</f>
        <v/>
      </c>
      <c r="O8" s="492"/>
      <c r="P8" s="492" t="str">
        <f>IF(AND('Mapa final'!$K$28="Muy Alta",'Mapa final'!$O$28="Leve"),CONCATENATE("R",'Mapa final'!$A$28),"")</f>
        <v/>
      </c>
      <c r="Q8" s="492"/>
      <c r="R8" s="492" t="str">
        <f ca="1">IF(AND('Mapa final'!$K$31="Muy Alta",'Mapa final'!$O$31="Leve"),CONCATENATE("R",'Mapa final'!$A$31),"")</f>
        <v/>
      </c>
      <c r="S8" s="492"/>
      <c r="T8" s="494" t="str">
        <f ca="1">IF(AND('Mapa final'!$K$19="Muy Alta",'Mapa final'!$O$19="Menor"),CONCATENATE("R",'Mapa final'!$A$19),"")</f>
        <v/>
      </c>
      <c r="U8" s="492"/>
      <c r="V8" s="492" t="str">
        <f ca="1">IF(AND('Mapa final'!$K$22="Muy Alta",'Mapa final'!$O$22="Menor"),CONCATENATE("R",'Mapa final'!$A$22),"")</f>
        <v/>
      </c>
      <c r="W8" s="492"/>
      <c r="X8" s="492" t="str">
        <f ca="1">IF(AND('Mapa final'!$K$25="Muy Alta",'Mapa final'!$O$25="Menor"),CONCATENATE("R",'Mapa final'!$A$25),"")</f>
        <v/>
      </c>
      <c r="Y8" s="492"/>
      <c r="Z8" s="492" t="str">
        <f>IF(AND('Mapa final'!$K$28="Muy Alta",'Mapa final'!$O$28="Menor"),CONCATENATE("R",'Mapa final'!$A$28),"")</f>
        <v/>
      </c>
      <c r="AA8" s="492"/>
      <c r="AB8" s="492" t="str">
        <f ca="1">IF(AND('Mapa final'!$K$31="Muy Alta",'Mapa final'!$O$31="Menor"),CONCATENATE("R",'Mapa final'!$A$31),"")</f>
        <v/>
      </c>
      <c r="AC8" s="493"/>
      <c r="AD8" s="494" t="str">
        <f ca="1">IF(AND('Mapa final'!$K$19="Muy Alta",'Mapa final'!$O$19="Moderado"),CONCATENATE("R",'Mapa final'!$A$19),"")</f>
        <v/>
      </c>
      <c r="AE8" s="492"/>
      <c r="AF8" s="492" t="str">
        <f ca="1">IF(AND('Mapa final'!$K$22="Muy Alta",'Mapa final'!$O$22="Moderado"),CONCATENATE("R",'Mapa final'!$A$22),"")</f>
        <v/>
      </c>
      <c r="AG8" s="492"/>
      <c r="AH8" s="492" t="str">
        <f ca="1">IF(AND('Mapa final'!$K$25="Muy Alta",'Mapa final'!$O$25="Moderado"),CONCATENATE("R",'Mapa final'!$A$25),"")</f>
        <v/>
      </c>
      <c r="AI8" s="492"/>
      <c r="AJ8" s="492" t="str">
        <f>IF(AND('Mapa final'!$K$28="Muy Alta",'Mapa final'!$O$28="Moderado"),CONCATENATE("R",'Mapa final'!$A$28),"")</f>
        <v/>
      </c>
      <c r="AK8" s="492"/>
      <c r="AL8" s="492" t="str">
        <f ca="1">IF(AND('Mapa final'!$K$31="Muy Alta",'Mapa final'!$O$31="Moderado"),CONCATENATE("R",'Mapa final'!$A$31),"")</f>
        <v/>
      </c>
      <c r="AM8" s="493"/>
      <c r="AN8" s="494" t="str">
        <f ca="1">IF(AND('Mapa final'!$K$19="Muy Alta",'Mapa final'!$O$19="Mayor"),CONCATENATE("R",'Mapa final'!$A$19),"")</f>
        <v/>
      </c>
      <c r="AO8" s="492"/>
      <c r="AP8" s="492" t="str">
        <f ca="1">IF(AND('Mapa final'!$K$22="Muy Alta",'Mapa final'!$O$22="Mayor"),CONCATENATE("R",'Mapa final'!$A$22),"")</f>
        <v/>
      </c>
      <c r="AQ8" s="492"/>
      <c r="AR8" s="492" t="str">
        <f ca="1">IF(AND('Mapa final'!$K$25="Muy Alta",'Mapa final'!$O$25="Mayor"),CONCATENATE("R",'Mapa final'!$A$25),"")</f>
        <v/>
      </c>
      <c r="AS8" s="492"/>
      <c r="AT8" s="492" t="str">
        <f>IF(AND('Mapa final'!$K$28="Muy Alta",'Mapa final'!$O$28="Mayor"),CONCATENATE("R",'Mapa final'!$A$28),"")</f>
        <v/>
      </c>
      <c r="AU8" s="492"/>
      <c r="AV8" s="492" t="str">
        <f ca="1">IF(AND('Mapa final'!$K$31="Muy Alta",'Mapa final'!$O$31="Mayor"),CONCATENATE("R",'Mapa final'!$A$31),"")</f>
        <v/>
      </c>
      <c r="AW8" s="493"/>
      <c r="AX8" s="488" t="str">
        <f ca="1">IF(AND('Mapa final'!$K$19="Muy Alta",'Mapa final'!$O$19="Catastrófico"),CONCATENATE("R",'Mapa final'!$A$19),"")</f>
        <v/>
      </c>
      <c r="AY8" s="486"/>
      <c r="AZ8" s="486" t="str">
        <f ca="1">IF(AND('Mapa final'!$K$22="Muy Alta",'Mapa final'!$O$22="Catastrófico"),CONCATENATE("R",'Mapa final'!$A$22),"")</f>
        <v/>
      </c>
      <c r="BA8" s="486"/>
      <c r="BB8" s="486" t="str">
        <f ca="1">IF(AND('Mapa final'!$K$25="Muy Alta",'Mapa final'!$O$25="Catastrófico"),CONCATENATE("R",'Mapa final'!$A$25),"")</f>
        <v/>
      </c>
      <c r="BC8" s="486"/>
      <c r="BD8" s="486" t="str">
        <f>IF(AND('Mapa final'!$K$28="Muy Alta",'Mapa final'!$O$28="Catastrófico"),CONCATENATE("R",'Mapa final'!$A$28),"")</f>
        <v/>
      </c>
      <c r="BE8" s="486"/>
      <c r="BF8" s="486" t="str">
        <f ca="1">IF(AND('Mapa final'!$K$31="Muy Alta",'Mapa final'!$O$31="Catastrófico"),CONCATENATE("R",'Mapa final'!$A$31),"")</f>
        <v/>
      </c>
      <c r="BG8" s="487"/>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row>
    <row r="9" spans="1:119" ht="15" customHeight="1" x14ac:dyDescent="0.25">
      <c r="A9" s="55"/>
      <c r="B9" s="338"/>
      <c r="C9" s="338"/>
      <c r="D9" s="339"/>
      <c r="E9" s="555"/>
      <c r="F9" s="556"/>
      <c r="G9" s="556"/>
      <c r="H9" s="556"/>
      <c r="I9" s="560"/>
      <c r="J9" s="565"/>
      <c r="K9" s="492"/>
      <c r="L9" s="492"/>
      <c r="M9" s="492"/>
      <c r="N9" s="492"/>
      <c r="O9" s="492"/>
      <c r="P9" s="492"/>
      <c r="Q9" s="492"/>
      <c r="R9" s="492"/>
      <c r="S9" s="492"/>
      <c r="T9" s="494"/>
      <c r="U9" s="492"/>
      <c r="V9" s="492"/>
      <c r="W9" s="492"/>
      <c r="X9" s="492"/>
      <c r="Y9" s="492"/>
      <c r="Z9" s="492"/>
      <c r="AA9" s="492"/>
      <c r="AB9" s="492"/>
      <c r="AC9" s="493"/>
      <c r="AD9" s="494"/>
      <c r="AE9" s="492"/>
      <c r="AF9" s="492"/>
      <c r="AG9" s="492"/>
      <c r="AH9" s="492"/>
      <c r="AI9" s="492"/>
      <c r="AJ9" s="492"/>
      <c r="AK9" s="492"/>
      <c r="AL9" s="492"/>
      <c r="AM9" s="493"/>
      <c r="AN9" s="494"/>
      <c r="AO9" s="492"/>
      <c r="AP9" s="492"/>
      <c r="AQ9" s="492"/>
      <c r="AR9" s="492"/>
      <c r="AS9" s="492"/>
      <c r="AT9" s="492"/>
      <c r="AU9" s="492"/>
      <c r="AV9" s="492"/>
      <c r="AW9" s="493"/>
      <c r="AX9" s="488"/>
      <c r="AY9" s="486"/>
      <c r="AZ9" s="486"/>
      <c r="BA9" s="486"/>
      <c r="BB9" s="486"/>
      <c r="BC9" s="486"/>
      <c r="BD9" s="486"/>
      <c r="BE9" s="486"/>
      <c r="BF9" s="486"/>
      <c r="BG9" s="487"/>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row>
    <row r="10" spans="1:119" ht="15" customHeight="1" x14ac:dyDescent="0.25">
      <c r="A10" s="55"/>
      <c r="B10" s="338"/>
      <c r="C10" s="338"/>
      <c r="D10" s="339"/>
      <c r="E10" s="555"/>
      <c r="F10" s="556"/>
      <c r="G10" s="556"/>
      <c r="H10" s="556"/>
      <c r="I10" s="560"/>
      <c r="J10" s="565" t="str">
        <f ca="1">IF(AND('Mapa final'!$K$34="Muy Alta",'Mapa final'!$O$34="Leve"),CONCATENATE("R",'Mapa final'!$A$34),"")</f>
        <v/>
      </c>
      <c r="K10" s="492"/>
      <c r="L10" s="492" t="str">
        <f ca="1">IF(AND('Mapa final'!$K$37="Muy Alta",'Mapa final'!$O$37="Leve"),CONCATENATE("R",'Mapa final'!$A$37),"")</f>
        <v/>
      </c>
      <c r="M10" s="492"/>
      <c r="N10" s="492" t="str">
        <f ca="1">IF(AND('Mapa final'!$K$40="Muy Alta",'Mapa final'!$O$40="Leve"),CONCATENATE("R",'Mapa final'!$A$40),"")</f>
        <v/>
      </c>
      <c r="O10" s="492"/>
      <c r="P10" s="492" t="str">
        <f ca="1">IF(AND('Mapa final'!$K$43="Muy Alta",'Mapa final'!$O$43="Leve"),CONCATENATE("R",'Mapa final'!$A$43),"")</f>
        <v/>
      </c>
      <c r="Q10" s="492"/>
      <c r="R10" s="492" t="str">
        <f ca="1">IF(AND('Mapa final'!$K$46="Muy Alta",'Mapa final'!$O$46="Leve"),CONCATENATE("R",'Mapa final'!$A$46),"")</f>
        <v/>
      </c>
      <c r="S10" s="492"/>
      <c r="T10" s="494" t="str">
        <f ca="1">IF(AND('Mapa final'!$K$34="Muy Alta",'Mapa final'!$O$34="Menor"),CONCATENATE("R",'Mapa final'!$A$34),"")</f>
        <v/>
      </c>
      <c r="U10" s="492"/>
      <c r="V10" s="492" t="str">
        <f ca="1">IF(AND('Mapa final'!$K$37="Muy Alta",'Mapa final'!$O$37="Menor"),CONCATENATE("R",'Mapa final'!$A$37),"")</f>
        <v/>
      </c>
      <c r="W10" s="492"/>
      <c r="X10" s="492" t="str">
        <f ca="1">IF(AND('Mapa final'!$K$40="Muy Alta",'Mapa final'!$O$40="Menor"),CONCATENATE("R",'Mapa final'!$A$40),"")</f>
        <v/>
      </c>
      <c r="Y10" s="492"/>
      <c r="Z10" s="492" t="str">
        <f ca="1">IF(AND('Mapa final'!$K$43="Muy Alta",'Mapa final'!$O$43="Menor"),CONCATENATE("R",'Mapa final'!$A$43),"")</f>
        <v/>
      </c>
      <c r="AA10" s="492"/>
      <c r="AB10" s="492" t="str">
        <f ca="1">IF(AND('Mapa final'!$K$46="Muy Alta",'Mapa final'!$O$46="Menor"),CONCATENATE("R",'Mapa final'!$A$46),"")</f>
        <v/>
      </c>
      <c r="AC10" s="493"/>
      <c r="AD10" s="494" t="str">
        <f ca="1">IF(AND('Mapa final'!$K$34="Muy Alta",'Mapa final'!$O$34="Moderado"),CONCATENATE("R",'Mapa final'!$A$34),"")</f>
        <v/>
      </c>
      <c r="AE10" s="492"/>
      <c r="AF10" s="492" t="str">
        <f ca="1">IF(AND('Mapa final'!$K$37="Muy Alta",'Mapa final'!$O$37="Moderado"),CONCATENATE("R",'Mapa final'!$A$37),"")</f>
        <v/>
      </c>
      <c r="AG10" s="492"/>
      <c r="AH10" s="492" t="str">
        <f ca="1">IF(AND('Mapa final'!$K$40="Muy Alta",'Mapa final'!$O$40="Moderado"),CONCATENATE("R",'Mapa final'!$A$40),"")</f>
        <v/>
      </c>
      <c r="AI10" s="492"/>
      <c r="AJ10" s="492" t="str">
        <f ca="1">IF(AND('Mapa final'!$K$43="Muy Alta",'Mapa final'!$O$43="Moderado"),CONCATENATE("R",'Mapa final'!$A$43),"")</f>
        <v/>
      </c>
      <c r="AK10" s="492"/>
      <c r="AL10" s="492" t="str">
        <f ca="1">IF(AND('Mapa final'!$K$46="Muy Alta",'Mapa final'!$O$46="Moderado"),CONCATENATE("R",'Mapa final'!$A$46),"")</f>
        <v/>
      </c>
      <c r="AM10" s="493"/>
      <c r="AN10" s="494" t="str">
        <f ca="1">IF(AND('Mapa final'!$K$34="Muy Alta",'Mapa final'!$O$34="Mayor"),CONCATENATE("R",'Mapa final'!$A$34),"")</f>
        <v/>
      </c>
      <c r="AO10" s="492"/>
      <c r="AP10" s="492" t="str">
        <f ca="1">IF(AND('Mapa final'!$K$37="Muy Alta",'Mapa final'!$O$37="Mayor"),CONCATENATE("R",'Mapa final'!$A$37),"")</f>
        <v/>
      </c>
      <c r="AQ10" s="492"/>
      <c r="AR10" s="492" t="str">
        <f ca="1">IF(AND('Mapa final'!$K$40="Muy Alta",'Mapa final'!$O$40="Mayor"),CONCATENATE("R",'Mapa final'!$A$40),"")</f>
        <v/>
      </c>
      <c r="AS10" s="492"/>
      <c r="AT10" s="492" t="str">
        <f ca="1">IF(AND('Mapa final'!$K$43="Muy Alta",'Mapa final'!$O$43="Mayor"),CONCATENATE("R",'Mapa final'!$A$43),"")</f>
        <v/>
      </c>
      <c r="AU10" s="492"/>
      <c r="AV10" s="492" t="str">
        <f ca="1">IF(AND('Mapa final'!$K$46="Muy Alta",'Mapa final'!$O$46="Mayor"),CONCATENATE("R",'Mapa final'!$A$46),"")</f>
        <v/>
      </c>
      <c r="AW10" s="493"/>
      <c r="AX10" s="488" t="str">
        <f ca="1">IF(AND('Mapa final'!$K$34="Muy Alta",'Mapa final'!$O$34="Catastrófico"),CONCATENATE("R",'Mapa final'!$A$34),"")</f>
        <v/>
      </c>
      <c r="AY10" s="486"/>
      <c r="AZ10" s="486" t="str">
        <f ca="1">IF(AND('Mapa final'!$K$37="Muy Alta",'Mapa final'!$O$37="Catastrófico"),CONCATENATE("R",'Mapa final'!$A$37),"")</f>
        <v/>
      </c>
      <c r="BA10" s="486"/>
      <c r="BB10" s="486" t="str">
        <f ca="1">IF(AND('Mapa final'!$K$40="Muy Alta",'Mapa final'!$O$40="Catastrófico"),CONCATENATE("R",'Mapa final'!$A$40),"")</f>
        <v/>
      </c>
      <c r="BC10" s="486"/>
      <c r="BD10" s="486" t="str">
        <f ca="1">IF(AND('Mapa final'!$K$43="Muy Alta",'Mapa final'!$O$43="Catastrófico"),CONCATENATE("R",'Mapa final'!$A$43),"")</f>
        <v/>
      </c>
      <c r="BE10" s="486"/>
      <c r="BF10" s="486" t="str">
        <f ca="1">IF(AND('Mapa final'!$K$46="Muy Alta",'Mapa final'!$O$46="Catastrófico"),CONCATENATE("R",'Mapa final'!$A$46),"")</f>
        <v/>
      </c>
      <c r="BG10" s="487"/>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row>
    <row r="11" spans="1:119" ht="15" customHeight="1" x14ac:dyDescent="0.25">
      <c r="A11" s="55"/>
      <c r="B11" s="338"/>
      <c r="C11" s="338"/>
      <c r="D11" s="339"/>
      <c r="E11" s="555"/>
      <c r="F11" s="556"/>
      <c r="G11" s="556"/>
      <c r="H11" s="556"/>
      <c r="I11" s="560"/>
      <c r="J11" s="565"/>
      <c r="K11" s="492"/>
      <c r="L11" s="492"/>
      <c r="M11" s="492"/>
      <c r="N11" s="492"/>
      <c r="O11" s="492"/>
      <c r="P11" s="492"/>
      <c r="Q11" s="492"/>
      <c r="R11" s="492"/>
      <c r="S11" s="492"/>
      <c r="T11" s="494"/>
      <c r="U11" s="492"/>
      <c r="V11" s="492"/>
      <c r="W11" s="492"/>
      <c r="X11" s="492"/>
      <c r="Y11" s="492"/>
      <c r="Z11" s="492"/>
      <c r="AA11" s="492"/>
      <c r="AB11" s="492"/>
      <c r="AC11" s="493"/>
      <c r="AD11" s="494"/>
      <c r="AE11" s="492"/>
      <c r="AF11" s="492"/>
      <c r="AG11" s="492"/>
      <c r="AH11" s="492"/>
      <c r="AI11" s="492"/>
      <c r="AJ11" s="492"/>
      <c r="AK11" s="492"/>
      <c r="AL11" s="492"/>
      <c r="AM11" s="493"/>
      <c r="AN11" s="494"/>
      <c r="AO11" s="492"/>
      <c r="AP11" s="492"/>
      <c r="AQ11" s="492"/>
      <c r="AR11" s="492"/>
      <c r="AS11" s="492"/>
      <c r="AT11" s="492"/>
      <c r="AU11" s="492"/>
      <c r="AV11" s="492"/>
      <c r="AW11" s="493"/>
      <c r="AX11" s="488"/>
      <c r="AY11" s="486"/>
      <c r="AZ11" s="486"/>
      <c r="BA11" s="486"/>
      <c r="BB11" s="486"/>
      <c r="BC11" s="486"/>
      <c r="BD11" s="486"/>
      <c r="BE11" s="486"/>
      <c r="BF11" s="486"/>
      <c r="BG11" s="487"/>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row>
    <row r="12" spans="1:119" ht="15" customHeight="1" x14ac:dyDescent="0.25">
      <c r="A12" s="55"/>
      <c r="B12" s="338"/>
      <c r="C12" s="338"/>
      <c r="D12" s="339"/>
      <c r="E12" s="555"/>
      <c r="F12" s="556"/>
      <c r="G12" s="556"/>
      <c r="H12" s="556"/>
      <c r="I12" s="560"/>
      <c r="J12" s="492" t="str">
        <f ca="1">IF(AND('Mapa final'!$K$49="Muy Alta",'Mapa final'!$O$49="Leve"),CONCATENATE("R",'Mapa final'!$A$49),"")</f>
        <v/>
      </c>
      <c r="K12" s="492"/>
      <c r="L12" s="492" t="str">
        <f ca="1">IF(AND('Mapa final'!$K$52="Muy Alta",'Mapa final'!$O$52="Leve"),CONCATENATE("R",'Mapa final'!$A$52),"")</f>
        <v/>
      </c>
      <c r="M12" s="492"/>
      <c r="N12" s="492" t="str">
        <f ca="1">IF(AND('Mapa final'!$K$55="Muy Alta",'Mapa final'!$O$55="Leve"),CONCATENATE("R",'Mapa final'!$A$55),"")</f>
        <v/>
      </c>
      <c r="O12" s="492"/>
      <c r="P12" s="492" t="str">
        <f ca="1">IF(AND('Mapa final'!$K$58="Muy Alta",'Mapa final'!$O$58="Leve"),CONCATENATE("R",'Mapa final'!$A$58),"")</f>
        <v/>
      </c>
      <c r="Q12" s="492"/>
      <c r="R12" s="492" t="str">
        <f ca="1">IF(AND('Mapa final'!$K$61="Muy Alta",'Mapa final'!$O$61="Leve"),CONCATENATE("R",'Mapa final'!$A$61),"")</f>
        <v/>
      </c>
      <c r="S12" s="492"/>
      <c r="T12" s="494" t="str">
        <f ca="1">IF(AND('Mapa final'!$K$49="Muy Alta",'Mapa final'!$O$49="Menor"),CONCATENATE("R",'Mapa final'!$A$49),"")</f>
        <v/>
      </c>
      <c r="U12" s="492"/>
      <c r="V12" s="492" t="str">
        <f ca="1">IF(AND('Mapa final'!$K$52="Muy Alta",'Mapa final'!$O$52="Menor"),CONCATENATE("R",'Mapa final'!$A$52),"")</f>
        <v/>
      </c>
      <c r="W12" s="492"/>
      <c r="X12" s="492" t="str">
        <f ca="1">IF(AND('Mapa final'!$K$55="Muy Alta",'Mapa final'!$O$55="Menor"),CONCATENATE("R",'Mapa final'!$A$55),"")</f>
        <v/>
      </c>
      <c r="Y12" s="492"/>
      <c r="Z12" s="492" t="str">
        <f ca="1">IF(AND('Mapa final'!$K$58="Muy Alta",'Mapa final'!$O$58="Menor"),CONCATENATE("R",'Mapa final'!$A$58),"")</f>
        <v/>
      </c>
      <c r="AA12" s="492"/>
      <c r="AB12" s="492" t="str">
        <f ca="1">IF(AND('Mapa final'!$K$61="Muy Alta",'Mapa final'!$O$61="Menor"),CONCATENATE("R",'Mapa final'!$A$61),"")</f>
        <v/>
      </c>
      <c r="AC12" s="493"/>
      <c r="AD12" s="494" t="str">
        <f ca="1">IF(AND('Mapa final'!$K$49="Muy Alta",'Mapa final'!$O$49="Moderado"),CONCATENATE("R",'Mapa final'!$A$49),"")</f>
        <v/>
      </c>
      <c r="AE12" s="492"/>
      <c r="AF12" s="492" t="str">
        <f ca="1">IF(AND('Mapa final'!$K$52="Muy Alta",'Mapa final'!$O$52="Moderado"),CONCATENATE("R",'Mapa final'!$A$52),"")</f>
        <v/>
      </c>
      <c r="AG12" s="492"/>
      <c r="AH12" s="492" t="str">
        <f ca="1">IF(AND('Mapa final'!$K$55="Muy Alta",'Mapa final'!$O$55="Moderado"),CONCATENATE("R",'Mapa final'!$A$55),"")</f>
        <v/>
      </c>
      <c r="AI12" s="492"/>
      <c r="AJ12" s="492" t="str">
        <f ca="1">IF(AND('Mapa final'!$K$58="Muy Alta",'Mapa final'!$O$58="Moderado"),CONCATENATE("R",'Mapa final'!$A$58),"")</f>
        <v/>
      </c>
      <c r="AK12" s="492"/>
      <c r="AL12" s="492" t="str">
        <f ca="1">IF(AND('Mapa final'!$K$61="Muy Alta",'Mapa final'!$O$61="Moderado"),CONCATENATE("R",'Mapa final'!$A$61),"")</f>
        <v/>
      </c>
      <c r="AM12" s="493"/>
      <c r="AN12" s="494" t="str">
        <f ca="1">IF(AND('Mapa final'!$K$49="Muy Alta",'Mapa final'!$O$49="Mayor"),CONCATENATE("R",'Mapa final'!$A$49),"")</f>
        <v/>
      </c>
      <c r="AO12" s="492"/>
      <c r="AP12" s="492" t="str">
        <f ca="1">IF(AND('Mapa final'!$K$52="Muy Alta",'Mapa final'!$O$52="Mayor"),CONCATENATE("R",'Mapa final'!$A$52),"")</f>
        <v>R16</v>
      </c>
      <c r="AQ12" s="492"/>
      <c r="AR12" s="492" t="str">
        <f ca="1">IF(AND('Mapa final'!$K$55="Muy Alta",'Mapa final'!$O$55="Mayor"),CONCATENATE("R",'Mapa final'!$A$55),"")</f>
        <v/>
      </c>
      <c r="AS12" s="492"/>
      <c r="AT12" s="492" t="str">
        <f ca="1">IF(AND('Mapa final'!$K$58="Muy Alta",'Mapa final'!$O$58="Mayor"),CONCATENATE("R",'Mapa final'!$A$58),"")</f>
        <v/>
      </c>
      <c r="AU12" s="492"/>
      <c r="AV12" s="492" t="str">
        <f ca="1">IF(AND('Mapa final'!$K$61="Muy Alta",'Mapa final'!$O$61="Mayor"),CONCATENATE("R",'Mapa final'!$A$61),"")</f>
        <v/>
      </c>
      <c r="AW12" s="493"/>
      <c r="AX12" s="488" t="str">
        <f ca="1">IF(AND('Mapa final'!$K$49="Muy Alta",'Mapa final'!$O$49="Catastrófico"),CONCATENATE("R",'Mapa final'!$A$49),"")</f>
        <v/>
      </c>
      <c r="AY12" s="486"/>
      <c r="AZ12" s="486" t="str">
        <f ca="1">IF(AND('Mapa final'!$K$52="Muy Alta",'Mapa final'!$O$52="Catastrófico"),CONCATENATE("R",'Mapa final'!$A$52),"")</f>
        <v/>
      </c>
      <c r="BA12" s="486"/>
      <c r="BB12" s="486" t="str">
        <f ca="1">IF(AND('Mapa final'!$K$55="Muy Alta",'Mapa final'!$O$55="Catastrófico"),CONCATENATE("R",'Mapa final'!$A$55),"")</f>
        <v/>
      </c>
      <c r="BC12" s="486"/>
      <c r="BD12" s="486" t="str">
        <f ca="1">IF(AND('Mapa final'!$K$58="Muy Alta",'Mapa final'!$O$58="Catastrófico"),CONCATENATE("R",'Mapa final'!$A$58),"")</f>
        <v/>
      </c>
      <c r="BE12" s="486"/>
      <c r="BF12" s="486" t="str">
        <f ca="1">IF(AND('Mapa final'!$K$61="Muy Alta",'Mapa final'!$O$61="Catastrófico"),CONCATENATE("R",'Mapa final'!$A$61),"")</f>
        <v/>
      </c>
      <c r="BG12" s="487"/>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row>
    <row r="13" spans="1:119" ht="15" customHeight="1" thickBot="1" x14ac:dyDescent="0.3">
      <c r="A13" s="55"/>
      <c r="B13" s="338"/>
      <c r="C13" s="338"/>
      <c r="D13" s="339"/>
      <c r="E13" s="555"/>
      <c r="F13" s="556"/>
      <c r="G13" s="556"/>
      <c r="H13" s="556"/>
      <c r="I13" s="560"/>
      <c r="J13" s="492"/>
      <c r="K13" s="492"/>
      <c r="L13" s="492"/>
      <c r="M13" s="492"/>
      <c r="N13" s="492"/>
      <c r="O13" s="492"/>
      <c r="P13" s="492"/>
      <c r="Q13" s="492"/>
      <c r="R13" s="492"/>
      <c r="S13" s="492"/>
      <c r="T13" s="494"/>
      <c r="U13" s="492"/>
      <c r="V13" s="492"/>
      <c r="W13" s="492"/>
      <c r="X13" s="492"/>
      <c r="Y13" s="492"/>
      <c r="Z13" s="492"/>
      <c r="AA13" s="492"/>
      <c r="AB13" s="492"/>
      <c r="AC13" s="493"/>
      <c r="AD13" s="494"/>
      <c r="AE13" s="492"/>
      <c r="AF13" s="492"/>
      <c r="AG13" s="492"/>
      <c r="AH13" s="492"/>
      <c r="AI13" s="492"/>
      <c r="AJ13" s="492"/>
      <c r="AK13" s="492"/>
      <c r="AL13" s="492"/>
      <c r="AM13" s="493"/>
      <c r="AN13" s="494"/>
      <c r="AO13" s="492"/>
      <c r="AP13" s="492"/>
      <c r="AQ13" s="492"/>
      <c r="AR13" s="492"/>
      <c r="AS13" s="492"/>
      <c r="AT13" s="492"/>
      <c r="AU13" s="492"/>
      <c r="AV13" s="492"/>
      <c r="AW13" s="493"/>
      <c r="AX13" s="488"/>
      <c r="AY13" s="486"/>
      <c r="AZ13" s="486"/>
      <c r="BA13" s="486"/>
      <c r="BB13" s="486"/>
      <c r="BC13" s="486"/>
      <c r="BD13" s="486"/>
      <c r="BE13" s="486"/>
      <c r="BF13" s="486"/>
      <c r="BG13" s="487"/>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row>
    <row r="14" spans="1:119" ht="15" customHeight="1" x14ac:dyDescent="0.25">
      <c r="A14" s="55"/>
      <c r="B14" s="338"/>
      <c r="C14" s="338"/>
      <c r="D14" s="339"/>
      <c r="E14" s="555"/>
      <c r="F14" s="556"/>
      <c r="G14" s="556"/>
      <c r="H14" s="556"/>
      <c r="I14" s="560"/>
      <c r="J14" s="492" t="str">
        <f ca="1">IF(AND('Mapa final'!$K$64="Muy Alta",'Mapa final'!$O$64="Leve"),CONCATENATE("R",'Mapa final'!$A$64),"")</f>
        <v/>
      </c>
      <c r="K14" s="492"/>
      <c r="L14" s="492" t="str">
        <f ca="1">IF(AND('Mapa final'!$K$67="Muy Alta",'Mapa final'!$O$67="Leve"),CONCATENATE("R",'Mapa final'!$A$67),"")</f>
        <v/>
      </c>
      <c r="M14" s="492"/>
      <c r="N14" s="492" t="str">
        <f ca="1">IF(AND('Mapa final'!$K$73="Muy Alta",'Mapa final'!$O$73="Leve"),CONCATENATE("R",'Mapa final'!$A$73),"")</f>
        <v/>
      </c>
      <c r="O14" s="492"/>
      <c r="P14" s="492" t="str">
        <f ca="1">IF(AND('Mapa final'!$K$76="Muy Alta",'Mapa final'!$O$76="Leve"),CONCATENATE("R",'Mapa final'!$A$76),"")</f>
        <v/>
      </c>
      <c r="Q14" s="492"/>
      <c r="R14" s="492" t="str">
        <f ca="1">IF(AND('Mapa final'!$K$79="Muy Alta",'Mapa final'!$O$79="Leve"),CONCATENATE("R",'Mapa final'!$A$79),"")</f>
        <v/>
      </c>
      <c r="S14" s="492"/>
      <c r="T14" s="494" t="str">
        <f ca="1">IF(AND('Mapa final'!$K$64="Muy Alta",'Mapa final'!$O$64="Menor"),CONCATENATE("R",'Mapa final'!$A$64),"")</f>
        <v/>
      </c>
      <c r="U14" s="492"/>
      <c r="V14" s="492" t="str">
        <f ca="1">IF(AND('Mapa final'!$K$67="Muy Alta",'Mapa final'!$O$67="Menor"),CONCATENATE("R",'Mapa final'!$A$67),"")</f>
        <v/>
      </c>
      <c r="W14" s="492"/>
      <c r="X14" s="492" t="str">
        <f ca="1">IF(AND('Mapa final'!$K$73="Muy Alta",'Mapa final'!$O$73="Menor"),CONCATENATE("R",'Mapa final'!$A$73),"")</f>
        <v/>
      </c>
      <c r="Y14" s="492"/>
      <c r="Z14" s="492" t="str">
        <f ca="1">IF(AND('Mapa final'!$K$76="Muy Alta",'Mapa final'!$O$76="Menor"),CONCATENATE("R",'Mapa final'!$A$76),"")</f>
        <v/>
      </c>
      <c r="AA14" s="492"/>
      <c r="AB14" s="492" t="str">
        <f ca="1">IF(AND('Mapa final'!$K$79="Muy Alta",'Mapa final'!$O$79="Menor"),CONCATENATE("R",'Mapa final'!$A$79),"")</f>
        <v/>
      </c>
      <c r="AC14" s="493"/>
      <c r="AD14" s="494" t="str">
        <f ca="1">IF(AND('Mapa final'!$K$64="Muy Alta",'Mapa final'!$O$64="Moderado"),CONCATENATE("R",'Mapa final'!$A$64),"")</f>
        <v/>
      </c>
      <c r="AE14" s="492"/>
      <c r="AF14" s="492" t="str">
        <f ca="1">IF(AND('Mapa final'!$K$67="Muy Alta",'Mapa final'!$O$67="Moderado"),CONCATENATE("R",'Mapa final'!$A$67),"")</f>
        <v/>
      </c>
      <c r="AG14" s="492"/>
      <c r="AH14" s="492" t="str">
        <f ca="1">IF(AND('Mapa final'!$K$73="Muy Alta",'Mapa final'!$O$73="Moderado"),CONCATENATE("R",'Mapa final'!$A$73),"")</f>
        <v/>
      </c>
      <c r="AI14" s="492"/>
      <c r="AJ14" s="492" t="str">
        <f ca="1">IF(AND('Mapa final'!$K$76="Muy Alta",'Mapa final'!$O$76="Moderado"),CONCATENATE("R",'Mapa final'!$A$76),"")</f>
        <v/>
      </c>
      <c r="AK14" s="492"/>
      <c r="AL14" s="492" t="str">
        <f ca="1">IF(AND('Mapa final'!$K$79="Muy Alta",'Mapa final'!$O$79="Moderado"),CONCATENATE("R",'Mapa final'!$A$79),"")</f>
        <v/>
      </c>
      <c r="AM14" s="493"/>
      <c r="AN14" s="494" t="str">
        <f ca="1">IF(AND('Mapa final'!$K$64="Muy Alta",'Mapa final'!$O$64="Mayor"),CONCATENATE("R",'Mapa final'!$A$64),"")</f>
        <v/>
      </c>
      <c r="AO14" s="492"/>
      <c r="AP14" s="492" t="str">
        <f ca="1">IF(AND('Mapa final'!$K$67="Muy Alta",'Mapa final'!$O$67="Mayor"),CONCATENATE("R",'Mapa final'!$A$67),"")</f>
        <v/>
      </c>
      <c r="AQ14" s="492"/>
      <c r="AR14" s="492" t="str">
        <f ca="1">IF(AND('Mapa final'!$K$73="Muy Alta",'Mapa final'!$O$73="Mayor"),CONCATENATE("R",'Mapa final'!$A$73),"")</f>
        <v/>
      </c>
      <c r="AS14" s="492"/>
      <c r="AT14" s="492" t="str">
        <f ca="1">IF(AND('Mapa final'!$K$76="Muy Alta",'Mapa final'!$O$76="Mayor"),CONCATENATE("R",'Mapa final'!$A$76),"")</f>
        <v/>
      </c>
      <c r="AU14" s="492"/>
      <c r="AV14" s="492" t="str">
        <f ca="1">IF(AND('Mapa final'!$K$79="Muy Alta",'Mapa final'!$O$79="Mayor"),CONCATENATE("R",'Mapa final'!$A$79),"")</f>
        <v/>
      </c>
      <c r="AW14" s="493"/>
      <c r="AX14" s="488" t="str">
        <f ca="1">IF(AND('Mapa final'!$K$64="Muy Alta",'Mapa final'!$O$64="Catastrófico"),CONCATENATE("R",'Mapa final'!$A$64),"")</f>
        <v/>
      </c>
      <c r="AY14" s="486"/>
      <c r="AZ14" s="486" t="str">
        <f ca="1">IF(AND('Mapa final'!$K$67="Muy Alta",'Mapa final'!$O$67="Catastrófico"),CONCATENATE("R",'Mapa final'!$A$67),"")</f>
        <v/>
      </c>
      <c r="BA14" s="486"/>
      <c r="BB14" s="486" t="str">
        <f ca="1">IF(AND('Mapa final'!$K$73="Muy Alta",'Mapa final'!$O$73="Catastrófico"),CONCATENATE("R",'Mapa final'!$A$73),"")</f>
        <v/>
      </c>
      <c r="BC14" s="486"/>
      <c r="BD14" s="486" t="str">
        <f ca="1">IF(AND('Mapa final'!$K$76="Muy Alta",'Mapa final'!$O$76="Catastrófico"),CONCATENATE("R",'Mapa final'!$A$76),"")</f>
        <v/>
      </c>
      <c r="BE14" s="486"/>
      <c r="BF14" s="486" t="str">
        <f ca="1">IF(AND('Mapa final'!$K$79="Muy Alta",'Mapa final'!$O$79="Catastrófico"),CONCATENATE("R",'Mapa final'!$A$79),"")</f>
        <v/>
      </c>
      <c r="BG14" s="487"/>
      <c r="BH14" s="55"/>
      <c r="BI14" s="517" t="s">
        <v>73</v>
      </c>
      <c r="BJ14" s="518"/>
      <c r="BK14" s="518"/>
      <c r="BL14" s="518"/>
      <c r="BM14" s="518"/>
      <c r="BN14" s="519"/>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row>
    <row r="15" spans="1:119" ht="15" customHeight="1" x14ac:dyDescent="0.25">
      <c r="A15" s="55"/>
      <c r="B15" s="338"/>
      <c r="C15" s="338"/>
      <c r="D15" s="339"/>
      <c r="E15" s="555"/>
      <c r="F15" s="556"/>
      <c r="G15" s="556"/>
      <c r="H15" s="556"/>
      <c r="I15" s="560"/>
      <c r="J15" s="492"/>
      <c r="K15" s="492"/>
      <c r="L15" s="492"/>
      <c r="M15" s="492"/>
      <c r="N15" s="492"/>
      <c r="O15" s="492"/>
      <c r="P15" s="492"/>
      <c r="Q15" s="492"/>
      <c r="R15" s="492"/>
      <c r="S15" s="492"/>
      <c r="T15" s="494"/>
      <c r="U15" s="492"/>
      <c r="V15" s="492"/>
      <c r="W15" s="492"/>
      <c r="X15" s="492"/>
      <c r="Y15" s="492"/>
      <c r="Z15" s="492"/>
      <c r="AA15" s="492"/>
      <c r="AB15" s="492"/>
      <c r="AC15" s="493"/>
      <c r="AD15" s="494"/>
      <c r="AE15" s="492"/>
      <c r="AF15" s="492"/>
      <c r="AG15" s="492"/>
      <c r="AH15" s="492"/>
      <c r="AI15" s="492"/>
      <c r="AJ15" s="492"/>
      <c r="AK15" s="492"/>
      <c r="AL15" s="492"/>
      <c r="AM15" s="493"/>
      <c r="AN15" s="494"/>
      <c r="AO15" s="492"/>
      <c r="AP15" s="492"/>
      <c r="AQ15" s="492"/>
      <c r="AR15" s="492"/>
      <c r="AS15" s="492"/>
      <c r="AT15" s="492"/>
      <c r="AU15" s="492"/>
      <c r="AV15" s="492"/>
      <c r="AW15" s="493"/>
      <c r="AX15" s="488"/>
      <c r="AY15" s="486"/>
      <c r="AZ15" s="486"/>
      <c r="BA15" s="486"/>
      <c r="BB15" s="486"/>
      <c r="BC15" s="486"/>
      <c r="BD15" s="486"/>
      <c r="BE15" s="486"/>
      <c r="BF15" s="486"/>
      <c r="BG15" s="487"/>
      <c r="BH15" s="55"/>
      <c r="BI15" s="520"/>
      <c r="BJ15" s="521"/>
      <c r="BK15" s="521"/>
      <c r="BL15" s="521"/>
      <c r="BM15" s="521"/>
      <c r="BN15" s="522"/>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row>
    <row r="16" spans="1:119" ht="15" customHeight="1" x14ac:dyDescent="0.25">
      <c r="A16" s="55"/>
      <c r="B16" s="338"/>
      <c r="C16" s="338"/>
      <c r="D16" s="339"/>
      <c r="E16" s="555"/>
      <c r="F16" s="556"/>
      <c r="G16" s="556"/>
      <c r="H16" s="556"/>
      <c r="I16" s="560"/>
      <c r="J16" s="492" t="str">
        <f ca="1">IF(AND('Mapa final'!$K$82="Muy Alta",'Mapa final'!$O$82="Leve"),CONCATENATE("R",'Mapa final'!$A$82),"")</f>
        <v/>
      </c>
      <c r="K16" s="492"/>
      <c r="L16" s="492" t="str">
        <f ca="1">IF(AND('Mapa final'!$K$85="Muy Alta",'Mapa final'!$O$85="Leve"),CONCATENATE("R",'Mapa final'!$A$85),"")</f>
        <v/>
      </c>
      <c r="M16" s="492"/>
      <c r="N16" s="492" t="str">
        <f ca="1">IF(AND('Mapa final'!$K$88="Muy Alta",'Mapa final'!$O$88="Leve"),CONCATENATE("R",'Mapa final'!$A$88),"")</f>
        <v/>
      </c>
      <c r="O16" s="492"/>
      <c r="P16" s="492" t="str">
        <f ca="1">IF(AND('Mapa final'!$K$91="Muy Alta",'Mapa final'!$O$91="Leve"),CONCATENATE("R",'Mapa final'!$A$91),"")</f>
        <v/>
      </c>
      <c r="Q16" s="492"/>
      <c r="R16" s="492" t="str">
        <f ca="1">IF(AND('Mapa final'!$K$94="Muy Alta",'Mapa final'!$O$94="Leve"),CONCATENATE("R",'Mapa final'!$A$94),"")</f>
        <v/>
      </c>
      <c r="S16" s="492"/>
      <c r="T16" s="494" t="str">
        <f ca="1">IF(AND('Mapa final'!$K$82="Muy Alta",'Mapa final'!$O$82="Menor"),CONCATENATE("R",'Mapa final'!$A$82),"")</f>
        <v/>
      </c>
      <c r="U16" s="492"/>
      <c r="V16" s="492" t="str">
        <f ca="1">IF(AND('Mapa final'!$K$85="Muy Alta",'Mapa final'!$O$85="Menor"),CONCATENATE("R",'Mapa final'!$A$85),"")</f>
        <v/>
      </c>
      <c r="W16" s="492"/>
      <c r="X16" s="492" t="str">
        <f ca="1">IF(AND('Mapa final'!$K$88="Muy Alta",'Mapa final'!$O$88="Menor"),CONCATENATE("R",'Mapa final'!$A$88),"")</f>
        <v/>
      </c>
      <c r="Y16" s="492"/>
      <c r="Z16" s="492" t="str">
        <f ca="1">IF(AND('Mapa final'!$K$91="Muy Alta",'Mapa final'!$O$91="Menor"),CONCATENATE("R",'Mapa final'!$A$91),"")</f>
        <v/>
      </c>
      <c r="AA16" s="492"/>
      <c r="AB16" s="492" t="str">
        <f ca="1">IF(AND('Mapa final'!$K$94="Muy Alta",'Mapa final'!$O$94="Menor"),CONCATENATE("R",'Mapa final'!$A$94),"")</f>
        <v/>
      </c>
      <c r="AC16" s="493"/>
      <c r="AD16" s="494" t="str">
        <f ca="1">IF(AND('Mapa final'!$K$82="Muy Alta",'Mapa final'!$O$82="Moderado"),CONCATENATE("R",'Mapa final'!$A$82),"")</f>
        <v/>
      </c>
      <c r="AE16" s="492"/>
      <c r="AF16" s="492" t="str">
        <f ca="1">IF(AND('Mapa final'!$K$85="Muy Alta",'Mapa final'!$O$85="Moderado"),CONCATENATE("R",'Mapa final'!$A$85),"")</f>
        <v/>
      </c>
      <c r="AG16" s="492"/>
      <c r="AH16" s="492" t="str">
        <f ca="1">IF(AND('Mapa final'!$K$88="Muy Alta",'Mapa final'!$O$88="Moderado"),CONCATENATE("R",'Mapa final'!$A$88),"")</f>
        <v/>
      </c>
      <c r="AI16" s="492"/>
      <c r="AJ16" s="492" t="str">
        <f ca="1">IF(AND('Mapa final'!$K$91="Muy Alta",'Mapa final'!$O$91="Moderado"),CONCATENATE("R",'Mapa final'!$A$91),"")</f>
        <v/>
      </c>
      <c r="AK16" s="492"/>
      <c r="AL16" s="492" t="str">
        <f ca="1">IF(AND('Mapa final'!$K$94="Muy Alta",'Mapa final'!$O$94="Moderado"),CONCATENATE("R",'Mapa final'!$A$94),"")</f>
        <v/>
      </c>
      <c r="AM16" s="493"/>
      <c r="AN16" s="494" t="str">
        <f ca="1">IF(AND('Mapa final'!$K$82="Muy Alta",'Mapa final'!$O$82="Mayor"),CONCATENATE("R",'Mapa final'!$A$82),"")</f>
        <v/>
      </c>
      <c r="AO16" s="492"/>
      <c r="AP16" s="492" t="str">
        <f ca="1">IF(AND('Mapa final'!$K$85="Muy Alta",'Mapa final'!$O$85="Mayor"),CONCATENATE("R",'Mapa final'!$A$85),"")</f>
        <v/>
      </c>
      <c r="AQ16" s="492"/>
      <c r="AR16" s="492" t="str">
        <f ca="1">IF(AND('Mapa final'!$K$88="Muy Alta",'Mapa final'!$O$88="Mayor"),CONCATENATE("R",'Mapa final'!$A$88),"")</f>
        <v/>
      </c>
      <c r="AS16" s="492"/>
      <c r="AT16" s="492" t="str">
        <f ca="1">IF(AND('Mapa final'!$K$91="Muy Alta",'Mapa final'!$O$91="Mayor"),CONCATENATE("R",'Mapa final'!$A$91),"")</f>
        <v/>
      </c>
      <c r="AU16" s="492"/>
      <c r="AV16" s="492" t="str">
        <f ca="1">IF(AND('Mapa final'!$K$94="Muy Alta",'Mapa final'!$O$94="Mayor"),CONCATENATE("R",'Mapa final'!$A$94),"")</f>
        <v/>
      </c>
      <c r="AW16" s="493"/>
      <c r="AX16" s="488" t="str">
        <f ca="1">IF(AND('Mapa final'!$K$82="Muy Alta",'Mapa final'!$O$82="Catastrófico"),CONCATENATE("R",'Mapa final'!$A$82),"")</f>
        <v/>
      </c>
      <c r="AY16" s="486"/>
      <c r="AZ16" s="486" t="str">
        <f ca="1">IF(AND('Mapa final'!$K$85="Muy Alta",'Mapa final'!$O$85="Catastrófico"),CONCATENATE("R",'Mapa final'!$A$85),"")</f>
        <v/>
      </c>
      <c r="BA16" s="486"/>
      <c r="BB16" s="486" t="str">
        <f ca="1">IF(AND('Mapa final'!$K$88="Muy Alta",'Mapa final'!$O$88="Catastrófico"),CONCATENATE("R",'Mapa final'!$A$88),"")</f>
        <v/>
      </c>
      <c r="BC16" s="486"/>
      <c r="BD16" s="486" t="str">
        <f ca="1">IF(AND('Mapa final'!$K$91="Muy Alta",'Mapa final'!$O$91="Catastrófico"),CONCATENATE("R",'Mapa final'!$A$91),"")</f>
        <v/>
      </c>
      <c r="BE16" s="486"/>
      <c r="BF16" s="486" t="str">
        <f ca="1">IF(AND('Mapa final'!$K$94="Muy Alta",'Mapa final'!$O$94="Catastrófico"),CONCATENATE("R",'Mapa final'!$A$94),"")</f>
        <v/>
      </c>
      <c r="BG16" s="487"/>
      <c r="BH16" s="55"/>
      <c r="BI16" s="520"/>
      <c r="BJ16" s="521"/>
      <c r="BK16" s="521"/>
      <c r="BL16" s="521"/>
      <c r="BM16" s="521"/>
      <c r="BN16" s="522"/>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row>
    <row r="17" spans="1:100" ht="15" customHeight="1" x14ac:dyDescent="0.25">
      <c r="A17" s="55"/>
      <c r="B17" s="338"/>
      <c r="C17" s="338"/>
      <c r="D17" s="339"/>
      <c r="E17" s="555"/>
      <c r="F17" s="556"/>
      <c r="G17" s="556"/>
      <c r="H17" s="556"/>
      <c r="I17" s="560"/>
      <c r="J17" s="492"/>
      <c r="K17" s="492"/>
      <c r="L17" s="492"/>
      <c r="M17" s="492"/>
      <c r="N17" s="492"/>
      <c r="O17" s="492"/>
      <c r="P17" s="492"/>
      <c r="Q17" s="492"/>
      <c r="R17" s="492"/>
      <c r="S17" s="492"/>
      <c r="T17" s="494"/>
      <c r="U17" s="492"/>
      <c r="V17" s="492"/>
      <c r="W17" s="492"/>
      <c r="X17" s="492"/>
      <c r="Y17" s="492"/>
      <c r="Z17" s="492"/>
      <c r="AA17" s="492"/>
      <c r="AB17" s="492"/>
      <c r="AC17" s="493"/>
      <c r="AD17" s="494"/>
      <c r="AE17" s="492"/>
      <c r="AF17" s="492"/>
      <c r="AG17" s="492"/>
      <c r="AH17" s="492"/>
      <c r="AI17" s="492"/>
      <c r="AJ17" s="492"/>
      <c r="AK17" s="492"/>
      <c r="AL17" s="492"/>
      <c r="AM17" s="493"/>
      <c r="AN17" s="494"/>
      <c r="AO17" s="492"/>
      <c r="AP17" s="492"/>
      <c r="AQ17" s="492"/>
      <c r="AR17" s="492"/>
      <c r="AS17" s="492"/>
      <c r="AT17" s="492"/>
      <c r="AU17" s="492"/>
      <c r="AV17" s="492"/>
      <c r="AW17" s="493"/>
      <c r="AX17" s="488"/>
      <c r="AY17" s="486"/>
      <c r="AZ17" s="486"/>
      <c r="BA17" s="486"/>
      <c r="BB17" s="486"/>
      <c r="BC17" s="486"/>
      <c r="BD17" s="486"/>
      <c r="BE17" s="486"/>
      <c r="BF17" s="486"/>
      <c r="BG17" s="487"/>
      <c r="BH17" s="55"/>
      <c r="BI17" s="520"/>
      <c r="BJ17" s="521"/>
      <c r="BK17" s="521"/>
      <c r="BL17" s="521"/>
      <c r="BM17" s="521"/>
      <c r="BN17" s="522"/>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row>
    <row r="18" spans="1:100" ht="15" customHeight="1" x14ac:dyDescent="0.25">
      <c r="A18" s="55"/>
      <c r="B18" s="338"/>
      <c r="C18" s="338"/>
      <c r="D18" s="339"/>
      <c r="E18" s="555"/>
      <c r="F18" s="556"/>
      <c r="G18" s="556"/>
      <c r="H18" s="556"/>
      <c r="I18" s="560"/>
      <c r="J18" s="492" t="str">
        <f ca="1">IF(AND('Mapa final'!$K$97="Muy Alta",'Mapa final'!$O$97="Leve"),CONCATENATE("R",'Mapa final'!$A$97),"")</f>
        <v/>
      </c>
      <c r="K18" s="492"/>
      <c r="L18" s="492" t="str">
        <f ca="1">IF(AND('Mapa final'!$K$100="Muy Alta",'Mapa final'!$O$100="Leve"),CONCATENATE("R",'Mapa final'!$A$100),"")</f>
        <v/>
      </c>
      <c r="M18" s="492"/>
      <c r="N18" s="492" t="str">
        <f>IF(AND('Mapa final'!$K$103="Muy Alta",'Mapa final'!$O$103="Leve"),CONCATENATE("R",'Mapa final'!$A$103),"")</f>
        <v/>
      </c>
      <c r="O18" s="492"/>
      <c r="P18" s="492" t="str">
        <f ca="1">IF(AND('Mapa final'!$K$106="Muy Alta",'Mapa final'!$O$106="Leve"),CONCATENATE("R",'Mapa final'!$A$106),"")</f>
        <v/>
      </c>
      <c r="Q18" s="492"/>
      <c r="R18" s="492" t="str">
        <f ca="1">IF(AND('Mapa final'!$K$109="Muy Alta",'Mapa final'!$O$109="Leve"),CONCATENATE("R",'Mapa final'!$A$109),"")</f>
        <v/>
      </c>
      <c r="S18" s="492"/>
      <c r="T18" s="494" t="str">
        <f ca="1">IF(AND('Mapa final'!$K$97="Muy Alta",'Mapa final'!$O$97="Menor"),CONCATENATE("R",'Mapa final'!$A$97),"")</f>
        <v/>
      </c>
      <c r="U18" s="492"/>
      <c r="V18" s="492" t="str">
        <f ca="1">IF(AND('Mapa final'!$K$100="Muy Alta",'Mapa final'!$O$100="Menor"),CONCATENATE("R",'Mapa final'!$A$100),"")</f>
        <v/>
      </c>
      <c r="W18" s="492"/>
      <c r="X18" s="492" t="str">
        <f>IF(AND('Mapa final'!$K$103="Muy Alta",'Mapa final'!$O$103="Menor"),CONCATENATE("R",'Mapa final'!$A$103),"")</f>
        <v/>
      </c>
      <c r="Y18" s="492"/>
      <c r="Z18" s="492" t="str">
        <f ca="1">IF(AND('Mapa final'!$K$106="Muy Alta",'Mapa final'!$O$106="Menor"),CONCATENATE("R",'Mapa final'!$A$106),"")</f>
        <v/>
      </c>
      <c r="AA18" s="492"/>
      <c r="AB18" s="492" t="str">
        <f ca="1">IF(AND('Mapa final'!$K$109="Muy Alta",'Mapa final'!$O$109="Menor"),CONCATENATE("R",'Mapa final'!$A$109),"")</f>
        <v/>
      </c>
      <c r="AC18" s="493"/>
      <c r="AD18" s="494" t="str">
        <f ca="1">IF(AND('Mapa final'!$K$97="Muy Alta",'Mapa final'!$O$97="Moderado"),CONCATENATE("R",'Mapa final'!$A$97),"")</f>
        <v/>
      </c>
      <c r="AE18" s="492"/>
      <c r="AF18" s="492" t="str">
        <f ca="1">IF(AND('Mapa final'!$K$100="Muy Alta",'Mapa final'!$O$100="Moderado"),CONCATENATE("R",'Mapa final'!$A$100),"")</f>
        <v/>
      </c>
      <c r="AG18" s="492"/>
      <c r="AH18" s="492" t="str">
        <f>IF(AND('Mapa final'!$K$103="Muy Alta",'Mapa final'!$O$103="Moderado"),CONCATENATE("R",'Mapa final'!$A$103),"")</f>
        <v/>
      </c>
      <c r="AI18" s="492"/>
      <c r="AJ18" s="492" t="str">
        <f ca="1">IF(AND('Mapa final'!$K$106="Muy Alta",'Mapa final'!$O$106="Moderado"),CONCATENATE("R",'Mapa final'!$A$106),"")</f>
        <v/>
      </c>
      <c r="AK18" s="492"/>
      <c r="AL18" s="492" t="str">
        <f ca="1">IF(AND('Mapa final'!$K$109="Muy Alta",'Mapa final'!$O$109="Moderado"),CONCATENATE("R",'Mapa final'!$A$109),"")</f>
        <v/>
      </c>
      <c r="AM18" s="493"/>
      <c r="AN18" s="494" t="str">
        <f ca="1">IF(AND('Mapa final'!$K$97="Muy Alta",'Mapa final'!$O$97="Mayor"),CONCATENATE("R",'Mapa final'!$A$97),"")</f>
        <v/>
      </c>
      <c r="AO18" s="492"/>
      <c r="AP18" s="492" t="str">
        <f ca="1">IF(AND('Mapa final'!$K$100="Muy Alta",'Mapa final'!$O$100="Mayor"),CONCATENATE("R",'Mapa final'!$A$100),"")</f>
        <v/>
      </c>
      <c r="AQ18" s="492"/>
      <c r="AR18" s="492" t="str">
        <f>IF(AND('Mapa final'!$K$103="Muy Alta",'Mapa final'!$O$103="Mayor"),CONCATENATE("R",'Mapa final'!$A$103),"")</f>
        <v/>
      </c>
      <c r="AS18" s="492"/>
      <c r="AT18" s="492" t="str">
        <f ca="1">IF(AND('Mapa final'!$K$106="Muy Alta",'Mapa final'!$O$106="Mayor"),CONCATENATE("R",'Mapa final'!$A$106),"")</f>
        <v/>
      </c>
      <c r="AU18" s="492"/>
      <c r="AV18" s="492" t="str">
        <f ca="1">IF(AND('Mapa final'!$K$109="Muy Alta",'Mapa final'!$O$109="Mayor"),CONCATENATE("R",'Mapa final'!$A$109),"")</f>
        <v/>
      </c>
      <c r="AW18" s="493"/>
      <c r="AX18" s="488" t="str">
        <f ca="1">IF(AND('Mapa final'!$K$97="Muy Alta",'Mapa final'!$O$97="Catastrófico"),CONCATENATE("R",'Mapa final'!$A$97),"")</f>
        <v/>
      </c>
      <c r="AY18" s="486"/>
      <c r="AZ18" s="486" t="str">
        <f ca="1">IF(AND('Mapa final'!$K$100="Muy Alta",'Mapa final'!$O$100="Catastrófico"),CONCATENATE("R",'Mapa final'!$A$100),"")</f>
        <v/>
      </c>
      <c r="BA18" s="486"/>
      <c r="BB18" s="486" t="str">
        <f>IF(AND('Mapa final'!$K$103="Muy Alta",'Mapa final'!$O$103="Catastrófico"),CONCATENATE("R",'Mapa final'!$A$103),"")</f>
        <v/>
      </c>
      <c r="BC18" s="486"/>
      <c r="BD18" s="486" t="str">
        <f ca="1">IF(AND('Mapa final'!$K$106="Muy Alta",'Mapa final'!$O$106="Catastrófico"),CONCATENATE("R",'Mapa final'!$A$106),"")</f>
        <v/>
      </c>
      <c r="BE18" s="486"/>
      <c r="BF18" s="486" t="str">
        <f ca="1">IF(AND('Mapa final'!$K$109="Muy Alta",'Mapa final'!$O$109="Catastrófico"),CONCATENATE("R",'Mapa final'!$A$109),"")</f>
        <v/>
      </c>
      <c r="BG18" s="487"/>
      <c r="BH18" s="55"/>
      <c r="BI18" s="520"/>
      <c r="BJ18" s="521"/>
      <c r="BK18" s="521"/>
      <c r="BL18" s="521"/>
      <c r="BM18" s="521"/>
      <c r="BN18" s="522"/>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row>
    <row r="19" spans="1:100" ht="15" customHeight="1" x14ac:dyDescent="0.25">
      <c r="A19" s="55"/>
      <c r="B19" s="338"/>
      <c r="C19" s="338"/>
      <c r="D19" s="339"/>
      <c r="E19" s="555"/>
      <c r="F19" s="556"/>
      <c r="G19" s="556"/>
      <c r="H19" s="556"/>
      <c r="I19" s="560"/>
      <c r="J19" s="492"/>
      <c r="K19" s="492"/>
      <c r="L19" s="492"/>
      <c r="M19" s="492"/>
      <c r="N19" s="492"/>
      <c r="O19" s="492"/>
      <c r="P19" s="492"/>
      <c r="Q19" s="492"/>
      <c r="R19" s="492"/>
      <c r="S19" s="492"/>
      <c r="T19" s="494"/>
      <c r="U19" s="492"/>
      <c r="V19" s="492"/>
      <c r="W19" s="492"/>
      <c r="X19" s="492"/>
      <c r="Y19" s="492"/>
      <c r="Z19" s="492"/>
      <c r="AA19" s="492"/>
      <c r="AB19" s="492"/>
      <c r="AC19" s="493"/>
      <c r="AD19" s="494"/>
      <c r="AE19" s="492"/>
      <c r="AF19" s="492"/>
      <c r="AG19" s="492"/>
      <c r="AH19" s="492"/>
      <c r="AI19" s="492"/>
      <c r="AJ19" s="492"/>
      <c r="AK19" s="492"/>
      <c r="AL19" s="492"/>
      <c r="AM19" s="493"/>
      <c r="AN19" s="494"/>
      <c r="AO19" s="492"/>
      <c r="AP19" s="492"/>
      <c r="AQ19" s="492"/>
      <c r="AR19" s="492"/>
      <c r="AS19" s="492"/>
      <c r="AT19" s="492"/>
      <c r="AU19" s="492"/>
      <c r="AV19" s="492"/>
      <c r="AW19" s="493"/>
      <c r="AX19" s="488"/>
      <c r="AY19" s="486"/>
      <c r="AZ19" s="486"/>
      <c r="BA19" s="486"/>
      <c r="BB19" s="486"/>
      <c r="BC19" s="486"/>
      <c r="BD19" s="486"/>
      <c r="BE19" s="486"/>
      <c r="BF19" s="486"/>
      <c r="BG19" s="487"/>
      <c r="BH19" s="55"/>
      <c r="BI19" s="520"/>
      <c r="BJ19" s="521"/>
      <c r="BK19" s="521"/>
      <c r="BL19" s="521"/>
      <c r="BM19" s="521"/>
      <c r="BN19" s="522"/>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row>
    <row r="20" spans="1:100" ht="15" customHeight="1" x14ac:dyDescent="0.25">
      <c r="A20" s="55"/>
      <c r="B20" s="338"/>
      <c r="C20" s="338"/>
      <c r="D20" s="339"/>
      <c r="E20" s="555"/>
      <c r="F20" s="556"/>
      <c r="G20" s="556"/>
      <c r="H20" s="556"/>
      <c r="I20" s="560"/>
      <c r="J20" s="492" t="str">
        <f ca="1">IF(AND('Mapa final'!$K$112="Muy Alta",'Mapa final'!$O$112="Leve"),CONCATENATE("R",'Mapa final'!$A$112),"")</f>
        <v/>
      </c>
      <c r="K20" s="492"/>
      <c r="L20" s="492" t="str">
        <f ca="1">IF(AND('Mapa final'!$K$115="Muy Alta",'Mapa final'!$O$115="Leve"),CONCATENATE("R",'Mapa final'!$A$115),"")</f>
        <v/>
      </c>
      <c r="M20" s="492"/>
      <c r="N20" s="492" t="str">
        <f ca="1">IF(AND('Mapa final'!$K$118="Muy Alta",'Mapa final'!$O$118="Leve"),CONCATENATE("R",'Mapa final'!$A$118),"")</f>
        <v/>
      </c>
      <c r="O20" s="492"/>
      <c r="P20" s="492" t="str">
        <f ca="1">IF(AND('Mapa final'!$K$121="Muy Alta",'Mapa final'!$O$121="Leve"),CONCATENATE("R",'Mapa final'!$A$121),"")</f>
        <v/>
      </c>
      <c r="Q20" s="492"/>
      <c r="R20" s="492" t="str">
        <f ca="1">IF(AND('Mapa final'!$K$124="Muy Alta",'Mapa final'!$O$124="Leve"),CONCATENATE("R",'Mapa final'!$A$124),"")</f>
        <v/>
      </c>
      <c r="S20" s="492"/>
      <c r="T20" s="494" t="str">
        <f ca="1">IF(AND('Mapa final'!$K$112="Muy Alta",'Mapa final'!$O$112="Menor"),CONCATENATE("R",'Mapa final'!$A$112),"")</f>
        <v/>
      </c>
      <c r="U20" s="492"/>
      <c r="V20" s="492" t="str">
        <f ca="1">IF(AND('Mapa final'!$K$115="Muy Alta",'Mapa final'!$O$115="Menor"),CONCATENATE("R",'Mapa final'!$A$115),"")</f>
        <v/>
      </c>
      <c r="W20" s="492"/>
      <c r="X20" s="492" t="str">
        <f ca="1">IF(AND('Mapa final'!$K$118="Muy Alta",'Mapa final'!$O$118="Menor"),CONCATENATE("R",'Mapa final'!$A$118),"")</f>
        <v/>
      </c>
      <c r="Y20" s="492"/>
      <c r="Z20" s="492" t="str">
        <f ca="1">IF(AND('Mapa final'!$K$121="Muy Alta",'Mapa final'!$O$121="Menor"),CONCATENATE("R",'Mapa final'!$A$121),"")</f>
        <v/>
      </c>
      <c r="AA20" s="492"/>
      <c r="AB20" s="492" t="str">
        <f ca="1">IF(AND('Mapa final'!$K$124="Muy Alta",'Mapa final'!$O$124="Menor"),CONCATENATE("R",'Mapa final'!$A$124),"")</f>
        <v/>
      </c>
      <c r="AC20" s="493"/>
      <c r="AD20" s="494" t="str">
        <f ca="1">IF(AND('Mapa final'!$K$112="Muy Alta",'Mapa final'!$O$112="Moderado"),CONCATENATE("R",'Mapa final'!$A$112),"")</f>
        <v/>
      </c>
      <c r="AE20" s="492"/>
      <c r="AF20" s="492" t="str">
        <f ca="1">IF(AND('Mapa final'!$K$115="Muy Alta",'Mapa final'!$O$115="Moderado"),CONCATENATE("R",'Mapa final'!$A$115),"")</f>
        <v/>
      </c>
      <c r="AG20" s="492"/>
      <c r="AH20" s="492" t="str">
        <f ca="1">IF(AND('Mapa final'!$K$118="Muy Alta",'Mapa final'!$O$118="Moderado"),CONCATENATE("R",'Mapa final'!$A$118),"")</f>
        <v/>
      </c>
      <c r="AI20" s="492"/>
      <c r="AJ20" s="492" t="str">
        <f ca="1">IF(AND('Mapa final'!$K$121="Muy Alta",'Mapa final'!$O$121="Moderado"),CONCATENATE("R",'Mapa final'!$A$121),"")</f>
        <v/>
      </c>
      <c r="AK20" s="492"/>
      <c r="AL20" s="492" t="str">
        <f ca="1">IF(AND('Mapa final'!$K$124="Muy Alta",'Mapa final'!$O$124="Moderado"),CONCATENATE("R",'Mapa final'!$A$124),"")</f>
        <v/>
      </c>
      <c r="AM20" s="493"/>
      <c r="AN20" s="494" t="str">
        <f ca="1">IF(AND('Mapa final'!$K$112="Muy Alta",'Mapa final'!$O$112="Mayor"),CONCATENATE("R",'Mapa final'!$A$112),"")</f>
        <v/>
      </c>
      <c r="AO20" s="492"/>
      <c r="AP20" s="492" t="str">
        <f ca="1">IF(AND('Mapa final'!$K$115="Muy Alta",'Mapa final'!$O$115="Mayor"),CONCATENATE("R",'Mapa final'!$A$115),"")</f>
        <v/>
      </c>
      <c r="AQ20" s="492"/>
      <c r="AR20" s="492" t="str">
        <f ca="1">IF(AND('Mapa final'!$K$118="Muy Alta",'Mapa final'!$O$118="Mayor"),CONCATENATE("R",'Mapa final'!$A$118),"")</f>
        <v/>
      </c>
      <c r="AS20" s="492"/>
      <c r="AT20" s="492" t="str">
        <f ca="1">IF(AND('Mapa final'!$K$121="Muy Alta",'Mapa final'!$O$121="Mayor"),CONCATENATE("R",'Mapa final'!$A$121),"")</f>
        <v/>
      </c>
      <c r="AU20" s="492"/>
      <c r="AV20" s="492" t="str">
        <f ca="1">IF(AND('Mapa final'!$K$124="Muy Alta",'Mapa final'!$O$124="Mayor"),CONCATENATE("R",'Mapa final'!$A$124),"")</f>
        <v/>
      </c>
      <c r="AW20" s="493"/>
      <c r="AX20" s="488" t="str">
        <f ca="1">IF(AND('Mapa final'!$K$112="Muy Alta",'Mapa final'!$O$112="Catastrófico"),CONCATENATE("R",'Mapa final'!$A$112),"")</f>
        <v/>
      </c>
      <c r="AY20" s="486"/>
      <c r="AZ20" s="486" t="str">
        <f ca="1">IF(AND('Mapa final'!$K$115="Muy Alta",'Mapa final'!$O$115="Catastrófico"),CONCATENATE("R",'Mapa final'!$A$115),"")</f>
        <v/>
      </c>
      <c r="BA20" s="486"/>
      <c r="BB20" s="486" t="str">
        <f ca="1">IF(AND('Mapa final'!$K$118="Muy Alta",'Mapa final'!$O$118="Catastrófico"),CONCATENATE("R",'Mapa final'!$A$118),"")</f>
        <v/>
      </c>
      <c r="BC20" s="486"/>
      <c r="BD20" s="486" t="str">
        <f ca="1">IF(AND('Mapa final'!$K$121="Muy Alta",'Mapa final'!$O$121="Catastrófico"),CONCATENATE("R",'Mapa final'!$A$121),"")</f>
        <v/>
      </c>
      <c r="BE20" s="486"/>
      <c r="BF20" s="486" t="str">
        <f ca="1">IF(AND('Mapa final'!$K$124="Muy Alta",'Mapa final'!$O$124="Catastrófico"),CONCATENATE("R",'Mapa final'!$A$124),"")</f>
        <v/>
      </c>
      <c r="BG20" s="487"/>
      <c r="BH20" s="55"/>
      <c r="BI20" s="520"/>
      <c r="BJ20" s="521"/>
      <c r="BK20" s="521"/>
      <c r="BL20" s="521"/>
      <c r="BM20" s="521"/>
      <c r="BN20" s="522"/>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row>
    <row r="21" spans="1:100" ht="15" customHeight="1" x14ac:dyDescent="0.25">
      <c r="A21" s="55"/>
      <c r="B21" s="338"/>
      <c r="C21" s="338"/>
      <c r="D21" s="339"/>
      <c r="E21" s="555"/>
      <c r="F21" s="556"/>
      <c r="G21" s="556"/>
      <c r="H21" s="556"/>
      <c r="I21" s="560"/>
      <c r="J21" s="492"/>
      <c r="K21" s="492"/>
      <c r="L21" s="492"/>
      <c r="M21" s="492"/>
      <c r="N21" s="492"/>
      <c r="O21" s="492"/>
      <c r="P21" s="492"/>
      <c r="Q21" s="492"/>
      <c r="R21" s="492"/>
      <c r="S21" s="492"/>
      <c r="T21" s="494"/>
      <c r="U21" s="492"/>
      <c r="V21" s="492"/>
      <c r="W21" s="492"/>
      <c r="X21" s="492"/>
      <c r="Y21" s="492"/>
      <c r="Z21" s="492"/>
      <c r="AA21" s="492"/>
      <c r="AB21" s="492"/>
      <c r="AC21" s="493"/>
      <c r="AD21" s="494"/>
      <c r="AE21" s="492"/>
      <c r="AF21" s="492"/>
      <c r="AG21" s="492"/>
      <c r="AH21" s="492"/>
      <c r="AI21" s="492"/>
      <c r="AJ21" s="492"/>
      <c r="AK21" s="492"/>
      <c r="AL21" s="492"/>
      <c r="AM21" s="493"/>
      <c r="AN21" s="494"/>
      <c r="AO21" s="492"/>
      <c r="AP21" s="492"/>
      <c r="AQ21" s="492"/>
      <c r="AR21" s="492"/>
      <c r="AS21" s="492"/>
      <c r="AT21" s="492"/>
      <c r="AU21" s="492"/>
      <c r="AV21" s="492"/>
      <c r="AW21" s="493"/>
      <c r="AX21" s="488"/>
      <c r="AY21" s="486"/>
      <c r="AZ21" s="486"/>
      <c r="BA21" s="486"/>
      <c r="BB21" s="486"/>
      <c r="BC21" s="486"/>
      <c r="BD21" s="486"/>
      <c r="BE21" s="486"/>
      <c r="BF21" s="486"/>
      <c r="BG21" s="487"/>
      <c r="BH21" s="55"/>
      <c r="BI21" s="520"/>
      <c r="BJ21" s="521"/>
      <c r="BK21" s="521"/>
      <c r="BL21" s="521"/>
      <c r="BM21" s="521"/>
      <c r="BN21" s="522"/>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row>
    <row r="22" spans="1:100" ht="15" customHeight="1" x14ac:dyDescent="0.25">
      <c r="A22" s="55"/>
      <c r="B22" s="338"/>
      <c r="C22" s="338"/>
      <c r="D22" s="339"/>
      <c r="E22" s="555"/>
      <c r="F22" s="556"/>
      <c r="G22" s="556"/>
      <c r="H22" s="556"/>
      <c r="I22" s="560"/>
      <c r="J22" s="492" t="str">
        <f ca="1">IF(AND('Mapa final'!$K$127="Muy Alta",'Mapa final'!$O$127="Leve"),CONCATENATE("R",'Mapa final'!$A$127),"")</f>
        <v/>
      </c>
      <c r="K22" s="492"/>
      <c r="L22" s="492" t="str">
        <f ca="1">IF(AND('Mapa final'!$K$130="Muy Alta",'Mapa final'!$O$130="Leve"),CONCATENATE("R",'Mapa final'!$A$130),"")</f>
        <v/>
      </c>
      <c r="M22" s="492"/>
      <c r="N22" s="492" t="str">
        <f ca="1">IF(AND('Mapa final'!$K$133="Muy Alta",'Mapa final'!$O$133="Leve"),CONCATENATE("R",'Mapa final'!$A$133),"")</f>
        <v/>
      </c>
      <c r="O22" s="492"/>
      <c r="P22" s="492" t="str">
        <f ca="1">IF(AND('Mapa final'!$K$136="Muy Alta",'Mapa final'!$O$136="Leve"),CONCATENATE("R",'Mapa final'!$A$136),"")</f>
        <v/>
      </c>
      <c r="Q22" s="492"/>
      <c r="R22" s="492" t="str">
        <f ca="1">IF(AND('Mapa final'!$K$139="Muy Alta",'Mapa final'!$O$139="Leve"),CONCATENATE("R",'Mapa final'!$A$139),"")</f>
        <v/>
      </c>
      <c r="S22" s="492"/>
      <c r="T22" s="494" t="str">
        <f ca="1">IF(AND('Mapa final'!$K$127="Muy Alta",'Mapa final'!$O$127="Menor"),CONCATENATE("R",'Mapa final'!$A$127),"")</f>
        <v/>
      </c>
      <c r="U22" s="492"/>
      <c r="V22" s="492" t="str">
        <f ca="1">IF(AND('Mapa final'!$K$130="Muy Alta",'Mapa final'!$O$130="Menor"),CONCATENATE("R",'Mapa final'!$A$130),"")</f>
        <v/>
      </c>
      <c r="W22" s="492"/>
      <c r="X22" s="492" t="str">
        <f ca="1">IF(AND('Mapa final'!$K$133="Muy Alta",'Mapa final'!$O$133="Menor"),CONCATENATE("R",'Mapa final'!$A$133),"")</f>
        <v/>
      </c>
      <c r="Y22" s="492"/>
      <c r="Z22" s="492" t="str">
        <f ca="1">IF(AND('Mapa final'!$K$136="Muy Alta",'Mapa final'!$O$136="Menor"),CONCATENATE("R",'Mapa final'!$A$136),"")</f>
        <v/>
      </c>
      <c r="AA22" s="492"/>
      <c r="AB22" s="492" t="str">
        <f ca="1">IF(AND('Mapa final'!$K$139="Muy Alta",'Mapa final'!$O$139="Menor"),CONCATENATE("R",'Mapa final'!$A$139),"")</f>
        <v/>
      </c>
      <c r="AC22" s="493"/>
      <c r="AD22" s="494" t="str">
        <f ca="1">IF(AND('Mapa final'!$K$127="Muy Alta",'Mapa final'!$O$127="Moderado"),CONCATENATE("R",'Mapa final'!$A$127),"")</f>
        <v/>
      </c>
      <c r="AE22" s="492"/>
      <c r="AF22" s="492" t="str">
        <f ca="1">IF(AND('Mapa final'!$K$130="Muy Alta",'Mapa final'!$O$130="Moderado"),CONCATENATE("R",'Mapa final'!$A$130),"")</f>
        <v/>
      </c>
      <c r="AG22" s="492"/>
      <c r="AH22" s="492" t="str">
        <f ca="1">IF(AND('Mapa final'!$K$133="Muy Alta",'Mapa final'!$O$133="Moderado"),CONCATENATE("R",'Mapa final'!$A$133),"")</f>
        <v/>
      </c>
      <c r="AI22" s="492"/>
      <c r="AJ22" s="492" t="str">
        <f ca="1">IF(AND('Mapa final'!$K$136="Muy Alta",'Mapa final'!$O$136="Moderado"),CONCATENATE("R",'Mapa final'!$A$136),"")</f>
        <v/>
      </c>
      <c r="AK22" s="492"/>
      <c r="AL22" s="492" t="str">
        <f ca="1">IF(AND('Mapa final'!$K$139="Muy Alta",'Mapa final'!$O$139="Moderado"),CONCATENATE("R",'Mapa final'!$A$139),"")</f>
        <v/>
      </c>
      <c r="AM22" s="493"/>
      <c r="AN22" s="494" t="str">
        <f ca="1">IF(AND('Mapa final'!$K$127="Muy Alta",'Mapa final'!$O$127="Mayor"),CONCATENATE("R",'Mapa final'!$A$127),"")</f>
        <v/>
      </c>
      <c r="AO22" s="492"/>
      <c r="AP22" s="492" t="str">
        <f ca="1">IF(AND('Mapa final'!$K$130="Muy Alta",'Mapa final'!$O$130="Mayor"),CONCATENATE("R",'Mapa final'!$A$130),"")</f>
        <v/>
      </c>
      <c r="AQ22" s="492"/>
      <c r="AR22" s="492" t="str">
        <f ca="1">IF(AND('Mapa final'!$K$133="Muy Alta",'Mapa final'!$O$133="Mayor"),CONCATENATE("R",'Mapa final'!$A$133),"")</f>
        <v/>
      </c>
      <c r="AS22" s="492"/>
      <c r="AT22" s="492" t="str">
        <f ca="1">IF(AND('Mapa final'!$K$136="Muy Alta",'Mapa final'!$O$136="Mayor"),CONCATENATE("R",'Mapa final'!$A$136),"")</f>
        <v/>
      </c>
      <c r="AU22" s="492"/>
      <c r="AV22" s="492" t="str">
        <f ca="1">IF(AND('Mapa final'!$K$139="Muy Alta",'Mapa final'!$O$139="Mayor"),CONCATENATE("R",'Mapa final'!$A$139),"")</f>
        <v/>
      </c>
      <c r="AW22" s="493"/>
      <c r="AX22" s="488" t="str">
        <f ca="1">IF(AND('Mapa final'!$K$127="Muy Alta",'Mapa final'!$O$127="Catastrófico"),CONCATENATE("R",'Mapa final'!$A$127),"")</f>
        <v/>
      </c>
      <c r="AY22" s="486"/>
      <c r="AZ22" s="486" t="str">
        <f ca="1">IF(AND('Mapa final'!$K$130="Muy Alta",'Mapa final'!$O$130="Catastrófico"),CONCATENATE("R",'Mapa final'!$A$130),"")</f>
        <v/>
      </c>
      <c r="BA22" s="486"/>
      <c r="BB22" s="486" t="str">
        <f ca="1">IF(AND('Mapa final'!$K$133="Muy Alta",'Mapa final'!$O$133="Catastrófico"),CONCATENATE("R",'Mapa final'!$A$133),"")</f>
        <v/>
      </c>
      <c r="BC22" s="486"/>
      <c r="BD22" s="486" t="str">
        <f ca="1">IF(AND('Mapa final'!$K$136="Muy Alta",'Mapa final'!$O$136="Catastrófico"),CONCATENATE("R",'Mapa final'!$A$136),"")</f>
        <v/>
      </c>
      <c r="BE22" s="486"/>
      <c r="BF22" s="486" t="str">
        <f ca="1">IF(AND('Mapa final'!$K$139="Muy Alta",'Mapa final'!$O$139="Catastrófico"),CONCATENATE("R",'Mapa final'!$A$139),"")</f>
        <v/>
      </c>
      <c r="BG22" s="487"/>
      <c r="BH22" s="55"/>
      <c r="BI22" s="520"/>
      <c r="BJ22" s="521"/>
      <c r="BK22" s="521"/>
      <c r="BL22" s="521"/>
      <c r="BM22" s="521"/>
      <c r="BN22" s="522"/>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row>
    <row r="23" spans="1:100" ht="15" customHeight="1" x14ac:dyDescent="0.25">
      <c r="A23" s="55"/>
      <c r="B23" s="338"/>
      <c r="C23" s="338"/>
      <c r="D23" s="339"/>
      <c r="E23" s="555"/>
      <c r="F23" s="556"/>
      <c r="G23" s="556"/>
      <c r="H23" s="556"/>
      <c r="I23" s="560"/>
      <c r="J23" s="492"/>
      <c r="K23" s="492"/>
      <c r="L23" s="492"/>
      <c r="M23" s="492"/>
      <c r="N23" s="492"/>
      <c r="O23" s="492"/>
      <c r="P23" s="492"/>
      <c r="Q23" s="492"/>
      <c r="R23" s="492"/>
      <c r="S23" s="492"/>
      <c r="T23" s="494"/>
      <c r="U23" s="492"/>
      <c r="V23" s="492"/>
      <c r="W23" s="492"/>
      <c r="X23" s="492"/>
      <c r="Y23" s="492"/>
      <c r="Z23" s="492"/>
      <c r="AA23" s="492"/>
      <c r="AB23" s="492"/>
      <c r="AC23" s="493"/>
      <c r="AD23" s="494"/>
      <c r="AE23" s="492"/>
      <c r="AF23" s="492"/>
      <c r="AG23" s="492"/>
      <c r="AH23" s="492"/>
      <c r="AI23" s="492"/>
      <c r="AJ23" s="492"/>
      <c r="AK23" s="492"/>
      <c r="AL23" s="492"/>
      <c r="AM23" s="493"/>
      <c r="AN23" s="494"/>
      <c r="AO23" s="492"/>
      <c r="AP23" s="492"/>
      <c r="AQ23" s="492"/>
      <c r="AR23" s="492"/>
      <c r="AS23" s="492"/>
      <c r="AT23" s="492"/>
      <c r="AU23" s="492"/>
      <c r="AV23" s="492"/>
      <c r="AW23" s="493"/>
      <c r="AX23" s="488"/>
      <c r="AY23" s="486"/>
      <c r="AZ23" s="486"/>
      <c r="BA23" s="486"/>
      <c r="BB23" s="486"/>
      <c r="BC23" s="486"/>
      <c r="BD23" s="486"/>
      <c r="BE23" s="486"/>
      <c r="BF23" s="486"/>
      <c r="BG23" s="487"/>
      <c r="BH23" s="55"/>
      <c r="BI23" s="520"/>
      <c r="BJ23" s="521"/>
      <c r="BK23" s="521"/>
      <c r="BL23" s="521"/>
      <c r="BM23" s="521"/>
      <c r="BN23" s="522"/>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row>
    <row r="24" spans="1:100" ht="15" customHeight="1" x14ac:dyDescent="0.25">
      <c r="A24" s="55"/>
      <c r="B24" s="338"/>
      <c r="C24" s="338"/>
      <c r="D24" s="339"/>
      <c r="E24" s="555"/>
      <c r="F24" s="556"/>
      <c r="G24" s="556"/>
      <c r="H24" s="556"/>
      <c r="I24" s="560"/>
      <c r="J24" s="492" t="str">
        <f ca="1">IF(AND('Mapa final'!$K$142="Muy Alta",'Mapa final'!$O$142="Leve"),CONCATENATE("R",'Mapa final'!$A$142),"")</f>
        <v/>
      </c>
      <c r="K24" s="492"/>
      <c r="L24" s="492" t="str">
        <f ca="1">IF(AND('Mapa final'!$K$145="Muy Alta",'Mapa final'!$O$145="Leve"),CONCATENATE("R",'Mapa final'!$A$145),"")</f>
        <v/>
      </c>
      <c r="M24" s="492"/>
      <c r="N24" s="492" t="str">
        <f ca="1">IF(AND('Mapa final'!$K$148="Muy Alta",'Mapa final'!$O$148="Leve"),CONCATENATE("R",'Mapa final'!$A$148),"")</f>
        <v/>
      </c>
      <c r="O24" s="492"/>
      <c r="P24" s="492" t="str">
        <f ca="1">IF(AND('Mapa final'!$K$151="Muy Alta",'Mapa final'!$O$151="Leve"),CONCATENATE("R",'Mapa final'!$A$151),"")</f>
        <v/>
      </c>
      <c r="Q24" s="492"/>
      <c r="R24" s="492" t="str">
        <f ca="1">IF(AND('Mapa final'!$K$154="Muy Alta",'Mapa final'!$O$154="Leve"),CONCATENATE("R",'Mapa final'!$A$154),"")</f>
        <v/>
      </c>
      <c r="S24" s="492"/>
      <c r="T24" s="494" t="str">
        <f ca="1">IF(AND('Mapa final'!$K$142="Muy Alta",'Mapa final'!$O$142="Menor"),CONCATENATE("R",'Mapa final'!$A$142),"")</f>
        <v/>
      </c>
      <c r="U24" s="492"/>
      <c r="V24" s="492" t="str">
        <f ca="1">IF(AND('Mapa final'!$K$145="Muy Alta",'Mapa final'!$O$145="Menor"),CONCATENATE("R",'Mapa final'!$A$145),"")</f>
        <v/>
      </c>
      <c r="W24" s="492"/>
      <c r="X24" s="492" t="str">
        <f ca="1">IF(AND('Mapa final'!$K$148="Muy Alta",'Mapa final'!$O$148="Menor"),CONCATENATE("R",'Mapa final'!$A$148),"")</f>
        <v/>
      </c>
      <c r="Y24" s="492"/>
      <c r="Z24" s="492" t="str">
        <f ca="1">IF(AND('Mapa final'!$K$151="Muy Alta",'Mapa final'!$O$151="Menor"),CONCATENATE("R",'Mapa final'!$A$151),"")</f>
        <v/>
      </c>
      <c r="AA24" s="492"/>
      <c r="AB24" s="492" t="str">
        <f ca="1">IF(AND('Mapa final'!$K$154="Muy Alta",'Mapa final'!$O$154="Menor"),CONCATENATE("R",'Mapa final'!$A$154),"")</f>
        <v/>
      </c>
      <c r="AC24" s="493"/>
      <c r="AD24" s="494" t="str">
        <f ca="1">IF(AND('Mapa final'!$K$142="Muy Alta",'Mapa final'!$O$142="Moderado"),CONCATENATE("R",'Mapa final'!$A$142),"")</f>
        <v/>
      </c>
      <c r="AE24" s="492"/>
      <c r="AF24" s="492" t="str">
        <f ca="1">IF(AND('Mapa final'!$K$145="Muy Alta",'Mapa final'!$O$145="Moderado"),CONCATENATE("R",'Mapa final'!$A$145),"")</f>
        <v/>
      </c>
      <c r="AG24" s="492"/>
      <c r="AH24" s="492" t="str">
        <f ca="1">IF(AND('Mapa final'!$K$148="Muy Alta",'Mapa final'!$O$148="Moderado"),CONCATENATE("R",'Mapa final'!$A$148),"")</f>
        <v/>
      </c>
      <c r="AI24" s="492"/>
      <c r="AJ24" s="492" t="str">
        <f ca="1">IF(AND('Mapa final'!$K$151="Muy Alta",'Mapa final'!$O$151="Moderado"),CONCATENATE("R",'Mapa final'!$A$151),"")</f>
        <v/>
      </c>
      <c r="AK24" s="492"/>
      <c r="AL24" s="492" t="str">
        <f ca="1">IF(AND('Mapa final'!$K$154="Muy Alta",'Mapa final'!$O$154="Moderado"),CONCATENATE("R",'Mapa final'!$A$154),"")</f>
        <v/>
      </c>
      <c r="AM24" s="493"/>
      <c r="AN24" s="494" t="str">
        <f ca="1">IF(AND('Mapa final'!$K$142="Muy Alta",'Mapa final'!$O$142="Mayor"),CONCATENATE("R",'Mapa final'!$A$142),"")</f>
        <v/>
      </c>
      <c r="AO24" s="492"/>
      <c r="AP24" s="492" t="str">
        <f ca="1">IF(AND('Mapa final'!$K$145="Muy Alta",'Mapa final'!$O$145="Mayor"),CONCATENATE("R",'Mapa final'!$A$145),"")</f>
        <v/>
      </c>
      <c r="AQ24" s="492"/>
      <c r="AR24" s="492" t="str">
        <f ca="1">IF(AND('Mapa final'!$K$148="Muy Alta",'Mapa final'!$O$148="Mayor"),CONCATENATE("R",'Mapa final'!$A$148),"")</f>
        <v/>
      </c>
      <c r="AS24" s="492"/>
      <c r="AT24" s="492" t="str">
        <f ca="1">IF(AND('Mapa final'!$K$151="Muy Alta",'Mapa final'!$O$151="Mayor"),CONCATENATE("R",'Mapa final'!$A$151),"")</f>
        <v/>
      </c>
      <c r="AU24" s="492"/>
      <c r="AV24" s="492" t="str">
        <f ca="1">IF(AND('Mapa final'!$K$154="Muy Alta",'Mapa final'!$O$154="Mayor"),CONCATENATE("R",'Mapa final'!$A$154),"")</f>
        <v/>
      </c>
      <c r="AW24" s="493"/>
      <c r="AX24" s="488" t="str">
        <f ca="1">IF(AND('Mapa final'!$K$142="Muy Alta",'Mapa final'!$O$142="Catastrófico"),CONCATENATE("R",'Mapa final'!$A$142),"")</f>
        <v/>
      </c>
      <c r="AY24" s="486"/>
      <c r="AZ24" s="486" t="str">
        <f ca="1">IF(AND('Mapa final'!$K$145="Muy Alta",'Mapa final'!$O$145="Catastrófico"),CONCATENATE("R",'Mapa final'!$A$145),"")</f>
        <v/>
      </c>
      <c r="BA24" s="486"/>
      <c r="BB24" s="486" t="str">
        <f ca="1">IF(AND('Mapa final'!$K$148="Muy Alta",'Mapa final'!$O$148="Catastrófico"),CONCATENATE("R",'Mapa final'!$A$148),"")</f>
        <v/>
      </c>
      <c r="BC24" s="486"/>
      <c r="BD24" s="486" t="str">
        <f ca="1">IF(AND('Mapa final'!$K$151="Muy Alta",'Mapa final'!$O$151="Catastrófico"),CONCATENATE("R",'Mapa final'!$A$151),"")</f>
        <v/>
      </c>
      <c r="BE24" s="486"/>
      <c r="BF24" s="486" t="str">
        <f ca="1">IF(AND('Mapa final'!$K$154="Muy Alta",'Mapa final'!$O$154="Catastrófico"),CONCATENATE("R",'Mapa final'!$A$154),"")</f>
        <v/>
      </c>
      <c r="BG24" s="487"/>
      <c r="BH24" s="55"/>
      <c r="BI24" s="520"/>
      <c r="BJ24" s="521"/>
      <c r="BK24" s="521"/>
      <c r="BL24" s="521"/>
      <c r="BM24" s="521"/>
      <c r="BN24" s="522"/>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row>
    <row r="25" spans="1:100" ht="15.75" customHeight="1" thickBot="1" x14ac:dyDescent="0.3">
      <c r="A25" s="55"/>
      <c r="B25" s="338"/>
      <c r="C25" s="338"/>
      <c r="D25" s="339"/>
      <c r="E25" s="557"/>
      <c r="F25" s="558"/>
      <c r="G25" s="558"/>
      <c r="H25" s="558"/>
      <c r="I25" s="561"/>
      <c r="J25" s="492"/>
      <c r="K25" s="492"/>
      <c r="L25" s="492"/>
      <c r="M25" s="492"/>
      <c r="N25" s="492"/>
      <c r="O25" s="492"/>
      <c r="P25" s="492"/>
      <c r="Q25" s="492"/>
      <c r="R25" s="492"/>
      <c r="S25" s="492"/>
      <c r="T25" s="495"/>
      <c r="U25" s="496"/>
      <c r="V25" s="496"/>
      <c r="W25" s="496"/>
      <c r="X25" s="496"/>
      <c r="Y25" s="496"/>
      <c r="Z25" s="496"/>
      <c r="AA25" s="496"/>
      <c r="AB25" s="496"/>
      <c r="AC25" s="497"/>
      <c r="AD25" s="495"/>
      <c r="AE25" s="496"/>
      <c r="AF25" s="496"/>
      <c r="AG25" s="496"/>
      <c r="AH25" s="496"/>
      <c r="AI25" s="496"/>
      <c r="AJ25" s="496"/>
      <c r="AK25" s="496"/>
      <c r="AL25" s="496"/>
      <c r="AM25" s="497"/>
      <c r="AN25" s="495"/>
      <c r="AO25" s="496"/>
      <c r="AP25" s="496"/>
      <c r="AQ25" s="496"/>
      <c r="AR25" s="496"/>
      <c r="AS25" s="496"/>
      <c r="AT25" s="496"/>
      <c r="AU25" s="496"/>
      <c r="AV25" s="496"/>
      <c r="AW25" s="497"/>
      <c r="AX25" s="508"/>
      <c r="AY25" s="507"/>
      <c r="AZ25" s="507"/>
      <c r="BA25" s="507"/>
      <c r="BB25" s="507"/>
      <c r="BC25" s="507"/>
      <c r="BD25" s="507"/>
      <c r="BE25" s="507"/>
      <c r="BF25" s="507"/>
      <c r="BG25" s="509"/>
      <c r="BH25" s="55"/>
      <c r="BI25" s="520"/>
      <c r="BJ25" s="521"/>
      <c r="BK25" s="521"/>
      <c r="BL25" s="521"/>
      <c r="BM25" s="521"/>
      <c r="BN25" s="522"/>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row>
    <row r="26" spans="1:100" ht="15" customHeight="1" x14ac:dyDescent="0.25">
      <c r="A26" s="55"/>
      <c r="B26" s="338"/>
      <c r="C26" s="338"/>
      <c r="D26" s="339"/>
      <c r="E26" s="553" t="s">
        <v>106</v>
      </c>
      <c r="F26" s="554"/>
      <c r="G26" s="554"/>
      <c r="H26" s="554"/>
      <c r="I26" s="554"/>
      <c r="J26" s="498" t="str">
        <f ca="1">IF(AND('Mapa final'!$K$7="Alta",'Mapa final'!$O$7="Leve"),CONCATENATE("R",'Mapa final'!$A$7),"")</f>
        <v/>
      </c>
      <c r="K26" s="499"/>
      <c r="L26" s="499" t="str">
        <f ca="1">IF(AND('Mapa final'!$K$10="Alta",'Mapa final'!$O$10="Leve"),CONCATENATE("R",'Mapa final'!$A$10),"")</f>
        <v/>
      </c>
      <c r="M26" s="499"/>
      <c r="N26" s="499" t="str">
        <f ca="1">IF(AND('Mapa final'!$K$13="Alta",'Mapa final'!$O$13="Leve"),CONCATENATE("R",'Mapa final'!$A$13),"")</f>
        <v/>
      </c>
      <c r="O26" s="499"/>
      <c r="P26" s="499" t="e">
        <f>IF(AND('Mapa final'!#REF!="Alta",'Mapa final'!#REF!="Leve"),CONCATENATE("R",'Mapa final'!#REF!),"")</f>
        <v>#REF!</v>
      </c>
      <c r="Q26" s="499"/>
      <c r="R26" s="499" t="str">
        <f ca="1">IF(AND('Mapa final'!$K$16="Alta",'Mapa final'!$O$16="Leve"),CONCATENATE("R",'Mapa final'!$A$16),"")</f>
        <v/>
      </c>
      <c r="S26" s="500"/>
      <c r="T26" s="498" t="str">
        <f ca="1">IF(AND('Mapa final'!$K$7="Alta",'Mapa final'!$O$7="Menor"),CONCATENATE("R",'Mapa final'!$A$7),"")</f>
        <v/>
      </c>
      <c r="U26" s="499"/>
      <c r="V26" s="499" t="str">
        <f ca="1">IF(AND('Mapa final'!$K$10="Alta",'Mapa final'!$O$10="Menor"),CONCATENATE("R",'Mapa final'!$A$10),"")</f>
        <v/>
      </c>
      <c r="W26" s="499"/>
      <c r="X26" s="499" t="str">
        <f ca="1">IF(AND('Mapa final'!$K$13="Alta",'Mapa final'!$O$13="Menor"),CONCATENATE("R",'Mapa final'!$A$13),"")</f>
        <v/>
      </c>
      <c r="Y26" s="499"/>
      <c r="Z26" s="499" t="e">
        <f>IF(AND('Mapa final'!#REF!="Alta",'Mapa final'!#REF!="Menor"),CONCATENATE("R",'Mapa final'!#REF!),"")</f>
        <v>#REF!</v>
      </c>
      <c r="AA26" s="499"/>
      <c r="AB26" s="499" t="str">
        <f ca="1">IF(AND('Mapa final'!$K$16="Alta",'Mapa final'!$O$16="Menor"),CONCATENATE("R",'Mapa final'!$A$16),"")</f>
        <v/>
      </c>
      <c r="AC26" s="500"/>
      <c r="AD26" s="504" t="str">
        <f ca="1">IF(AND('Mapa final'!$K$7="Alta",'Mapa final'!$O$7="Moderado"),CONCATENATE("R",'Mapa final'!$A$7),"")</f>
        <v/>
      </c>
      <c r="AE26" s="505"/>
      <c r="AF26" s="505" t="str">
        <f ca="1">IF(AND('Mapa final'!$K$10="Alta",'Mapa final'!$O$10="Moderado"),CONCATENATE("R",'Mapa final'!$A$10),"")</f>
        <v/>
      </c>
      <c r="AG26" s="505"/>
      <c r="AH26" s="505" t="str">
        <f ca="1">IF(AND('Mapa final'!$K$13="Alta",'Mapa final'!$O$13="Moderado"),CONCATENATE("R",'Mapa final'!$A$13),"")</f>
        <v>R3</v>
      </c>
      <c r="AI26" s="505"/>
      <c r="AJ26" s="505" t="e">
        <f>IF(AND('Mapa final'!#REF!="Alta",'Mapa final'!#REF!="Moderado"),CONCATENATE("R",'Mapa final'!#REF!),"")</f>
        <v>#REF!</v>
      </c>
      <c r="AK26" s="505"/>
      <c r="AL26" s="505" t="str">
        <f ca="1">IF(AND('Mapa final'!$K$16="Alta",'Mapa final'!$O$16="Moderado"),CONCATENATE("R",'Mapa final'!$A$16),"")</f>
        <v/>
      </c>
      <c r="AM26" s="506"/>
      <c r="AN26" s="504" t="str">
        <f ca="1">IF(AND('Mapa final'!$K$7="Alta",'Mapa final'!$O$7="Mayor"),CONCATENATE("R",'Mapa final'!$A$7),"")</f>
        <v/>
      </c>
      <c r="AO26" s="505"/>
      <c r="AP26" s="505" t="str">
        <f ca="1">IF(AND('Mapa final'!$K$10="Alta",'Mapa final'!$O$10="Mayor"),CONCATENATE("R",'Mapa final'!$A$10),"")</f>
        <v/>
      </c>
      <c r="AQ26" s="505"/>
      <c r="AR26" s="505" t="str">
        <f ca="1">IF(AND('Mapa final'!$K$13="Alta",'Mapa final'!$O$13="Mayor"),CONCATENATE("R",'Mapa final'!$A$13),"")</f>
        <v/>
      </c>
      <c r="AS26" s="505"/>
      <c r="AT26" s="505" t="e">
        <f>IF(AND('Mapa final'!#REF!="Alta",'Mapa final'!#REF!="Mayor"),CONCATENATE("R",'Mapa final'!#REF!),"")</f>
        <v>#REF!</v>
      </c>
      <c r="AU26" s="505"/>
      <c r="AV26" s="505" t="str">
        <f ca="1">IF(AND('Mapa final'!$K$16="Alta",'Mapa final'!$O$16="Mayor"),CONCATENATE("R",'Mapa final'!$A$16),"")</f>
        <v/>
      </c>
      <c r="AW26" s="506"/>
      <c r="AX26" s="511" t="str">
        <f ca="1">IF(AND('Mapa final'!$K$7="Alta",'Mapa final'!$O$7="Catastrófico"),CONCATENATE("R",'Mapa final'!$A$7),"")</f>
        <v/>
      </c>
      <c r="AY26" s="510"/>
      <c r="AZ26" s="510" t="str">
        <f ca="1">IF(AND('Mapa final'!$K$10="Alta",'Mapa final'!$O$10="Catastrófico"),CONCATENATE("R",'Mapa final'!$A$10),"")</f>
        <v/>
      </c>
      <c r="BA26" s="510"/>
      <c r="BB26" s="510" t="str">
        <f ca="1">IF(AND('Mapa final'!$K$13="Alta",'Mapa final'!$O$13="Catastrófico"),CONCATENATE("R",'Mapa final'!$A$13),"")</f>
        <v/>
      </c>
      <c r="BC26" s="510"/>
      <c r="BD26" s="510" t="e">
        <f>IF(AND('Mapa final'!#REF!="Alta",'Mapa final'!#REF!="Catastrófico"),CONCATENATE("R",'Mapa final'!#REF!),"")</f>
        <v>#REF!</v>
      </c>
      <c r="BE26" s="510"/>
      <c r="BF26" s="510" t="str">
        <f ca="1">IF(AND('Mapa final'!$K$16="Alta",'Mapa final'!$O$16="Catastrófico"),CONCATENATE("R",'Mapa final'!$A$16),"")</f>
        <v/>
      </c>
      <c r="BG26" s="566"/>
      <c r="BH26" s="55"/>
      <c r="BI26" s="520"/>
      <c r="BJ26" s="521"/>
      <c r="BK26" s="521"/>
      <c r="BL26" s="521"/>
      <c r="BM26" s="521"/>
      <c r="BN26" s="522"/>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row>
    <row r="27" spans="1:100" ht="15" customHeight="1" x14ac:dyDescent="0.25">
      <c r="A27" s="55"/>
      <c r="B27" s="338"/>
      <c r="C27" s="338"/>
      <c r="D27" s="339"/>
      <c r="E27" s="555"/>
      <c r="F27" s="556"/>
      <c r="G27" s="556"/>
      <c r="H27" s="556"/>
      <c r="I27" s="556"/>
      <c r="J27" s="491"/>
      <c r="K27" s="489"/>
      <c r="L27" s="489"/>
      <c r="M27" s="489"/>
      <c r="N27" s="489"/>
      <c r="O27" s="489"/>
      <c r="P27" s="489"/>
      <c r="Q27" s="489"/>
      <c r="R27" s="489"/>
      <c r="S27" s="490"/>
      <c r="T27" s="491"/>
      <c r="U27" s="489"/>
      <c r="V27" s="489"/>
      <c r="W27" s="489"/>
      <c r="X27" s="489"/>
      <c r="Y27" s="489"/>
      <c r="Z27" s="489"/>
      <c r="AA27" s="489"/>
      <c r="AB27" s="489"/>
      <c r="AC27" s="490"/>
      <c r="AD27" s="494"/>
      <c r="AE27" s="492"/>
      <c r="AF27" s="492"/>
      <c r="AG27" s="492"/>
      <c r="AH27" s="492"/>
      <c r="AI27" s="492"/>
      <c r="AJ27" s="492"/>
      <c r="AK27" s="492"/>
      <c r="AL27" s="492"/>
      <c r="AM27" s="493"/>
      <c r="AN27" s="494"/>
      <c r="AO27" s="492"/>
      <c r="AP27" s="492"/>
      <c r="AQ27" s="492"/>
      <c r="AR27" s="492"/>
      <c r="AS27" s="492"/>
      <c r="AT27" s="492"/>
      <c r="AU27" s="492"/>
      <c r="AV27" s="492"/>
      <c r="AW27" s="493"/>
      <c r="AX27" s="488"/>
      <c r="AY27" s="486"/>
      <c r="AZ27" s="486"/>
      <c r="BA27" s="486"/>
      <c r="BB27" s="486"/>
      <c r="BC27" s="486"/>
      <c r="BD27" s="486"/>
      <c r="BE27" s="486"/>
      <c r="BF27" s="486"/>
      <c r="BG27" s="487"/>
      <c r="BH27" s="55"/>
      <c r="BI27" s="520"/>
      <c r="BJ27" s="521"/>
      <c r="BK27" s="521"/>
      <c r="BL27" s="521"/>
      <c r="BM27" s="521"/>
      <c r="BN27" s="522"/>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row>
    <row r="28" spans="1:100" ht="15" customHeight="1" x14ac:dyDescent="0.25">
      <c r="A28" s="55"/>
      <c r="B28" s="338"/>
      <c r="C28" s="338"/>
      <c r="D28" s="339"/>
      <c r="E28" s="555"/>
      <c r="F28" s="556"/>
      <c r="G28" s="556"/>
      <c r="H28" s="556"/>
      <c r="I28" s="556"/>
      <c r="J28" s="491" t="str">
        <f ca="1">IF(AND('Mapa final'!$K$19="Alta",'Mapa final'!$O$19="Leve"),CONCATENATE("R",'Mapa final'!$A$19),"")</f>
        <v/>
      </c>
      <c r="K28" s="489"/>
      <c r="L28" s="489" t="str">
        <f ca="1">IF(AND('Mapa final'!$K$22="Alta",'Mapa final'!$O$22="Leve"),CONCATENATE("R",'Mapa final'!$A$22),"")</f>
        <v/>
      </c>
      <c r="M28" s="489"/>
      <c r="N28" s="489" t="str">
        <f ca="1">IF(AND('Mapa final'!$K$25="Alta",'Mapa final'!$O$25="Leve"),CONCATENATE("R",'Mapa final'!$A$25),"")</f>
        <v/>
      </c>
      <c r="O28" s="489"/>
      <c r="P28" s="489" t="str">
        <f>IF(AND('Mapa final'!$K$28="Alta",'Mapa final'!$O$28="Leve"),CONCATENATE("R",'Mapa final'!$A$28),"")</f>
        <v/>
      </c>
      <c r="Q28" s="489"/>
      <c r="R28" s="489" t="str">
        <f ca="1">IF(AND('Mapa final'!$K$31="Alta",'Mapa final'!$O$31="Leve"),CONCATENATE("R",'Mapa final'!$A$31),"")</f>
        <v/>
      </c>
      <c r="S28" s="490"/>
      <c r="T28" s="491" t="str">
        <f ca="1">IF(AND('Mapa final'!$K$19="Alta",'Mapa final'!$O$19="Menor"),CONCATENATE("R",'Mapa final'!$A$19),"")</f>
        <v/>
      </c>
      <c r="U28" s="489"/>
      <c r="V28" s="489" t="str">
        <f ca="1">IF(AND('Mapa final'!$K$22="Alta",'Mapa final'!$O$22="Menor"),CONCATENATE("R",'Mapa final'!$A$22),"")</f>
        <v/>
      </c>
      <c r="W28" s="489"/>
      <c r="X28" s="489" t="str">
        <f ca="1">IF(AND('Mapa final'!$K$25="Alta",'Mapa final'!$O$25="Menor"),CONCATENATE("R",'Mapa final'!$A$25),"")</f>
        <v/>
      </c>
      <c r="Y28" s="489"/>
      <c r="Z28" s="489" t="str">
        <f>IF(AND('Mapa final'!$K$28="Alta",'Mapa final'!$O$28="Menor"),CONCATENATE("R",'Mapa final'!$A$28),"")</f>
        <v/>
      </c>
      <c r="AA28" s="489"/>
      <c r="AB28" s="489" t="str">
        <f ca="1">IF(AND('Mapa final'!$K$31="Alta",'Mapa final'!$O$31="Menor"),CONCATENATE("R",'Mapa final'!$A$31),"")</f>
        <v/>
      </c>
      <c r="AC28" s="490"/>
      <c r="AD28" s="494" t="str">
        <f ca="1">IF(AND('Mapa final'!$K$19="Alta",'Mapa final'!$O$19="Moderado"),CONCATENATE("R",'Mapa final'!$A$19),"")</f>
        <v/>
      </c>
      <c r="AE28" s="492"/>
      <c r="AF28" s="492" t="str">
        <f ca="1">IF(AND('Mapa final'!$K$22="Alta",'Mapa final'!$O$22="Moderado"),CONCATENATE("R",'Mapa final'!$A$22),"")</f>
        <v/>
      </c>
      <c r="AG28" s="492"/>
      <c r="AH28" s="492" t="str">
        <f ca="1">IF(AND('Mapa final'!$K$25="Alta",'Mapa final'!$O$25="Moderado"),CONCATENATE("R",'Mapa final'!$A$25),"")</f>
        <v>R7</v>
      </c>
      <c r="AI28" s="492"/>
      <c r="AJ28" s="492" t="str">
        <f>IF(AND('Mapa final'!$K$28="Alta",'Mapa final'!$O$28="Moderado"),CONCATENATE("R",'Mapa final'!$A$28),"")</f>
        <v/>
      </c>
      <c r="AK28" s="492"/>
      <c r="AL28" s="492" t="str">
        <f ca="1">IF(AND('Mapa final'!$K$31="Alta",'Mapa final'!$O$31="Moderado"),CONCATENATE("R",'Mapa final'!$A$31),"")</f>
        <v>R9</v>
      </c>
      <c r="AM28" s="493"/>
      <c r="AN28" s="494" t="str">
        <f ca="1">IF(AND('Mapa final'!$K$19="Alta",'Mapa final'!$O$19="Mayor"),CONCATENATE("R",'Mapa final'!$A$19),"")</f>
        <v/>
      </c>
      <c r="AO28" s="492"/>
      <c r="AP28" s="492" t="str">
        <f ca="1">IF(AND('Mapa final'!$K$22="Alta",'Mapa final'!$O$22="Mayor"),CONCATENATE("R",'Mapa final'!$A$22),"")</f>
        <v/>
      </c>
      <c r="AQ28" s="492"/>
      <c r="AR28" s="492" t="str">
        <f ca="1">IF(AND('Mapa final'!$K$25="Alta",'Mapa final'!$O$25="Mayor"),CONCATENATE("R",'Mapa final'!$A$25),"")</f>
        <v/>
      </c>
      <c r="AS28" s="492"/>
      <c r="AT28" s="492" t="str">
        <f>IF(AND('Mapa final'!$K$28="Alta",'Mapa final'!$O$28="Mayor"),CONCATENATE("R",'Mapa final'!$A$28),"")</f>
        <v>R8</v>
      </c>
      <c r="AU28" s="492"/>
      <c r="AV28" s="492" t="str">
        <f ca="1">IF(AND('Mapa final'!$K$31="Alta",'Mapa final'!$O$31="Mayor"),CONCATENATE("R",'Mapa final'!$A$31),"")</f>
        <v/>
      </c>
      <c r="AW28" s="493"/>
      <c r="AX28" s="488" t="str">
        <f ca="1">IF(AND('Mapa final'!$K$19="Alta",'Mapa final'!$O$19="Catastrófico"),CONCATENATE("R",'Mapa final'!$A$19),"")</f>
        <v/>
      </c>
      <c r="AY28" s="486"/>
      <c r="AZ28" s="486" t="str">
        <f ca="1">IF(AND('Mapa final'!$K$22="Alta",'Mapa final'!$O$22="Catastrófico"),CONCATENATE("R",'Mapa final'!$A$22),"")</f>
        <v/>
      </c>
      <c r="BA28" s="486"/>
      <c r="BB28" s="486" t="str">
        <f ca="1">IF(AND('Mapa final'!$K$25="Alta",'Mapa final'!$O$25="Catastrófico"),CONCATENATE("R",'Mapa final'!$A$25),"")</f>
        <v/>
      </c>
      <c r="BC28" s="486"/>
      <c r="BD28" s="486" t="str">
        <f>IF(AND('Mapa final'!$K$28="Alta",'Mapa final'!$O$28="Catastrófico"),CONCATENATE("R",'Mapa final'!$A$28),"")</f>
        <v/>
      </c>
      <c r="BE28" s="486"/>
      <c r="BF28" s="486" t="str">
        <f ca="1">IF(AND('Mapa final'!$K$31="Alta",'Mapa final'!$O$31="Catastrófico"),CONCATENATE("R",'Mapa final'!$A$31),"")</f>
        <v/>
      </c>
      <c r="BG28" s="487"/>
      <c r="BH28" s="55"/>
      <c r="BI28" s="520"/>
      <c r="BJ28" s="521"/>
      <c r="BK28" s="521"/>
      <c r="BL28" s="521"/>
      <c r="BM28" s="521"/>
      <c r="BN28" s="522"/>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row>
    <row r="29" spans="1:100" ht="15" customHeight="1" x14ac:dyDescent="0.25">
      <c r="A29" s="55"/>
      <c r="B29" s="338"/>
      <c r="C29" s="338"/>
      <c r="D29" s="339"/>
      <c r="E29" s="555"/>
      <c r="F29" s="556"/>
      <c r="G29" s="556"/>
      <c r="H29" s="556"/>
      <c r="I29" s="556"/>
      <c r="J29" s="491"/>
      <c r="K29" s="489"/>
      <c r="L29" s="489"/>
      <c r="M29" s="489"/>
      <c r="N29" s="489"/>
      <c r="O29" s="489"/>
      <c r="P29" s="489"/>
      <c r="Q29" s="489"/>
      <c r="R29" s="489"/>
      <c r="S29" s="490"/>
      <c r="T29" s="491"/>
      <c r="U29" s="489"/>
      <c r="V29" s="489"/>
      <c r="W29" s="489"/>
      <c r="X29" s="489"/>
      <c r="Y29" s="489"/>
      <c r="Z29" s="489"/>
      <c r="AA29" s="489"/>
      <c r="AB29" s="489"/>
      <c r="AC29" s="490"/>
      <c r="AD29" s="494"/>
      <c r="AE29" s="492"/>
      <c r="AF29" s="492"/>
      <c r="AG29" s="492"/>
      <c r="AH29" s="492"/>
      <c r="AI29" s="492"/>
      <c r="AJ29" s="492"/>
      <c r="AK29" s="492"/>
      <c r="AL29" s="492"/>
      <c r="AM29" s="493"/>
      <c r="AN29" s="494"/>
      <c r="AO29" s="492"/>
      <c r="AP29" s="492"/>
      <c r="AQ29" s="492"/>
      <c r="AR29" s="492"/>
      <c r="AS29" s="492"/>
      <c r="AT29" s="492"/>
      <c r="AU29" s="492"/>
      <c r="AV29" s="492"/>
      <c r="AW29" s="493"/>
      <c r="AX29" s="488"/>
      <c r="AY29" s="486"/>
      <c r="AZ29" s="486"/>
      <c r="BA29" s="486"/>
      <c r="BB29" s="486"/>
      <c r="BC29" s="486"/>
      <c r="BD29" s="486"/>
      <c r="BE29" s="486"/>
      <c r="BF29" s="486"/>
      <c r="BG29" s="487"/>
      <c r="BH29" s="55"/>
      <c r="BI29" s="520"/>
      <c r="BJ29" s="521"/>
      <c r="BK29" s="521"/>
      <c r="BL29" s="521"/>
      <c r="BM29" s="521"/>
      <c r="BN29" s="522"/>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row>
    <row r="30" spans="1:100" ht="15" customHeight="1" x14ac:dyDescent="0.25">
      <c r="A30" s="55"/>
      <c r="B30" s="338"/>
      <c r="C30" s="338"/>
      <c r="D30" s="339"/>
      <c r="E30" s="555"/>
      <c r="F30" s="556"/>
      <c r="G30" s="556"/>
      <c r="H30" s="556"/>
      <c r="I30" s="556"/>
      <c r="J30" s="491" t="str">
        <f ca="1">IF(AND('Mapa final'!$K$34="Alta",'Mapa final'!$O$34="Leve"),CONCATENATE("R",'Mapa final'!$A$34),"")</f>
        <v/>
      </c>
      <c r="K30" s="489"/>
      <c r="L30" s="489" t="str">
        <f ca="1">IF(AND('Mapa final'!$K$37="Alta",'Mapa final'!$O$37="Leve"),CONCATENATE("R",'Mapa final'!$A$37),"")</f>
        <v/>
      </c>
      <c r="M30" s="489"/>
      <c r="N30" s="489" t="str">
        <f ca="1">IF(AND('Mapa final'!$K$40="Alta",'Mapa final'!$O$40="Leve"),CONCATENATE("R",'Mapa final'!$A$40),"")</f>
        <v/>
      </c>
      <c r="O30" s="489"/>
      <c r="P30" s="489" t="str">
        <f ca="1">IF(AND('Mapa final'!$K$43="Alta",'Mapa final'!$O$43="Leve"),CONCATENATE("R",'Mapa final'!$A$43),"")</f>
        <v/>
      </c>
      <c r="Q30" s="489"/>
      <c r="R30" s="489" t="str">
        <f ca="1">IF(AND('Mapa final'!$K$46="Alta",'Mapa final'!$O$46="Leve"),CONCATENATE("R",'Mapa final'!$A$46),"")</f>
        <v/>
      </c>
      <c r="S30" s="490"/>
      <c r="T30" s="491" t="str">
        <f ca="1">IF(AND('Mapa final'!$K$34="Alta",'Mapa final'!$O$34="Menor"),CONCATENATE("R",'Mapa final'!$A$34),"")</f>
        <v/>
      </c>
      <c r="U30" s="489"/>
      <c r="V30" s="489" t="str">
        <f ca="1">IF(AND('Mapa final'!$K$37="Alta",'Mapa final'!$O$37="Menor"),CONCATENATE("R",'Mapa final'!$A$37),"")</f>
        <v/>
      </c>
      <c r="W30" s="489"/>
      <c r="X30" s="489" t="str">
        <f ca="1">IF(AND('Mapa final'!$K$40="Alta",'Mapa final'!$O$40="Menor"),CONCATENATE("R",'Mapa final'!$A$40),"")</f>
        <v/>
      </c>
      <c r="Y30" s="489"/>
      <c r="Z30" s="489" t="str">
        <f ca="1">IF(AND('Mapa final'!$K$43="Alta",'Mapa final'!$O$43="Menor"),CONCATENATE("R",'Mapa final'!$A$43),"")</f>
        <v/>
      </c>
      <c r="AA30" s="489"/>
      <c r="AB30" s="489" t="str">
        <f ca="1">IF(AND('Mapa final'!$K$46="Alta",'Mapa final'!$O$46="Menor"),CONCATENATE("R",'Mapa final'!$A$46),"")</f>
        <v/>
      </c>
      <c r="AC30" s="490"/>
      <c r="AD30" s="494" t="str">
        <f ca="1">IF(AND('Mapa final'!$K$34="Alta",'Mapa final'!$O$34="Moderado"),CONCATENATE("R",'Mapa final'!$A$34),"")</f>
        <v/>
      </c>
      <c r="AE30" s="492"/>
      <c r="AF30" s="492" t="str">
        <f ca="1">IF(AND('Mapa final'!$K$37="Alta",'Mapa final'!$O$37="Moderado"),CONCATENATE("R",'Mapa final'!$A$37),"")</f>
        <v/>
      </c>
      <c r="AG30" s="492"/>
      <c r="AH30" s="492" t="str">
        <f ca="1">IF(AND('Mapa final'!$K$40="Alta",'Mapa final'!$O$40="Moderado"),CONCATENATE("R",'Mapa final'!$A$40),"")</f>
        <v/>
      </c>
      <c r="AI30" s="492"/>
      <c r="AJ30" s="492" t="str">
        <f ca="1">IF(AND('Mapa final'!$K$43="Alta",'Mapa final'!$O$43="Moderado"),CONCATENATE("R",'Mapa final'!$A$43),"")</f>
        <v/>
      </c>
      <c r="AK30" s="492"/>
      <c r="AL30" s="492" t="str">
        <f ca="1">IF(AND('Mapa final'!$K$46="Alta",'Mapa final'!$O$46="Moderado"),CONCATENATE("R",'Mapa final'!$A$46),"")</f>
        <v>R14</v>
      </c>
      <c r="AM30" s="493"/>
      <c r="AN30" s="494" t="str">
        <f ca="1">IF(AND('Mapa final'!$K$34="Alta",'Mapa final'!$O$34="Mayor"),CONCATENATE("R",'Mapa final'!$A$34),"")</f>
        <v/>
      </c>
      <c r="AO30" s="492"/>
      <c r="AP30" s="492" t="str">
        <f ca="1">IF(AND('Mapa final'!$K$37="Alta",'Mapa final'!$O$37="Mayor"),CONCATENATE("R",'Mapa final'!$A$37),"")</f>
        <v/>
      </c>
      <c r="AQ30" s="492"/>
      <c r="AR30" s="492" t="str">
        <f ca="1">IF(AND('Mapa final'!$K$40="Alta",'Mapa final'!$O$40="Mayor"),CONCATENATE("R",'Mapa final'!$A$40),"")</f>
        <v/>
      </c>
      <c r="AS30" s="492"/>
      <c r="AT30" s="492" t="str">
        <f ca="1">IF(AND('Mapa final'!$K$43="Alta",'Mapa final'!$O$43="Mayor"),CONCATENATE("R",'Mapa final'!$A$43),"")</f>
        <v/>
      </c>
      <c r="AU30" s="492"/>
      <c r="AV30" s="492" t="str">
        <f ca="1">IF(AND('Mapa final'!$K$46="Alta",'Mapa final'!$O$46="Mayor"),CONCATENATE("R",'Mapa final'!$A$46),"")</f>
        <v/>
      </c>
      <c r="AW30" s="493"/>
      <c r="AX30" s="488" t="str">
        <f ca="1">IF(AND('Mapa final'!$K$34="Alta",'Mapa final'!$O$34="Catastrófico"),CONCATENATE("R",'Mapa final'!$A$34),"")</f>
        <v/>
      </c>
      <c r="AY30" s="486"/>
      <c r="AZ30" s="486" t="str">
        <f ca="1">IF(AND('Mapa final'!$K$37="Alta",'Mapa final'!$O$37="Catastrófico"),CONCATENATE("R",'Mapa final'!$A$37),"")</f>
        <v/>
      </c>
      <c r="BA30" s="486"/>
      <c r="BB30" s="486" t="str">
        <f ca="1">IF(AND('Mapa final'!$K$40="Alta",'Mapa final'!$O$40="Catastrófico"),CONCATENATE("R",'Mapa final'!$A$40),"")</f>
        <v/>
      </c>
      <c r="BC30" s="486"/>
      <c r="BD30" s="486" t="str">
        <f ca="1">IF(AND('Mapa final'!$K$43="Alta",'Mapa final'!$O$43="Catastrófico"),CONCATENATE("R",'Mapa final'!$A$43),"")</f>
        <v/>
      </c>
      <c r="BE30" s="486"/>
      <c r="BF30" s="486" t="str">
        <f ca="1">IF(AND('Mapa final'!$K$46="Alta",'Mapa final'!$O$46="Catastrófico"),CONCATENATE("R",'Mapa final'!$A$46),"")</f>
        <v/>
      </c>
      <c r="BG30" s="487"/>
      <c r="BH30" s="55"/>
      <c r="BI30" s="520"/>
      <c r="BJ30" s="521"/>
      <c r="BK30" s="521"/>
      <c r="BL30" s="521"/>
      <c r="BM30" s="521"/>
      <c r="BN30" s="522"/>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row>
    <row r="31" spans="1:100" ht="15" customHeight="1" x14ac:dyDescent="0.25">
      <c r="A31" s="55"/>
      <c r="B31" s="338"/>
      <c r="C31" s="338"/>
      <c r="D31" s="339"/>
      <c r="E31" s="555"/>
      <c r="F31" s="556"/>
      <c r="G31" s="556"/>
      <c r="H31" s="556"/>
      <c r="I31" s="556"/>
      <c r="J31" s="491"/>
      <c r="K31" s="489"/>
      <c r="L31" s="489"/>
      <c r="M31" s="489"/>
      <c r="N31" s="489"/>
      <c r="O31" s="489"/>
      <c r="P31" s="489"/>
      <c r="Q31" s="489"/>
      <c r="R31" s="489"/>
      <c r="S31" s="490"/>
      <c r="T31" s="491"/>
      <c r="U31" s="489"/>
      <c r="V31" s="489"/>
      <c r="W31" s="489"/>
      <c r="X31" s="489"/>
      <c r="Y31" s="489"/>
      <c r="Z31" s="489"/>
      <c r="AA31" s="489"/>
      <c r="AB31" s="489"/>
      <c r="AC31" s="490"/>
      <c r="AD31" s="494"/>
      <c r="AE31" s="492"/>
      <c r="AF31" s="492"/>
      <c r="AG31" s="492"/>
      <c r="AH31" s="492"/>
      <c r="AI31" s="492"/>
      <c r="AJ31" s="492"/>
      <c r="AK31" s="492"/>
      <c r="AL31" s="492"/>
      <c r="AM31" s="493"/>
      <c r="AN31" s="494"/>
      <c r="AO31" s="492"/>
      <c r="AP31" s="492"/>
      <c r="AQ31" s="492"/>
      <c r="AR31" s="492"/>
      <c r="AS31" s="492"/>
      <c r="AT31" s="492"/>
      <c r="AU31" s="492"/>
      <c r="AV31" s="492"/>
      <c r="AW31" s="493"/>
      <c r="AX31" s="488"/>
      <c r="AY31" s="486"/>
      <c r="AZ31" s="486"/>
      <c r="BA31" s="486"/>
      <c r="BB31" s="486"/>
      <c r="BC31" s="486"/>
      <c r="BD31" s="486"/>
      <c r="BE31" s="486"/>
      <c r="BF31" s="486"/>
      <c r="BG31" s="487"/>
      <c r="BH31" s="55"/>
      <c r="BI31" s="520"/>
      <c r="BJ31" s="521"/>
      <c r="BK31" s="521"/>
      <c r="BL31" s="521"/>
      <c r="BM31" s="521"/>
      <c r="BN31" s="522"/>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row>
    <row r="32" spans="1:100" ht="15" customHeight="1" x14ac:dyDescent="0.25">
      <c r="A32" s="55"/>
      <c r="B32" s="338"/>
      <c r="C32" s="338"/>
      <c r="D32" s="339"/>
      <c r="E32" s="555"/>
      <c r="F32" s="556"/>
      <c r="G32" s="556"/>
      <c r="H32" s="556"/>
      <c r="I32" s="556"/>
      <c r="J32" s="491" t="str">
        <f ca="1">IF(AND('Mapa final'!$K$49="Alta",'Mapa final'!$O$49="Leve"),CONCATENATE("R",'Mapa final'!$A$49),"")</f>
        <v/>
      </c>
      <c r="K32" s="489"/>
      <c r="L32" s="489" t="str">
        <f ca="1">IF(AND('Mapa final'!$K$52="Alta",'Mapa final'!$O$52="Leve"),CONCATENATE("R",'Mapa final'!$A$52),"")</f>
        <v/>
      </c>
      <c r="M32" s="489"/>
      <c r="N32" s="489" t="str">
        <f ca="1">IF(AND('Mapa final'!$K$55="Alta",'Mapa final'!$O$55="Leve"),CONCATENATE("R",'Mapa final'!$A$55),"")</f>
        <v/>
      </c>
      <c r="O32" s="489"/>
      <c r="P32" s="489" t="str">
        <f ca="1">IF(AND('Mapa final'!$K$58="Alta",'Mapa final'!$O$58="Leve"),CONCATENATE("R",'Mapa final'!$A$58),"")</f>
        <v/>
      </c>
      <c r="Q32" s="489"/>
      <c r="R32" s="489" t="str">
        <f ca="1">IF(AND('Mapa final'!$K$61="Alta",'Mapa final'!$O$61="Leve"),CONCATENATE("R",'Mapa final'!$A$61),"")</f>
        <v/>
      </c>
      <c r="S32" s="490"/>
      <c r="T32" s="491" t="str">
        <f ca="1">IF(AND('Mapa final'!$K$49="Alta",'Mapa final'!$O$49="Menor"),CONCATENATE("R",'Mapa final'!$A$49),"")</f>
        <v/>
      </c>
      <c r="U32" s="489"/>
      <c r="V32" s="489" t="str">
        <f ca="1">IF(AND('Mapa final'!$K$52="Alta",'Mapa final'!$O$52="Menor"),CONCATENATE("R",'Mapa final'!$A$52),"")</f>
        <v/>
      </c>
      <c r="W32" s="489"/>
      <c r="X32" s="489" t="str">
        <f ca="1">IF(AND('Mapa final'!$K$55="Alta",'Mapa final'!$O$55="Menor"),CONCATENATE("R",'Mapa final'!$A$55),"")</f>
        <v/>
      </c>
      <c r="Y32" s="489"/>
      <c r="Z32" s="489" t="str">
        <f ca="1">IF(AND('Mapa final'!$K$58="Alta",'Mapa final'!$O$58="Menor"),CONCATENATE("R",'Mapa final'!$A$58),"")</f>
        <v/>
      </c>
      <c r="AA32" s="489"/>
      <c r="AB32" s="489" t="str">
        <f ca="1">IF(AND('Mapa final'!$K$61="Alta",'Mapa final'!$O$61="Menor"),CONCATENATE("R",'Mapa final'!$A$61),"")</f>
        <v/>
      </c>
      <c r="AC32" s="490"/>
      <c r="AD32" s="494" t="str">
        <f ca="1">IF(AND('Mapa final'!$K$49="Alta",'Mapa final'!$O$49="Moderado"),CONCATENATE("R",'Mapa final'!$A$49),"")</f>
        <v/>
      </c>
      <c r="AE32" s="492"/>
      <c r="AF32" s="492" t="str">
        <f ca="1">IF(AND('Mapa final'!$K$52="Alta",'Mapa final'!$O$52="Moderado"),CONCATENATE("R",'Mapa final'!$A$52),"")</f>
        <v/>
      </c>
      <c r="AG32" s="492"/>
      <c r="AH32" s="492" t="str">
        <f ca="1">IF(AND('Mapa final'!$K$55="Alta",'Mapa final'!$O$55="Moderado"),CONCATENATE("R",'Mapa final'!$A$55),"")</f>
        <v/>
      </c>
      <c r="AI32" s="492"/>
      <c r="AJ32" s="492" t="str">
        <f ca="1">IF(AND('Mapa final'!$K$58="Alta",'Mapa final'!$O$58="Moderado"),CONCATENATE("R",'Mapa final'!$A$58),"")</f>
        <v/>
      </c>
      <c r="AK32" s="492"/>
      <c r="AL32" s="492" t="str">
        <f ca="1">IF(AND('Mapa final'!$K$61="Alta",'Mapa final'!$O$61="Moderado"),CONCATENATE("R",'Mapa final'!$A$61),"")</f>
        <v/>
      </c>
      <c r="AM32" s="493"/>
      <c r="AN32" s="494" t="str">
        <f ca="1">IF(AND('Mapa final'!$K$49="Alta",'Mapa final'!$O$49="Mayor"),CONCATENATE("R",'Mapa final'!$A$49),"")</f>
        <v/>
      </c>
      <c r="AO32" s="492"/>
      <c r="AP32" s="492" t="str">
        <f ca="1">IF(AND('Mapa final'!$K$52="Alta",'Mapa final'!$O$52="Mayor"),CONCATENATE("R",'Mapa final'!$A$52),"")</f>
        <v/>
      </c>
      <c r="AQ32" s="492"/>
      <c r="AR32" s="492" t="str">
        <f ca="1">IF(AND('Mapa final'!$K$55="Alta",'Mapa final'!$O$55="Mayor"),CONCATENATE("R",'Mapa final'!$A$55),"")</f>
        <v/>
      </c>
      <c r="AS32" s="492"/>
      <c r="AT32" s="492" t="str">
        <f ca="1">IF(AND('Mapa final'!$K$58="Alta",'Mapa final'!$O$58="Mayor"),CONCATENATE("R",'Mapa final'!$A$58),"")</f>
        <v/>
      </c>
      <c r="AU32" s="492"/>
      <c r="AV32" s="492" t="str">
        <f ca="1">IF(AND('Mapa final'!$K$61="Alta",'Mapa final'!$O$61="Mayor"),CONCATENATE("R",'Mapa final'!$A$61),"")</f>
        <v/>
      </c>
      <c r="AW32" s="493"/>
      <c r="AX32" s="488" t="str">
        <f ca="1">IF(AND('Mapa final'!$K$49="Alta",'Mapa final'!$O$49="Catastrófico"),CONCATENATE("R",'Mapa final'!$A$49),"")</f>
        <v/>
      </c>
      <c r="AY32" s="486"/>
      <c r="AZ32" s="486" t="str">
        <f ca="1">IF(AND('Mapa final'!$K$52="Alta",'Mapa final'!$O$52="Catastrófico"),CONCATENATE("R",'Mapa final'!$A$52),"")</f>
        <v/>
      </c>
      <c r="BA32" s="486"/>
      <c r="BB32" s="486" t="str">
        <f ca="1">IF(AND('Mapa final'!$K$55="Alta",'Mapa final'!$O$55="Catastrófico"),CONCATENATE("R",'Mapa final'!$A$55),"")</f>
        <v/>
      </c>
      <c r="BC32" s="486"/>
      <c r="BD32" s="486" t="str">
        <f ca="1">IF(AND('Mapa final'!$K$58="Alta",'Mapa final'!$O$58="Catastrófico"),CONCATENATE("R",'Mapa final'!$A$58),"")</f>
        <v/>
      </c>
      <c r="BE32" s="486"/>
      <c r="BF32" s="486" t="str">
        <f ca="1">IF(AND('Mapa final'!$K$61="Alta",'Mapa final'!$O$61="Catastrófico"),CONCATENATE("R",'Mapa final'!$A$61),"")</f>
        <v/>
      </c>
      <c r="BG32" s="487"/>
      <c r="BH32" s="55"/>
      <c r="BI32" s="520"/>
      <c r="BJ32" s="521"/>
      <c r="BK32" s="521"/>
      <c r="BL32" s="521"/>
      <c r="BM32" s="521"/>
      <c r="BN32" s="522"/>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row>
    <row r="33" spans="1:100" ht="15" customHeight="1" thickBot="1" x14ac:dyDescent="0.3">
      <c r="A33" s="55"/>
      <c r="B33" s="338"/>
      <c r="C33" s="338"/>
      <c r="D33" s="339"/>
      <c r="E33" s="555"/>
      <c r="F33" s="556"/>
      <c r="G33" s="556"/>
      <c r="H33" s="556"/>
      <c r="I33" s="556"/>
      <c r="J33" s="491"/>
      <c r="K33" s="489"/>
      <c r="L33" s="489"/>
      <c r="M33" s="489"/>
      <c r="N33" s="489"/>
      <c r="O33" s="489"/>
      <c r="P33" s="489"/>
      <c r="Q33" s="489"/>
      <c r="R33" s="489"/>
      <c r="S33" s="490"/>
      <c r="T33" s="491"/>
      <c r="U33" s="489"/>
      <c r="V33" s="489"/>
      <c r="W33" s="489"/>
      <c r="X33" s="489"/>
      <c r="Y33" s="489"/>
      <c r="Z33" s="489"/>
      <c r="AA33" s="489"/>
      <c r="AB33" s="489"/>
      <c r="AC33" s="490"/>
      <c r="AD33" s="494"/>
      <c r="AE33" s="492"/>
      <c r="AF33" s="492"/>
      <c r="AG33" s="492"/>
      <c r="AH33" s="492"/>
      <c r="AI33" s="492"/>
      <c r="AJ33" s="492"/>
      <c r="AK33" s="492"/>
      <c r="AL33" s="492"/>
      <c r="AM33" s="493"/>
      <c r="AN33" s="494"/>
      <c r="AO33" s="492"/>
      <c r="AP33" s="492"/>
      <c r="AQ33" s="492"/>
      <c r="AR33" s="492"/>
      <c r="AS33" s="492"/>
      <c r="AT33" s="492"/>
      <c r="AU33" s="492"/>
      <c r="AV33" s="492"/>
      <c r="AW33" s="493"/>
      <c r="AX33" s="488"/>
      <c r="AY33" s="486"/>
      <c r="AZ33" s="486"/>
      <c r="BA33" s="486"/>
      <c r="BB33" s="486"/>
      <c r="BC33" s="486"/>
      <c r="BD33" s="486"/>
      <c r="BE33" s="486"/>
      <c r="BF33" s="486"/>
      <c r="BG33" s="487"/>
      <c r="BH33" s="55"/>
      <c r="BI33" s="523"/>
      <c r="BJ33" s="524"/>
      <c r="BK33" s="524"/>
      <c r="BL33" s="524"/>
      <c r="BM33" s="524"/>
      <c r="BN33" s="52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row>
    <row r="34" spans="1:100" ht="15" customHeight="1" x14ac:dyDescent="0.25">
      <c r="A34" s="55"/>
      <c r="B34" s="338"/>
      <c r="C34" s="338"/>
      <c r="D34" s="339"/>
      <c r="E34" s="555"/>
      <c r="F34" s="556"/>
      <c r="G34" s="556"/>
      <c r="H34" s="556"/>
      <c r="I34" s="556"/>
      <c r="J34" s="491" t="str">
        <f ca="1">IF(AND('Mapa final'!$K$64="Alta",'Mapa final'!$O$64="Leve"),CONCATENATE("R",'Mapa final'!$A$64),"")</f>
        <v/>
      </c>
      <c r="K34" s="489"/>
      <c r="L34" s="489" t="str">
        <f ca="1">IF(AND('Mapa final'!$K$67="Alta",'Mapa final'!$O$67="Leve"),CONCATENATE("R",'Mapa final'!$A$67),"")</f>
        <v/>
      </c>
      <c r="M34" s="489"/>
      <c r="N34" s="489" t="str">
        <f ca="1">IF(AND('Mapa final'!$K$73="Alta",'Mapa final'!$O$73="Leve"),CONCATENATE("R",'Mapa final'!$A$73),"")</f>
        <v/>
      </c>
      <c r="O34" s="489"/>
      <c r="P34" s="489" t="str">
        <f ca="1">IF(AND('Mapa final'!$K$76="Alta",'Mapa final'!$O$76="Leve"),CONCATENATE("R",'Mapa final'!$A$76),"")</f>
        <v/>
      </c>
      <c r="Q34" s="489"/>
      <c r="R34" s="489" t="str">
        <f ca="1">IF(AND('Mapa final'!$K$79="Alta",'Mapa final'!$O$79="Leve"),CONCATENATE("R",'Mapa final'!$A$79),"")</f>
        <v/>
      </c>
      <c r="S34" s="490"/>
      <c r="T34" s="491" t="str">
        <f ca="1">IF(AND('Mapa final'!$K$64="Alta",'Mapa final'!$O$64="Menor"),CONCATENATE("R",'Mapa final'!$A$64),"")</f>
        <v/>
      </c>
      <c r="U34" s="489"/>
      <c r="V34" s="489" t="str">
        <f ca="1">IF(AND('Mapa final'!$K$67="Alta",'Mapa final'!$O$67="Menor"),CONCATENATE("R",'Mapa final'!$A$67),"")</f>
        <v/>
      </c>
      <c r="W34" s="489"/>
      <c r="X34" s="489" t="str">
        <f ca="1">IF(AND('Mapa final'!$K$73="Alta",'Mapa final'!$O$73="Menor"),CONCATENATE("R",'Mapa final'!$A$73),"")</f>
        <v/>
      </c>
      <c r="Y34" s="489"/>
      <c r="Z34" s="489" t="str">
        <f ca="1">IF(AND('Mapa final'!$K$76="Alta",'Mapa final'!$O$76="Menor"),CONCATENATE("R",'Mapa final'!$A$76),"")</f>
        <v/>
      </c>
      <c r="AA34" s="489"/>
      <c r="AB34" s="489" t="str">
        <f ca="1">IF(AND('Mapa final'!$K$79="Alta",'Mapa final'!$O$79="Menor"),CONCATENATE("R",'Mapa final'!$A$79),"")</f>
        <v/>
      </c>
      <c r="AC34" s="490"/>
      <c r="AD34" s="494" t="str">
        <f ca="1">IF(AND('Mapa final'!$K$64="Alta",'Mapa final'!$O$64="Moderado"),CONCATENATE("R",'Mapa final'!$A$64),"")</f>
        <v/>
      </c>
      <c r="AE34" s="492"/>
      <c r="AF34" s="492" t="str">
        <f ca="1">IF(AND('Mapa final'!$K$67="Alta",'Mapa final'!$O$67="Moderado"),CONCATENATE("R",'Mapa final'!$A$67),"")</f>
        <v/>
      </c>
      <c r="AG34" s="492"/>
      <c r="AH34" s="492" t="str">
        <f ca="1">IF(AND('Mapa final'!$K$73="Alta",'Mapa final'!$O$73="Moderado"),CONCATENATE("R",'Mapa final'!$A$73),"")</f>
        <v/>
      </c>
      <c r="AI34" s="492"/>
      <c r="AJ34" s="492" t="str">
        <f ca="1">IF(AND('Mapa final'!$K$76="Alta",'Mapa final'!$O$76="Moderado"),CONCATENATE("R",'Mapa final'!$A$76),"")</f>
        <v/>
      </c>
      <c r="AK34" s="492"/>
      <c r="AL34" s="492" t="str">
        <f ca="1">IF(AND('Mapa final'!$K$79="Alta",'Mapa final'!$O$79="Moderado"),CONCATENATE("R",'Mapa final'!$A$79),"")</f>
        <v/>
      </c>
      <c r="AM34" s="493"/>
      <c r="AN34" s="494" t="str">
        <f ca="1">IF(AND('Mapa final'!$K$64="Alta",'Mapa final'!$O$64="Mayor"),CONCATENATE("R",'Mapa final'!$A$64),"")</f>
        <v/>
      </c>
      <c r="AO34" s="492"/>
      <c r="AP34" s="492" t="str">
        <f ca="1">IF(AND('Mapa final'!$K$67="Alta",'Mapa final'!$O$67="Mayor"),CONCATENATE("R",'Mapa final'!$A$67),"")</f>
        <v/>
      </c>
      <c r="AQ34" s="492"/>
      <c r="AR34" s="492" t="str">
        <f ca="1">IF(AND('Mapa final'!$K$73="Alta",'Mapa final'!$O$73="Mayor"),CONCATENATE("R",'Mapa final'!$A$73),"")</f>
        <v/>
      </c>
      <c r="AS34" s="492"/>
      <c r="AT34" s="492" t="str">
        <f ca="1">IF(AND('Mapa final'!$K$76="Alta",'Mapa final'!$O$76="Mayor"),CONCATENATE("R",'Mapa final'!$A$76),"")</f>
        <v/>
      </c>
      <c r="AU34" s="492"/>
      <c r="AV34" s="492" t="str">
        <f ca="1">IF(AND('Mapa final'!$K$79="Alta",'Mapa final'!$O$79="Mayor"),CONCATENATE("R",'Mapa final'!$A$79),"")</f>
        <v/>
      </c>
      <c r="AW34" s="493"/>
      <c r="AX34" s="488" t="str">
        <f ca="1">IF(AND('Mapa final'!$K$64="Alta",'Mapa final'!$O$64="Catastrófico"),CONCATENATE("R",'Mapa final'!$A$64),"")</f>
        <v/>
      </c>
      <c r="AY34" s="486"/>
      <c r="AZ34" s="486" t="str">
        <f ca="1">IF(AND('Mapa final'!$K$67="Alta",'Mapa final'!$O$67="Catastrófico"),CONCATENATE("R",'Mapa final'!$A$67),"")</f>
        <v/>
      </c>
      <c r="BA34" s="486"/>
      <c r="BB34" s="486" t="str">
        <f ca="1">IF(AND('Mapa final'!$K$73="Alta",'Mapa final'!$O$73="Catastrófico"),CONCATENATE("R",'Mapa final'!$A$73),"")</f>
        <v/>
      </c>
      <c r="BC34" s="486"/>
      <c r="BD34" s="486" t="str">
        <f ca="1">IF(AND('Mapa final'!$K$76="Alta",'Mapa final'!$O$76="Catastrófico"),CONCATENATE("R",'Mapa final'!$A$76),"")</f>
        <v/>
      </c>
      <c r="BE34" s="486"/>
      <c r="BF34" s="486" t="str">
        <f ca="1">IF(AND('Mapa final'!$K$79="Alta",'Mapa final'!$O$79="Catastrófico"),CONCATENATE("R",'Mapa final'!$A$79),"")</f>
        <v/>
      </c>
      <c r="BG34" s="487"/>
      <c r="BH34" s="55"/>
      <c r="BI34" s="526" t="s">
        <v>74</v>
      </c>
      <c r="BJ34" s="527"/>
      <c r="BK34" s="527"/>
      <c r="BL34" s="527"/>
      <c r="BM34" s="527"/>
      <c r="BN34" s="528"/>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row>
    <row r="35" spans="1:100" ht="15" customHeight="1" x14ac:dyDescent="0.25">
      <c r="A35" s="55"/>
      <c r="B35" s="338"/>
      <c r="C35" s="338"/>
      <c r="D35" s="339"/>
      <c r="E35" s="555"/>
      <c r="F35" s="556"/>
      <c r="G35" s="556"/>
      <c r="H35" s="556"/>
      <c r="I35" s="556"/>
      <c r="J35" s="491"/>
      <c r="K35" s="489"/>
      <c r="L35" s="489"/>
      <c r="M35" s="489"/>
      <c r="N35" s="489"/>
      <c r="O35" s="489"/>
      <c r="P35" s="489"/>
      <c r="Q35" s="489"/>
      <c r="R35" s="489"/>
      <c r="S35" s="490"/>
      <c r="T35" s="491"/>
      <c r="U35" s="489"/>
      <c r="V35" s="489"/>
      <c r="W35" s="489"/>
      <c r="X35" s="489"/>
      <c r="Y35" s="489"/>
      <c r="Z35" s="489"/>
      <c r="AA35" s="489"/>
      <c r="AB35" s="489"/>
      <c r="AC35" s="490"/>
      <c r="AD35" s="494"/>
      <c r="AE35" s="492"/>
      <c r="AF35" s="492"/>
      <c r="AG35" s="492"/>
      <c r="AH35" s="492"/>
      <c r="AI35" s="492"/>
      <c r="AJ35" s="492"/>
      <c r="AK35" s="492"/>
      <c r="AL35" s="492"/>
      <c r="AM35" s="493"/>
      <c r="AN35" s="494"/>
      <c r="AO35" s="492"/>
      <c r="AP35" s="492"/>
      <c r="AQ35" s="492"/>
      <c r="AR35" s="492"/>
      <c r="AS35" s="492"/>
      <c r="AT35" s="492"/>
      <c r="AU35" s="492"/>
      <c r="AV35" s="492"/>
      <c r="AW35" s="493"/>
      <c r="AX35" s="488"/>
      <c r="AY35" s="486"/>
      <c r="AZ35" s="486"/>
      <c r="BA35" s="486"/>
      <c r="BB35" s="486"/>
      <c r="BC35" s="486"/>
      <c r="BD35" s="486"/>
      <c r="BE35" s="486"/>
      <c r="BF35" s="486"/>
      <c r="BG35" s="487"/>
      <c r="BH35" s="55"/>
      <c r="BI35" s="529"/>
      <c r="BJ35" s="530"/>
      <c r="BK35" s="530"/>
      <c r="BL35" s="530"/>
      <c r="BM35" s="530"/>
      <c r="BN35" s="531"/>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row>
    <row r="36" spans="1:100" ht="15" customHeight="1" x14ac:dyDescent="0.25">
      <c r="A36" s="55"/>
      <c r="B36" s="338"/>
      <c r="C36" s="338"/>
      <c r="D36" s="339"/>
      <c r="E36" s="555"/>
      <c r="F36" s="556"/>
      <c r="G36" s="556"/>
      <c r="H36" s="556"/>
      <c r="I36" s="556"/>
      <c r="J36" s="491" t="str">
        <f ca="1">IF(AND('Mapa final'!$K$82="Alta",'Mapa final'!$O$82="Leve"),CONCATENATE("R",'Mapa final'!$A$82),"")</f>
        <v/>
      </c>
      <c r="K36" s="489"/>
      <c r="L36" s="489" t="str">
        <f ca="1">IF(AND('Mapa final'!$K$85="Alta",'Mapa final'!$O$85="Leve"),CONCATENATE("R",'Mapa final'!$A$85),"")</f>
        <v/>
      </c>
      <c r="M36" s="489"/>
      <c r="N36" s="489" t="str">
        <f ca="1">IF(AND('Mapa final'!$K$88="Alta",'Mapa final'!$O$88="Leve"),CONCATENATE("R",'Mapa final'!$A$88),"")</f>
        <v/>
      </c>
      <c r="O36" s="489"/>
      <c r="P36" s="489" t="str">
        <f ca="1">IF(AND('Mapa final'!$K$91="Alta",'Mapa final'!$O$91="Leve"),CONCATENATE("R",'Mapa final'!$A$91),"")</f>
        <v/>
      </c>
      <c r="Q36" s="489"/>
      <c r="R36" s="489" t="str">
        <f ca="1">IF(AND('Mapa final'!$K$94="Alta",'Mapa final'!$O$94="Leve"),CONCATENATE("R",'Mapa final'!$A$94),"")</f>
        <v/>
      </c>
      <c r="S36" s="490"/>
      <c r="T36" s="491" t="str">
        <f ca="1">IF(AND('Mapa final'!$K$82="Alta",'Mapa final'!$O$82="Menor"),CONCATENATE("R",'Mapa final'!$A$82),"")</f>
        <v/>
      </c>
      <c r="U36" s="489"/>
      <c r="V36" s="489" t="str">
        <f ca="1">IF(AND('Mapa final'!$K$85="Alta",'Mapa final'!$O$85="Menor"),CONCATENATE("R",'Mapa final'!$A$85),"")</f>
        <v/>
      </c>
      <c r="W36" s="489"/>
      <c r="X36" s="489" t="str">
        <f ca="1">IF(AND('Mapa final'!$K$88="Alta",'Mapa final'!$O$88="Menor"),CONCATENATE("R",'Mapa final'!$A$88),"")</f>
        <v/>
      </c>
      <c r="Y36" s="489"/>
      <c r="Z36" s="489" t="str">
        <f ca="1">IF(AND('Mapa final'!$K$91="Alta",'Mapa final'!$O$91="Menor"),CONCATENATE("R",'Mapa final'!$A$91),"")</f>
        <v/>
      </c>
      <c r="AA36" s="489"/>
      <c r="AB36" s="489" t="str">
        <f ca="1">IF(AND('Mapa final'!$K$94="Alta",'Mapa final'!$O$94="Menor"),CONCATENATE("R",'Mapa final'!$A$94),"")</f>
        <v/>
      </c>
      <c r="AC36" s="490"/>
      <c r="AD36" s="494" t="str">
        <f ca="1">IF(AND('Mapa final'!$K$82="Alta",'Mapa final'!$O$82="Moderado"),CONCATENATE("R",'Mapa final'!$A$82),"")</f>
        <v/>
      </c>
      <c r="AE36" s="492"/>
      <c r="AF36" s="492" t="str">
        <f ca="1">IF(AND('Mapa final'!$K$85="Alta",'Mapa final'!$O$85="Moderado"),CONCATENATE("R",'Mapa final'!$A$85),"")</f>
        <v/>
      </c>
      <c r="AG36" s="492"/>
      <c r="AH36" s="492" t="str">
        <f ca="1">IF(AND('Mapa final'!$K$88="Alta",'Mapa final'!$O$88="Moderado"),CONCATENATE("R",'Mapa final'!$A$88),"")</f>
        <v/>
      </c>
      <c r="AI36" s="492"/>
      <c r="AJ36" s="492" t="str">
        <f ca="1">IF(AND('Mapa final'!$K$91="Alta",'Mapa final'!$O$91="Moderado"),CONCATENATE("R",'Mapa final'!$A$91),"")</f>
        <v/>
      </c>
      <c r="AK36" s="492"/>
      <c r="AL36" s="492" t="str">
        <f ca="1">IF(AND('Mapa final'!$K$94="Alta",'Mapa final'!$O$94="Moderado"),CONCATENATE("R",'Mapa final'!$A$94),"")</f>
        <v/>
      </c>
      <c r="AM36" s="493"/>
      <c r="AN36" s="494" t="str">
        <f ca="1">IF(AND('Mapa final'!$K$82="Alta",'Mapa final'!$O$82="Mayor"),CONCATENATE("R",'Mapa final'!$A$82),"")</f>
        <v/>
      </c>
      <c r="AO36" s="492"/>
      <c r="AP36" s="492" t="str">
        <f ca="1">IF(AND('Mapa final'!$K$85="Alta",'Mapa final'!$O$85="Mayor"),CONCATENATE("R",'Mapa final'!$A$85),"")</f>
        <v/>
      </c>
      <c r="AQ36" s="492"/>
      <c r="AR36" s="492" t="str">
        <f ca="1">IF(AND('Mapa final'!$K$88="Alta",'Mapa final'!$O$88="Mayor"),CONCATENATE("R",'Mapa final'!$A$88),"")</f>
        <v/>
      </c>
      <c r="AS36" s="492"/>
      <c r="AT36" s="492" t="str">
        <f ca="1">IF(AND('Mapa final'!$K$91="Alta",'Mapa final'!$O$91="Mayor"),CONCATENATE("R",'Mapa final'!$A$91),"")</f>
        <v/>
      </c>
      <c r="AU36" s="492"/>
      <c r="AV36" s="492" t="str">
        <f ca="1">IF(AND('Mapa final'!$K$94="Alta",'Mapa final'!$O$94="Mayor"),CONCATENATE("R",'Mapa final'!$A$94),"")</f>
        <v>R30</v>
      </c>
      <c r="AW36" s="493"/>
      <c r="AX36" s="488" t="str">
        <f ca="1">IF(AND('Mapa final'!$K$82="Alta",'Mapa final'!$O$82="Catastrófico"),CONCATENATE("R",'Mapa final'!$A$82),"")</f>
        <v/>
      </c>
      <c r="AY36" s="486"/>
      <c r="AZ36" s="486" t="str">
        <f ca="1">IF(AND('Mapa final'!$K$85="Alta",'Mapa final'!$O$85="Catastrófico"),CONCATENATE("R",'Mapa final'!$A$85),"")</f>
        <v/>
      </c>
      <c r="BA36" s="486"/>
      <c r="BB36" s="486" t="str">
        <f ca="1">IF(AND('Mapa final'!$K$88="Alta",'Mapa final'!$O$88="Catastrófico"),CONCATENATE("R",'Mapa final'!$A$88),"")</f>
        <v/>
      </c>
      <c r="BC36" s="486"/>
      <c r="BD36" s="486" t="str">
        <f ca="1">IF(AND('Mapa final'!$K$91="Alta",'Mapa final'!$O$91="Catastrófico"),CONCATENATE("R",'Mapa final'!$A$91),"")</f>
        <v/>
      </c>
      <c r="BE36" s="486"/>
      <c r="BF36" s="486" t="str">
        <f ca="1">IF(AND('Mapa final'!$K$94="Alta",'Mapa final'!$O$94="Catastrófico"),CONCATENATE("R",'Mapa final'!$A$94),"")</f>
        <v/>
      </c>
      <c r="BG36" s="487"/>
      <c r="BH36" s="55"/>
      <c r="BI36" s="529"/>
      <c r="BJ36" s="530"/>
      <c r="BK36" s="530"/>
      <c r="BL36" s="530"/>
      <c r="BM36" s="530"/>
      <c r="BN36" s="531"/>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row>
    <row r="37" spans="1:100" ht="15" customHeight="1" x14ac:dyDescent="0.25">
      <c r="A37" s="55"/>
      <c r="B37" s="338"/>
      <c r="C37" s="338"/>
      <c r="D37" s="339"/>
      <c r="E37" s="555"/>
      <c r="F37" s="556"/>
      <c r="G37" s="556"/>
      <c r="H37" s="556"/>
      <c r="I37" s="556"/>
      <c r="J37" s="491"/>
      <c r="K37" s="489"/>
      <c r="L37" s="489"/>
      <c r="M37" s="489"/>
      <c r="N37" s="489"/>
      <c r="O37" s="489"/>
      <c r="P37" s="489"/>
      <c r="Q37" s="489"/>
      <c r="R37" s="489"/>
      <c r="S37" s="490"/>
      <c r="T37" s="491"/>
      <c r="U37" s="489"/>
      <c r="V37" s="489"/>
      <c r="W37" s="489"/>
      <c r="X37" s="489"/>
      <c r="Y37" s="489"/>
      <c r="Z37" s="489"/>
      <c r="AA37" s="489"/>
      <c r="AB37" s="489"/>
      <c r="AC37" s="490"/>
      <c r="AD37" s="494"/>
      <c r="AE37" s="492"/>
      <c r="AF37" s="492"/>
      <c r="AG37" s="492"/>
      <c r="AH37" s="492"/>
      <c r="AI37" s="492"/>
      <c r="AJ37" s="492"/>
      <c r="AK37" s="492"/>
      <c r="AL37" s="492"/>
      <c r="AM37" s="493"/>
      <c r="AN37" s="494"/>
      <c r="AO37" s="492"/>
      <c r="AP37" s="492"/>
      <c r="AQ37" s="492"/>
      <c r="AR37" s="492"/>
      <c r="AS37" s="492"/>
      <c r="AT37" s="492"/>
      <c r="AU37" s="492"/>
      <c r="AV37" s="492"/>
      <c r="AW37" s="493"/>
      <c r="AX37" s="488"/>
      <c r="AY37" s="486"/>
      <c r="AZ37" s="486"/>
      <c r="BA37" s="486"/>
      <c r="BB37" s="486"/>
      <c r="BC37" s="486"/>
      <c r="BD37" s="486"/>
      <c r="BE37" s="486"/>
      <c r="BF37" s="486"/>
      <c r="BG37" s="487"/>
      <c r="BH37" s="55"/>
      <c r="BI37" s="529"/>
      <c r="BJ37" s="530"/>
      <c r="BK37" s="530"/>
      <c r="BL37" s="530"/>
      <c r="BM37" s="530"/>
      <c r="BN37" s="531"/>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row>
    <row r="38" spans="1:100" ht="15" customHeight="1" x14ac:dyDescent="0.25">
      <c r="A38" s="55"/>
      <c r="B38" s="338"/>
      <c r="C38" s="338"/>
      <c r="D38" s="339"/>
      <c r="E38" s="555"/>
      <c r="F38" s="556"/>
      <c r="G38" s="556"/>
      <c r="H38" s="556"/>
      <c r="I38" s="556"/>
      <c r="J38" s="491" t="str">
        <f ca="1">IF(AND('Mapa final'!$K$97="Alta",'Mapa final'!$O$97="Leve"),CONCATENATE("R",'Mapa final'!$A$97),"")</f>
        <v/>
      </c>
      <c r="K38" s="489"/>
      <c r="L38" s="489" t="str">
        <f ca="1">IF(AND('Mapa final'!$K$100="Alta",'Mapa final'!$O$100="Leve"),CONCATENATE("R",'Mapa final'!$A$100),"")</f>
        <v/>
      </c>
      <c r="M38" s="489"/>
      <c r="N38" s="489" t="str">
        <f>IF(AND('Mapa final'!$K$103="Alta",'Mapa final'!$O$103="Leve"),CONCATENATE("R",'Mapa final'!$A$103),"")</f>
        <v/>
      </c>
      <c r="O38" s="489"/>
      <c r="P38" s="489" t="str">
        <f ca="1">IF(AND('Mapa final'!$K$106="Alta",'Mapa final'!$O$106="Leve"),CONCATENATE("R",'Mapa final'!$A$106),"")</f>
        <v/>
      </c>
      <c r="Q38" s="489"/>
      <c r="R38" s="489" t="str">
        <f ca="1">IF(AND('Mapa final'!$K$109="Alta",'Mapa final'!$O$109="Leve"),CONCATENATE("R",'Mapa final'!$A$109),"")</f>
        <v/>
      </c>
      <c r="S38" s="490"/>
      <c r="T38" s="491" t="str">
        <f ca="1">IF(AND('Mapa final'!$K$97="Alta",'Mapa final'!$O$97="Menor"),CONCATENATE("R",'Mapa final'!$A$97),"")</f>
        <v/>
      </c>
      <c r="U38" s="489"/>
      <c r="V38" s="489" t="str">
        <f ca="1">IF(AND('Mapa final'!$K$100="Alta",'Mapa final'!$O$100="Menor"),CONCATENATE("R",'Mapa final'!$A$100),"")</f>
        <v/>
      </c>
      <c r="W38" s="489"/>
      <c r="X38" s="489" t="str">
        <f>IF(AND('Mapa final'!$K$103="Alta",'Mapa final'!$O$103="Menor"),CONCATENATE("R",'Mapa final'!$A$103),"")</f>
        <v/>
      </c>
      <c r="Y38" s="489"/>
      <c r="Z38" s="489" t="str">
        <f ca="1">IF(AND('Mapa final'!$K$106="Alta",'Mapa final'!$O$106="Menor"),CONCATENATE("R",'Mapa final'!$A$106),"")</f>
        <v/>
      </c>
      <c r="AA38" s="489"/>
      <c r="AB38" s="489" t="str">
        <f ca="1">IF(AND('Mapa final'!$K$109="Alta",'Mapa final'!$O$109="Menor"),CONCATENATE("R",'Mapa final'!$A$109),"")</f>
        <v/>
      </c>
      <c r="AC38" s="490"/>
      <c r="AD38" s="494" t="str">
        <f ca="1">IF(AND('Mapa final'!$K$97="Alta",'Mapa final'!$O$97="Moderado"),CONCATENATE("R",'Mapa final'!$A$97),"")</f>
        <v/>
      </c>
      <c r="AE38" s="492"/>
      <c r="AF38" s="492" t="str">
        <f ca="1">IF(AND('Mapa final'!$K$100="Alta",'Mapa final'!$O$100="Moderado"),CONCATENATE("R",'Mapa final'!$A$100),"")</f>
        <v>R32</v>
      </c>
      <c r="AG38" s="492"/>
      <c r="AH38" s="492" t="str">
        <f>IF(AND('Mapa final'!$K$103="Alta",'Mapa final'!$O$103="Moderado"),CONCATENATE("R",'Mapa final'!$A$103),"")</f>
        <v>R33</v>
      </c>
      <c r="AI38" s="492"/>
      <c r="AJ38" s="492" t="str">
        <f ca="1">IF(AND('Mapa final'!$K$106="Alta",'Mapa final'!$O$106="Moderado"),CONCATENATE("R",'Mapa final'!$A$106),"")</f>
        <v/>
      </c>
      <c r="AK38" s="492"/>
      <c r="AL38" s="492" t="str">
        <f ca="1">IF(AND('Mapa final'!$K$109="Alta",'Mapa final'!$O$109="Moderado"),CONCATENATE("R",'Mapa final'!$A$109),"")</f>
        <v/>
      </c>
      <c r="AM38" s="493"/>
      <c r="AN38" s="494" t="str">
        <f ca="1">IF(AND('Mapa final'!$K$97="Alta",'Mapa final'!$O$97="Mayor"),CONCATENATE("R",'Mapa final'!$A$97),"")</f>
        <v/>
      </c>
      <c r="AO38" s="492"/>
      <c r="AP38" s="492" t="str">
        <f ca="1">IF(AND('Mapa final'!$K$100="Alta",'Mapa final'!$O$100="Mayor"),CONCATENATE("R",'Mapa final'!$A$100),"")</f>
        <v/>
      </c>
      <c r="AQ38" s="492"/>
      <c r="AR38" s="492" t="str">
        <f>IF(AND('Mapa final'!$K$103="Alta",'Mapa final'!$O$103="Mayor"),CONCATENATE("R",'Mapa final'!$A$103),"")</f>
        <v/>
      </c>
      <c r="AS38" s="492"/>
      <c r="AT38" s="492" t="str">
        <f ca="1">IF(AND('Mapa final'!$K$106="Alta",'Mapa final'!$O$106="Mayor"),CONCATENATE("R",'Mapa final'!$A$106),"")</f>
        <v/>
      </c>
      <c r="AU38" s="492"/>
      <c r="AV38" s="492" t="str">
        <f ca="1">IF(AND('Mapa final'!$K$109="Alta",'Mapa final'!$O$109="Mayor"),CONCATENATE("R",'Mapa final'!$A$109),"")</f>
        <v/>
      </c>
      <c r="AW38" s="493"/>
      <c r="AX38" s="488" t="str">
        <f ca="1">IF(AND('Mapa final'!$K$97="Alta",'Mapa final'!$O$97="Catastrófico"),CONCATENATE("R",'Mapa final'!$A$97),"")</f>
        <v/>
      </c>
      <c r="AY38" s="486"/>
      <c r="AZ38" s="486" t="str">
        <f ca="1">IF(AND('Mapa final'!$K$100="Alta",'Mapa final'!$O$100="Catastrófico"),CONCATENATE("R",'Mapa final'!$A$100),"")</f>
        <v/>
      </c>
      <c r="BA38" s="486"/>
      <c r="BB38" s="486" t="str">
        <f>IF(AND('Mapa final'!$K$103="Alta",'Mapa final'!$O$103="Catastrófico"),CONCATENATE("R",'Mapa final'!$A$103),"")</f>
        <v/>
      </c>
      <c r="BC38" s="486"/>
      <c r="BD38" s="486" t="str">
        <f ca="1">IF(AND('Mapa final'!$K$106="Alta",'Mapa final'!$O$106="Catastrófico"),CONCATENATE("R",'Mapa final'!$A$106),"")</f>
        <v/>
      </c>
      <c r="BE38" s="486"/>
      <c r="BF38" s="486" t="str">
        <f ca="1">IF(AND('Mapa final'!$K$109="Alta",'Mapa final'!$O$109="Catastrófico"),CONCATENATE("R",'Mapa final'!$A$109),"")</f>
        <v/>
      </c>
      <c r="BG38" s="487"/>
      <c r="BH38" s="55"/>
      <c r="BI38" s="529"/>
      <c r="BJ38" s="530"/>
      <c r="BK38" s="530"/>
      <c r="BL38" s="530"/>
      <c r="BM38" s="530"/>
      <c r="BN38" s="531"/>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row>
    <row r="39" spans="1:100" ht="15" customHeight="1" x14ac:dyDescent="0.25">
      <c r="A39" s="55"/>
      <c r="B39" s="338"/>
      <c r="C39" s="338"/>
      <c r="D39" s="339"/>
      <c r="E39" s="555"/>
      <c r="F39" s="556"/>
      <c r="G39" s="556"/>
      <c r="H39" s="556"/>
      <c r="I39" s="556"/>
      <c r="J39" s="491"/>
      <c r="K39" s="489"/>
      <c r="L39" s="489"/>
      <c r="M39" s="489"/>
      <c r="N39" s="489"/>
      <c r="O39" s="489"/>
      <c r="P39" s="489"/>
      <c r="Q39" s="489"/>
      <c r="R39" s="489"/>
      <c r="S39" s="490"/>
      <c r="T39" s="491"/>
      <c r="U39" s="489"/>
      <c r="V39" s="489"/>
      <c r="W39" s="489"/>
      <c r="X39" s="489"/>
      <c r="Y39" s="489"/>
      <c r="Z39" s="489"/>
      <c r="AA39" s="489"/>
      <c r="AB39" s="489"/>
      <c r="AC39" s="490"/>
      <c r="AD39" s="494"/>
      <c r="AE39" s="492"/>
      <c r="AF39" s="492"/>
      <c r="AG39" s="492"/>
      <c r="AH39" s="492"/>
      <c r="AI39" s="492"/>
      <c r="AJ39" s="492"/>
      <c r="AK39" s="492"/>
      <c r="AL39" s="492"/>
      <c r="AM39" s="493"/>
      <c r="AN39" s="494"/>
      <c r="AO39" s="492"/>
      <c r="AP39" s="492"/>
      <c r="AQ39" s="492"/>
      <c r="AR39" s="492"/>
      <c r="AS39" s="492"/>
      <c r="AT39" s="492"/>
      <c r="AU39" s="492"/>
      <c r="AV39" s="492"/>
      <c r="AW39" s="493"/>
      <c r="AX39" s="488"/>
      <c r="AY39" s="486"/>
      <c r="AZ39" s="486"/>
      <c r="BA39" s="486"/>
      <c r="BB39" s="486"/>
      <c r="BC39" s="486"/>
      <c r="BD39" s="486"/>
      <c r="BE39" s="486"/>
      <c r="BF39" s="486"/>
      <c r="BG39" s="487"/>
      <c r="BH39" s="55"/>
      <c r="BI39" s="529"/>
      <c r="BJ39" s="530"/>
      <c r="BK39" s="530"/>
      <c r="BL39" s="530"/>
      <c r="BM39" s="530"/>
      <c r="BN39" s="531"/>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row>
    <row r="40" spans="1:100" ht="15" customHeight="1" x14ac:dyDescent="0.25">
      <c r="A40" s="55"/>
      <c r="B40" s="338"/>
      <c r="C40" s="338"/>
      <c r="D40" s="339"/>
      <c r="E40" s="555"/>
      <c r="F40" s="556"/>
      <c r="G40" s="556"/>
      <c r="H40" s="556"/>
      <c r="I40" s="556"/>
      <c r="J40" s="491" t="str">
        <f ca="1">IF(AND('Mapa final'!$K$112="Alta",'Mapa final'!$O$112="Leve"),CONCATENATE("R",'Mapa final'!$A$112),"")</f>
        <v/>
      </c>
      <c r="K40" s="489"/>
      <c r="L40" s="489" t="str">
        <f ca="1">IF(AND('Mapa final'!$K$115="Alta",'Mapa final'!$O$115="Leve"),CONCATENATE("R",'Mapa final'!$A$115),"")</f>
        <v/>
      </c>
      <c r="M40" s="489"/>
      <c r="N40" s="489" t="str">
        <f ca="1">IF(AND('Mapa final'!$K$118="Alta",'Mapa final'!$O$118="Leve"),CONCATENATE("R",'Mapa final'!$A$118),"")</f>
        <v/>
      </c>
      <c r="O40" s="489"/>
      <c r="P40" s="489" t="str">
        <f ca="1">IF(AND('Mapa final'!$K$121="Alta",'Mapa final'!$O$121="Leve"),CONCATENATE("R",'Mapa final'!$A$121),"")</f>
        <v/>
      </c>
      <c r="Q40" s="489"/>
      <c r="R40" s="489" t="str">
        <f ca="1">IF(AND('Mapa final'!$K$124="Alta",'Mapa final'!$O$124="Leve"),CONCATENATE("R",'Mapa final'!$A$124),"")</f>
        <v/>
      </c>
      <c r="S40" s="490"/>
      <c r="T40" s="491" t="str">
        <f ca="1">IF(AND('Mapa final'!$K$112="Alta",'Mapa final'!$O$112="Menor"),CONCATENATE("R",'Mapa final'!$A$112),"")</f>
        <v/>
      </c>
      <c r="U40" s="489"/>
      <c r="V40" s="489" t="str">
        <f ca="1">IF(AND('Mapa final'!$K$115="Alta",'Mapa final'!$O$115="Menor"),CONCATENATE("R",'Mapa final'!$A$115),"")</f>
        <v/>
      </c>
      <c r="W40" s="489"/>
      <c r="X40" s="489" t="str">
        <f ca="1">IF(AND('Mapa final'!$K$118="Alta",'Mapa final'!$O$118="Menor"),CONCATENATE("R",'Mapa final'!$A$118),"")</f>
        <v/>
      </c>
      <c r="Y40" s="489"/>
      <c r="Z40" s="489" t="str">
        <f ca="1">IF(AND('Mapa final'!$K$121="Alta",'Mapa final'!$O$121="Menor"),CONCATENATE("R",'Mapa final'!$A$121),"")</f>
        <v/>
      </c>
      <c r="AA40" s="489"/>
      <c r="AB40" s="489" t="str">
        <f ca="1">IF(AND('Mapa final'!$K$124="Alta",'Mapa final'!$O$124="Menor"),CONCATENATE("R",'Mapa final'!$A$124),"")</f>
        <v/>
      </c>
      <c r="AC40" s="490"/>
      <c r="AD40" s="494" t="str">
        <f ca="1">IF(AND('Mapa final'!$K$112="Alta",'Mapa final'!$O$112="Moderado"),CONCATENATE("R",'Mapa final'!$A$112),"")</f>
        <v/>
      </c>
      <c r="AE40" s="492"/>
      <c r="AF40" s="492" t="str">
        <f ca="1">IF(AND('Mapa final'!$K$115="Alta",'Mapa final'!$O$115="Moderado"),CONCATENATE("R",'Mapa final'!$A$115),"")</f>
        <v/>
      </c>
      <c r="AG40" s="492"/>
      <c r="AH40" s="492" t="str">
        <f ca="1">IF(AND('Mapa final'!$K$118="Alta",'Mapa final'!$O$118="Moderado"),CONCATENATE("R",'Mapa final'!$A$118),"")</f>
        <v/>
      </c>
      <c r="AI40" s="492"/>
      <c r="AJ40" s="492" t="str">
        <f ca="1">IF(AND('Mapa final'!$K$121="Alta",'Mapa final'!$O$121="Moderado"),CONCATENATE("R",'Mapa final'!$A$121),"")</f>
        <v>R39</v>
      </c>
      <c r="AK40" s="492"/>
      <c r="AL40" s="492" t="str">
        <f ca="1">IF(AND('Mapa final'!$K$124="Alta",'Mapa final'!$O$124="Moderado"),CONCATENATE("R",'Mapa final'!$A$124),"")</f>
        <v/>
      </c>
      <c r="AM40" s="493"/>
      <c r="AN40" s="494" t="str">
        <f ca="1">IF(AND('Mapa final'!$K$112="Alta",'Mapa final'!$O$112="Mayor"),CONCATENATE("R",'Mapa final'!$A$112),"")</f>
        <v/>
      </c>
      <c r="AO40" s="492"/>
      <c r="AP40" s="492" t="str">
        <f ca="1">IF(AND('Mapa final'!$K$115="Alta",'Mapa final'!$O$115="Mayor"),CONCATENATE("R",'Mapa final'!$A$115),"")</f>
        <v/>
      </c>
      <c r="AQ40" s="492"/>
      <c r="AR40" s="492" t="str">
        <f ca="1">IF(AND('Mapa final'!$K$118="Alta",'Mapa final'!$O$118="Mayor"),CONCATENATE("R",'Mapa final'!$A$118),"")</f>
        <v/>
      </c>
      <c r="AS40" s="492"/>
      <c r="AT40" s="492" t="str">
        <f ca="1">IF(AND('Mapa final'!$K$121="Alta",'Mapa final'!$O$121="Mayor"),CONCATENATE("R",'Mapa final'!$A$121),"")</f>
        <v/>
      </c>
      <c r="AU40" s="492"/>
      <c r="AV40" s="492" t="str">
        <f ca="1">IF(AND('Mapa final'!$K$124="Alta",'Mapa final'!$O$124="Mayor"),CONCATENATE("R",'Mapa final'!$A$124),"")</f>
        <v/>
      </c>
      <c r="AW40" s="493"/>
      <c r="AX40" s="488" t="str">
        <f ca="1">IF(AND('Mapa final'!$K$112="Alta",'Mapa final'!$O$112="Catastrófico"),CONCATENATE("R",'Mapa final'!$A$112),"")</f>
        <v/>
      </c>
      <c r="AY40" s="486"/>
      <c r="AZ40" s="486" t="str">
        <f ca="1">IF(AND('Mapa final'!$K$115="Alta",'Mapa final'!$O$115="Catastrófico"),CONCATENATE("R",'Mapa final'!$A$115),"")</f>
        <v/>
      </c>
      <c r="BA40" s="486"/>
      <c r="BB40" s="486" t="str">
        <f ca="1">IF(AND('Mapa final'!$K$118="Alta",'Mapa final'!$O$118="Catastrófico"),CONCATENATE("R",'Mapa final'!$A$118),"")</f>
        <v/>
      </c>
      <c r="BC40" s="486"/>
      <c r="BD40" s="486" t="str">
        <f ca="1">IF(AND('Mapa final'!$K$121="Alta",'Mapa final'!$O$121="Catastrófico"),CONCATENATE("R",'Mapa final'!$A$121),"")</f>
        <v/>
      </c>
      <c r="BE40" s="486"/>
      <c r="BF40" s="486" t="str">
        <f ca="1">IF(AND('Mapa final'!$K$124="Alta",'Mapa final'!$O$124="Catastrófico"),CONCATENATE("R",'Mapa final'!$A$124),"")</f>
        <v/>
      </c>
      <c r="BG40" s="487"/>
      <c r="BH40" s="55"/>
      <c r="BI40" s="529"/>
      <c r="BJ40" s="530"/>
      <c r="BK40" s="530"/>
      <c r="BL40" s="530"/>
      <c r="BM40" s="530"/>
      <c r="BN40" s="531"/>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row>
    <row r="41" spans="1:100" ht="15" customHeight="1" x14ac:dyDescent="0.25">
      <c r="A41" s="55"/>
      <c r="B41" s="338"/>
      <c r="C41" s="338"/>
      <c r="D41" s="339"/>
      <c r="E41" s="555"/>
      <c r="F41" s="556"/>
      <c r="G41" s="556"/>
      <c r="H41" s="556"/>
      <c r="I41" s="556"/>
      <c r="J41" s="491"/>
      <c r="K41" s="489"/>
      <c r="L41" s="489"/>
      <c r="M41" s="489"/>
      <c r="N41" s="489"/>
      <c r="O41" s="489"/>
      <c r="P41" s="489"/>
      <c r="Q41" s="489"/>
      <c r="R41" s="489"/>
      <c r="S41" s="490"/>
      <c r="T41" s="491"/>
      <c r="U41" s="489"/>
      <c r="V41" s="489"/>
      <c r="W41" s="489"/>
      <c r="X41" s="489"/>
      <c r="Y41" s="489"/>
      <c r="Z41" s="489"/>
      <c r="AA41" s="489"/>
      <c r="AB41" s="489"/>
      <c r="AC41" s="490"/>
      <c r="AD41" s="494"/>
      <c r="AE41" s="492"/>
      <c r="AF41" s="492"/>
      <c r="AG41" s="492"/>
      <c r="AH41" s="492"/>
      <c r="AI41" s="492"/>
      <c r="AJ41" s="492"/>
      <c r="AK41" s="492"/>
      <c r="AL41" s="492"/>
      <c r="AM41" s="493"/>
      <c r="AN41" s="494"/>
      <c r="AO41" s="492"/>
      <c r="AP41" s="492"/>
      <c r="AQ41" s="492"/>
      <c r="AR41" s="492"/>
      <c r="AS41" s="492"/>
      <c r="AT41" s="492"/>
      <c r="AU41" s="492"/>
      <c r="AV41" s="492"/>
      <c r="AW41" s="493"/>
      <c r="AX41" s="488"/>
      <c r="AY41" s="486"/>
      <c r="AZ41" s="486"/>
      <c r="BA41" s="486"/>
      <c r="BB41" s="486"/>
      <c r="BC41" s="486"/>
      <c r="BD41" s="486"/>
      <c r="BE41" s="486"/>
      <c r="BF41" s="486"/>
      <c r="BG41" s="487"/>
      <c r="BH41" s="55"/>
      <c r="BI41" s="529"/>
      <c r="BJ41" s="530"/>
      <c r="BK41" s="530"/>
      <c r="BL41" s="530"/>
      <c r="BM41" s="530"/>
      <c r="BN41" s="531"/>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row>
    <row r="42" spans="1:100" ht="15" customHeight="1" x14ac:dyDescent="0.25">
      <c r="A42" s="55"/>
      <c r="B42" s="338"/>
      <c r="C42" s="338"/>
      <c r="D42" s="339"/>
      <c r="E42" s="555"/>
      <c r="F42" s="556"/>
      <c r="G42" s="556"/>
      <c r="H42" s="556"/>
      <c r="I42" s="556"/>
      <c r="J42" s="491" t="str">
        <f ca="1">IF(AND('Mapa final'!$K$127="Alta",'Mapa final'!$O$127="Leve"),CONCATENATE("R",'Mapa final'!$A$127),"")</f>
        <v/>
      </c>
      <c r="K42" s="489"/>
      <c r="L42" s="489" t="str">
        <f ca="1">IF(AND('Mapa final'!$K$130="Alta",'Mapa final'!$O$130="Leve"),CONCATENATE("R",'Mapa final'!$A$130),"")</f>
        <v/>
      </c>
      <c r="M42" s="489"/>
      <c r="N42" s="489" t="str">
        <f ca="1">IF(AND('Mapa final'!$K$133="Alta",'Mapa final'!$O$133="Leve"),CONCATENATE("R",'Mapa final'!$A$133),"")</f>
        <v/>
      </c>
      <c r="O42" s="489"/>
      <c r="P42" s="489" t="str">
        <f ca="1">IF(AND('Mapa final'!$K$136="Alta",'Mapa final'!$O$136="Leve"),CONCATENATE("R",'Mapa final'!$A$136),"")</f>
        <v/>
      </c>
      <c r="Q42" s="489"/>
      <c r="R42" s="489" t="str">
        <f ca="1">IF(AND('Mapa final'!$K$139="Alta",'Mapa final'!$O$139="Leve"),CONCATENATE("R",'Mapa final'!$A$139),"")</f>
        <v/>
      </c>
      <c r="S42" s="490"/>
      <c r="T42" s="491" t="str">
        <f ca="1">IF(AND('Mapa final'!$K$127="Alta",'Mapa final'!$O$127="Menor"),CONCATENATE("R",'Mapa final'!$A$127),"")</f>
        <v/>
      </c>
      <c r="U42" s="489"/>
      <c r="V42" s="489" t="str">
        <f ca="1">IF(AND('Mapa final'!$K$130="Alta",'Mapa final'!$O$130="Menor"),CONCATENATE("R",'Mapa final'!$A$130),"")</f>
        <v/>
      </c>
      <c r="W42" s="489"/>
      <c r="X42" s="489" t="str">
        <f ca="1">IF(AND('Mapa final'!$K$133="Alta",'Mapa final'!$O$133="Menor"),CONCATENATE("R",'Mapa final'!$A$133),"")</f>
        <v/>
      </c>
      <c r="Y42" s="489"/>
      <c r="Z42" s="489" t="str">
        <f ca="1">IF(AND('Mapa final'!$K$136="Alta",'Mapa final'!$O$136="Menor"),CONCATENATE("R",'Mapa final'!$A$136),"")</f>
        <v/>
      </c>
      <c r="AA42" s="489"/>
      <c r="AB42" s="489" t="str">
        <f ca="1">IF(AND('Mapa final'!$K$139="Alta",'Mapa final'!$O$139="Menor"),CONCATENATE("R",'Mapa final'!$A$139),"")</f>
        <v/>
      </c>
      <c r="AC42" s="490"/>
      <c r="AD42" s="494" t="str">
        <f ca="1">IF(AND('Mapa final'!$K$127="Alta",'Mapa final'!$O$127="Moderado"),CONCATENATE("R",'Mapa final'!$A$127),"")</f>
        <v/>
      </c>
      <c r="AE42" s="492"/>
      <c r="AF42" s="492" t="str">
        <f ca="1">IF(AND('Mapa final'!$K$130="Alta",'Mapa final'!$O$130="Moderado"),CONCATENATE("R",'Mapa final'!$A$130),"")</f>
        <v/>
      </c>
      <c r="AG42" s="492"/>
      <c r="AH42" s="492" t="str">
        <f ca="1">IF(AND('Mapa final'!$K$133="Alta",'Mapa final'!$O$133="Moderado"),CONCATENATE("R",'Mapa final'!$A$133),"")</f>
        <v/>
      </c>
      <c r="AI42" s="492"/>
      <c r="AJ42" s="492" t="str">
        <f ca="1">IF(AND('Mapa final'!$K$136="Alta",'Mapa final'!$O$136="Moderado"),CONCATENATE("R",'Mapa final'!$A$136),"")</f>
        <v/>
      </c>
      <c r="AK42" s="492"/>
      <c r="AL42" s="492" t="str">
        <f ca="1">IF(AND('Mapa final'!$K$139="Alta",'Mapa final'!$O$139="Moderado"),CONCATENATE("R",'Mapa final'!$A$139),"")</f>
        <v/>
      </c>
      <c r="AM42" s="493"/>
      <c r="AN42" s="494" t="str">
        <f ca="1">IF(AND('Mapa final'!$K$127="Alta",'Mapa final'!$O$127="Mayor"),CONCATENATE("R",'Mapa final'!$A$127),"")</f>
        <v/>
      </c>
      <c r="AO42" s="492"/>
      <c r="AP42" s="492" t="str">
        <f ca="1">IF(AND('Mapa final'!$K$130="Alta",'Mapa final'!$O$130="Mayor"),CONCATENATE("R",'Mapa final'!$A$130),"")</f>
        <v/>
      </c>
      <c r="AQ42" s="492"/>
      <c r="AR42" s="492" t="str">
        <f ca="1">IF(AND('Mapa final'!$K$133="Alta",'Mapa final'!$O$133="Mayor"),CONCATENATE("R",'Mapa final'!$A$133),"")</f>
        <v/>
      </c>
      <c r="AS42" s="492"/>
      <c r="AT42" s="492" t="str">
        <f ca="1">IF(AND('Mapa final'!$K$136="Alta",'Mapa final'!$O$136="Mayor"),CONCATENATE("R",'Mapa final'!$A$136),"")</f>
        <v/>
      </c>
      <c r="AU42" s="492"/>
      <c r="AV42" s="492" t="str">
        <f ca="1">IF(AND('Mapa final'!$K$139="Alta",'Mapa final'!$O$139="Mayor"),CONCATENATE("R",'Mapa final'!$A$139),"")</f>
        <v/>
      </c>
      <c r="AW42" s="493"/>
      <c r="AX42" s="488" t="str">
        <f ca="1">IF(AND('Mapa final'!$K$127="Alta",'Mapa final'!$O$127="Catastrófico"),CONCATENATE("R",'Mapa final'!$A$127),"")</f>
        <v/>
      </c>
      <c r="AY42" s="486"/>
      <c r="AZ42" s="486" t="str">
        <f ca="1">IF(AND('Mapa final'!$K$130="Alta",'Mapa final'!$O$130="Catastrófico"),CONCATENATE("R",'Mapa final'!$A$130),"")</f>
        <v/>
      </c>
      <c r="BA42" s="486"/>
      <c r="BB42" s="486" t="str">
        <f ca="1">IF(AND('Mapa final'!$K$133="Alta",'Mapa final'!$O$133="Catastrófico"),CONCATENATE("R",'Mapa final'!$A$133),"")</f>
        <v/>
      </c>
      <c r="BC42" s="486"/>
      <c r="BD42" s="486" t="str">
        <f ca="1">IF(AND('Mapa final'!$K$136="Alta",'Mapa final'!$O$136="Catastrófico"),CONCATENATE("R",'Mapa final'!$A$136),"")</f>
        <v/>
      </c>
      <c r="BE42" s="486"/>
      <c r="BF42" s="486" t="str">
        <f ca="1">IF(AND('Mapa final'!$K$139="Alta",'Mapa final'!$O$139="Catastrófico"),CONCATENATE("R",'Mapa final'!$A$139),"")</f>
        <v/>
      </c>
      <c r="BG42" s="487"/>
      <c r="BH42" s="55"/>
      <c r="BI42" s="529"/>
      <c r="BJ42" s="530"/>
      <c r="BK42" s="530"/>
      <c r="BL42" s="530"/>
      <c r="BM42" s="530"/>
      <c r="BN42" s="531"/>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row>
    <row r="43" spans="1:100" ht="15" customHeight="1" x14ac:dyDescent="0.25">
      <c r="A43" s="55"/>
      <c r="B43" s="338"/>
      <c r="C43" s="338"/>
      <c r="D43" s="339"/>
      <c r="E43" s="555"/>
      <c r="F43" s="556"/>
      <c r="G43" s="556"/>
      <c r="H43" s="556"/>
      <c r="I43" s="556"/>
      <c r="J43" s="491"/>
      <c r="K43" s="489"/>
      <c r="L43" s="489"/>
      <c r="M43" s="489"/>
      <c r="N43" s="489"/>
      <c r="O43" s="489"/>
      <c r="P43" s="489"/>
      <c r="Q43" s="489"/>
      <c r="R43" s="489"/>
      <c r="S43" s="490"/>
      <c r="T43" s="491"/>
      <c r="U43" s="489"/>
      <c r="V43" s="489"/>
      <c r="W43" s="489"/>
      <c r="X43" s="489"/>
      <c r="Y43" s="489"/>
      <c r="Z43" s="489"/>
      <c r="AA43" s="489"/>
      <c r="AB43" s="489"/>
      <c r="AC43" s="490"/>
      <c r="AD43" s="494"/>
      <c r="AE43" s="492"/>
      <c r="AF43" s="492"/>
      <c r="AG43" s="492"/>
      <c r="AH43" s="492"/>
      <c r="AI43" s="492"/>
      <c r="AJ43" s="492"/>
      <c r="AK43" s="492"/>
      <c r="AL43" s="492"/>
      <c r="AM43" s="493"/>
      <c r="AN43" s="494"/>
      <c r="AO43" s="492"/>
      <c r="AP43" s="492"/>
      <c r="AQ43" s="492"/>
      <c r="AR43" s="492"/>
      <c r="AS43" s="492"/>
      <c r="AT43" s="492"/>
      <c r="AU43" s="492"/>
      <c r="AV43" s="492"/>
      <c r="AW43" s="493"/>
      <c r="AX43" s="488"/>
      <c r="AY43" s="486"/>
      <c r="AZ43" s="486"/>
      <c r="BA43" s="486"/>
      <c r="BB43" s="486"/>
      <c r="BC43" s="486"/>
      <c r="BD43" s="486"/>
      <c r="BE43" s="486"/>
      <c r="BF43" s="486"/>
      <c r="BG43" s="487"/>
      <c r="BH43" s="55"/>
      <c r="BI43" s="529"/>
      <c r="BJ43" s="530"/>
      <c r="BK43" s="530"/>
      <c r="BL43" s="530"/>
      <c r="BM43" s="530"/>
      <c r="BN43" s="531"/>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row>
    <row r="44" spans="1:100" ht="15" customHeight="1" x14ac:dyDescent="0.25">
      <c r="A44" s="55"/>
      <c r="B44" s="338"/>
      <c r="C44" s="338"/>
      <c r="D44" s="339"/>
      <c r="E44" s="555"/>
      <c r="F44" s="556"/>
      <c r="G44" s="556"/>
      <c r="H44" s="556"/>
      <c r="I44" s="556"/>
      <c r="J44" s="491" t="str">
        <f ca="1">IF(AND('Mapa final'!$K$142="Alta",'Mapa final'!$O$142="Leve"),CONCATENATE("R",'Mapa final'!$A$142),"")</f>
        <v/>
      </c>
      <c r="K44" s="489"/>
      <c r="L44" s="489" t="str">
        <f ca="1">IF(AND('Mapa final'!$K$145="Alta",'Mapa final'!$O$145="Leve"),CONCATENATE("R",'Mapa final'!$A$145),"")</f>
        <v/>
      </c>
      <c r="M44" s="489"/>
      <c r="N44" s="489" t="str">
        <f ca="1">IF(AND('Mapa final'!$K$148="Alta",'Mapa final'!$O$148="Leve"),CONCATENATE("R",'Mapa final'!$A$148),"")</f>
        <v/>
      </c>
      <c r="O44" s="489"/>
      <c r="P44" s="489" t="str">
        <f ca="1">IF(AND('Mapa final'!$K$151="Alta",'Mapa final'!$O$151="Leve"),CONCATENATE("R",'Mapa final'!$A$151),"")</f>
        <v/>
      </c>
      <c r="Q44" s="489"/>
      <c r="R44" s="489" t="str">
        <f ca="1">IF(AND('Mapa final'!$K$154="Alta",'Mapa final'!$O$154="Leve"),CONCATENATE("R",'Mapa final'!$A$154),"")</f>
        <v/>
      </c>
      <c r="S44" s="490"/>
      <c r="T44" s="491" t="str">
        <f ca="1">IF(AND('Mapa final'!$K$142="Alta",'Mapa final'!$O$142="Menor"),CONCATENATE("R",'Mapa final'!$A$142),"")</f>
        <v/>
      </c>
      <c r="U44" s="489"/>
      <c r="V44" s="489" t="str">
        <f ca="1">IF(AND('Mapa final'!$K$145="Alta",'Mapa final'!$O$145="Menor"),CONCATENATE("R",'Mapa final'!$A$145),"")</f>
        <v/>
      </c>
      <c r="W44" s="489"/>
      <c r="X44" s="489" t="str">
        <f ca="1">IF(AND('Mapa final'!$K$148="Alta",'Mapa final'!$O$148="Menor"),CONCATENATE("R",'Mapa final'!$A$148),"")</f>
        <v/>
      </c>
      <c r="Y44" s="489"/>
      <c r="Z44" s="489" t="str">
        <f ca="1">IF(AND('Mapa final'!$K$151="Alta",'Mapa final'!$O$151="Menor"),CONCATENATE("R",'Mapa final'!$A$151),"")</f>
        <v/>
      </c>
      <c r="AA44" s="489"/>
      <c r="AB44" s="489" t="str">
        <f ca="1">IF(AND('Mapa final'!$K$154="Alta",'Mapa final'!$O$154="Menor"),CONCATENATE("R",'Mapa final'!$A$154),"")</f>
        <v/>
      </c>
      <c r="AC44" s="490"/>
      <c r="AD44" s="494" t="str">
        <f ca="1">IF(AND('Mapa final'!$K$142="Alta",'Mapa final'!$O$142="Moderado"),CONCATENATE("R",'Mapa final'!$A$142),"")</f>
        <v/>
      </c>
      <c r="AE44" s="492"/>
      <c r="AF44" s="492" t="str">
        <f ca="1">IF(AND('Mapa final'!$K$145="Alta",'Mapa final'!$O$145="Moderado"),CONCATENATE("R",'Mapa final'!$A$145),"")</f>
        <v/>
      </c>
      <c r="AG44" s="492"/>
      <c r="AH44" s="492" t="str">
        <f ca="1">IF(AND('Mapa final'!$K$148="Alta",'Mapa final'!$O$148="Moderado"),CONCATENATE("R",'Mapa final'!$A$148),"")</f>
        <v/>
      </c>
      <c r="AI44" s="492"/>
      <c r="AJ44" s="492" t="str">
        <f ca="1">IF(AND('Mapa final'!$K$151="Alta",'Mapa final'!$O$151="Moderado"),CONCATENATE("R",'Mapa final'!$A$151),"")</f>
        <v/>
      </c>
      <c r="AK44" s="492"/>
      <c r="AL44" s="492" t="str">
        <f ca="1">IF(AND('Mapa final'!$K$154="Alta",'Mapa final'!$O$154="Moderado"),CONCATENATE("R",'Mapa final'!$A$154),"")</f>
        <v/>
      </c>
      <c r="AM44" s="493"/>
      <c r="AN44" s="494" t="str">
        <f ca="1">IF(AND('Mapa final'!$K$142="Alta",'Mapa final'!$O$142="Mayor"),CONCATENATE("R",'Mapa final'!$A$142),"")</f>
        <v/>
      </c>
      <c r="AO44" s="492"/>
      <c r="AP44" s="492" t="str">
        <f ca="1">IF(AND('Mapa final'!$K$145="Alta",'Mapa final'!$O$145="Mayor"),CONCATENATE("R",'Mapa final'!$A$145),"")</f>
        <v/>
      </c>
      <c r="AQ44" s="492"/>
      <c r="AR44" s="492" t="str">
        <f ca="1">IF(AND('Mapa final'!$K$148="Alta",'Mapa final'!$O$148="Mayor"),CONCATENATE("R",'Mapa final'!$A$148),"")</f>
        <v/>
      </c>
      <c r="AS44" s="492"/>
      <c r="AT44" s="492" t="str">
        <f ca="1">IF(AND('Mapa final'!$K$151="Alta",'Mapa final'!$O$151="Mayor"),CONCATENATE("R",'Mapa final'!$A$151),"")</f>
        <v/>
      </c>
      <c r="AU44" s="492"/>
      <c r="AV44" s="492" t="str">
        <f ca="1">IF(AND('Mapa final'!$K$154="Alta",'Mapa final'!$O$154="Mayor"),CONCATENATE("R",'Mapa final'!$A$154),"")</f>
        <v/>
      </c>
      <c r="AW44" s="493"/>
      <c r="AX44" s="488" t="str">
        <f ca="1">IF(AND('Mapa final'!$K$142="Alta",'Mapa final'!$O$142="Catastrófico"),CONCATENATE("R",'Mapa final'!$A$142),"")</f>
        <v/>
      </c>
      <c r="AY44" s="486"/>
      <c r="AZ44" s="486" t="str">
        <f ca="1">IF(AND('Mapa final'!$K$145="Alta",'Mapa final'!$O$145="Catastrófico"),CONCATENATE("R",'Mapa final'!$A$145),"")</f>
        <v/>
      </c>
      <c r="BA44" s="486"/>
      <c r="BB44" s="486" t="str">
        <f ca="1">IF(AND('Mapa final'!$K$148="Alta",'Mapa final'!$O$148="Catastrófico"),CONCATENATE("R",'Mapa final'!$A$148),"")</f>
        <v/>
      </c>
      <c r="BC44" s="486"/>
      <c r="BD44" s="486" t="str">
        <f ca="1">IF(AND('Mapa final'!$K$151="Alta",'Mapa final'!$O$151="Catastrófico"),CONCATENATE("R",'Mapa final'!$A$151),"")</f>
        <v/>
      </c>
      <c r="BE44" s="486"/>
      <c r="BF44" s="486" t="str">
        <f ca="1">IF(AND('Mapa final'!$K$154="Alta",'Mapa final'!$O$154="Catastrófico"),CONCATENATE("R",'Mapa final'!$A$154),"")</f>
        <v/>
      </c>
      <c r="BG44" s="487"/>
      <c r="BH44" s="55"/>
      <c r="BI44" s="529"/>
      <c r="BJ44" s="530"/>
      <c r="BK44" s="530"/>
      <c r="BL44" s="530"/>
      <c r="BM44" s="530"/>
      <c r="BN44" s="531"/>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row>
    <row r="45" spans="1:100" ht="15" customHeight="1" thickBot="1" x14ac:dyDescent="0.3">
      <c r="A45" s="55"/>
      <c r="B45" s="338"/>
      <c r="C45" s="338"/>
      <c r="D45" s="339"/>
      <c r="E45" s="555"/>
      <c r="F45" s="556"/>
      <c r="G45" s="556"/>
      <c r="H45" s="556"/>
      <c r="I45" s="556"/>
      <c r="J45" s="501"/>
      <c r="K45" s="502"/>
      <c r="L45" s="502"/>
      <c r="M45" s="502"/>
      <c r="N45" s="502"/>
      <c r="O45" s="502"/>
      <c r="P45" s="502"/>
      <c r="Q45" s="502"/>
      <c r="R45" s="502"/>
      <c r="S45" s="503"/>
      <c r="T45" s="501"/>
      <c r="U45" s="502"/>
      <c r="V45" s="502"/>
      <c r="W45" s="502"/>
      <c r="X45" s="502"/>
      <c r="Y45" s="502"/>
      <c r="Z45" s="502"/>
      <c r="AA45" s="502"/>
      <c r="AB45" s="502"/>
      <c r="AC45" s="503"/>
      <c r="AD45" s="495"/>
      <c r="AE45" s="496"/>
      <c r="AF45" s="496"/>
      <c r="AG45" s="496"/>
      <c r="AH45" s="496"/>
      <c r="AI45" s="496"/>
      <c r="AJ45" s="496"/>
      <c r="AK45" s="496"/>
      <c r="AL45" s="496"/>
      <c r="AM45" s="497"/>
      <c r="AN45" s="495"/>
      <c r="AO45" s="496"/>
      <c r="AP45" s="496"/>
      <c r="AQ45" s="496"/>
      <c r="AR45" s="496"/>
      <c r="AS45" s="496"/>
      <c r="AT45" s="496"/>
      <c r="AU45" s="496"/>
      <c r="AV45" s="496"/>
      <c r="AW45" s="497"/>
      <c r="AX45" s="508"/>
      <c r="AY45" s="507"/>
      <c r="AZ45" s="507"/>
      <c r="BA45" s="507"/>
      <c r="BB45" s="507"/>
      <c r="BC45" s="507"/>
      <c r="BD45" s="507"/>
      <c r="BE45" s="507"/>
      <c r="BF45" s="507"/>
      <c r="BG45" s="509"/>
      <c r="BH45" s="55"/>
      <c r="BI45" s="529"/>
      <c r="BJ45" s="530"/>
      <c r="BK45" s="530"/>
      <c r="BL45" s="530"/>
      <c r="BM45" s="530"/>
      <c r="BN45" s="531"/>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row>
    <row r="46" spans="1:100" ht="15" customHeight="1" x14ac:dyDescent="0.25">
      <c r="A46" s="55"/>
      <c r="B46" s="338"/>
      <c r="C46" s="338"/>
      <c r="D46" s="339"/>
      <c r="E46" s="553" t="s">
        <v>108</v>
      </c>
      <c r="F46" s="554"/>
      <c r="G46" s="554"/>
      <c r="H46" s="554"/>
      <c r="I46" s="554"/>
      <c r="J46" s="498" t="str">
        <f ca="1">IF(AND('Mapa final'!$K$7="Media",'Mapa final'!$O$7="Leve"),CONCATENATE("R",'Mapa final'!$A$7),"")</f>
        <v/>
      </c>
      <c r="K46" s="499"/>
      <c r="L46" s="499" t="str">
        <f ca="1">IF(AND('Mapa final'!$K$10="Media",'Mapa final'!$O$10="Leve"),CONCATENATE("R",'Mapa final'!$A$10),"")</f>
        <v/>
      </c>
      <c r="M46" s="499"/>
      <c r="N46" s="499" t="str">
        <f ca="1">IF(AND('Mapa final'!$K$13="Media",'Mapa final'!$O$13="Leve"),CONCATENATE("R",'Mapa final'!$A$13),"")</f>
        <v/>
      </c>
      <c r="O46" s="499"/>
      <c r="P46" s="499" t="e">
        <f>IF(AND('Mapa final'!#REF!="Media",'Mapa final'!#REF!="Leve"),CONCATENATE("R",'Mapa final'!#REF!),"")</f>
        <v>#REF!</v>
      </c>
      <c r="Q46" s="499"/>
      <c r="R46" s="499" t="str">
        <f ca="1">IF(AND('Mapa final'!$K$16="Media",'Mapa final'!$O$16="Leve"),CONCATENATE("R",'Mapa final'!$A$16),"")</f>
        <v/>
      </c>
      <c r="S46" s="500"/>
      <c r="T46" s="498" t="str">
        <f ca="1">IF(AND('Mapa final'!$K$7="Media",'Mapa final'!$O$7="Menor"),CONCATENATE("R",'Mapa final'!$A$7),"")</f>
        <v/>
      </c>
      <c r="U46" s="499"/>
      <c r="V46" s="499" t="str">
        <f ca="1">IF(AND('Mapa final'!$K$10="Media",'Mapa final'!$O$10="Menor"),CONCATENATE("R",'Mapa final'!$A$10),"")</f>
        <v/>
      </c>
      <c r="W46" s="499"/>
      <c r="X46" s="499" t="str">
        <f ca="1">IF(AND('Mapa final'!$K$13="Media",'Mapa final'!$O$13="Menor"),CONCATENATE("R",'Mapa final'!$A$13),"")</f>
        <v/>
      </c>
      <c r="Y46" s="499"/>
      <c r="Z46" s="499" t="e">
        <f>IF(AND('Mapa final'!#REF!="Media",'Mapa final'!#REF!="Menor"),CONCATENATE("R",'Mapa final'!#REF!),"")</f>
        <v>#REF!</v>
      </c>
      <c r="AA46" s="499"/>
      <c r="AB46" s="499" t="str">
        <f ca="1">IF(AND('Mapa final'!$K$16="Media",'Mapa final'!$O$16="Menor"),CONCATENATE("R",'Mapa final'!$A$16),"")</f>
        <v/>
      </c>
      <c r="AC46" s="500"/>
      <c r="AD46" s="498" t="str">
        <f ca="1">IF(AND('Mapa final'!$K$7="Media",'Mapa final'!$O$7="Moderado"),CONCATENATE("R",'Mapa final'!$A$7),"")</f>
        <v/>
      </c>
      <c r="AE46" s="499"/>
      <c r="AF46" s="499" t="str">
        <f ca="1">IF(AND('Mapa final'!$K$10="Media",'Mapa final'!$O$10="Moderado"),CONCATENATE("R",'Mapa final'!$A$10),"")</f>
        <v>R2</v>
      </c>
      <c r="AG46" s="499"/>
      <c r="AH46" s="499" t="str">
        <f ca="1">IF(AND('Mapa final'!$K$13="Media",'Mapa final'!$O$13="Moderado"),CONCATENATE("R",'Mapa final'!$A$13),"")</f>
        <v/>
      </c>
      <c r="AI46" s="499"/>
      <c r="AJ46" s="499" t="e">
        <f>IF(AND('Mapa final'!#REF!="Media",'Mapa final'!#REF!="Moderado"),CONCATENATE("R",'Mapa final'!#REF!),"")</f>
        <v>#REF!</v>
      </c>
      <c r="AK46" s="499"/>
      <c r="AL46" s="499" t="str">
        <f ca="1">IF(AND('Mapa final'!$K$16="Media",'Mapa final'!$O$16="Moderado"),CONCATENATE("R",'Mapa final'!$A$16),"")</f>
        <v>R4</v>
      </c>
      <c r="AM46" s="500"/>
      <c r="AN46" s="504" t="str">
        <f ca="1">IF(AND('Mapa final'!$K$7="Media",'Mapa final'!$O$7="Mayor"),CONCATENATE("R",'Mapa final'!$A$7),"")</f>
        <v/>
      </c>
      <c r="AO46" s="505"/>
      <c r="AP46" s="505" t="str">
        <f ca="1">IF(AND('Mapa final'!$K$10="Media",'Mapa final'!$O$10="Mayor"),CONCATENATE("R",'Mapa final'!$A$10),"")</f>
        <v/>
      </c>
      <c r="AQ46" s="505"/>
      <c r="AR46" s="505" t="str">
        <f ca="1">IF(AND('Mapa final'!$K$13="Media",'Mapa final'!$O$13="Mayor"),CONCATENATE("R",'Mapa final'!$A$13),"")</f>
        <v/>
      </c>
      <c r="AS46" s="505"/>
      <c r="AT46" s="505" t="e">
        <f>IF(AND('Mapa final'!#REF!="Media",'Mapa final'!#REF!="Mayor"),CONCATENATE("R",'Mapa final'!#REF!),"")</f>
        <v>#REF!</v>
      </c>
      <c r="AU46" s="505"/>
      <c r="AV46" s="505" t="str">
        <f ca="1">IF(AND('Mapa final'!$K$16="Media",'Mapa final'!$O$16="Mayor"),CONCATENATE("R",'Mapa final'!$A$16),"")</f>
        <v/>
      </c>
      <c r="AW46" s="506"/>
      <c r="AX46" s="511" t="str">
        <f ca="1">IF(AND('Mapa final'!$K$7="Media",'Mapa final'!$O$7="Catastrófico"),CONCATENATE("R",'Mapa final'!$A$7),"")</f>
        <v/>
      </c>
      <c r="AY46" s="510"/>
      <c r="AZ46" s="510" t="str">
        <f ca="1">IF(AND('Mapa final'!$K$10="Media",'Mapa final'!$O$10="Catastrófico"),CONCATENATE("R",'Mapa final'!$A$10),"")</f>
        <v/>
      </c>
      <c r="BA46" s="510"/>
      <c r="BB46" s="510" t="str">
        <f ca="1">IF(AND('Mapa final'!$K$13="Media",'Mapa final'!$O$13="Catastrófico"),CONCATENATE("R",'Mapa final'!$A$13),"")</f>
        <v/>
      </c>
      <c r="BC46" s="510"/>
      <c r="BD46" s="510" t="e">
        <f>IF(AND('Mapa final'!#REF!="Media",'Mapa final'!#REF!="Catastrófico"),CONCATENATE("R",'Mapa final'!#REF!),"")</f>
        <v>#REF!</v>
      </c>
      <c r="BE46" s="510"/>
      <c r="BF46" s="510" t="str">
        <f ca="1">IF(AND('Mapa final'!$K$16="Media",'Mapa final'!$O$16="Catastrófico"),CONCATENATE("R",'Mapa final'!$A$16),"")</f>
        <v/>
      </c>
      <c r="BG46" s="566"/>
      <c r="BH46" s="55"/>
      <c r="BI46" s="529"/>
      <c r="BJ46" s="530"/>
      <c r="BK46" s="530"/>
      <c r="BL46" s="530"/>
      <c r="BM46" s="530"/>
      <c r="BN46" s="531"/>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row>
    <row r="47" spans="1:100" ht="15" customHeight="1" x14ac:dyDescent="0.25">
      <c r="A47" s="55"/>
      <c r="B47" s="338"/>
      <c r="C47" s="338"/>
      <c r="D47" s="339"/>
      <c r="E47" s="555"/>
      <c r="F47" s="556"/>
      <c r="G47" s="556"/>
      <c r="H47" s="556"/>
      <c r="I47" s="556"/>
      <c r="J47" s="491"/>
      <c r="K47" s="489"/>
      <c r="L47" s="489"/>
      <c r="M47" s="489"/>
      <c r="N47" s="489"/>
      <c r="O47" s="489"/>
      <c r="P47" s="489"/>
      <c r="Q47" s="489"/>
      <c r="R47" s="489"/>
      <c r="S47" s="490"/>
      <c r="T47" s="491"/>
      <c r="U47" s="489"/>
      <c r="V47" s="489"/>
      <c r="W47" s="489"/>
      <c r="X47" s="489"/>
      <c r="Y47" s="489"/>
      <c r="Z47" s="489"/>
      <c r="AA47" s="489"/>
      <c r="AB47" s="489"/>
      <c r="AC47" s="490"/>
      <c r="AD47" s="491"/>
      <c r="AE47" s="489"/>
      <c r="AF47" s="489"/>
      <c r="AG47" s="489"/>
      <c r="AH47" s="489"/>
      <c r="AI47" s="489"/>
      <c r="AJ47" s="489"/>
      <c r="AK47" s="489"/>
      <c r="AL47" s="489"/>
      <c r="AM47" s="490"/>
      <c r="AN47" s="494"/>
      <c r="AO47" s="492"/>
      <c r="AP47" s="492"/>
      <c r="AQ47" s="492"/>
      <c r="AR47" s="492"/>
      <c r="AS47" s="492"/>
      <c r="AT47" s="492"/>
      <c r="AU47" s="492"/>
      <c r="AV47" s="492"/>
      <c r="AW47" s="493"/>
      <c r="AX47" s="488"/>
      <c r="AY47" s="486"/>
      <c r="AZ47" s="486"/>
      <c r="BA47" s="486"/>
      <c r="BB47" s="486"/>
      <c r="BC47" s="486"/>
      <c r="BD47" s="486"/>
      <c r="BE47" s="486"/>
      <c r="BF47" s="486"/>
      <c r="BG47" s="487"/>
      <c r="BH47" s="55"/>
      <c r="BI47" s="529"/>
      <c r="BJ47" s="530"/>
      <c r="BK47" s="530"/>
      <c r="BL47" s="530"/>
      <c r="BM47" s="530"/>
      <c r="BN47" s="531"/>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row>
    <row r="48" spans="1:100" ht="15" customHeight="1" x14ac:dyDescent="0.25">
      <c r="A48" s="55"/>
      <c r="B48" s="338"/>
      <c r="C48" s="338"/>
      <c r="D48" s="339"/>
      <c r="E48" s="555"/>
      <c r="F48" s="556"/>
      <c r="G48" s="556"/>
      <c r="H48" s="556"/>
      <c r="I48" s="556"/>
      <c r="J48" s="491" t="str">
        <f ca="1">IF(AND('Mapa final'!$K$19="Media",'Mapa final'!$O$19="Leve"),CONCATENATE("R",'Mapa final'!$A$19),"")</f>
        <v/>
      </c>
      <c r="K48" s="489"/>
      <c r="L48" s="489" t="str">
        <f ca="1">IF(AND('Mapa final'!$K$22="Media",'Mapa final'!$O$22="Leve"),CONCATENATE("R",'Mapa final'!$A$22),"")</f>
        <v/>
      </c>
      <c r="M48" s="489"/>
      <c r="N48" s="489" t="str">
        <f ca="1">IF(AND('Mapa final'!$K$25="Media",'Mapa final'!$O$25="Leve"),CONCATENATE("R",'Mapa final'!$A$25),"")</f>
        <v/>
      </c>
      <c r="O48" s="489"/>
      <c r="P48" s="489" t="str">
        <f>IF(AND('Mapa final'!$K$28="Media",'Mapa final'!$O$28="Leve"),CONCATENATE("R",'Mapa final'!$A$28),"")</f>
        <v/>
      </c>
      <c r="Q48" s="489"/>
      <c r="R48" s="489" t="str">
        <f ca="1">IF(AND('Mapa final'!$K$31="Media",'Mapa final'!$O$31="Leve"),CONCATENATE("R",'Mapa final'!$A$31),"")</f>
        <v/>
      </c>
      <c r="S48" s="490"/>
      <c r="T48" s="491" t="str">
        <f ca="1">IF(AND('Mapa final'!$K$19="Media",'Mapa final'!$O$19="Menor"),CONCATENATE("R",'Mapa final'!$A$19),"")</f>
        <v/>
      </c>
      <c r="U48" s="489"/>
      <c r="V48" s="489" t="str">
        <f ca="1">IF(AND('Mapa final'!$K$22="Media",'Mapa final'!$O$22="Menor"),CONCATENATE("R",'Mapa final'!$A$22),"")</f>
        <v/>
      </c>
      <c r="W48" s="489"/>
      <c r="X48" s="489" t="str">
        <f ca="1">IF(AND('Mapa final'!$K$25="Media",'Mapa final'!$O$25="Menor"),CONCATENATE("R",'Mapa final'!$A$25),"")</f>
        <v/>
      </c>
      <c r="Y48" s="489"/>
      <c r="Z48" s="489" t="str">
        <f>IF(AND('Mapa final'!$K$28="Media",'Mapa final'!$O$28="Menor"),CONCATENATE("R",'Mapa final'!$A$28),"")</f>
        <v/>
      </c>
      <c r="AA48" s="489"/>
      <c r="AB48" s="489" t="str">
        <f ca="1">IF(AND('Mapa final'!$K$31="Media",'Mapa final'!$O$31="Menor"),CONCATENATE("R",'Mapa final'!$A$31),"")</f>
        <v/>
      </c>
      <c r="AC48" s="490"/>
      <c r="AD48" s="491" t="str">
        <f ca="1">IF(AND('Mapa final'!$K$19="Media",'Mapa final'!$O$19="Moderado"),CONCATENATE("R",'Mapa final'!$A$19),"")</f>
        <v/>
      </c>
      <c r="AE48" s="489"/>
      <c r="AF48" s="489" t="str">
        <f ca="1">IF(AND('Mapa final'!$K$22="Media",'Mapa final'!$O$22="Moderado"),CONCATENATE("R",'Mapa final'!$A$22),"")</f>
        <v/>
      </c>
      <c r="AG48" s="489"/>
      <c r="AH48" s="489" t="str">
        <f ca="1">IF(AND('Mapa final'!$K$25="Media",'Mapa final'!$O$25="Moderado"),CONCATENATE("R",'Mapa final'!$A$25),"")</f>
        <v/>
      </c>
      <c r="AI48" s="489"/>
      <c r="AJ48" s="489" t="str">
        <f>IF(AND('Mapa final'!$K$28="Media",'Mapa final'!$O$28="Moderado"),CONCATENATE("R",'Mapa final'!$A$28),"")</f>
        <v/>
      </c>
      <c r="AK48" s="489"/>
      <c r="AL48" s="489" t="str">
        <f ca="1">IF(AND('Mapa final'!$K$31="Media",'Mapa final'!$O$31="Moderado"),CONCATENATE("R",'Mapa final'!$A$31),"")</f>
        <v/>
      </c>
      <c r="AM48" s="490"/>
      <c r="AN48" s="494" t="str">
        <f ca="1">IF(AND('Mapa final'!$K$19="Media",'Mapa final'!$O$19="Mayor"),CONCATENATE("R",'Mapa final'!$A$19),"")</f>
        <v/>
      </c>
      <c r="AO48" s="492"/>
      <c r="AP48" s="492" t="str">
        <f ca="1">IF(AND('Mapa final'!$K$22="Media",'Mapa final'!$O$22="Mayor"),CONCATENATE("R",'Mapa final'!$A$22),"")</f>
        <v/>
      </c>
      <c r="AQ48" s="492"/>
      <c r="AR48" s="492" t="str">
        <f ca="1">IF(AND('Mapa final'!$K$25="Media",'Mapa final'!$O$25="Mayor"),CONCATENATE("R",'Mapa final'!$A$25),"")</f>
        <v/>
      </c>
      <c r="AS48" s="492"/>
      <c r="AT48" s="492" t="str">
        <f>IF(AND('Mapa final'!$K$28="Media",'Mapa final'!$O$28="Mayor"),CONCATENATE("R",'Mapa final'!$A$28),"")</f>
        <v/>
      </c>
      <c r="AU48" s="492"/>
      <c r="AV48" s="492" t="str">
        <f ca="1">IF(AND('Mapa final'!$K$31="Media",'Mapa final'!$O$31="Mayor"),CONCATENATE("R",'Mapa final'!$A$31),"")</f>
        <v/>
      </c>
      <c r="AW48" s="493"/>
      <c r="AX48" s="488" t="str">
        <f ca="1">IF(AND('Mapa final'!$K$19="Media",'Mapa final'!$O$19="Catastrófico"),CONCATENATE("R",'Mapa final'!$A$19),"")</f>
        <v/>
      </c>
      <c r="AY48" s="486"/>
      <c r="AZ48" s="486" t="str">
        <f ca="1">IF(AND('Mapa final'!$K$22="Media",'Mapa final'!$O$22="Catastrófico"),CONCATENATE("R",'Mapa final'!$A$22),"")</f>
        <v/>
      </c>
      <c r="BA48" s="486"/>
      <c r="BB48" s="486" t="str">
        <f ca="1">IF(AND('Mapa final'!$K$25="Media",'Mapa final'!$O$25="Catastrófico"),CONCATENATE("R",'Mapa final'!$A$25),"")</f>
        <v/>
      </c>
      <c r="BC48" s="486"/>
      <c r="BD48" s="486" t="str">
        <f>IF(AND('Mapa final'!$K$28="Media",'Mapa final'!$O$28="Catastrófico"),CONCATENATE("R",'Mapa final'!$A$28),"")</f>
        <v/>
      </c>
      <c r="BE48" s="486"/>
      <c r="BF48" s="486" t="str">
        <f ca="1">IF(AND('Mapa final'!$K$31="Media",'Mapa final'!$O$31="Catastrófico"),CONCATENATE("R",'Mapa final'!$A$31),"")</f>
        <v/>
      </c>
      <c r="BG48" s="487"/>
      <c r="BH48" s="55"/>
      <c r="BI48" s="529"/>
      <c r="BJ48" s="530"/>
      <c r="BK48" s="530"/>
      <c r="BL48" s="530"/>
      <c r="BM48" s="530"/>
      <c r="BN48" s="531"/>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row>
    <row r="49" spans="1:100" ht="15" customHeight="1" x14ac:dyDescent="0.25">
      <c r="A49" s="55"/>
      <c r="B49" s="338"/>
      <c r="C49" s="338"/>
      <c r="D49" s="339"/>
      <c r="E49" s="555"/>
      <c r="F49" s="556"/>
      <c r="G49" s="556"/>
      <c r="H49" s="556"/>
      <c r="I49" s="556"/>
      <c r="J49" s="491"/>
      <c r="K49" s="489"/>
      <c r="L49" s="489"/>
      <c r="M49" s="489"/>
      <c r="N49" s="489"/>
      <c r="O49" s="489"/>
      <c r="P49" s="489"/>
      <c r="Q49" s="489"/>
      <c r="R49" s="489"/>
      <c r="S49" s="490"/>
      <c r="T49" s="491"/>
      <c r="U49" s="489"/>
      <c r="V49" s="489"/>
      <c r="W49" s="489"/>
      <c r="X49" s="489"/>
      <c r="Y49" s="489"/>
      <c r="Z49" s="489"/>
      <c r="AA49" s="489"/>
      <c r="AB49" s="489"/>
      <c r="AC49" s="490"/>
      <c r="AD49" s="491"/>
      <c r="AE49" s="489"/>
      <c r="AF49" s="489"/>
      <c r="AG49" s="489"/>
      <c r="AH49" s="489"/>
      <c r="AI49" s="489"/>
      <c r="AJ49" s="489"/>
      <c r="AK49" s="489"/>
      <c r="AL49" s="489"/>
      <c r="AM49" s="490"/>
      <c r="AN49" s="494"/>
      <c r="AO49" s="492"/>
      <c r="AP49" s="492"/>
      <c r="AQ49" s="492"/>
      <c r="AR49" s="492"/>
      <c r="AS49" s="492"/>
      <c r="AT49" s="492"/>
      <c r="AU49" s="492"/>
      <c r="AV49" s="492"/>
      <c r="AW49" s="493"/>
      <c r="AX49" s="488"/>
      <c r="AY49" s="486"/>
      <c r="AZ49" s="486"/>
      <c r="BA49" s="486"/>
      <c r="BB49" s="486"/>
      <c r="BC49" s="486"/>
      <c r="BD49" s="486"/>
      <c r="BE49" s="486"/>
      <c r="BF49" s="486"/>
      <c r="BG49" s="487"/>
      <c r="BH49" s="55"/>
      <c r="BI49" s="529"/>
      <c r="BJ49" s="530"/>
      <c r="BK49" s="530"/>
      <c r="BL49" s="530"/>
      <c r="BM49" s="530"/>
      <c r="BN49" s="531"/>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row>
    <row r="50" spans="1:100" ht="15" customHeight="1" x14ac:dyDescent="0.25">
      <c r="A50" s="55"/>
      <c r="B50" s="338"/>
      <c r="C50" s="338"/>
      <c r="D50" s="339"/>
      <c r="E50" s="555"/>
      <c r="F50" s="556"/>
      <c r="G50" s="556"/>
      <c r="H50" s="556"/>
      <c r="I50" s="556"/>
      <c r="J50" s="491" t="str">
        <f ca="1">IF(AND('Mapa final'!$K$34="Media",'Mapa final'!$O$34="Leve"),CONCATENATE("R",'Mapa final'!$A$34),"")</f>
        <v/>
      </c>
      <c r="K50" s="489"/>
      <c r="L50" s="489" t="str">
        <f ca="1">IF(AND('Mapa final'!$K$37="Media",'Mapa final'!$O$37="Leve"),CONCATENATE("R",'Mapa final'!$A$37),"")</f>
        <v/>
      </c>
      <c r="M50" s="489"/>
      <c r="N50" s="489" t="str">
        <f ca="1">IF(AND('Mapa final'!$K$40="Media",'Mapa final'!$O$40="Leve"),CONCATENATE("R",'Mapa final'!$A$40),"")</f>
        <v/>
      </c>
      <c r="O50" s="489"/>
      <c r="P50" s="489" t="str">
        <f ca="1">IF(AND('Mapa final'!$K$43="Media",'Mapa final'!$O$43="Leve"),CONCATENATE("R",'Mapa final'!$A$43),"")</f>
        <v/>
      </c>
      <c r="Q50" s="489"/>
      <c r="R50" s="489" t="str">
        <f ca="1">IF(AND('Mapa final'!$K$46="Media",'Mapa final'!$O$46="Leve"),CONCATENATE("R",'Mapa final'!$A$46),"")</f>
        <v/>
      </c>
      <c r="S50" s="490"/>
      <c r="T50" s="491" t="str">
        <f ca="1">IF(AND('Mapa final'!$K$34="Media",'Mapa final'!$O$34="Menor"),CONCATENATE("R",'Mapa final'!$A$34),"")</f>
        <v/>
      </c>
      <c r="U50" s="489"/>
      <c r="V50" s="489" t="str">
        <f ca="1">IF(AND('Mapa final'!$K$37="Media",'Mapa final'!$O$37="Menor"),CONCATENATE("R",'Mapa final'!$A$37),"")</f>
        <v/>
      </c>
      <c r="W50" s="489"/>
      <c r="X50" s="489" t="str">
        <f ca="1">IF(AND('Mapa final'!$K$40="Media",'Mapa final'!$O$40="Menor"),CONCATENATE("R",'Mapa final'!$A$40),"")</f>
        <v/>
      </c>
      <c r="Y50" s="489"/>
      <c r="Z50" s="489" t="str">
        <f ca="1">IF(AND('Mapa final'!$K$43="Media",'Mapa final'!$O$43="Menor"),CONCATENATE("R",'Mapa final'!$A$43),"")</f>
        <v/>
      </c>
      <c r="AA50" s="489"/>
      <c r="AB50" s="489" t="str">
        <f ca="1">IF(AND('Mapa final'!$K$46="Media",'Mapa final'!$O$46="Menor"),CONCATENATE("R",'Mapa final'!$A$46),"")</f>
        <v/>
      </c>
      <c r="AC50" s="490"/>
      <c r="AD50" s="491" t="str">
        <f ca="1">IF(AND('Mapa final'!$K$34="Media",'Mapa final'!$O$34="Moderado"),CONCATENATE("R",'Mapa final'!$A$34),"")</f>
        <v/>
      </c>
      <c r="AE50" s="489"/>
      <c r="AF50" s="489" t="str">
        <f ca="1">IF(AND('Mapa final'!$K$37="Media",'Mapa final'!$O$37="Moderado"),CONCATENATE("R",'Mapa final'!$A$37),"")</f>
        <v/>
      </c>
      <c r="AG50" s="489"/>
      <c r="AH50" s="489" t="str">
        <f ca="1">IF(AND('Mapa final'!$K$40="Media",'Mapa final'!$O$40="Moderado"),CONCATENATE("R",'Mapa final'!$A$40),"")</f>
        <v/>
      </c>
      <c r="AI50" s="489"/>
      <c r="AJ50" s="489" t="str">
        <f ca="1">IF(AND('Mapa final'!$K$43="Media",'Mapa final'!$O$43="Moderado"),CONCATENATE("R",'Mapa final'!$A$43),"")</f>
        <v/>
      </c>
      <c r="AK50" s="489"/>
      <c r="AL50" s="489" t="str">
        <f ca="1">IF(AND('Mapa final'!$K$46="Media",'Mapa final'!$O$46="Moderado"),CONCATENATE("R",'Mapa final'!$A$46),"")</f>
        <v/>
      </c>
      <c r="AM50" s="490"/>
      <c r="AN50" s="494" t="str">
        <f ca="1">IF(AND('Mapa final'!$K$34="Media",'Mapa final'!$O$34="Mayor"),CONCATENATE("R",'Mapa final'!$A$34),"")</f>
        <v/>
      </c>
      <c r="AO50" s="492"/>
      <c r="AP50" s="492" t="str">
        <f ca="1">IF(AND('Mapa final'!$K$37="Media",'Mapa final'!$O$37="Mayor"),CONCATENATE("R",'Mapa final'!$A$37),"")</f>
        <v/>
      </c>
      <c r="AQ50" s="492"/>
      <c r="AR50" s="492" t="str">
        <f ca="1">IF(AND('Mapa final'!$K$40="Media",'Mapa final'!$O$40="Mayor"),CONCATENATE("R",'Mapa final'!$A$40),"")</f>
        <v/>
      </c>
      <c r="AS50" s="492"/>
      <c r="AT50" s="492" t="str">
        <f ca="1">IF(AND('Mapa final'!$K$43="Media",'Mapa final'!$O$43="Mayor"),CONCATENATE("R",'Mapa final'!$A$43),"")</f>
        <v/>
      </c>
      <c r="AU50" s="492"/>
      <c r="AV50" s="492" t="str">
        <f ca="1">IF(AND('Mapa final'!$K$46="Media",'Mapa final'!$O$46="Mayor"),CONCATENATE("R",'Mapa final'!$A$46),"")</f>
        <v/>
      </c>
      <c r="AW50" s="493"/>
      <c r="AX50" s="488" t="str">
        <f ca="1">IF(AND('Mapa final'!$K$34="Media",'Mapa final'!$O$34="Catastrófico"),CONCATENATE("R",'Mapa final'!$A$34),"")</f>
        <v/>
      </c>
      <c r="AY50" s="486"/>
      <c r="AZ50" s="486" t="str">
        <f ca="1">IF(AND('Mapa final'!$K$37="Media",'Mapa final'!$O$37="Catastrófico"),CONCATENATE("R",'Mapa final'!$A$37),"")</f>
        <v/>
      </c>
      <c r="BA50" s="486"/>
      <c r="BB50" s="486" t="str">
        <f ca="1">IF(AND('Mapa final'!$K$40="Media",'Mapa final'!$O$40="Catastrófico"),CONCATENATE("R",'Mapa final'!$A$40),"")</f>
        <v/>
      </c>
      <c r="BC50" s="486"/>
      <c r="BD50" s="486" t="str">
        <f ca="1">IF(AND('Mapa final'!$K$43="Media",'Mapa final'!$O$43="Catastrófico"),CONCATENATE("R",'Mapa final'!$A$43),"")</f>
        <v/>
      </c>
      <c r="BE50" s="486"/>
      <c r="BF50" s="486" t="str">
        <f ca="1">IF(AND('Mapa final'!$K$46="Media",'Mapa final'!$O$46="Catastrófico"),CONCATENATE("R",'Mapa final'!$A$46),"")</f>
        <v/>
      </c>
      <c r="BG50" s="487"/>
      <c r="BH50" s="55"/>
      <c r="BI50" s="529"/>
      <c r="BJ50" s="530"/>
      <c r="BK50" s="530"/>
      <c r="BL50" s="530"/>
      <c r="BM50" s="530"/>
      <c r="BN50" s="531"/>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row>
    <row r="51" spans="1:100" ht="15" customHeight="1" x14ac:dyDescent="0.25">
      <c r="A51" s="55"/>
      <c r="B51" s="338"/>
      <c r="C51" s="338"/>
      <c r="D51" s="339"/>
      <c r="E51" s="555"/>
      <c r="F51" s="556"/>
      <c r="G51" s="556"/>
      <c r="H51" s="556"/>
      <c r="I51" s="556"/>
      <c r="J51" s="491"/>
      <c r="K51" s="489"/>
      <c r="L51" s="489"/>
      <c r="M51" s="489"/>
      <c r="N51" s="489"/>
      <c r="O51" s="489"/>
      <c r="P51" s="489"/>
      <c r="Q51" s="489"/>
      <c r="R51" s="489"/>
      <c r="S51" s="490"/>
      <c r="T51" s="491"/>
      <c r="U51" s="489"/>
      <c r="V51" s="489"/>
      <c r="W51" s="489"/>
      <c r="X51" s="489"/>
      <c r="Y51" s="489"/>
      <c r="Z51" s="489"/>
      <c r="AA51" s="489"/>
      <c r="AB51" s="489"/>
      <c r="AC51" s="490"/>
      <c r="AD51" s="491"/>
      <c r="AE51" s="489"/>
      <c r="AF51" s="489"/>
      <c r="AG51" s="489"/>
      <c r="AH51" s="489"/>
      <c r="AI51" s="489"/>
      <c r="AJ51" s="489"/>
      <c r="AK51" s="489"/>
      <c r="AL51" s="489"/>
      <c r="AM51" s="490"/>
      <c r="AN51" s="494"/>
      <c r="AO51" s="492"/>
      <c r="AP51" s="492"/>
      <c r="AQ51" s="492"/>
      <c r="AR51" s="492"/>
      <c r="AS51" s="492"/>
      <c r="AT51" s="492"/>
      <c r="AU51" s="492"/>
      <c r="AV51" s="492"/>
      <c r="AW51" s="493"/>
      <c r="AX51" s="488"/>
      <c r="AY51" s="486"/>
      <c r="AZ51" s="486"/>
      <c r="BA51" s="486"/>
      <c r="BB51" s="486"/>
      <c r="BC51" s="486"/>
      <c r="BD51" s="486"/>
      <c r="BE51" s="486"/>
      <c r="BF51" s="486"/>
      <c r="BG51" s="487"/>
      <c r="BH51" s="55"/>
      <c r="BI51" s="529"/>
      <c r="BJ51" s="530"/>
      <c r="BK51" s="530"/>
      <c r="BL51" s="530"/>
      <c r="BM51" s="530"/>
      <c r="BN51" s="531"/>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row>
    <row r="52" spans="1:100" ht="15" customHeight="1" x14ac:dyDescent="0.25">
      <c r="A52" s="55"/>
      <c r="B52" s="338"/>
      <c r="C52" s="338"/>
      <c r="D52" s="339"/>
      <c r="E52" s="555"/>
      <c r="F52" s="556"/>
      <c r="G52" s="556"/>
      <c r="H52" s="556"/>
      <c r="I52" s="556"/>
      <c r="J52" s="491" t="str">
        <f ca="1">IF(AND('Mapa final'!$K$49="Media",'Mapa final'!$O$49="Leve"),CONCATENATE("R",'Mapa final'!$A$49),"")</f>
        <v/>
      </c>
      <c r="K52" s="489"/>
      <c r="L52" s="489" t="str">
        <f ca="1">IF(AND('Mapa final'!$K$52="Media",'Mapa final'!$O$52="Leve"),CONCATENATE("R",'Mapa final'!$A$52),"")</f>
        <v/>
      </c>
      <c r="M52" s="489"/>
      <c r="N52" s="489" t="str">
        <f ca="1">IF(AND('Mapa final'!$K$55="Media",'Mapa final'!$O$55="Leve"),CONCATENATE("R",'Mapa final'!$A$55),"")</f>
        <v/>
      </c>
      <c r="O52" s="489"/>
      <c r="P52" s="489" t="str">
        <f ca="1">IF(AND('Mapa final'!$K$58="Media",'Mapa final'!$O$58="Leve"),CONCATENATE("R",'Mapa final'!$A$58),"")</f>
        <v/>
      </c>
      <c r="Q52" s="489"/>
      <c r="R52" s="489" t="str">
        <f ca="1">IF(AND('Mapa final'!$K$61="Media",'Mapa final'!$O$61="Leve"),CONCATENATE("R",'Mapa final'!$A$61),"")</f>
        <v/>
      </c>
      <c r="S52" s="490"/>
      <c r="T52" s="491" t="str">
        <f ca="1">IF(AND('Mapa final'!$K$49="Media",'Mapa final'!$O$49="Menor"),CONCATENATE("R",'Mapa final'!$A$49),"")</f>
        <v/>
      </c>
      <c r="U52" s="489"/>
      <c r="V52" s="489" t="str">
        <f ca="1">IF(AND('Mapa final'!$K$52="Media",'Mapa final'!$O$52="Menor"),CONCATENATE("R",'Mapa final'!$A$52),"")</f>
        <v/>
      </c>
      <c r="W52" s="489"/>
      <c r="X52" s="489" t="str">
        <f ca="1">IF(AND('Mapa final'!$K$55="Media",'Mapa final'!$O$55="Menor"),CONCATENATE("R",'Mapa final'!$A$55),"")</f>
        <v/>
      </c>
      <c r="Y52" s="489"/>
      <c r="Z52" s="489" t="str">
        <f ca="1">IF(AND('Mapa final'!$K$58="Media",'Mapa final'!$O$58="Menor"),CONCATENATE("R",'Mapa final'!$A$58),"")</f>
        <v/>
      </c>
      <c r="AA52" s="489"/>
      <c r="AB52" s="489" t="str">
        <f ca="1">IF(AND('Mapa final'!$K$61="Media",'Mapa final'!$O$61="Menor"),CONCATENATE("R",'Mapa final'!$A$61),"")</f>
        <v/>
      </c>
      <c r="AC52" s="490"/>
      <c r="AD52" s="491" t="str">
        <f ca="1">IF(AND('Mapa final'!$K$49="Media",'Mapa final'!$O$49="Moderado"),CONCATENATE("R",'Mapa final'!$A$49),"")</f>
        <v>R15</v>
      </c>
      <c r="AE52" s="489"/>
      <c r="AF52" s="489" t="str">
        <f ca="1">IF(AND('Mapa final'!$K$52="Media",'Mapa final'!$O$52="Moderado"),CONCATENATE("R",'Mapa final'!$A$52),"")</f>
        <v/>
      </c>
      <c r="AG52" s="489"/>
      <c r="AH52" s="489" t="str">
        <f ca="1">IF(AND('Mapa final'!$K$55="Media",'Mapa final'!$O$55="Moderado"),CONCATENATE("R",'Mapa final'!$A$55),"")</f>
        <v>R17</v>
      </c>
      <c r="AI52" s="489"/>
      <c r="AJ52" s="489" t="str">
        <f ca="1">IF(AND('Mapa final'!$K$58="Media",'Mapa final'!$O$58="Moderado"),CONCATENATE("R",'Mapa final'!$A$58),"")</f>
        <v>R18</v>
      </c>
      <c r="AK52" s="489"/>
      <c r="AL52" s="489" t="str">
        <f ca="1">IF(AND('Mapa final'!$K$61="Media",'Mapa final'!$O$61="Moderado"),CONCATENATE("R",'Mapa final'!$A$61),"")</f>
        <v/>
      </c>
      <c r="AM52" s="490"/>
      <c r="AN52" s="494" t="str">
        <f ca="1">IF(AND('Mapa final'!$K$49="Media",'Mapa final'!$O$49="Mayor"),CONCATENATE("R",'Mapa final'!$A$49),"")</f>
        <v/>
      </c>
      <c r="AO52" s="492"/>
      <c r="AP52" s="492" t="str">
        <f ca="1">IF(AND('Mapa final'!$K$52="Media",'Mapa final'!$O$52="Mayor"),CONCATENATE("R",'Mapa final'!$A$52),"")</f>
        <v/>
      </c>
      <c r="AQ52" s="492"/>
      <c r="AR52" s="492" t="str">
        <f ca="1">IF(AND('Mapa final'!$K$55="Media",'Mapa final'!$O$55="Mayor"),CONCATENATE("R",'Mapa final'!$A$55),"")</f>
        <v/>
      </c>
      <c r="AS52" s="492"/>
      <c r="AT52" s="492" t="str">
        <f ca="1">IF(AND('Mapa final'!$K$58="Media",'Mapa final'!$O$58="Mayor"),CONCATENATE("R",'Mapa final'!$A$58),"")</f>
        <v/>
      </c>
      <c r="AU52" s="492"/>
      <c r="AV52" s="492" t="str">
        <f ca="1">IF(AND('Mapa final'!$K$61="Media",'Mapa final'!$O$61="Mayor"),CONCATENATE("R",'Mapa final'!$A$61),"")</f>
        <v>R19</v>
      </c>
      <c r="AW52" s="493"/>
      <c r="AX52" s="488" t="str">
        <f ca="1">IF(AND('Mapa final'!$K$49="Media",'Mapa final'!$O$49="Catastrófico"),CONCATENATE("R",'Mapa final'!$A$49),"")</f>
        <v/>
      </c>
      <c r="AY52" s="486"/>
      <c r="AZ52" s="486" t="str">
        <f ca="1">IF(AND('Mapa final'!$K$52="Media",'Mapa final'!$O$52="Catastrófico"),CONCATENATE("R",'Mapa final'!$A$52),"")</f>
        <v/>
      </c>
      <c r="BA52" s="486"/>
      <c r="BB52" s="486" t="str">
        <f ca="1">IF(AND('Mapa final'!$K$55="Media",'Mapa final'!$O$55="Catastrófico"),CONCATENATE("R",'Mapa final'!$A$55),"")</f>
        <v/>
      </c>
      <c r="BC52" s="486"/>
      <c r="BD52" s="486" t="str">
        <f ca="1">IF(AND('Mapa final'!$K$58="Media",'Mapa final'!$O$58="Catastrófico"),CONCATENATE("R",'Mapa final'!$A$58),"")</f>
        <v/>
      </c>
      <c r="BE52" s="486"/>
      <c r="BF52" s="486" t="str">
        <f ca="1">IF(AND('Mapa final'!$K$61="Media",'Mapa final'!$O$61="Catastrófico"),CONCATENATE("R",'Mapa final'!$A$61),"")</f>
        <v/>
      </c>
      <c r="BG52" s="487"/>
      <c r="BH52" s="55"/>
      <c r="BI52" s="529"/>
      <c r="BJ52" s="530"/>
      <c r="BK52" s="530"/>
      <c r="BL52" s="530"/>
      <c r="BM52" s="530"/>
      <c r="BN52" s="531"/>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row>
    <row r="53" spans="1:100" ht="15" customHeight="1" thickBot="1" x14ac:dyDescent="0.3">
      <c r="A53" s="55"/>
      <c r="B53" s="338"/>
      <c r="C53" s="338"/>
      <c r="D53" s="339"/>
      <c r="E53" s="555"/>
      <c r="F53" s="556"/>
      <c r="G53" s="556"/>
      <c r="H53" s="556"/>
      <c r="I53" s="556"/>
      <c r="J53" s="491"/>
      <c r="K53" s="489"/>
      <c r="L53" s="489"/>
      <c r="M53" s="489"/>
      <c r="N53" s="489"/>
      <c r="O53" s="489"/>
      <c r="P53" s="489"/>
      <c r="Q53" s="489"/>
      <c r="R53" s="489"/>
      <c r="S53" s="490"/>
      <c r="T53" s="491"/>
      <c r="U53" s="489"/>
      <c r="V53" s="489"/>
      <c r="W53" s="489"/>
      <c r="X53" s="489"/>
      <c r="Y53" s="489"/>
      <c r="Z53" s="489"/>
      <c r="AA53" s="489"/>
      <c r="AB53" s="489"/>
      <c r="AC53" s="490"/>
      <c r="AD53" s="491"/>
      <c r="AE53" s="489"/>
      <c r="AF53" s="489"/>
      <c r="AG53" s="489"/>
      <c r="AH53" s="489"/>
      <c r="AI53" s="489"/>
      <c r="AJ53" s="489"/>
      <c r="AK53" s="489"/>
      <c r="AL53" s="489"/>
      <c r="AM53" s="490"/>
      <c r="AN53" s="494"/>
      <c r="AO53" s="492"/>
      <c r="AP53" s="492"/>
      <c r="AQ53" s="492"/>
      <c r="AR53" s="492"/>
      <c r="AS53" s="492"/>
      <c r="AT53" s="492"/>
      <c r="AU53" s="492"/>
      <c r="AV53" s="492"/>
      <c r="AW53" s="493"/>
      <c r="AX53" s="488"/>
      <c r="AY53" s="486"/>
      <c r="AZ53" s="486"/>
      <c r="BA53" s="486"/>
      <c r="BB53" s="486"/>
      <c r="BC53" s="486"/>
      <c r="BD53" s="486"/>
      <c r="BE53" s="486"/>
      <c r="BF53" s="486"/>
      <c r="BG53" s="487"/>
      <c r="BH53" s="55"/>
      <c r="BI53" s="532"/>
      <c r="BJ53" s="533"/>
      <c r="BK53" s="533"/>
      <c r="BL53" s="533"/>
      <c r="BM53" s="533"/>
      <c r="BN53" s="534"/>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row>
    <row r="54" spans="1:100" ht="15" customHeight="1" x14ac:dyDescent="0.25">
      <c r="A54" s="55"/>
      <c r="B54" s="338"/>
      <c r="C54" s="338"/>
      <c r="D54" s="339"/>
      <c r="E54" s="555"/>
      <c r="F54" s="556"/>
      <c r="G54" s="556"/>
      <c r="H54" s="556"/>
      <c r="I54" s="556"/>
      <c r="J54" s="491" t="str">
        <f ca="1">IF(AND('Mapa final'!$K$64="Media",'Mapa final'!$O$64="Leve"),CONCATENATE("R",'Mapa final'!$A$64),"")</f>
        <v/>
      </c>
      <c r="K54" s="489"/>
      <c r="L54" s="489" t="str">
        <f ca="1">IF(AND('Mapa final'!$K$67="Media",'Mapa final'!$O$67="Leve"),CONCATENATE("R",'Mapa final'!$A$67),"")</f>
        <v/>
      </c>
      <c r="M54" s="489"/>
      <c r="N54" s="489" t="str">
        <f ca="1">IF(AND('Mapa final'!$K$73="Media",'Mapa final'!$O$73="Leve"),CONCATENATE("R",'Mapa final'!$A$73),"")</f>
        <v/>
      </c>
      <c r="O54" s="489"/>
      <c r="P54" s="489" t="str">
        <f ca="1">IF(AND('Mapa final'!$K$76="Media",'Mapa final'!$O$76="Leve"),CONCATENATE("R",'Mapa final'!$A$76),"")</f>
        <v/>
      </c>
      <c r="Q54" s="489"/>
      <c r="R54" s="489" t="str">
        <f ca="1">IF(AND('Mapa final'!$K$79="Media",'Mapa final'!$O$79="Leve"),CONCATENATE("R",'Mapa final'!$A$79),"")</f>
        <v/>
      </c>
      <c r="S54" s="490"/>
      <c r="T54" s="491" t="str">
        <f ca="1">IF(AND('Mapa final'!$K$64="Media",'Mapa final'!$O$64="Menor"),CONCATENATE("R",'Mapa final'!$A$64),"")</f>
        <v/>
      </c>
      <c r="U54" s="489"/>
      <c r="V54" s="489" t="str">
        <f ca="1">IF(AND('Mapa final'!$K$67="Media",'Mapa final'!$O$67="Menor"),CONCATENATE("R",'Mapa final'!$A$67),"")</f>
        <v/>
      </c>
      <c r="W54" s="489"/>
      <c r="X54" s="489" t="str">
        <f ca="1">IF(AND('Mapa final'!$K$73="Media",'Mapa final'!$O$73="Menor"),CONCATENATE("R",'Mapa final'!$A$73),"")</f>
        <v/>
      </c>
      <c r="Y54" s="489"/>
      <c r="Z54" s="489" t="str">
        <f ca="1">IF(AND('Mapa final'!$K$76="Media",'Mapa final'!$O$76="Menor"),CONCATENATE("R",'Mapa final'!$A$76),"")</f>
        <v/>
      </c>
      <c r="AA54" s="489"/>
      <c r="AB54" s="489" t="str">
        <f ca="1">IF(AND('Mapa final'!$K$79="Media",'Mapa final'!$O$79="Menor"),CONCATENATE("R",'Mapa final'!$A$79),"")</f>
        <v/>
      </c>
      <c r="AC54" s="490"/>
      <c r="AD54" s="491" t="str">
        <f ca="1">IF(AND('Mapa final'!$K$64="Media",'Mapa final'!$O$64="Moderado"),CONCATENATE("R",'Mapa final'!$A$64),"")</f>
        <v/>
      </c>
      <c r="AE54" s="489"/>
      <c r="AF54" s="489" t="str">
        <f ca="1">IF(AND('Mapa final'!$K$67="Media",'Mapa final'!$O$67="Moderado"),CONCATENATE("R",'Mapa final'!$A$67),"")</f>
        <v/>
      </c>
      <c r="AG54" s="489"/>
      <c r="AH54" s="489" t="str">
        <f ca="1">IF(AND('Mapa final'!$K$73="Media",'Mapa final'!$O$73="Moderado"),CONCATENATE("R",'Mapa final'!$A$73),"")</f>
        <v/>
      </c>
      <c r="AI54" s="489"/>
      <c r="AJ54" s="489" t="str">
        <f ca="1">IF(AND('Mapa final'!$K$76="Media",'Mapa final'!$O$76="Moderado"),CONCATENATE("R",'Mapa final'!$A$76),"")</f>
        <v/>
      </c>
      <c r="AK54" s="489"/>
      <c r="AL54" s="489" t="str">
        <f ca="1">IF(AND('Mapa final'!$K$79="Media",'Mapa final'!$O$79="Moderado"),CONCATENATE("R",'Mapa final'!$A$79),"")</f>
        <v/>
      </c>
      <c r="AM54" s="490"/>
      <c r="AN54" s="494" t="str">
        <f ca="1">IF(AND('Mapa final'!$K$64="Media",'Mapa final'!$O$64="Mayor"),CONCATENATE("R",'Mapa final'!$A$64),"")</f>
        <v/>
      </c>
      <c r="AO54" s="492"/>
      <c r="AP54" s="492" t="str">
        <f ca="1">IF(AND('Mapa final'!$K$67="Media",'Mapa final'!$O$67="Mayor"),CONCATENATE("R",'Mapa final'!$A$67),"")</f>
        <v/>
      </c>
      <c r="AQ54" s="492"/>
      <c r="AR54" s="492" t="str">
        <f ca="1">IF(AND('Mapa final'!$K$73="Media",'Mapa final'!$O$73="Mayor"),CONCATENATE("R",'Mapa final'!$A$73),"")</f>
        <v>R23</v>
      </c>
      <c r="AS54" s="492"/>
      <c r="AT54" s="492" t="str">
        <f ca="1">IF(AND('Mapa final'!$K$76="Media",'Mapa final'!$O$76="Mayor"),CONCATENATE("R",'Mapa final'!$A$76),"")</f>
        <v/>
      </c>
      <c r="AU54" s="492"/>
      <c r="AV54" s="492" t="str">
        <f ca="1">IF(AND('Mapa final'!$K$79="Media",'Mapa final'!$O$79="Mayor"),CONCATENATE("R",'Mapa final'!$A$79),"")</f>
        <v/>
      </c>
      <c r="AW54" s="493"/>
      <c r="AX54" s="488" t="str">
        <f ca="1">IF(AND('Mapa final'!$K$64="Media",'Mapa final'!$O$64="Catastrófico"),CONCATENATE("R",'Mapa final'!$A$64),"")</f>
        <v/>
      </c>
      <c r="AY54" s="486"/>
      <c r="AZ54" s="486" t="str">
        <f ca="1">IF(AND('Mapa final'!$K$67="Media",'Mapa final'!$O$67="Catastrófico"),CONCATENATE("R",'Mapa final'!$A$67),"")</f>
        <v/>
      </c>
      <c r="BA54" s="486"/>
      <c r="BB54" s="486" t="str">
        <f ca="1">IF(AND('Mapa final'!$K$73="Media",'Mapa final'!$O$73="Catastrófico"),CONCATENATE("R",'Mapa final'!$A$73),"")</f>
        <v/>
      </c>
      <c r="BC54" s="486"/>
      <c r="BD54" s="486" t="str">
        <f ca="1">IF(AND('Mapa final'!$K$76="Media",'Mapa final'!$O$76="Catastrófico"),CONCATENATE("R",'Mapa final'!$A$76),"")</f>
        <v/>
      </c>
      <c r="BE54" s="486"/>
      <c r="BF54" s="486" t="str">
        <f ca="1">IF(AND('Mapa final'!$K$79="Media",'Mapa final'!$O$79="Catastrófico"),CONCATENATE("R",'Mapa final'!$A$79),"")</f>
        <v/>
      </c>
      <c r="BG54" s="487"/>
      <c r="BH54" s="55"/>
      <c r="BI54" s="535" t="s">
        <v>75</v>
      </c>
      <c r="BJ54" s="536"/>
      <c r="BK54" s="536"/>
      <c r="BL54" s="536"/>
      <c r="BM54" s="536"/>
      <c r="BN54" s="537"/>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row>
    <row r="55" spans="1:100" ht="15" customHeight="1" x14ac:dyDescent="0.25">
      <c r="A55" s="55"/>
      <c r="B55" s="338"/>
      <c r="C55" s="338"/>
      <c r="D55" s="339"/>
      <c r="E55" s="555"/>
      <c r="F55" s="556"/>
      <c r="G55" s="556"/>
      <c r="H55" s="556"/>
      <c r="I55" s="556"/>
      <c r="J55" s="491"/>
      <c r="K55" s="489"/>
      <c r="L55" s="489"/>
      <c r="M55" s="489"/>
      <c r="N55" s="489"/>
      <c r="O55" s="489"/>
      <c r="P55" s="489"/>
      <c r="Q55" s="489"/>
      <c r="R55" s="489"/>
      <c r="S55" s="490"/>
      <c r="T55" s="491"/>
      <c r="U55" s="489"/>
      <c r="V55" s="489"/>
      <c r="W55" s="489"/>
      <c r="X55" s="489"/>
      <c r="Y55" s="489"/>
      <c r="Z55" s="489"/>
      <c r="AA55" s="489"/>
      <c r="AB55" s="489"/>
      <c r="AC55" s="490"/>
      <c r="AD55" s="491"/>
      <c r="AE55" s="489"/>
      <c r="AF55" s="489"/>
      <c r="AG55" s="489"/>
      <c r="AH55" s="489"/>
      <c r="AI55" s="489"/>
      <c r="AJ55" s="489"/>
      <c r="AK55" s="489"/>
      <c r="AL55" s="489"/>
      <c r="AM55" s="490"/>
      <c r="AN55" s="494"/>
      <c r="AO55" s="492"/>
      <c r="AP55" s="492"/>
      <c r="AQ55" s="492"/>
      <c r="AR55" s="492"/>
      <c r="AS55" s="492"/>
      <c r="AT55" s="492"/>
      <c r="AU55" s="492"/>
      <c r="AV55" s="492"/>
      <c r="AW55" s="493"/>
      <c r="AX55" s="488"/>
      <c r="AY55" s="486"/>
      <c r="AZ55" s="486"/>
      <c r="BA55" s="486"/>
      <c r="BB55" s="486"/>
      <c r="BC55" s="486"/>
      <c r="BD55" s="486"/>
      <c r="BE55" s="486"/>
      <c r="BF55" s="486"/>
      <c r="BG55" s="487"/>
      <c r="BH55" s="55"/>
      <c r="BI55" s="538"/>
      <c r="BJ55" s="539"/>
      <c r="BK55" s="539"/>
      <c r="BL55" s="539"/>
      <c r="BM55" s="539"/>
      <c r="BN55" s="540"/>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row>
    <row r="56" spans="1:100" ht="15" customHeight="1" x14ac:dyDescent="0.25">
      <c r="A56" s="55"/>
      <c r="B56" s="338"/>
      <c r="C56" s="338"/>
      <c r="D56" s="339"/>
      <c r="E56" s="555"/>
      <c r="F56" s="556"/>
      <c r="G56" s="556"/>
      <c r="H56" s="556"/>
      <c r="I56" s="556"/>
      <c r="J56" s="491" t="str">
        <f ca="1">IF(AND('Mapa final'!$K$82="Media",'Mapa final'!$O$82="Leve"),CONCATENATE("R",'Mapa final'!$A$82),"")</f>
        <v/>
      </c>
      <c r="K56" s="489"/>
      <c r="L56" s="489" t="str">
        <f ca="1">IF(AND('Mapa final'!$K$85="Media",'Mapa final'!$O$85="Leve"),CONCATENATE("R",'Mapa final'!$A$85),"")</f>
        <v/>
      </c>
      <c r="M56" s="489"/>
      <c r="N56" s="489" t="str">
        <f ca="1">IF(AND('Mapa final'!$K$88="Media",'Mapa final'!$O$88="Leve"),CONCATENATE("R",'Mapa final'!$A$88),"")</f>
        <v/>
      </c>
      <c r="O56" s="489"/>
      <c r="P56" s="489" t="str">
        <f ca="1">IF(AND('Mapa final'!$K$91="Media",'Mapa final'!$O$91="Leve"),CONCATENATE("R",'Mapa final'!$A$91),"")</f>
        <v/>
      </c>
      <c r="Q56" s="489"/>
      <c r="R56" s="489" t="str">
        <f ca="1">IF(AND('Mapa final'!$K$94="Media",'Mapa final'!$O$94="Leve"),CONCATENATE("R",'Mapa final'!$A$94),"")</f>
        <v/>
      </c>
      <c r="S56" s="490"/>
      <c r="T56" s="491" t="str">
        <f ca="1">IF(AND('Mapa final'!$K$82="Media",'Mapa final'!$O$82="Menor"),CONCATENATE("R",'Mapa final'!$A$82),"")</f>
        <v/>
      </c>
      <c r="U56" s="489"/>
      <c r="V56" s="489" t="str">
        <f ca="1">IF(AND('Mapa final'!$K$85="Media",'Mapa final'!$O$85="Menor"),CONCATENATE("R",'Mapa final'!$A$85),"")</f>
        <v/>
      </c>
      <c r="W56" s="489"/>
      <c r="X56" s="489" t="str">
        <f ca="1">IF(AND('Mapa final'!$K$88="Media",'Mapa final'!$O$88="Menor"),CONCATENATE("R",'Mapa final'!$A$88),"")</f>
        <v/>
      </c>
      <c r="Y56" s="489"/>
      <c r="Z56" s="489" t="str">
        <f ca="1">IF(AND('Mapa final'!$K$91="Media",'Mapa final'!$O$91="Menor"),CONCATENATE("R",'Mapa final'!$A$91),"")</f>
        <v/>
      </c>
      <c r="AA56" s="489"/>
      <c r="AB56" s="489" t="str">
        <f ca="1">IF(AND('Mapa final'!$K$94="Media",'Mapa final'!$O$94="Menor"),CONCATENATE("R",'Mapa final'!$A$94),"")</f>
        <v/>
      </c>
      <c r="AC56" s="490"/>
      <c r="AD56" s="491" t="str">
        <f ca="1">IF(AND('Mapa final'!$K$82="Media",'Mapa final'!$O$82="Moderado"),CONCATENATE("R",'Mapa final'!$A$82),"")</f>
        <v/>
      </c>
      <c r="AE56" s="489"/>
      <c r="AF56" s="489" t="str">
        <f ca="1">IF(AND('Mapa final'!$K$85="Media",'Mapa final'!$O$85="Moderado"),CONCATENATE("R",'Mapa final'!$A$85),"")</f>
        <v/>
      </c>
      <c r="AG56" s="489"/>
      <c r="AH56" s="489" t="str">
        <f ca="1">IF(AND('Mapa final'!$K$88="Media",'Mapa final'!$O$88="Moderado"),CONCATENATE("R",'Mapa final'!$A$88),"")</f>
        <v/>
      </c>
      <c r="AI56" s="489"/>
      <c r="AJ56" s="489" t="str">
        <f ca="1">IF(AND('Mapa final'!$K$91="Media",'Mapa final'!$O$91="Moderado"),CONCATENATE("R",'Mapa final'!$A$91),"")</f>
        <v/>
      </c>
      <c r="AK56" s="489"/>
      <c r="AL56" s="489" t="str">
        <f ca="1">IF(AND('Mapa final'!$K$94="Media",'Mapa final'!$O$94="Moderado"),CONCATENATE("R",'Mapa final'!$A$94),"")</f>
        <v/>
      </c>
      <c r="AM56" s="490"/>
      <c r="AN56" s="494" t="str">
        <f ca="1">IF(AND('Mapa final'!$K$82="Media",'Mapa final'!$O$82="Mayor"),CONCATENATE("R",'Mapa final'!$A$82),"")</f>
        <v/>
      </c>
      <c r="AO56" s="492"/>
      <c r="AP56" s="492" t="str">
        <f ca="1">IF(AND('Mapa final'!$K$85="Media",'Mapa final'!$O$85="Mayor"),CONCATENATE("R",'Mapa final'!$A$85),"")</f>
        <v/>
      </c>
      <c r="AQ56" s="492"/>
      <c r="AR56" s="492" t="str">
        <f ca="1">IF(AND('Mapa final'!$K$88="Media",'Mapa final'!$O$88="Mayor"),CONCATENATE("R",'Mapa final'!$A$88),"")</f>
        <v>R28</v>
      </c>
      <c r="AS56" s="492"/>
      <c r="AT56" s="492" t="str">
        <f ca="1">IF(AND('Mapa final'!$K$91="Media",'Mapa final'!$O$91="Mayor"),CONCATENATE("R",'Mapa final'!$A$91),"")</f>
        <v>R29</v>
      </c>
      <c r="AU56" s="492"/>
      <c r="AV56" s="492" t="str">
        <f ca="1">IF(AND('Mapa final'!$K$94="Media",'Mapa final'!$O$94="Mayor"),CONCATENATE("R",'Mapa final'!$A$94),"")</f>
        <v/>
      </c>
      <c r="AW56" s="493"/>
      <c r="AX56" s="488" t="str">
        <f ca="1">IF(AND('Mapa final'!$K$82="Media",'Mapa final'!$O$82="Catastrófico"),CONCATENATE("R",'Mapa final'!$A$82),"")</f>
        <v/>
      </c>
      <c r="AY56" s="486"/>
      <c r="AZ56" s="486" t="str">
        <f ca="1">IF(AND('Mapa final'!$K$85="Media",'Mapa final'!$O$85="Catastrófico"),CONCATENATE("R",'Mapa final'!$A$85),"")</f>
        <v/>
      </c>
      <c r="BA56" s="486"/>
      <c r="BB56" s="486" t="str">
        <f ca="1">IF(AND('Mapa final'!$K$88="Media",'Mapa final'!$O$88="Catastrófico"),CONCATENATE("R",'Mapa final'!$A$88),"")</f>
        <v/>
      </c>
      <c r="BC56" s="486"/>
      <c r="BD56" s="486" t="str">
        <f ca="1">IF(AND('Mapa final'!$K$91="Media",'Mapa final'!$O$91="Catastrófico"),CONCATENATE("R",'Mapa final'!$A$91),"")</f>
        <v/>
      </c>
      <c r="BE56" s="486"/>
      <c r="BF56" s="486" t="str">
        <f ca="1">IF(AND('Mapa final'!$K$94="Media",'Mapa final'!$O$94="Catastrófico"),CONCATENATE("R",'Mapa final'!$A$94),"")</f>
        <v/>
      </c>
      <c r="BG56" s="487"/>
      <c r="BH56" s="55"/>
      <c r="BI56" s="538"/>
      <c r="BJ56" s="539"/>
      <c r="BK56" s="539"/>
      <c r="BL56" s="539"/>
      <c r="BM56" s="539"/>
      <c r="BN56" s="540"/>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row>
    <row r="57" spans="1:100" ht="15" customHeight="1" x14ac:dyDescent="0.25">
      <c r="A57" s="55"/>
      <c r="B57" s="338"/>
      <c r="C57" s="338"/>
      <c r="D57" s="339"/>
      <c r="E57" s="555"/>
      <c r="F57" s="556"/>
      <c r="G57" s="556"/>
      <c r="H57" s="556"/>
      <c r="I57" s="556"/>
      <c r="J57" s="491"/>
      <c r="K57" s="489"/>
      <c r="L57" s="489"/>
      <c r="M57" s="489"/>
      <c r="N57" s="489"/>
      <c r="O57" s="489"/>
      <c r="P57" s="489"/>
      <c r="Q57" s="489"/>
      <c r="R57" s="489"/>
      <c r="S57" s="490"/>
      <c r="T57" s="491"/>
      <c r="U57" s="489"/>
      <c r="V57" s="489"/>
      <c r="W57" s="489"/>
      <c r="X57" s="489"/>
      <c r="Y57" s="489"/>
      <c r="Z57" s="489"/>
      <c r="AA57" s="489"/>
      <c r="AB57" s="489"/>
      <c r="AC57" s="490"/>
      <c r="AD57" s="491"/>
      <c r="AE57" s="489"/>
      <c r="AF57" s="489"/>
      <c r="AG57" s="489"/>
      <c r="AH57" s="489"/>
      <c r="AI57" s="489"/>
      <c r="AJ57" s="489"/>
      <c r="AK57" s="489"/>
      <c r="AL57" s="489"/>
      <c r="AM57" s="490"/>
      <c r="AN57" s="494"/>
      <c r="AO57" s="492"/>
      <c r="AP57" s="492"/>
      <c r="AQ57" s="492"/>
      <c r="AR57" s="492"/>
      <c r="AS57" s="492"/>
      <c r="AT57" s="492"/>
      <c r="AU57" s="492"/>
      <c r="AV57" s="492"/>
      <c r="AW57" s="493"/>
      <c r="AX57" s="488"/>
      <c r="AY57" s="486"/>
      <c r="AZ57" s="486"/>
      <c r="BA57" s="486"/>
      <c r="BB57" s="486"/>
      <c r="BC57" s="486"/>
      <c r="BD57" s="486"/>
      <c r="BE57" s="486"/>
      <c r="BF57" s="486"/>
      <c r="BG57" s="487"/>
      <c r="BH57" s="55"/>
      <c r="BI57" s="538"/>
      <c r="BJ57" s="539"/>
      <c r="BK57" s="539"/>
      <c r="BL57" s="539"/>
      <c r="BM57" s="539"/>
      <c r="BN57" s="540"/>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row>
    <row r="58" spans="1:100" ht="15" customHeight="1" x14ac:dyDescent="0.25">
      <c r="A58" s="55"/>
      <c r="B58" s="338"/>
      <c r="C58" s="338"/>
      <c r="D58" s="339"/>
      <c r="E58" s="555"/>
      <c r="F58" s="556"/>
      <c r="G58" s="556"/>
      <c r="H58" s="556"/>
      <c r="I58" s="556"/>
      <c r="J58" s="491" t="str">
        <f ca="1">IF(AND('Mapa final'!$K$97="Media",'Mapa final'!$O$97="Leve"),CONCATENATE("R",'Mapa final'!$A$97),"")</f>
        <v/>
      </c>
      <c r="K58" s="489"/>
      <c r="L58" s="489" t="str">
        <f ca="1">IF(AND('Mapa final'!$K$100="Media",'Mapa final'!$O$100="Leve"),CONCATENATE("R",'Mapa final'!$A$100),"")</f>
        <v/>
      </c>
      <c r="M58" s="489"/>
      <c r="N58" s="489" t="str">
        <f>IF(AND('Mapa final'!$K$103="Media",'Mapa final'!$O$103="Leve"),CONCATENATE("R",'Mapa final'!$A$103),"")</f>
        <v/>
      </c>
      <c r="O58" s="489"/>
      <c r="P58" s="489" t="str">
        <f ca="1">IF(AND('Mapa final'!$K$106="Media",'Mapa final'!$O$106="Leve"),CONCATENATE("R",'Mapa final'!$A$106),"")</f>
        <v/>
      </c>
      <c r="Q58" s="489"/>
      <c r="R58" s="489" t="str">
        <f ca="1">IF(AND('Mapa final'!$K$109="Media",'Mapa final'!$O$109="Leve"),CONCATENATE("R",'Mapa final'!$A$109),"")</f>
        <v/>
      </c>
      <c r="S58" s="490"/>
      <c r="T58" s="491" t="str">
        <f ca="1">IF(AND('Mapa final'!$K$97="Media",'Mapa final'!$O$97="Menor"),CONCATENATE("R",'Mapa final'!$A$97),"")</f>
        <v/>
      </c>
      <c r="U58" s="489"/>
      <c r="V58" s="489" t="str">
        <f ca="1">IF(AND('Mapa final'!$K$100="Media",'Mapa final'!$O$100="Menor"),CONCATENATE("R",'Mapa final'!$A$100),"")</f>
        <v/>
      </c>
      <c r="W58" s="489"/>
      <c r="X58" s="489" t="str">
        <f>IF(AND('Mapa final'!$K$103="Media",'Mapa final'!$O$103="Menor"),CONCATENATE("R",'Mapa final'!$A$103),"")</f>
        <v/>
      </c>
      <c r="Y58" s="489"/>
      <c r="Z58" s="489" t="str">
        <f ca="1">IF(AND('Mapa final'!$K$106="Media",'Mapa final'!$O$106="Menor"),CONCATENATE("R",'Mapa final'!$A$106),"")</f>
        <v/>
      </c>
      <c r="AA58" s="489"/>
      <c r="AB58" s="489" t="str">
        <f ca="1">IF(AND('Mapa final'!$K$109="Media",'Mapa final'!$O$109="Menor"),CONCATENATE("R",'Mapa final'!$A$109),"")</f>
        <v/>
      </c>
      <c r="AC58" s="490"/>
      <c r="AD58" s="491" t="str">
        <f ca="1">IF(AND('Mapa final'!$K$97="Media",'Mapa final'!$O$97="Moderado"),CONCATENATE("R",'Mapa final'!$A$97),"")</f>
        <v/>
      </c>
      <c r="AE58" s="489"/>
      <c r="AF58" s="489" t="str">
        <f ca="1">IF(AND('Mapa final'!$K$100="Media",'Mapa final'!$O$100="Moderado"),CONCATENATE("R",'Mapa final'!$A$100),"")</f>
        <v/>
      </c>
      <c r="AG58" s="489"/>
      <c r="AH58" s="489" t="str">
        <f>IF(AND('Mapa final'!$K$103="Media",'Mapa final'!$O$103="Moderado"),CONCATENATE("R",'Mapa final'!$A$103),"")</f>
        <v/>
      </c>
      <c r="AI58" s="489"/>
      <c r="AJ58" s="489" t="str">
        <f ca="1">IF(AND('Mapa final'!$K$106="Media",'Mapa final'!$O$106="Moderado"),CONCATENATE("R",'Mapa final'!$A$106),"")</f>
        <v>R34</v>
      </c>
      <c r="AK58" s="489"/>
      <c r="AL58" s="489" t="str">
        <f ca="1">IF(AND('Mapa final'!$K$109="Media",'Mapa final'!$O$109="Moderado"),CONCATENATE("R",'Mapa final'!$A$109),"")</f>
        <v>R35</v>
      </c>
      <c r="AM58" s="490"/>
      <c r="AN58" s="494" t="str">
        <f ca="1">IF(AND('Mapa final'!$K$97="Media",'Mapa final'!$O$97="Mayor"),CONCATENATE("R",'Mapa final'!$A$97),"")</f>
        <v/>
      </c>
      <c r="AO58" s="492"/>
      <c r="AP58" s="492" t="str">
        <f ca="1">IF(AND('Mapa final'!$K$100="Media",'Mapa final'!$O$100="Mayor"),CONCATENATE("R",'Mapa final'!$A$100),"")</f>
        <v/>
      </c>
      <c r="AQ58" s="492"/>
      <c r="AR58" s="492" t="str">
        <f>IF(AND('Mapa final'!$K$103="Media",'Mapa final'!$O$103="Mayor"),CONCATENATE("R",'Mapa final'!$A$103),"")</f>
        <v/>
      </c>
      <c r="AS58" s="492"/>
      <c r="AT58" s="492" t="str">
        <f ca="1">IF(AND('Mapa final'!$K$106="Media",'Mapa final'!$O$106="Mayor"),CONCATENATE("R",'Mapa final'!$A$106),"")</f>
        <v/>
      </c>
      <c r="AU58" s="492"/>
      <c r="AV58" s="492" t="str">
        <f ca="1">IF(AND('Mapa final'!$K$109="Media",'Mapa final'!$O$109="Mayor"),CONCATENATE("R",'Mapa final'!$A$109),"")</f>
        <v/>
      </c>
      <c r="AW58" s="493"/>
      <c r="AX58" s="488" t="str">
        <f ca="1">IF(AND('Mapa final'!$K$97="Media",'Mapa final'!$O$97="Catastrófico"),CONCATENATE("R",'Mapa final'!$A$97),"")</f>
        <v/>
      </c>
      <c r="AY58" s="486"/>
      <c r="AZ58" s="486" t="str">
        <f ca="1">IF(AND('Mapa final'!$K$100="Media",'Mapa final'!$O$100="Catastrófico"),CONCATENATE("R",'Mapa final'!$A$100),"")</f>
        <v/>
      </c>
      <c r="BA58" s="486"/>
      <c r="BB58" s="486" t="str">
        <f>IF(AND('Mapa final'!$K$103="Media",'Mapa final'!$O$103="Catastrófico"),CONCATENATE("R",'Mapa final'!$A$103),"")</f>
        <v/>
      </c>
      <c r="BC58" s="486"/>
      <c r="BD58" s="486" t="str">
        <f ca="1">IF(AND('Mapa final'!$K$106="Media",'Mapa final'!$O$106="Catastrófico"),CONCATENATE("R",'Mapa final'!$A$106),"")</f>
        <v/>
      </c>
      <c r="BE58" s="486"/>
      <c r="BF58" s="486" t="str">
        <f ca="1">IF(AND('Mapa final'!$K$109="Media",'Mapa final'!$O$109="Catastrófico"),CONCATENATE("R",'Mapa final'!$A$109),"")</f>
        <v/>
      </c>
      <c r="BG58" s="487"/>
      <c r="BH58" s="55"/>
      <c r="BI58" s="538"/>
      <c r="BJ58" s="539"/>
      <c r="BK58" s="539"/>
      <c r="BL58" s="539"/>
      <c r="BM58" s="539"/>
      <c r="BN58" s="540"/>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row>
    <row r="59" spans="1:100" ht="15" customHeight="1" x14ac:dyDescent="0.25">
      <c r="A59" s="55"/>
      <c r="B59" s="338"/>
      <c r="C59" s="338"/>
      <c r="D59" s="339"/>
      <c r="E59" s="555"/>
      <c r="F59" s="556"/>
      <c r="G59" s="556"/>
      <c r="H59" s="556"/>
      <c r="I59" s="556"/>
      <c r="J59" s="491"/>
      <c r="K59" s="489"/>
      <c r="L59" s="489"/>
      <c r="M59" s="489"/>
      <c r="N59" s="489"/>
      <c r="O59" s="489"/>
      <c r="P59" s="489"/>
      <c r="Q59" s="489"/>
      <c r="R59" s="489"/>
      <c r="S59" s="490"/>
      <c r="T59" s="491"/>
      <c r="U59" s="489"/>
      <c r="V59" s="489"/>
      <c r="W59" s="489"/>
      <c r="X59" s="489"/>
      <c r="Y59" s="489"/>
      <c r="Z59" s="489"/>
      <c r="AA59" s="489"/>
      <c r="AB59" s="489"/>
      <c r="AC59" s="490"/>
      <c r="AD59" s="491"/>
      <c r="AE59" s="489"/>
      <c r="AF59" s="489"/>
      <c r="AG59" s="489"/>
      <c r="AH59" s="489"/>
      <c r="AI59" s="489"/>
      <c r="AJ59" s="489"/>
      <c r="AK59" s="489"/>
      <c r="AL59" s="489"/>
      <c r="AM59" s="490"/>
      <c r="AN59" s="494"/>
      <c r="AO59" s="492"/>
      <c r="AP59" s="492"/>
      <c r="AQ59" s="492"/>
      <c r="AR59" s="492"/>
      <c r="AS59" s="492"/>
      <c r="AT59" s="492"/>
      <c r="AU59" s="492"/>
      <c r="AV59" s="492"/>
      <c r="AW59" s="493"/>
      <c r="AX59" s="488"/>
      <c r="AY59" s="486"/>
      <c r="AZ59" s="486"/>
      <c r="BA59" s="486"/>
      <c r="BB59" s="486"/>
      <c r="BC59" s="486"/>
      <c r="BD59" s="486"/>
      <c r="BE59" s="486"/>
      <c r="BF59" s="486"/>
      <c r="BG59" s="487"/>
      <c r="BH59" s="55"/>
      <c r="BI59" s="538"/>
      <c r="BJ59" s="539"/>
      <c r="BK59" s="539"/>
      <c r="BL59" s="539"/>
      <c r="BM59" s="539"/>
      <c r="BN59" s="540"/>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row>
    <row r="60" spans="1:100" ht="15" customHeight="1" x14ac:dyDescent="0.25">
      <c r="A60" s="55"/>
      <c r="B60" s="338"/>
      <c r="C60" s="338"/>
      <c r="D60" s="339"/>
      <c r="E60" s="555"/>
      <c r="F60" s="556"/>
      <c r="G60" s="556"/>
      <c r="H60" s="556"/>
      <c r="I60" s="556"/>
      <c r="J60" s="491" t="str">
        <f ca="1">IF(AND('Mapa final'!$K$112="Media",'Mapa final'!$O$112="Leve"),CONCATENATE("R",'Mapa final'!$A$112),"")</f>
        <v/>
      </c>
      <c r="K60" s="489"/>
      <c r="L60" s="489" t="str">
        <f ca="1">IF(AND('Mapa final'!$K$115="Media",'Mapa final'!$O$115="Leve"),CONCATENATE("R",'Mapa final'!$A$115),"")</f>
        <v/>
      </c>
      <c r="M60" s="489"/>
      <c r="N60" s="489" t="str">
        <f ca="1">IF(AND('Mapa final'!$K$118="Media",'Mapa final'!$O$118="Leve"),CONCATENATE("R",'Mapa final'!$A$118),"")</f>
        <v/>
      </c>
      <c r="O60" s="489"/>
      <c r="P60" s="489" t="str">
        <f ca="1">IF(AND('Mapa final'!$K$121="Media",'Mapa final'!$O$121="Leve"),CONCATENATE("R",'Mapa final'!$A$121),"")</f>
        <v/>
      </c>
      <c r="Q60" s="489"/>
      <c r="R60" s="489" t="str">
        <f ca="1">IF(AND('Mapa final'!$K$124="Media",'Mapa final'!$O$124="Leve"),CONCATENATE("R",'Mapa final'!$A$124),"")</f>
        <v/>
      </c>
      <c r="S60" s="490"/>
      <c r="T60" s="491" t="str">
        <f ca="1">IF(AND('Mapa final'!$K$112="Media",'Mapa final'!$O$112="Menor"),CONCATENATE("R",'Mapa final'!$A$112),"")</f>
        <v/>
      </c>
      <c r="U60" s="489"/>
      <c r="V60" s="489" t="str">
        <f ca="1">IF(AND('Mapa final'!$K$115="Media",'Mapa final'!$O$115="Menor"),CONCATENATE("R",'Mapa final'!$A$115),"")</f>
        <v>R37</v>
      </c>
      <c r="W60" s="489"/>
      <c r="X60" s="489" t="str">
        <f ca="1">IF(AND('Mapa final'!$K$118="Media",'Mapa final'!$O$118="Menor"),CONCATENATE("R",'Mapa final'!$A$118),"")</f>
        <v/>
      </c>
      <c r="Y60" s="489"/>
      <c r="Z60" s="489" t="str">
        <f ca="1">IF(AND('Mapa final'!$K$121="Media",'Mapa final'!$O$121="Menor"),CONCATENATE("R",'Mapa final'!$A$121),"")</f>
        <v/>
      </c>
      <c r="AA60" s="489"/>
      <c r="AB60" s="489" t="str">
        <f ca="1">IF(AND('Mapa final'!$K$124="Media",'Mapa final'!$O$124="Menor"),CONCATENATE("R",'Mapa final'!$A$124),"")</f>
        <v/>
      </c>
      <c r="AC60" s="490"/>
      <c r="AD60" s="491" t="str">
        <f ca="1">IF(AND('Mapa final'!$K$112="Media",'Mapa final'!$O$112="Moderado"),CONCATENATE("R",'Mapa final'!$A$112),"")</f>
        <v/>
      </c>
      <c r="AE60" s="489"/>
      <c r="AF60" s="489" t="str">
        <f ca="1">IF(AND('Mapa final'!$K$115="Media",'Mapa final'!$O$115="Moderado"),CONCATENATE("R",'Mapa final'!$A$115),"")</f>
        <v/>
      </c>
      <c r="AG60" s="489"/>
      <c r="AH60" s="489" t="str">
        <f ca="1">IF(AND('Mapa final'!$K$118="Media",'Mapa final'!$O$118="Moderado"),CONCATENATE("R",'Mapa final'!$A$118),"")</f>
        <v/>
      </c>
      <c r="AI60" s="489"/>
      <c r="AJ60" s="489" t="str">
        <f ca="1">IF(AND('Mapa final'!$K$121="Media",'Mapa final'!$O$121="Moderado"),CONCATENATE("R",'Mapa final'!$A$121),"")</f>
        <v/>
      </c>
      <c r="AK60" s="489"/>
      <c r="AL60" s="489" t="str">
        <f ca="1">IF(AND('Mapa final'!$K$124="Media",'Mapa final'!$O$124="Moderado"),CONCATENATE("R",'Mapa final'!$A$124),"")</f>
        <v>R40</v>
      </c>
      <c r="AM60" s="490"/>
      <c r="AN60" s="494" t="str">
        <f ca="1">IF(AND('Mapa final'!$K$112="Media",'Mapa final'!$O$112="Mayor"),CONCATENATE("R",'Mapa final'!$A$112),"")</f>
        <v>R36</v>
      </c>
      <c r="AO60" s="492"/>
      <c r="AP60" s="492" t="str">
        <f ca="1">IF(AND('Mapa final'!$K$115="Media",'Mapa final'!$O$115="Mayor"),CONCATENATE("R",'Mapa final'!$A$115),"")</f>
        <v/>
      </c>
      <c r="AQ60" s="492"/>
      <c r="AR60" s="492" t="str">
        <f ca="1">IF(AND('Mapa final'!$K$118="Media",'Mapa final'!$O$118="Mayor"),CONCATENATE("R",'Mapa final'!$A$118),"")</f>
        <v/>
      </c>
      <c r="AS60" s="492"/>
      <c r="AT60" s="492" t="str">
        <f ca="1">IF(AND('Mapa final'!$K$121="Media",'Mapa final'!$O$121="Mayor"),CONCATENATE("R",'Mapa final'!$A$121),"")</f>
        <v/>
      </c>
      <c r="AU60" s="492"/>
      <c r="AV60" s="492" t="str">
        <f ca="1">IF(AND('Mapa final'!$K$124="Media",'Mapa final'!$O$124="Mayor"),CONCATENATE("R",'Mapa final'!$A$124),"")</f>
        <v/>
      </c>
      <c r="AW60" s="493"/>
      <c r="AX60" s="488" t="str">
        <f ca="1">IF(AND('Mapa final'!$K$112="Media",'Mapa final'!$O$112="Catastrófico"),CONCATENATE("R",'Mapa final'!$A$112),"")</f>
        <v/>
      </c>
      <c r="AY60" s="486"/>
      <c r="AZ60" s="486" t="str">
        <f ca="1">IF(AND('Mapa final'!$K$115="Media",'Mapa final'!$O$115="Catastrófico"),CONCATENATE("R",'Mapa final'!$A$115),"")</f>
        <v/>
      </c>
      <c r="BA60" s="486"/>
      <c r="BB60" s="486" t="str">
        <f ca="1">IF(AND('Mapa final'!$K$118="Media",'Mapa final'!$O$118="Catastrófico"),CONCATENATE("R",'Mapa final'!$A$118),"")</f>
        <v/>
      </c>
      <c r="BC60" s="486"/>
      <c r="BD60" s="486" t="str">
        <f ca="1">IF(AND('Mapa final'!$K$121="Media",'Mapa final'!$O$121="Catastrófico"),CONCATENATE("R",'Mapa final'!$A$121),"")</f>
        <v/>
      </c>
      <c r="BE60" s="486"/>
      <c r="BF60" s="486" t="str">
        <f ca="1">IF(AND('Mapa final'!$K$124="Media",'Mapa final'!$O$124="Catastrófico"),CONCATENATE("R",'Mapa final'!$A$124),"")</f>
        <v/>
      </c>
      <c r="BG60" s="487"/>
      <c r="BH60" s="55"/>
      <c r="BI60" s="538"/>
      <c r="BJ60" s="539"/>
      <c r="BK60" s="539"/>
      <c r="BL60" s="539"/>
      <c r="BM60" s="539"/>
      <c r="BN60" s="540"/>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row>
    <row r="61" spans="1:100" ht="15" customHeight="1" x14ac:dyDescent="0.25">
      <c r="A61" s="55"/>
      <c r="B61" s="338"/>
      <c r="C61" s="338"/>
      <c r="D61" s="339"/>
      <c r="E61" s="555"/>
      <c r="F61" s="556"/>
      <c r="G61" s="556"/>
      <c r="H61" s="556"/>
      <c r="I61" s="556"/>
      <c r="J61" s="491"/>
      <c r="K61" s="489"/>
      <c r="L61" s="489"/>
      <c r="M61" s="489"/>
      <c r="N61" s="489"/>
      <c r="O61" s="489"/>
      <c r="P61" s="489"/>
      <c r="Q61" s="489"/>
      <c r="R61" s="489"/>
      <c r="S61" s="490"/>
      <c r="T61" s="491"/>
      <c r="U61" s="489"/>
      <c r="V61" s="489"/>
      <c r="W61" s="489"/>
      <c r="X61" s="489"/>
      <c r="Y61" s="489"/>
      <c r="Z61" s="489"/>
      <c r="AA61" s="489"/>
      <c r="AB61" s="489"/>
      <c r="AC61" s="490"/>
      <c r="AD61" s="491"/>
      <c r="AE61" s="489"/>
      <c r="AF61" s="489"/>
      <c r="AG61" s="489"/>
      <c r="AH61" s="489"/>
      <c r="AI61" s="489"/>
      <c r="AJ61" s="489"/>
      <c r="AK61" s="489"/>
      <c r="AL61" s="489"/>
      <c r="AM61" s="490"/>
      <c r="AN61" s="494"/>
      <c r="AO61" s="492"/>
      <c r="AP61" s="492"/>
      <c r="AQ61" s="492"/>
      <c r="AR61" s="492"/>
      <c r="AS61" s="492"/>
      <c r="AT61" s="492"/>
      <c r="AU61" s="492"/>
      <c r="AV61" s="492"/>
      <c r="AW61" s="493"/>
      <c r="AX61" s="488"/>
      <c r="AY61" s="486"/>
      <c r="AZ61" s="486"/>
      <c r="BA61" s="486"/>
      <c r="BB61" s="486"/>
      <c r="BC61" s="486"/>
      <c r="BD61" s="486"/>
      <c r="BE61" s="486"/>
      <c r="BF61" s="486"/>
      <c r="BG61" s="487"/>
      <c r="BH61" s="55"/>
      <c r="BI61" s="538"/>
      <c r="BJ61" s="539"/>
      <c r="BK61" s="539"/>
      <c r="BL61" s="539"/>
      <c r="BM61" s="539"/>
      <c r="BN61" s="540"/>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row>
    <row r="62" spans="1:100" ht="15" customHeight="1" x14ac:dyDescent="0.25">
      <c r="A62" s="55"/>
      <c r="B62" s="338"/>
      <c r="C62" s="338"/>
      <c r="D62" s="339"/>
      <c r="E62" s="555"/>
      <c r="F62" s="556"/>
      <c r="G62" s="556"/>
      <c r="H62" s="556"/>
      <c r="I62" s="556"/>
      <c r="J62" s="491" t="str">
        <f ca="1">IF(AND('Mapa final'!$K$127="Media",'Mapa final'!$O$127="Leve"),CONCATENATE("R",'Mapa final'!$A$127),"")</f>
        <v/>
      </c>
      <c r="K62" s="489"/>
      <c r="L62" s="489" t="str">
        <f ca="1">IF(AND('Mapa final'!$K$130="Media",'Mapa final'!$O$130="Leve"),CONCATENATE("R",'Mapa final'!$A$130),"")</f>
        <v/>
      </c>
      <c r="M62" s="489"/>
      <c r="N62" s="489" t="str">
        <f ca="1">IF(AND('Mapa final'!$K$133="Media",'Mapa final'!$O$133="Leve"),CONCATENATE("R",'Mapa final'!$A$133),"")</f>
        <v/>
      </c>
      <c r="O62" s="489"/>
      <c r="P62" s="489" t="str">
        <f ca="1">IF(AND('Mapa final'!$K$136="Media",'Mapa final'!$O$136="Leve"),CONCATENATE("R",'Mapa final'!$A$136),"")</f>
        <v/>
      </c>
      <c r="Q62" s="489"/>
      <c r="R62" s="489" t="str">
        <f ca="1">IF(AND('Mapa final'!$K$139="Media",'Mapa final'!$O$139="Leve"),CONCATENATE("R",'Mapa final'!$A$139),"")</f>
        <v/>
      </c>
      <c r="S62" s="490"/>
      <c r="T62" s="491" t="str">
        <f ca="1">IF(AND('Mapa final'!$K$127="Media",'Mapa final'!$O$127="Menor"),CONCATENATE("R",'Mapa final'!$A$127),"")</f>
        <v/>
      </c>
      <c r="U62" s="489"/>
      <c r="V62" s="489" t="str">
        <f ca="1">IF(AND('Mapa final'!$K$130="Media",'Mapa final'!$O$130="Menor"),CONCATENATE("R",'Mapa final'!$A$130),"")</f>
        <v/>
      </c>
      <c r="W62" s="489"/>
      <c r="X62" s="489" t="str">
        <f ca="1">IF(AND('Mapa final'!$K$133="Media",'Mapa final'!$O$133="Menor"),CONCATENATE("R",'Mapa final'!$A$133),"")</f>
        <v/>
      </c>
      <c r="Y62" s="489"/>
      <c r="Z62" s="489" t="str">
        <f ca="1">IF(AND('Mapa final'!$K$136="Media",'Mapa final'!$O$136="Menor"),CONCATENATE("R",'Mapa final'!$A$136),"")</f>
        <v/>
      </c>
      <c r="AA62" s="489"/>
      <c r="AB62" s="489" t="str">
        <f ca="1">IF(AND('Mapa final'!$K$139="Media",'Mapa final'!$O$139="Menor"),CONCATENATE("R",'Mapa final'!$A$139),"")</f>
        <v/>
      </c>
      <c r="AC62" s="490"/>
      <c r="AD62" s="491" t="str">
        <f ca="1">IF(AND('Mapa final'!$K$127="Media",'Mapa final'!$O$127="Moderado"),CONCATENATE("R",'Mapa final'!$A$127),"")</f>
        <v>R41</v>
      </c>
      <c r="AE62" s="489"/>
      <c r="AF62" s="489" t="str">
        <f ca="1">IF(AND('Mapa final'!$K$130="Media",'Mapa final'!$O$130="Moderado"),CONCATENATE("R",'Mapa final'!$A$130),"")</f>
        <v/>
      </c>
      <c r="AG62" s="489"/>
      <c r="AH62" s="489" t="str">
        <f ca="1">IF(AND('Mapa final'!$K$133="Media",'Mapa final'!$O$133="Moderado"),CONCATENATE("R",'Mapa final'!$A$133),"")</f>
        <v/>
      </c>
      <c r="AI62" s="489"/>
      <c r="AJ62" s="489" t="str">
        <f ca="1">IF(AND('Mapa final'!$K$136="Media",'Mapa final'!$O$136="Moderado"),CONCATENATE("R",'Mapa final'!$A$136),"")</f>
        <v>R44</v>
      </c>
      <c r="AK62" s="489"/>
      <c r="AL62" s="489" t="str">
        <f ca="1">IF(AND('Mapa final'!$K$139="Media",'Mapa final'!$O$139="Moderado"),CONCATENATE("R",'Mapa final'!$A$139),"")</f>
        <v/>
      </c>
      <c r="AM62" s="490"/>
      <c r="AN62" s="494" t="str">
        <f ca="1">IF(AND('Mapa final'!$K$127="Media",'Mapa final'!$O$127="Mayor"),CONCATENATE("R",'Mapa final'!$A$127),"")</f>
        <v/>
      </c>
      <c r="AO62" s="492"/>
      <c r="AP62" s="492" t="str">
        <f ca="1">IF(AND('Mapa final'!$K$130="Media",'Mapa final'!$O$130="Mayor"),CONCATENATE("R",'Mapa final'!$A$130),"")</f>
        <v/>
      </c>
      <c r="AQ62" s="492"/>
      <c r="AR62" s="492" t="str">
        <f ca="1">IF(AND('Mapa final'!$K$133="Media",'Mapa final'!$O$133="Mayor"),CONCATENATE("R",'Mapa final'!$A$133),"")</f>
        <v>R43</v>
      </c>
      <c r="AS62" s="492"/>
      <c r="AT62" s="492" t="str">
        <f ca="1">IF(AND('Mapa final'!$K$136="Media",'Mapa final'!$O$136="Mayor"),CONCATENATE("R",'Mapa final'!$A$136),"")</f>
        <v/>
      </c>
      <c r="AU62" s="492"/>
      <c r="AV62" s="492" t="str">
        <f ca="1">IF(AND('Mapa final'!$K$139="Media",'Mapa final'!$O$139="Mayor"),CONCATENATE("R",'Mapa final'!$A$139),"")</f>
        <v>R45</v>
      </c>
      <c r="AW62" s="493"/>
      <c r="AX62" s="488" t="str">
        <f ca="1">IF(AND('Mapa final'!$K$127="Media",'Mapa final'!$O$127="Catastrófico"),CONCATENATE("R",'Mapa final'!$A$127),"")</f>
        <v/>
      </c>
      <c r="AY62" s="486"/>
      <c r="AZ62" s="486" t="str">
        <f ca="1">IF(AND('Mapa final'!$K$130="Media",'Mapa final'!$O$130="Catastrófico"),CONCATENATE("R",'Mapa final'!$A$130),"")</f>
        <v/>
      </c>
      <c r="BA62" s="486"/>
      <c r="BB62" s="486" t="str">
        <f ca="1">IF(AND('Mapa final'!$K$133="Media",'Mapa final'!$O$133="Catastrófico"),CONCATENATE("R",'Mapa final'!$A$133),"")</f>
        <v/>
      </c>
      <c r="BC62" s="486"/>
      <c r="BD62" s="486" t="str">
        <f ca="1">IF(AND('Mapa final'!$K$136="Media",'Mapa final'!$O$136="Catastrófico"),CONCATENATE("R",'Mapa final'!$A$136),"")</f>
        <v/>
      </c>
      <c r="BE62" s="486"/>
      <c r="BF62" s="486" t="str">
        <f ca="1">IF(AND('Mapa final'!$K$139="Media",'Mapa final'!$O$139="Catastrófico"),CONCATENATE("R",'Mapa final'!$A$139),"")</f>
        <v/>
      </c>
      <c r="BG62" s="487"/>
      <c r="BH62" s="55"/>
      <c r="BI62" s="538"/>
      <c r="BJ62" s="539"/>
      <c r="BK62" s="539"/>
      <c r="BL62" s="539"/>
      <c r="BM62" s="539"/>
      <c r="BN62" s="540"/>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row>
    <row r="63" spans="1:100" ht="15" customHeight="1" x14ac:dyDescent="0.25">
      <c r="A63" s="55"/>
      <c r="B63" s="338"/>
      <c r="C63" s="338"/>
      <c r="D63" s="339"/>
      <c r="E63" s="555"/>
      <c r="F63" s="556"/>
      <c r="G63" s="556"/>
      <c r="H63" s="556"/>
      <c r="I63" s="556"/>
      <c r="J63" s="491"/>
      <c r="K63" s="489"/>
      <c r="L63" s="489"/>
      <c r="M63" s="489"/>
      <c r="N63" s="489"/>
      <c r="O63" s="489"/>
      <c r="P63" s="489"/>
      <c r="Q63" s="489"/>
      <c r="R63" s="489"/>
      <c r="S63" s="490"/>
      <c r="T63" s="491"/>
      <c r="U63" s="489"/>
      <c r="V63" s="489"/>
      <c r="W63" s="489"/>
      <c r="X63" s="489"/>
      <c r="Y63" s="489"/>
      <c r="Z63" s="489"/>
      <c r="AA63" s="489"/>
      <c r="AB63" s="489"/>
      <c r="AC63" s="490"/>
      <c r="AD63" s="491"/>
      <c r="AE63" s="489"/>
      <c r="AF63" s="489"/>
      <c r="AG63" s="489"/>
      <c r="AH63" s="489"/>
      <c r="AI63" s="489"/>
      <c r="AJ63" s="489"/>
      <c r="AK63" s="489"/>
      <c r="AL63" s="489"/>
      <c r="AM63" s="490"/>
      <c r="AN63" s="494"/>
      <c r="AO63" s="492"/>
      <c r="AP63" s="492"/>
      <c r="AQ63" s="492"/>
      <c r="AR63" s="492"/>
      <c r="AS63" s="492"/>
      <c r="AT63" s="492"/>
      <c r="AU63" s="492"/>
      <c r="AV63" s="492"/>
      <c r="AW63" s="493"/>
      <c r="AX63" s="488"/>
      <c r="AY63" s="486"/>
      <c r="AZ63" s="486"/>
      <c r="BA63" s="486"/>
      <c r="BB63" s="486"/>
      <c r="BC63" s="486"/>
      <c r="BD63" s="486"/>
      <c r="BE63" s="486"/>
      <c r="BF63" s="486"/>
      <c r="BG63" s="487"/>
      <c r="BH63" s="55"/>
      <c r="BI63" s="538"/>
      <c r="BJ63" s="539"/>
      <c r="BK63" s="539"/>
      <c r="BL63" s="539"/>
      <c r="BM63" s="539"/>
      <c r="BN63" s="540"/>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row>
    <row r="64" spans="1:100" ht="15" customHeight="1" x14ac:dyDescent="0.25">
      <c r="A64" s="55"/>
      <c r="B64" s="338"/>
      <c r="C64" s="338"/>
      <c r="D64" s="339"/>
      <c r="E64" s="555"/>
      <c r="F64" s="556"/>
      <c r="G64" s="556"/>
      <c r="H64" s="556"/>
      <c r="I64" s="556"/>
      <c r="J64" s="491" t="str">
        <f ca="1">IF(AND('Mapa final'!$K$142="Media",'Mapa final'!$O$142="Leve"),CONCATENATE("R",'Mapa final'!$A$142),"")</f>
        <v/>
      </c>
      <c r="K64" s="489"/>
      <c r="L64" s="489" t="str">
        <f ca="1">IF(AND('Mapa final'!$K$145="Media",'Mapa final'!$O$145="Leve"),CONCATENATE("R",'Mapa final'!$A$145),"")</f>
        <v/>
      </c>
      <c r="M64" s="489"/>
      <c r="N64" s="489" t="str">
        <f ca="1">IF(AND('Mapa final'!$K$148="Media",'Mapa final'!$O$148="Leve"),CONCATENATE("R",'Mapa final'!$A$148),"")</f>
        <v/>
      </c>
      <c r="O64" s="489"/>
      <c r="P64" s="489" t="str">
        <f ca="1">IF(AND('Mapa final'!$K$151="Media",'Mapa final'!$O$151="Leve"),CONCATENATE("R",'Mapa final'!$A$151),"")</f>
        <v/>
      </c>
      <c r="Q64" s="489"/>
      <c r="R64" s="489" t="str">
        <f ca="1">IF(AND('Mapa final'!$K$154="Media",'Mapa final'!$O$154="Leve"),CONCATENATE("R",'Mapa final'!$A$154),"")</f>
        <v/>
      </c>
      <c r="S64" s="490"/>
      <c r="T64" s="491" t="str">
        <f ca="1">IF(AND('Mapa final'!$K$142="Media",'Mapa final'!$O$142="Menor"),CONCATENATE("R",'Mapa final'!$A$142),"")</f>
        <v/>
      </c>
      <c r="U64" s="489"/>
      <c r="V64" s="489" t="str">
        <f ca="1">IF(AND('Mapa final'!$K$145="Media",'Mapa final'!$O$145="Menor"),CONCATENATE("R",'Mapa final'!$A$145),"")</f>
        <v/>
      </c>
      <c r="W64" s="489"/>
      <c r="X64" s="489" t="str">
        <f ca="1">IF(AND('Mapa final'!$K$148="Media",'Mapa final'!$O$148="Menor"),CONCATENATE("R",'Mapa final'!$A$148),"")</f>
        <v/>
      </c>
      <c r="Y64" s="489"/>
      <c r="Z64" s="489" t="str">
        <f ca="1">IF(AND('Mapa final'!$K$151="Media",'Mapa final'!$O$151="Menor"),CONCATENATE("R",'Mapa final'!$A$151),"")</f>
        <v/>
      </c>
      <c r="AA64" s="489"/>
      <c r="AB64" s="489" t="str">
        <f ca="1">IF(AND('Mapa final'!$K$154="Media",'Mapa final'!$O$154="Menor"),CONCATENATE("R",'Mapa final'!$A$154),"")</f>
        <v/>
      </c>
      <c r="AC64" s="490"/>
      <c r="AD64" s="491" t="str">
        <f ca="1">IF(AND('Mapa final'!$K$142="Media",'Mapa final'!$O$142="Moderado"),CONCATENATE("R",'Mapa final'!$A$142),"")</f>
        <v/>
      </c>
      <c r="AE64" s="489"/>
      <c r="AF64" s="489" t="str">
        <f ca="1">IF(AND('Mapa final'!$K$145="Media",'Mapa final'!$O$145="Moderado"),CONCATENATE("R",'Mapa final'!$A$145),"")</f>
        <v/>
      </c>
      <c r="AG64" s="489"/>
      <c r="AH64" s="489" t="str">
        <f ca="1">IF(AND('Mapa final'!$K$148="Media",'Mapa final'!$O$148="Moderado"),CONCATENATE("R",'Mapa final'!$A$148),"")</f>
        <v/>
      </c>
      <c r="AI64" s="489"/>
      <c r="AJ64" s="489" t="str">
        <f ca="1">IF(AND('Mapa final'!$K$151="Media",'Mapa final'!$O$151="Moderado"),CONCATENATE("R",'Mapa final'!$A$151),"")</f>
        <v/>
      </c>
      <c r="AK64" s="489"/>
      <c r="AL64" s="489" t="str">
        <f ca="1">IF(AND('Mapa final'!$K$154="Media",'Mapa final'!$O$154="Moderado"),CONCATENATE("R",'Mapa final'!$A$154),"")</f>
        <v/>
      </c>
      <c r="AM64" s="490"/>
      <c r="AN64" s="494" t="str">
        <f ca="1">IF(AND('Mapa final'!$K$142="Media",'Mapa final'!$O$142="Mayor"),CONCATENATE("R",'Mapa final'!$A$142),"")</f>
        <v/>
      </c>
      <c r="AO64" s="492"/>
      <c r="AP64" s="492" t="str">
        <f ca="1">IF(AND('Mapa final'!$K$145="Media",'Mapa final'!$O$145="Mayor"),CONCATENATE("R",'Mapa final'!$A$145),"")</f>
        <v/>
      </c>
      <c r="AQ64" s="492"/>
      <c r="AR64" s="492" t="str">
        <f ca="1">IF(AND('Mapa final'!$K$148="Media",'Mapa final'!$O$148="Mayor"),CONCATENATE("R",'Mapa final'!$A$148),"")</f>
        <v/>
      </c>
      <c r="AS64" s="492"/>
      <c r="AT64" s="492" t="str">
        <f ca="1">IF(AND('Mapa final'!$K$151="Media",'Mapa final'!$O$151="Mayor"),CONCATENATE("R",'Mapa final'!$A$151),"")</f>
        <v/>
      </c>
      <c r="AU64" s="492"/>
      <c r="AV64" s="492" t="str">
        <f ca="1">IF(AND('Mapa final'!$K$154="Media",'Mapa final'!$O$154="Mayor"),CONCATENATE("R",'Mapa final'!$A$154),"")</f>
        <v/>
      </c>
      <c r="AW64" s="493"/>
      <c r="AX64" s="488" t="str">
        <f ca="1">IF(AND('Mapa final'!$K$142="Media",'Mapa final'!$O$142="Catastrófico"),CONCATENATE("R",'Mapa final'!$A$142),"")</f>
        <v/>
      </c>
      <c r="AY64" s="486"/>
      <c r="AZ64" s="486" t="str">
        <f ca="1">IF(AND('Mapa final'!$K$145="Media",'Mapa final'!$O$145="Catastrófico"),CONCATENATE("R",'Mapa final'!$A$145),"")</f>
        <v/>
      </c>
      <c r="BA64" s="486"/>
      <c r="BB64" s="486" t="str">
        <f ca="1">IF(AND('Mapa final'!$K$148="Media",'Mapa final'!$O$148="Catastrófico"),CONCATENATE("R",'Mapa final'!$A$148),"")</f>
        <v/>
      </c>
      <c r="BC64" s="486"/>
      <c r="BD64" s="486" t="str">
        <f ca="1">IF(AND('Mapa final'!$K$151="Media",'Mapa final'!$O$151="Catastrófico"),CONCATENATE("R",'Mapa final'!$A$151),"")</f>
        <v/>
      </c>
      <c r="BE64" s="486"/>
      <c r="BF64" s="486" t="str">
        <f ca="1">IF(AND('Mapa final'!$K$154="Media",'Mapa final'!$O$154="Catastrófico"),CONCATENATE("R",'Mapa final'!$A$154),"")</f>
        <v/>
      </c>
      <c r="BG64" s="487"/>
      <c r="BH64" s="55"/>
      <c r="BI64" s="538"/>
      <c r="BJ64" s="539"/>
      <c r="BK64" s="539"/>
      <c r="BL64" s="539"/>
      <c r="BM64" s="539"/>
      <c r="BN64" s="540"/>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row>
    <row r="65" spans="1:100" ht="15.75" customHeight="1" thickBot="1" x14ac:dyDescent="0.3">
      <c r="A65" s="55"/>
      <c r="B65" s="338"/>
      <c r="C65" s="338"/>
      <c r="D65" s="339"/>
      <c r="E65" s="557"/>
      <c r="F65" s="558"/>
      <c r="G65" s="558"/>
      <c r="H65" s="558"/>
      <c r="I65" s="558"/>
      <c r="J65" s="501"/>
      <c r="K65" s="502"/>
      <c r="L65" s="502"/>
      <c r="M65" s="502"/>
      <c r="N65" s="502"/>
      <c r="O65" s="502"/>
      <c r="P65" s="502"/>
      <c r="Q65" s="502"/>
      <c r="R65" s="502"/>
      <c r="S65" s="503"/>
      <c r="T65" s="501"/>
      <c r="U65" s="502"/>
      <c r="V65" s="502"/>
      <c r="W65" s="502"/>
      <c r="X65" s="502"/>
      <c r="Y65" s="502"/>
      <c r="Z65" s="502"/>
      <c r="AA65" s="502"/>
      <c r="AB65" s="502"/>
      <c r="AC65" s="503"/>
      <c r="AD65" s="501"/>
      <c r="AE65" s="502"/>
      <c r="AF65" s="502"/>
      <c r="AG65" s="502"/>
      <c r="AH65" s="502"/>
      <c r="AI65" s="502"/>
      <c r="AJ65" s="502"/>
      <c r="AK65" s="502"/>
      <c r="AL65" s="502"/>
      <c r="AM65" s="503"/>
      <c r="AN65" s="495"/>
      <c r="AO65" s="496"/>
      <c r="AP65" s="496"/>
      <c r="AQ65" s="496"/>
      <c r="AR65" s="496"/>
      <c r="AS65" s="496"/>
      <c r="AT65" s="496"/>
      <c r="AU65" s="496"/>
      <c r="AV65" s="496"/>
      <c r="AW65" s="497"/>
      <c r="AX65" s="508"/>
      <c r="AY65" s="507"/>
      <c r="AZ65" s="507"/>
      <c r="BA65" s="507"/>
      <c r="BB65" s="507"/>
      <c r="BC65" s="507"/>
      <c r="BD65" s="507"/>
      <c r="BE65" s="507"/>
      <c r="BF65" s="507"/>
      <c r="BG65" s="509"/>
      <c r="BH65" s="55"/>
      <c r="BI65" s="538"/>
      <c r="BJ65" s="539"/>
      <c r="BK65" s="539"/>
      <c r="BL65" s="539"/>
      <c r="BM65" s="539"/>
      <c r="BN65" s="540"/>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row>
    <row r="66" spans="1:100" ht="15" customHeight="1" x14ac:dyDescent="0.25">
      <c r="A66" s="55"/>
      <c r="B66" s="338"/>
      <c r="C66" s="338"/>
      <c r="D66" s="339"/>
      <c r="E66" s="553" t="s">
        <v>105</v>
      </c>
      <c r="F66" s="554"/>
      <c r="G66" s="554"/>
      <c r="H66" s="554"/>
      <c r="I66" s="554"/>
      <c r="J66" s="567" t="str">
        <f ca="1">IF(AND('Mapa final'!$K$7="Baja",'Mapa final'!$O$7="Leve"),CONCATENATE("R",'Mapa final'!$A$7),"")</f>
        <v/>
      </c>
      <c r="K66" s="514"/>
      <c r="L66" s="514" t="str">
        <f ca="1">IF(AND('Mapa final'!$K$10="Baja",'Mapa final'!$O$10="Leve"),CONCATENATE("R",'Mapa final'!$A$10),"")</f>
        <v/>
      </c>
      <c r="M66" s="514"/>
      <c r="N66" s="514" t="str">
        <f ca="1">IF(AND('Mapa final'!$K$13="Baja",'Mapa final'!$O$13="Leve"),CONCATENATE("R",'Mapa final'!$A$13),"")</f>
        <v/>
      </c>
      <c r="O66" s="514"/>
      <c r="P66" s="514" t="e">
        <f>IF(AND('Mapa final'!#REF!="Baja",'Mapa final'!#REF!="Leve"),CONCATENATE("R",'Mapa final'!#REF!),"")</f>
        <v>#REF!</v>
      </c>
      <c r="Q66" s="514"/>
      <c r="R66" s="514" t="str">
        <f ca="1">IF(AND('Mapa final'!$K$16="Baja",'Mapa final'!$O$16="Leve"),CONCATENATE("R",'Mapa final'!$A$16),"")</f>
        <v/>
      </c>
      <c r="S66" s="516"/>
      <c r="T66" s="498" t="str">
        <f ca="1">IF(AND('Mapa final'!$K$7="Baja",'Mapa final'!$O$7="Menor"),CONCATENATE("R",'Mapa final'!$A$7),"")</f>
        <v/>
      </c>
      <c r="U66" s="499"/>
      <c r="V66" s="499" t="str">
        <f ca="1">IF(AND('Mapa final'!$K$10="Baja",'Mapa final'!$O$10="Menor"),CONCATENATE("R",'Mapa final'!$A$10),"")</f>
        <v/>
      </c>
      <c r="W66" s="499"/>
      <c r="X66" s="499" t="str">
        <f ca="1">IF(AND('Mapa final'!$K$13="Baja",'Mapa final'!$O$13="Menor"),CONCATENATE("R",'Mapa final'!$A$13),"")</f>
        <v/>
      </c>
      <c r="Y66" s="499"/>
      <c r="Z66" s="499" t="e">
        <f>IF(AND('Mapa final'!#REF!="Baja",'Mapa final'!#REF!="Menor"),CONCATENATE("R",'Mapa final'!#REF!),"")</f>
        <v>#REF!</v>
      </c>
      <c r="AA66" s="499"/>
      <c r="AB66" s="499" t="str">
        <f ca="1">IF(AND('Mapa final'!$K$16="Baja",'Mapa final'!$O$16="Menor"),CONCATENATE("R",'Mapa final'!$A$16),"")</f>
        <v/>
      </c>
      <c r="AC66" s="500"/>
      <c r="AD66" s="498" t="str">
        <f ca="1">IF(AND('Mapa final'!$K$7="Baja",'Mapa final'!$O$7="Moderado"),CONCATENATE("R",'Mapa final'!$A$7),"")</f>
        <v>R1</v>
      </c>
      <c r="AE66" s="499"/>
      <c r="AF66" s="499" t="str">
        <f ca="1">IF(AND('Mapa final'!$K$10="Baja",'Mapa final'!$O$10="Moderado"),CONCATENATE("R",'Mapa final'!$A$10),"")</f>
        <v/>
      </c>
      <c r="AG66" s="499"/>
      <c r="AH66" s="499" t="str">
        <f ca="1">IF(AND('Mapa final'!$K$13="Baja",'Mapa final'!$O$13="Moderado"),CONCATENATE("R",'Mapa final'!$A$13),"")</f>
        <v/>
      </c>
      <c r="AI66" s="499"/>
      <c r="AJ66" s="499" t="e">
        <f>IF(AND('Mapa final'!#REF!="Baja",'Mapa final'!#REF!="Moderado"),CONCATENATE("R",'Mapa final'!#REF!),"")</f>
        <v>#REF!</v>
      </c>
      <c r="AK66" s="499"/>
      <c r="AL66" s="499" t="str">
        <f ca="1">IF(AND('Mapa final'!$K$16="Baja",'Mapa final'!$O$16="Moderado"),CONCATENATE("R",'Mapa final'!$A$16),"")</f>
        <v/>
      </c>
      <c r="AM66" s="500"/>
      <c r="AN66" s="504" t="str">
        <f ca="1">IF(AND('Mapa final'!$K$7="Baja",'Mapa final'!$O$7="Mayor"),CONCATENATE("R",'Mapa final'!$A$7),"")</f>
        <v/>
      </c>
      <c r="AO66" s="505"/>
      <c r="AP66" s="505" t="str">
        <f ca="1">IF(AND('Mapa final'!$K$10="Baja",'Mapa final'!$O$10="Mayor"),CONCATENATE("R",'Mapa final'!$A$10),"")</f>
        <v/>
      </c>
      <c r="AQ66" s="505"/>
      <c r="AR66" s="505" t="str">
        <f ca="1">IF(AND('Mapa final'!$K$13="Baja",'Mapa final'!$O$13="Mayor"),CONCATENATE("R",'Mapa final'!$A$13),"")</f>
        <v/>
      </c>
      <c r="AS66" s="505"/>
      <c r="AT66" s="505" t="e">
        <f>IF(AND('Mapa final'!#REF!="Baja",'Mapa final'!#REF!="Mayor"),CONCATENATE("R",'Mapa final'!#REF!),"")</f>
        <v>#REF!</v>
      </c>
      <c r="AU66" s="505"/>
      <c r="AV66" s="505" t="str">
        <f ca="1">IF(AND('Mapa final'!$K$16="Baja",'Mapa final'!$O$16="Mayor"),CONCATENATE("R",'Mapa final'!$A$16),"")</f>
        <v/>
      </c>
      <c r="AW66" s="506"/>
      <c r="AX66" s="511" t="str">
        <f ca="1">IF(AND('Mapa final'!$K$7="Baja",'Mapa final'!$O$7="Catastrófico"),CONCATENATE("R",'Mapa final'!$A$7),"")</f>
        <v/>
      </c>
      <c r="AY66" s="510"/>
      <c r="AZ66" s="510" t="str">
        <f ca="1">IF(AND('Mapa final'!$K$10="Baja",'Mapa final'!$O$10="Catastrófico"),CONCATENATE("R",'Mapa final'!$A$10),"")</f>
        <v/>
      </c>
      <c r="BA66" s="510"/>
      <c r="BB66" s="510" t="str">
        <f ca="1">IF(AND('Mapa final'!$K$13="Baja",'Mapa final'!$O$13="Catastrófico"),CONCATENATE("R",'Mapa final'!$A$13),"")</f>
        <v/>
      </c>
      <c r="BC66" s="510"/>
      <c r="BD66" s="510" t="e">
        <f>IF(AND('Mapa final'!#REF!="Baja",'Mapa final'!#REF!="Catastrófico"),CONCATENATE("R",'Mapa final'!#REF!),"")</f>
        <v>#REF!</v>
      </c>
      <c r="BE66" s="510"/>
      <c r="BF66" s="510" t="str">
        <f ca="1">IF(AND('Mapa final'!$K$16="Baja",'Mapa final'!$O$16="Catastrófico"),CONCATENATE("R",'Mapa final'!$A$16),"")</f>
        <v/>
      </c>
      <c r="BG66" s="566"/>
      <c r="BH66" s="55"/>
      <c r="BI66" s="538"/>
      <c r="BJ66" s="539"/>
      <c r="BK66" s="539"/>
      <c r="BL66" s="539"/>
      <c r="BM66" s="539"/>
      <c r="BN66" s="540"/>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row>
    <row r="67" spans="1:100" ht="15" customHeight="1" x14ac:dyDescent="0.25">
      <c r="A67" s="55"/>
      <c r="B67" s="338"/>
      <c r="C67" s="338"/>
      <c r="D67" s="339"/>
      <c r="E67" s="555"/>
      <c r="F67" s="556"/>
      <c r="G67" s="556"/>
      <c r="H67" s="556"/>
      <c r="I67" s="556"/>
      <c r="J67" s="483"/>
      <c r="K67" s="484"/>
      <c r="L67" s="484"/>
      <c r="M67" s="484"/>
      <c r="N67" s="484"/>
      <c r="O67" s="484"/>
      <c r="P67" s="484"/>
      <c r="Q67" s="484"/>
      <c r="R67" s="484"/>
      <c r="S67" s="485"/>
      <c r="T67" s="491"/>
      <c r="U67" s="489"/>
      <c r="V67" s="489"/>
      <c r="W67" s="489"/>
      <c r="X67" s="489"/>
      <c r="Y67" s="489"/>
      <c r="Z67" s="489"/>
      <c r="AA67" s="489"/>
      <c r="AB67" s="489"/>
      <c r="AC67" s="490"/>
      <c r="AD67" s="491"/>
      <c r="AE67" s="489"/>
      <c r="AF67" s="489"/>
      <c r="AG67" s="489"/>
      <c r="AH67" s="489"/>
      <c r="AI67" s="489"/>
      <c r="AJ67" s="489"/>
      <c r="AK67" s="489"/>
      <c r="AL67" s="489"/>
      <c r="AM67" s="490"/>
      <c r="AN67" s="494"/>
      <c r="AO67" s="492"/>
      <c r="AP67" s="492"/>
      <c r="AQ67" s="492"/>
      <c r="AR67" s="492"/>
      <c r="AS67" s="492"/>
      <c r="AT67" s="492"/>
      <c r="AU67" s="492"/>
      <c r="AV67" s="492"/>
      <c r="AW67" s="493"/>
      <c r="AX67" s="488"/>
      <c r="AY67" s="486"/>
      <c r="AZ67" s="486"/>
      <c r="BA67" s="486"/>
      <c r="BB67" s="486"/>
      <c r="BC67" s="486"/>
      <c r="BD67" s="486"/>
      <c r="BE67" s="486"/>
      <c r="BF67" s="486"/>
      <c r="BG67" s="487"/>
      <c r="BH67" s="55"/>
      <c r="BI67" s="538"/>
      <c r="BJ67" s="539"/>
      <c r="BK67" s="539"/>
      <c r="BL67" s="539"/>
      <c r="BM67" s="539"/>
      <c r="BN67" s="540"/>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row>
    <row r="68" spans="1:100" ht="15" customHeight="1" x14ac:dyDescent="0.25">
      <c r="A68" s="55"/>
      <c r="B68" s="338"/>
      <c r="C68" s="338"/>
      <c r="D68" s="339"/>
      <c r="E68" s="555"/>
      <c r="F68" s="556"/>
      <c r="G68" s="556"/>
      <c r="H68" s="556"/>
      <c r="I68" s="556"/>
      <c r="J68" s="483" t="str">
        <f ca="1">IF(AND('Mapa final'!$K$19="Baja",'Mapa final'!$O$19="Leve"),CONCATENATE("R",'Mapa final'!$A$19),"")</f>
        <v/>
      </c>
      <c r="K68" s="484"/>
      <c r="L68" s="484" t="str">
        <f ca="1">IF(AND('Mapa final'!$K$22="Baja",'Mapa final'!$O$22="Leve"),CONCATENATE("R",'Mapa final'!$A$22),"")</f>
        <v/>
      </c>
      <c r="M68" s="484"/>
      <c r="N68" s="484" t="str">
        <f ca="1">IF(AND('Mapa final'!$K$25="Baja",'Mapa final'!$O$25="Leve"),CONCATENATE("R",'Mapa final'!$A$25),"")</f>
        <v/>
      </c>
      <c r="O68" s="484"/>
      <c r="P68" s="484" t="str">
        <f>IF(AND('Mapa final'!$K$28="Baja",'Mapa final'!$O$28="Leve"),CONCATENATE("R",'Mapa final'!$A$28),"")</f>
        <v/>
      </c>
      <c r="Q68" s="484"/>
      <c r="R68" s="484" t="str">
        <f ca="1">IF(AND('Mapa final'!$K$31="Baja",'Mapa final'!$O$31="Leve"),CONCATENATE("R",'Mapa final'!$A$31),"")</f>
        <v/>
      </c>
      <c r="S68" s="485"/>
      <c r="T68" s="491" t="str">
        <f ca="1">IF(AND('Mapa final'!$K$19="Baja",'Mapa final'!$O$19="Menor"),CONCATENATE("R",'Mapa final'!$A$19),"")</f>
        <v/>
      </c>
      <c r="U68" s="489"/>
      <c r="V68" s="489" t="str">
        <f ca="1">IF(AND('Mapa final'!$K$22="Baja",'Mapa final'!$O$22="Menor"),CONCATENATE("R",'Mapa final'!$A$22),"")</f>
        <v/>
      </c>
      <c r="W68" s="489"/>
      <c r="X68" s="489" t="str">
        <f ca="1">IF(AND('Mapa final'!$K$25="Baja",'Mapa final'!$O$25="Menor"),CONCATENATE("R",'Mapa final'!$A$25),"")</f>
        <v/>
      </c>
      <c r="Y68" s="489"/>
      <c r="Z68" s="489" t="str">
        <f>IF(AND('Mapa final'!$K$28="Baja",'Mapa final'!$O$28="Menor"),CONCATENATE("R",'Mapa final'!$A$28),"")</f>
        <v/>
      </c>
      <c r="AA68" s="489"/>
      <c r="AB68" s="489" t="str">
        <f ca="1">IF(AND('Mapa final'!$K$31="Baja",'Mapa final'!$O$31="Menor"),CONCATENATE("R",'Mapa final'!$A$31),"")</f>
        <v/>
      </c>
      <c r="AC68" s="490"/>
      <c r="AD68" s="491" t="str">
        <f ca="1">IF(AND('Mapa final'!$K$19="Baja",'Mapa final'!$O$19="Moderado"),CONCATENATE("R",'Mapa final'!$A$19),"")</f>
        <v/>
      </c>
      <c r="AE68" s="489"/>
      <c r="AF68" s="489" t="str">
        <f ca="1">IF(AND('Mapa final'!$K$22="Baja",'Mapa final'!$O$22="Moderado"),CONCATENATE("R",'Mapa final'!$A$22),"")</f>
        <v/>
      </c>
      <c r="AG68" s="489"/>
      <c r="AH68" s="489" t="str">
        <f ca="1">IF(AND('Mapa final'!$K$25="Baja",'Mapa final'!$O$25="Moderado"),CONCATENATE("R",'Mapa final'!$A$25),"")</f>
        <v/>
      </c>
      <c r="AI68" s="489"/>
      <c r="AJ68" s="489" t="str">
        <f>IF(AND('Mapa final'!$K$28="Baja",'Mapa final'!$O$28="Moderado"),CONCATENATE("R",'Mapa final'!$A$28),"")</f>
        <v/>
      </c>
      <c r="AK68" s="489"/>
      <c r="AL68" s="489" t="str">
        <f ca="1">IF(AND('Mapa final'!$K$31="Baja",'Mapa final'!$O$31="Moderado"),CONCATENATE("R",'Mapa final'!$A$31),"")</f>
        <v/>
      </c>
      <c r="AM68" s="490"/>
      <c r="AN68" s="494" t="str">
        <f ca="1">IF(AND('Mapa final'!$K$19="Baja",'Mapa final'!$O$19="Mayor"),CONCATENATE("R",'Mapa final'!$A$19),"")</f>
        <v/>
      </c>
      <c r="AO68" s="492"/>
      <c r="AP68" s="492" t="str">
        <f ca="1">IF(AND('Mapa final'!$K$22="Baja",'Mapa final'!$O$22="Mayor"),CONCATENATE("R",'Mapa final'!$A$22),"")</f>
        <v/>
      </c>
      <c r="AQ68" s="492"/>
      <c r="AR68" s="492" t="str">
        <f ca="1">IF(AND('Mapa final'!$K$25="Baja",'Mapa final'!$O$25="Mayor"),CONCATENATE("R",'Mapa final'!$A$25),"")</f>
        <v/>
      </c>
      <c r="AS68" s="492"/>
      <c r="AT68" s="492" t="str">
        <f>IF(AND('Mapa final'!$K$28="Baja",'Mapa final'!$O$28="Mayor"),CONCATENATE("R",'Mapa final'!$A$28),"")</f>
        <v/>
      </c>
      <c r="AU68" s="492"/>
      <c r="AV68" s="492" t="str">
        <f ca="1">IF(AND('Mapa final'!$K$31="Baja",'Mapa final'!$O$31="Mayor"),CONCATENATE("R",'Mapa final'!$A$31),"")</f>
        <v/>
      </c>
      <c r="AW68" s="493"/>
      <c r="AX68" s="488" t="str">
        <f ca="1">IF(AND('Mapa final'!$K$19="Baja",'Mapa final'!$O$19="Catastrófico"),CONCATENATE("R",'Mapa final'!$A$19),"")</f>
        <v/>
      </c>
      <c r="AY68" s="486"/>
      <c r="AZ68" s="486" t="str">
        <f ca="1">IF(AND('Mapa final'!$K$22="Baja",'Mapa final'!$O$22="Catastrófico"),CONCATENATE("R",'Mapa final'!$A$22),"")</f>
        <v/>
      </c>
      <c r="BA68" s="486"/>
      <c r="BB68" s="486" t="str">
        <f ca="1">IF(AND('Mapa final'!$K$25="Baja",'Mapa final'!$O$25="Catastrófico"),CONCATENATE("R",'Mapa final'!$A$25),"")</f>
        <v/>
      </c>
      <c r="BC68" s="486"/>
      <c r="BD68" s="486" t="str">
        <f>IF(AND('Mapa final'!$K$28="Baja",'Mapa final'!$O$28="Catastrófico"),CONCATENATE("R",'Mapa final'!$A$28),"")</f>
        <v/>
      </c>
      <c r="BE68" s="486"/>
      <c r="BF68" s="486" t="str">
        <f ca="1">IF(AND('Mapa final'!$K$31="Baja",'Mapa final'!$O$31="Catastrófico"),CONCATENATE("R",'Mapa final'!$A$31),"")</f>
        <v/>
      </c>
      <c r="BG68" s="487"/>
      <c r="BH68" s="55"/>
      <c r="BI68" s="538"/>
      <c r="BJ68" s="539"/>
      <c r="BK68" s="539"/>
      <c r="BL68" s="539"/>
      <c r="BM68" s="539"/>
      <c r="BN68" s="540"/>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row>
    <row r="69" spans="1:100" ht="15" customHeight="1" x14ac:dyDescent="0.25">
      <c r="A69" s="55"/>
      <c r="B69" s="338"/>
      <c r="C69" s="338"/>
      <c r="D69" s="339"/>
      <c r="E69" s="555"/>
      <c r="F69" s="556"/>
      <c r="G69" s="556"/>
      <c r="H69" s="556"/>
      <c r="I69" s="556"/>
      <c r="J69" s="483"/>
      <c r="K69" s="484"/>
      <c r="L69" s="484"/>
      <c r="M69" s="484"/>
      <c r="N69" s="484"/>
      <c r="O69" s="484"/>
      <c r="P69" s="484"/>
      <c r="Q69" s="484"/>
      <c r="R69" s="484"/>
      <c r="S69" s="485"/>
      <c r="T69" s="491"/>
      <c r="U69" s="489"/>
      <c r="V69" s="489"/>
      <c r="W69" s="489"/>
      <c r="X69" s="489"/>
      <c r="Y69" s="489"/>
      <c r="Z69" s="489"/>
      <c r="AA69" s="489"/>
      <c r="AB69" s="489"/>
      <c r="AC69" s="490"/>
      <c r="AD69" s="491"/>
      <c r="AE69" s="489"/>
      <c r="AF69" s="489"/>
      <c r="AG69" s="489"/>
      <c r="AH69" s="489"/>
      <c r="AI69" s="489"/>
      <c r="AJ69" s="489"/>
      <c r="AK69" s="489"/>
      <c r="AL69" s="489"/>
      <c r="AM69" s="490"/>
      <c r="AN69" s="494"/>
      <c r="AO69" s="492"/>
      <c r="AP69" s="492"/>
      <c r="AQ69" s="492"/>
      <c r="AR69" s="492"/>
      <c r="AS69" s="492"/>
      <c r="AT69" s="492"/>
      <c r="AU69" s="492"/>
      <c r="AV69" s="492"/>
      <c r="AW69" s="493"/>
      <c r="AX69" s="488"/>
      <c r="AY69" s="486"/>
      <c r="AZ69" s="486"/>
      <c r="BA69" s="486"/>
      <c r="BB69" s="486"/>
      <c r="BC69" s="486"/>
      <c r="BD69" s="486"/>
      <c r="BE69" s="486"/>
      <c r="BF69" s="486"/>
      <c r="BG69" s="487"/>
      <c r="BH69" s="55"/>
      <c r="BI69" s="538"/>
      <c r="BJ69" s="539"/>
      <c r="BK69" s="539"/>
      <c r="BL69" s="539"/>
      <c r="BM69" s="539"/>
      <c r="BN69" s="540"/>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row>
    <row r="70" spans="1:100" ht="15" customHeight="1" x14ac:dyDescent="0.25">
      <c r="A70" s="55"/>
      <c r="B70" s="338"/>
      <c r="C70" s="338"/>
      <c r="D70" s="339"/>
      <c r="E70" s="555"/>
      <c r="F70" s="556"/>
      <c r="G70" s="556"/>
      <c r="H70" s="556"/>
      <c r="I70" s="556"/>
      <c r="J70" s="483" t="str">
        <f ca="1">IF(AND('Mapa final'!$K$34="Baja",'Mapa final'!$O$34="Leve"),CONCATENATE("R",'Mapa final'!$A$34),"")</f>
        <v/>
      </c>
      <c r="K70" s="484"/>
      <c r="L70" s="484" t="str">
        <f ca="1">IF(AND('Mapa final'!$K$37="Baja",'Mapa final'!$O$37="Leve"),CONCATENATE("R",'Mapa final'!$A$37),"")</f>
        <v/>
      </c>
      <c r="M70" s="484"/>
      <c r="N70" s="484" t="str">
        <f ca="1">IF(AND('Mapa final'!$K$40="Baja",'Mapa final'!$O$40="Leve"),CONCATENATE("R",'Mapa final'!$A$40),"")</f>
        <v/>
      </c>
      <c r="O70" s="484"/>
      <c r="P70" s="484" t="str">
        <f ca="1">IF(AND('Mapa final'!$K$43="Baja",'Mapa final'!$O$43="Leve"),CONCATENATE("R",'Mapa final'!$A$43),"")</f>
        <v/>
      </c>
      <c r="Q70" s="484"/>
      <c r="R70" s="484" t="str">
        <f ca="1">IF(AND('Mapa final'!$K$46="Baja",'Mapa final'!$O$46="Leve"),CONCATENATE("R",'Mapa final'!$A$46),"")</f>
        <v/>
      </c>
      <c r="S70" s="485"/>
      <c r="T70" s="491" t="str">
        <f ca="1">IF(AND('Mapa final'!$K$34="Baja",'Mapa final'!$O$34="Menor"),CONCATENATE("R",'Mapa final'!$A$34),"")</f>
        <v/>
      </c>
      <c r="U70" s="489"/>
      <c r="V70" s="489" t="str">
        <f ca="1">IF(AND('Mapa final'!$K$37="Baja",'Mapa final'!$O$37="Menor"),CONCATENATE("R",'Mapa final'!$A$37),"")</f>
        <v/>
      </c>
      <c r="W70" s="489"/>
      <c r="X70" s="489" t="str">
        <f ca="1">IF(AND('Mapa final'!$K$40="Baja",'Mapa final'!$O$40="Menor"),CONCATENATE("R",'Mapa final'!$A$40),"")</f>
        <v/>
      </c>
      <c r="Y70" s="489"/>
      <c r="Z70" s="489" t="str">
        <f ca="1">IF(AND('Mapa final'!$K$43="Baja",'Mapa final'!$O$43="Menor"),CONCATENATE("R",'Mapa final'!$A$43),"")</f>
        <v/>
      </c>
      <c r="AA70" s="489"/>
      <c r="AB70" s="489" t="str">
        <f ca="1">IF(AND('Mapa final'!$K$46="Baja",'Mapa final'!$O$46="Menor"),CONCATENATE("R",'Mapa final'!$A$46),"")</f>
        <v/>
      </c>
      <c r="AC70" s="490"/>
      <c r="AD70" s="491" t="str">
        <f ca="1">IF(AND('Mapa final'!$K$34="Baja",'Mapa final'!$O$34="Moderado"),CONCATENATE("R",'Mapa final'!$A$34),"")</f>
        <v/>
      </c>
      <c r="AE70" s="489"/>
      <c r="AF70" s="489" t="str">
        <f ca="1">IF(AND('Mapa final'!$K$37="Baja",'Mapa final'!$O$37="Moderado"),CONCATENATE("R",'Mapa final'!$A$37),"")</f>
        <v>R11</v>
      </c>
      <c r="AG70" s="489"/>
      <c r="AH70" s="489" t="str">
        <f ca="1">IF(AND('Mapa final'!$K$40="Baja",'Mapa final'!$O$40="Moderado"),CONCATENATE("R",'Mapa final'!$A$40),"")</f>
        <v/>
      </c>
      <c r="AI70" s="489"/>
      <c r="AJ70" s="489" t="str">
        <f ca="1">IF(AND('Mapa final'!$K$43="Baja",'Mapa final'!$O$43="Moderado"),CONCATENATE("R",'Mapa final'!$A$43),"")</f>
        <v>R13</v>
      </c>
      <c r="AK70" s="489"/>
      <c r="AL70" s="489" t="str">
        <f ca="1">IF(AND('Mapa final'!$K$46="Baja",'Mapa final'!$O$46="Moderado"),CONCATENATE("R",'Mapa final'!$A$46),"")</f>
        <v/>
      </c>
      <c r="AM70" s="490"/>
      <c r="AN70" s="494" t="str">
        <f ca="1">IF(AND('Mapa final'!$K$34="Baja",'Mapa final'!$O$34="Mayor"),CONCATENATE("R",'Mapa final'!$A$34),"")</f>
        <v>R10</v>
      </c>
      <c r="AO70" s="492"/>
      <c r="AP70" s="492" t="str">
        <f ca="1">IF(AND('Mapa final'!$K$37="Baja",'Mapa final'!$O$37="Mayor"),CONCATENATE("R",'Mapa final'!$A$37),"")</f>
        <v/>
      </c>
      <c r="AQ70" s="492"/>
      <c r="AR70" s="492" t="str">
        <f ca="1">IF(AND('Mapa final'!$K$40="Baja",'Mapa final'!$O$40="Mayor"),CONCATENATE("R",'Mapa final'!$A$40),"")</f>
        <v/>
      </c>
      <c r="AS70" s="492"/>
      <c r="AT70" s="492" t="str">
        <f ca="1">IF(AND('Mapa final'!$K$43="Baja",'Mapa final'!$O$43="Mayor"),CONCATENATE("R",'Mapa final'!$A$43),"")</f>
        <v/>
      </c>
      <c r="AU70" s="492"/>
      <c r="AV70" s="492" t="str">
        <f ca="1">IF(AND('Mapa final'!$K$46="Baja",'Mapa final'!$O$46="Mayor"),CONCATENATE("R",'Mapa final'!$A$46),"")</f>
        <v/>
      </c>
      <c r="AW70" s="493"/>
      <c r="AX70" s="488" t="str">
        <f ca="1">IF(AND('Mapa final'!$K$34="Baja",'Mapa final'!$O$34="Catastrófico"),CONCATENATE("R",'Mapa final'!$A$34),"")</f>
        <v/>
      </c>
      <c r="AY70" s="486"/>
      <c r="AZ70" s="486" t="str">
        <f ca="1">IF(AND('Mapa final'!$K$37="Baja",'Mapa final'!$O$37="Catastrófico"),CONCATENATE("R",'Mapa final'!$A$37),"")</f>
        <v/>
      </c>
      <c r="BA70" s="486"/>
      <c r="BB70" s="486" t="str">
        <f ca="1">IF(AND('Mapa final'!$K$40="Baja",'Mapa final'!$O$40="Catastrófico"),CONCATENATE("R",'Mapa final'!$A$40),"")</f>
        <v/>
      </c>
      <c r="BC70" s="486"/>
      <c r="BD70" s="486" t="str">
        <f ca="1">IF(AND('Mapa final'!$K$43="Baja",'Mapa final'!$O$43="Catastrófico"),CONCATENATE("R",'Mapa final'!$A$43),"")</f>
        <v/>
      </c>
      <c r="BE70" s="486"/>
      <c r="BF70" s="486" t="str">
        <f ca="1">IF(AND('Mapa final'!$K$46="Baja",'Mapa final'!$O$46="Catastrófico"),CONCATENATE("R",'Mapa final'!$A$46),"")</f>
        <v/>
      </c>
      <c r="BG70" s="487"/>
      <c r="BH70" s="55"/>
      <c r="BI70" s="538"/>
      <c r="BJ70" s="539"/>
      <c r="BK70" s="539"/>
      <c r="BL70" s="539"/>
      <c r="BM70" s="539"/>
      <c r="BN70" s="540"/>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row>
    <row r="71" spans="1:100" ht="15" customHeight="1" x14ac:dyDescent="0.25">
      <c r="A71" s="55"/>
      <c r="B71" s="338"/>
      <c r="C71" s="338"/>
      <c r="D71" s="339"/>
      <c r="E71" s="555"/>
      <c r="F71" s="556"/>
      <c r="G71" s="556"/>
      <c r="H71" s="556"/>
      <c r="I71" s="556"/>
      <c r="J71" s="483"/>
      <c r="K71" s="484"/>
      <c r="L71" s="484"/>
      <c r="M71" s="484"/>
      <c r="N71" s="484"/>
      <c r="O71" s="484"/>
      <c r="P71" s="484"/>
      <c r="Q71" s="484"/>
      <c r="R71" s="484"/>
      <c r="S71" s="485"/>
      <c r="T71" s="491"/>
      <c r="U71" s="489"/>
      <c r="V71" s="489"/>
      <c r="W71" s="489"/>
      <c r="X71" s="489"/>
      <c r="Y71" s="489"/>
      <c r="Z71" s="489"/>
      <c r="AA71" s="489"/>
      <c r="AB71" s="489"/>
      <c r="AC71" s="490"/>
      <c r="AD71" s="491"/>
      <c r="AE71" s="489"/>
      <c r="AF71" s="489"/>
      <c r="AG71" s="489"/>
      <c r="AH71" s="489"/>
      <c r="AI71" s="489"/>
      <c r="AJ71" s="489"/>
      <c r="AK71" s="489"/>
      <c r="AL71" s="489"/>
      <c r="AM71" s="490"/>
      <c r="AN71" s="494"/>
      <c r="AO71" s="492"/>
      <c r="AP71" s="492"/>
      <c r="AQ71" s="492"/>
      <c r="AR71" s="492"/>
      <c r="AS71" s="492"/>
      <c r="AT71" s="492"/>
      <c r="AU71" s="492"/>
      <c r="AV71" s="492"/>
      <c r="AW71" s="493"/>
      <c r="AX71" s="488"/>
      <c r="AY71" s="486"/>
      <c r="AZ71" s="486"/>
      <c r="BA71" s="486"/>
      <c r="BB71" s="486"/>
      <c r="BC71" s="486"/>
      <c r="BD71" s="486"/>
      <c r="BE71" s="486"/>
      <c r="BF71" s="486"/>
      <c r="BG71" s="487"/>
      <c r="BH71" s="55"/>
      <c r="BI71" s="538"/>
      <c r="BJ71" s="539"/>
      <c r="BK71" s="539"/>
      <c r="BL71" s="539"/>
      <c r="BM71" s="539"/>
      <c r="BN71" s="540"/>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row>
    <row r="72" spans="1:100" ht="15" customHeight="1" x14ac:dyDescent="0.25">
      <c r="A72" s="55"/>
      <c r="B72" s="338"/>
      <c r="C72" s="338"/>
      <c r="D72" s="339"/>
      <c r="E72" s="555"/>
      <c r="F72" s="556"/>
      <c r="G72" s="556"/>
      <c r="H72" s="556"/>
      <c r="I72" s="556"/>
      <c r="J72" s="483" t="str">
        <f ca="1">IF(AND('Mapa final'!$K$49="Baja",'Mapa final'!$O$49="Leve"),CONCATENATE("R",'Mapa final'!$A$49),"")</f>
        <v/>
      </c>
      <c r="K72" s="484"/>
      <c r="L72" s="484" t="str">
        <f ca="1">IF(AND('Mapa final'!$K$52="Baja",'Mapa final'!$O$52="Leve"),CONCATENATE("R",'Mapa final'!$A$52),"")</f>
        <v/>
      </c>
      <c r="M72" s="484"/>
      <c r="N72" s="484" t="str">
        <f ca="1">IF(AND('Mapa final'!$K$55="Baja",'Mapa final'!$O$55="Leve"),CONCATENATE("R",'Mapa final'!$A$55),"")</f>
        <v/>
      </c>
      <c r="O72" s="484"/>
      <c r="P72" s="484" t="str">
        <f ca="1">IF(AND('Mapa final'!$K$58="Baja",'Mapa final'!$O$58="Leve"),CONCATENATE("R",'Mapa final'!$A$58),"")</f>
        <v/>
      </c>
      <c r="Q72" s="484"/>
      <c r="R72" s="484" t="str">
        <f ca="1">IF(AND('Mapa final'!$K$61="Baja",'Mapa final'!$O$61="Leve"),CONCATENATE("R",'Mapa final'!$A$61),"")</f>
        <v/>
      </c>
      <c r="S72" s="485"/>
      <c r="T72" s="491" t="str">
        <f ca="1">IF(AND('Mapa final'!$K$49="Baja",'Mapa final'!$O$49="Menor"),CONCATENATE("R",'Mapa final'!$A$49),"")</f>
        <v/>
      </c>
      <c r="U72" s="489"/>
      <c r="V72" s="489" t="str">
        <f ca="1">IF(AND('Mapa final'!$K$52="Baja",'Mapa final'!$O$52="Menor"),CONCATENATE("R",'Mapa final'!$A$52),"")</f>
        <v/>
      </c>
      <c r="W72" s="489"/>
      <c r="X72" s="489" t="str">
        <f ca="1">IF(AND('Mapa final'!$K$55="Baja",'Mapa final'!$O$55="Menor"),CONCATENATE("R",'Mapa final'!$A$55),"")</f>
        <v/>
      </c>
      <c r="Y72" s="489"/>
      <c r="Z72" s="489" t="str">
        <f ca="1">IF(AND('Mapa final'!$K$58="Baja",'Mapa final'!$O$58="Menor"),CONCATENATE("R",'Mapa final'!$A$58),"")</f>
        <v/>
      </c>
      <c r="AA72" s="489"/>
      <c r="AB72" s="489" t="str">
        <f ca="1">IF(AND('Mapa final'!$K$61="Baja",'Mapa final'!$O$61="Menor"),CONCATENATE("R",'Mapa final'!$A$61),"")</f>
        <v/>
      </c>
      <c r="AC72" s="490"/>
      <c r="AD72" s="491" t="str">
        <f ca="1">IF(AND('Mapa final'!$K$49="Baja",'Mapa final'!$O$49="Moderado"),CONCATENATE("R",'Mapa final'!$A$49),"")</f>
        <v/>
      </c>
      <c r="AE72" s="489"/>
      <c r="AF72" s="489" t="str">
        <f ca="1">IF(AND('Mapa final'!$K$52="Baja",'Mapa final'!$O$52="Moderado"),CONCATENATE("R",'Mapa final'!$A$52),"")</f>
        <v/>
      </c>
      <c r="AG72" s="489"/>
      <c r="AH72" s="489" t="str">
        <f ca="1">IF(AND('Mapa final'!$K$55="Baja",'Mapa final'!$O$55="Moderado"),CONCATENATE("R",'Mapa final'!$A$55),"")</f>
        <v/>
      </c>
      <c r="AI72" s="489"/>
      <c r="AJ72" s="489" t="str">
        <f ca="1">IF(AND('Mapa final'!$K$58="Baja",'Mapa final'!$O$58="Moderado"),CONCATENATE("R",'Mapa final'!$A$58),"")</f>
        <v/>
      </c>
      <c r="AK72" s="489"/>
      <c r="AL72" s="489" t="str">
        <f ca="1">IF(AND('Mapa final'!$K$61="Baja",'Mapa final'!$O$61="Moderado"),CONCATENATE("R",'Mapa final'!$A$61),"")</f>
        <v/>
      </c>
      <c r="AM72" s="490"/>
      <c r="AN72" s="494" t="str">
        <f ca="1">IF(AND('Mapa final'!$K$49="Baja",'Mapa final'!$O$49="Mayor"),CONCATENATE("R",'Mapa final'!$A$49),"")</f>
        <v/>
      </c>
      <c r="AO72" s="492"/>
      <c r="AP72" s="492" t="str">
        <f ca="1">IF(AND('Mapa final'!$K$52="Baja",'Mapa final'!$O$52="Mayor"),CONCATENATE("R",'Mapa final'!$A$52),"")</f>
        <v/>
      </c>
      <c r="AQ72" s="492"/>
      <c r="AR72" s="492" t="str">
        <f ca="1">IF(AND('Mapa final'!$K$55="Baja",'Mapa final'!$O$55="Mayor"),CONCATENATE("R",'Mapa final'!$A$55),"")</f>
        <v/>
      </c>
      <c r="AS72" s="492"/>
      <c r="AT72" s="492" t="str">
        <f ca="1">IF(AND('Mapa final'!$K$58="Baja",'Mapa final'!$O$58="Mayor"),CONCATENATE("R",'Mapa final'!$A$58),"")</f>
        <v/>
      </c>
      <c r="AU72" s="492"/>
      <c r="AV72" s="492" t="str">
        <f ca="1">IF(AND('Mapa final'!$K$61="Baja",'Mapa final'!$O$61="Mayor"),CONCATENATE("R",'Mapa final'!$A$61),"")</f>
        <v/>
      </c>
      <c r="AW72" s="493"/>
      <c r="AX72" s="488" t="str">
        <f ca="1">IF(AND('Mapa final'!$K$49="Baja",'Mapa final'!$O$49="Catastrófico"),CONCATENATE("R",'Mapa final'!$A$49),"")</f>
        <v/>
      </c>
      <c r="AY72" s="486"/>
      <c r="AZ72" s="486" t="str">
        <f ca="1">IF(AND('Mapa final'!$K$52="Baja",'Mapa final'!$O$52="Catastrófico"),CONCATENATE("R",'Mapa final'!$A$52),"")</f>
        <v/>
      </c>
      <c r="BA72" s="486"/>
      <c r="BB72" s="486" t="str">
        <f ca="1">IF(AND('Mapa final'!$K$55="Baja",'Mapa final'!$O$55="Catastrófico"),CONCATENATE("R",'Mapa final'!$A$55),"")</f>
        <v/>
      </c>
      <c r="BC72" s="486"/>
      <c r="BD72" s="486" t="str">
        <f ca="1">IF(AND('Mapa final'!$K$58="Baja",'Mapa final'!$O$58="Catastrófico"),CONCATENATE("R",'Mapa final'!$A$58),"")</f>
        <v/>
      </c>
      <c r="BE72" s="486"/>
      <c r="BF72" s="486" t="str">
        <f ca="1">IF(AND('Mapa final'!$K$61="Baja",'Mapa final'!$O$61="Catastrófico"),CONCATENATE("R",'Mapa final'!$A$61),"")</f>
        <v/>
      </c>
      <c r="BG72" s="487"/>
      <c r="BH72" s="55"/>
      <c r="BI72" s="538"/>
      <c r="BJ72" s="539"/>
      <c r="BK72" s="539"/>
      <c r="BL72" s="539"/>
      <c r="BM72" s="539"/>
      <c r="BN72" s="540"/>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row>
    <row r="73" spans="1:100" ht="15" customHeight="1" thickBot="1" x14ac:dyDescent="0.3">
      <c r="A73" s="55"/>
      <c r="B73" s="338"/>
      <c r="C73" s="338"/>
      <c r="D73" s="339"/>
      <c r="E73" s="555"/>
      <c r="F73" s="556"/>
      <c r="G73" s="556"/>
      <c r="H73" s="556"/>
      <c r="I73" s="556"/>
      <c r="J73" s="483"/>
      <c r="K73" s="484"/>
      <c r="L73" s="484"/>
      <c r="M73" s="484"/>
      <c r="N73" s="484"/>
      <c r="O73" s="484"/>
      <c r="P73" s="484"/>
      <c r="Q73" s="484"/>
      <c r="R73" s="484"/>
      <c r="S73" s="485"/>
      <c r="T73" s="491"/>
      <c r="U73" s="489"/>
      <c r="V73" s="489"/>
      <c r="W73" s="489"/>
      <c r="X73" s="489"/>
      <c r="Y73" s="489"/>
      <c r="Z73" s="489"/>
      <c r="AA73" s="489"/>
      <c r="AB73" s="489"/>
      <c r="AC73" s="490"/>
      <c r="AD73" s="491"/>
      <c r="AE73" s="489"/>
      <c r="AF73" s="489"/>
      <c r="AG73" s="489"/>
      <c r="AH73" s="489"/>
      <c r="AI73" s="489"/>
      <c r="AJ73" s="489"/>
      <c r="AK73" s="489"/>
      <c r="AL73" s="489"/>
      <c r="AM73" s="490"/>
      <c r="AN73" s="494"/>
      <c r="AO73" s="492"/>
      <c r="AP73" s="492"/>
      <c r="AQ73" s="492"/>
      <c r="AR73" s="492"/>
      <c r="AS73" s="492"/>
      <c r="AT73" s="492"/>
      <c r="AU73" s="492"/>
      <c r="AV73" s="492"/>
      <c r="AW73" s="493"/>
      <c r="AX73" s="488"/>
      <c r="AY73" s="486"/>
      <c r="AZ73" s="486"/>
      <c r="BA73" s="486"/>
      <c r="BB73" s="486"/>
      <c r="BC73" s="486"/>
      <c r="BD73" s="486"/>
      <c r="BE73" s="486"/>
      <c r="BF73" s="486"/>
      <c r="BG73" s="487"/>
      <c r="BH73" s="55"/>
      <c r="BI73" s="541"/>
      <c r="BJ73" s="542"/>
      <c r="BK73" s="542"/>
      <c r="BL73" s="542"/>
      <c r="BM73" s="542"/>
      <c r="BN73" s="543"/>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row>
    <row r="74" spans="1:100" ht="15" customHeight="1" x14ac:dyDescent="0.25">
      <c r="A74" s="55"/>
      <c r="B74" s="338"/>
      <c r="C74" s="338"/>
      <c r="D74" s="339"/>
      <c r="E74" s="555"/>
      <c r="F74" s="556"/>
      <c r="G74" s="556"/>
      <c r="H74" s="556"/>
      <c r="I74" s="556"/>
      <c r="J74" s="483" t="str">
        <f ca="1">IF(AND('Mapa final'!$K$64="Baja",'Mapa final'!$O$64="Leve"),CONCATENATE("R",'Mapa final'!$A$64),"")</f>
        <v>R20</v>
      </c>
      <c r="K74" s="484"/>
      <c r="L74" s="484" t="str">
        <f ca="1">IF(AND('Mapa final'!$K$67="Baja",'Mapa final'!$O$67="Leve"),CONCATENATE("R",'Mapa final'!$A$67),"")</f>
        <v/>
      </c>
      <c r="M74" s="484"/>
      <c r="N74" s="484" t="str">
        <f ca="1">IF(AND('Mapa final'!$K$73="Baja",'Mapa final'!$O$73="Leve"),CONCATENATE("R",'Mapa final'!$A$73),"")</f>
        <v/>
      </c>
      <c r="O74" s="484"/>
      <c r="P74" s="484" t="str">
        <f ca="1">IF(AND('Mapa final'!$K$76="Baja",'Mapa final'!$O$76="Leve"),CONCATENATE("R",'Mapa final'!$A$76),"")</f>
        <v/>
      </c>
      <c r="Q74" s="484"/>
      <c r="R74" s="484" t="str">
        <f ca="1">IF(AND('Mapa final'!$K$79="Baja",'Mapa final'!$O$79="Leve"),CONCATENATE("R",'Mapa final'!$A$79),"")</f>
        <v/>
      </c>
      <c r="S74" s="485"/>
      <c r="T74" s="491" t="str">
        <f ca="1">IF(AND('Mapa final'!$K$64="Baja",'Mapa final'!$O$64="Menor"),CONCATENATE("R",'Mapa final'!$A$64),"")</f>
        <v/>
      </c>
      <c r="U74" s="489"/>
      <c r="V74" s="489" t="str">
        <f ca="1">IF(AND('Mapa final'!$K$67="Baja",'Mapa final'!$O$67="Menor"),CONCATENATE("R",'Mapa final'!$A$67),"")</f>
        <v>R21</v>
      </c>
      <c r="W74" s="489"/>
      <c r="X74" s="489" t="str">
        <f ca="1">IF(AND('Mapa final'!$K$73="Baja",'Mapa final'!$O$73="Menor"),CONCATENATE("R",'Mapa final'!$A$73),"")</f>
        <v/>
      </c>
      <c r="Y74" s="489"/>
      <c r="Z74" s="489" t="str">
        <f ca="1">IF(AND('Mapa final'!$K$76="Baja",'Mapa final'!$O$76="Menor"),CONCATENATE("R",'Mapa final'!$A$76),"")</f>
        <v/>
      </c>
      <c r="AA74" s="489"/>
      <c r="AB74" s="489" t="str">
        <f ca="1">IF(AND('Mapa final'!$K$79="Baja",'Mapa final'!$O$79="Menor"),CONCATENATE("R",'Mapa final'!$A$79),"")</f>
        <v/>
      </c>
      <c r="AC74" s="490"/>
      <c r="AD74" s="491" t="str">
        <f ca="1">IF(AND('Mapa final'!$K$64="Baja",'Mapa final'!$O$64="Moderado"),CONCATENATE("R",'Mapa final'!$A$64),"")</f>
        <v/>
      </c>
      <c r="AE74" s="489"/>
      <c r="AF74" s="489" t="str">
        <f ca="1">IF(AND('Mapa final'!$K$67="Baja",'Mapa final'!$O$67="Moderado"),CONCATENATE("R",'Mapa final'!$A$67),"")</f>
        <v/>
      </c>
      <c r="AG74" s="489"/>
      <c r="AH74" s="489" t="str">
        <f ca="1">IF(AND('Mapa final'!$K$73="Baja",'Mapa final'!$O$73="Moderado"),CONCATENATE("R",'Mapa final'!$A$73),"")</f>
        <v/>
      </c>
      <c r="AI74" s="489"/>
      <c r="AJ74" s="489" t="str">
        <f ca="1">IF(AND('Mapa final'!$K$76="Baja",'Mapa final'!$O$76="Moderado"),CONCATENATE("R",'Mapa final'!$A$76),"")</f>
        <v>R24</v>
      </c>
      <c r="AK74" s="489"/>
      <c r="AL74" s="489" t="str">
        <f ca="1">IF(AND('Mapa final'!$K$79="Baja",'Mapa final'!$O$79="Moderado"),CONCATENATE("R",'Mapa final'!$A$79),"")</f>
        <v>R25</v>
      </c>
      <c r="AM74" s="490"/>
      <c r="AN74" s="494" t="str">
        <f ca="1">IF(AND('Mapa final'!$K$64="Baja",'Mapa final'!$O$64="Mayor"),CONCATENATE("R",'Mapa final'!$A$64),"")</f>
        <v/>
      </c>
      <c r="AO74" s="492"/>
      <c r="AP74" s="492" t="str">
        <f ca="1">IF(AND('Mapa final'!$K$67="Baja",'Mapa final'!$O$67="Mayor"),CONCATENATE("R",'Mapa final'!$A$67),"")</f>
        <v/>
      </c>
      <c r="AQ74" s="492"/>
      <c r="AR74" s="492" t="str">
        <f ca="1">IF(AND('Mapa final'!$K$73="Baja",'Mapa final'!$O$73="Mayor"),CONCATENATE("R",'Mapa final'!$A$73),"")</f>
        <v/>
      </c>
      <c r="AS74" s="492"/>
      <c r="AT74" s="492" t="str">
        <f ca="1">IF(AND('Mapa final'!$K$76="Baja",'Mapa final'!$O$76="Mayor"),CONCATENATE("R",'Mapa final'!$A$76),"")</f>
        <v/>
      </c>
      <c r="AU74" s="492"/>
      <c r="AV74" s="492" t="str">
        <f ca="1">IF(AND('Mapa final'!$K$79="Baja",'Mapa final'!$O$79="Mayor"),CONCATENATE("R",'Mapa final'!$A$79),"")</f>
        <v/>
      </c>
      <c r="AW74" s="493"/>
      <c r="AX74" s="488" t="str">
        <f ca="1">IF(AND('Mapa final'!$K$64="Baja",'Mapa final'!$O$64="Catastrófico"),CONCATENATE("R",'Mapa final'!$A$64),"")</f>
        <v/>
      </c>
      <c r="AY74" s="486"/>
      <c r="AZ74" s="486" t="str">
        <f ca="1">IF(AND('Mapa final'!$K$67="Baja",'Mapa final'!$O$67="Catastrófico"),CONCATENATE("R",'Mapa final'!$A$67),"")</f>
        <v/>
      </c>
      <c r="BA74" s="486"/>
      <c r="BB74" s="486" t="str">
        <f ca="1">IF(AND('Mapa final'!$K$73="Baja",'Mapa final'!$O$73="Catastrófico"),CONCATENATE("R",'Mapa final'!$A$73),"")</f>
        <v/>
      </c>
      <c r="BC74" s="486"/>
      <c r="BD74" s="486" t="str">
        <f ca="1">IF(AND('Mapa final'!$K$76="Baja",'Mapa final'!$O$76="Catastrófico"),CONCATENATE("R",'Mapa final'!$A$76),"")</f>
        <v/>
      </c>
      <c r="BE74" s="486"/>
      <c r="BF74" s="486" t="str">
        <f ca="1">IF(AND('Mapa final'!$K$79="Baja",'Mapa final'!$O$79="Catastrófico"),CONCATENATE("R",'Mapa final'!$A$79),"")</f>
        <v/>
      </c>
      <c r="BG74" s="487"/>
      <c r="BH74" s="55"/>
      <c r="BI74" s="544" t="s">
        <v>76</v>
      </c>
      <c r="BJ74" s="545"/>
      <c r="BK74" s="545"/>
      <c r="BL74" s="545"/>
      <c r="BM74" s="545"/>
      <c r="BN74" s="546"/>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row>
    <row r="75" spans="1:100" ht="15" customHeight="1" x14ac:dyDescent="0.25">
      <c r="A75" s="55"/>
      <c r="B75" s="338"/>
      <c r="C75" s="338"/>
      <c r="D75" s="339"/>
      <c r="E75" s="555"/>
      <c r="F75" s="556"/>
      <c r="G75" s="556"/>
      <c r="H75" s="556"/>
      <c r="I75" s="556"/>
      <c r="J75" s="483"/>
      <c r="K75" s="484"/>
      <c r="L75" s="484"/>
      <c r="M75" s="484"/>
      <c r="N75" s="484"/>
      <c r="O75" s="484"/>
      <c r="P75" s="484"/>
      <c r="Q75" s="484"/>
      <c r="R75" s="484"/>
      <c r="S75" s="485"/>
      <c r="T75" s="491"/>
      <c r="U75" s="489"/>
      <c r="V75" s="489"/>
      <c r="W75" s="489"/>
      <c r="X75" s="489"/>
      <c r="Y75" s="489"/>
      <c r="Z75" s="489"/>
      <c r="AA75" s="489"/>
      <c r="AB75" s="489"/>
      <c r="AC75" s="490"/>
      <c r="AD75" s="491"/>
      <c r="AE75" s="489"/>
      <c r="AF75" s="489"/>
      <c r="AG75" s="489"/>
      <c r="AH75" s="489"/>
      <c r="AI75" s="489"/>
      <c r="AJ75" s="489"/>
      <c r="AK75" s="489"/>
      <c r="AL75" s="489"/>
      <c r="AM75" s="490"/>
      <c r="AN75" s="494"/>
      <c r="AO75" s="492"/>
      <c r="AP75" s="492"/>
      <c r="AQ75" s="492"/>
      <c r="AR75" s="492"/>
      <c r="AS75" s="492"/>
      <c r="AT75" s="492"/>
      <c r="AU75" s="492"/>
      <c r="AV75" s="492"/>
      <c r="AW75" s="493"/>
      <c r="AX75" s="488"/>
      <c r="AY75" s="486"/>
      <c r="AZ75" s="486"/>
      <c r="BA75" s="486"/>
      <c r="BB75" s="486"/>
      <c r="BC75" s="486"/>
      <c r="BD75" s="486"/>
      <c r="BE75" s="486"/>
      <c r="BF75" s="486"/>
      <c r="BG75" s="487"/>
      <c r="BH75" s="55"/>
      <c r="BI75" s="547"/>
      <c r="BJ75" s="548"/>
      <c r="BK75" s="548"/>
      <c r="BL75" s="548"/>
      <c r="BM75" s="548"/>
      <c r="BN75" s="549"/>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row>
    <row r="76" spans="1:100" ht="15" customHeight="1" x14ac:dyDescent="0.25">
      <c r="A76" s="55"/>
      <c r="B76" s="338"/>
      <c r="C76" s="338"/>
      <c r="D76" s="339"/>
      <c r="E76" s="555"/>
      <c r="F76" s="556"/>
      <c r="G76" s="556"/>
      <c r="H76" s="556"/>
      <c r="I76" s="556"/>
      <c r="J76" s="483" t="str">
        <f ca="1">IF(AND('Mapa final'!$K$82="Baja",'Mapa final'!$O$82="Leve"),CONCATENATE("R",'Mapa final'!$A$82),"")</f>
        <v/>
      </c>
      <c r="K76" s="484"/>
      <c r="L76" s="484" t="str">
        <f ca="1">IF(AND('Mapa final'!$K$85="Baja",'Mapa final'!$O$85="Leve"),CONCATENATE("R",'Mapa final'!$A$85),"")</f>
        <v/>
      </c>
      <c r="M76" s="484"/>
      <c r="N76" s="484" t="str">
        <f ca="1">IF(AND('Mapa final'!$K$88="Baja",'Mapa final'!$O$88="Leve"),CONCATENATE("R",'Mapa final'!$A$88),"")</f>
        <v/>
      </c>
      <c r="O76" s="484"/>
      <c r="P76" s="484" t="str">
        <f ca="1">IF(AND('Mapa final'!$K$91="Baja",'Mapa final'!$O$91="Leve"),CONCATENATE("R",'Mapa final'!$A$91),"")</f>
        <v/>
      </c>
      <c r="Q76" s="484"/>
      <c r="R76" s="484" t="str">
        <f ca="1">IF(AND('Mapa final'!$K$94="Baja",'Mapa final'!$O$94="Leve"),CONCATENATE("R",'Mapa final'!$A$94),"")</f>
        <v/>
      </c>
      <c r="S76" s="485"/>
      <c r="T76" s="491" t="str">
        <f ca="1">IF(AND('Mapa final'!$K$82="Baja",'Mapa final'!$O$82="Menor"),CONCATENATE("R",'Mapa final'!$A$82),"")</f>
        <v/>
      </c>
      <c r="U76" s="489"/>
      <c r="V76" s="489" t="str">
        <f ca="1">IF(AND('Mapa final'!$K$85="Baja",'Mapa final'!$O$85="Menor"),CONCATENATE("R",'Mapa final'!$A$85),"")</f>
        <v/>
      </c>
      <c r="W76" s="489"/>
      <c r="X76" s="489" t="str">
        <f ca="1">IF(AND('Mapa final'!$K$88="Baja",'Mapa final'!$O$88="Menor"),CONCATENATE("R",'Mapa final'!$A$88),"")</f>
        <v/>
      </c>
      <c r="Y76" s="489"/>
      <c r="Z76" s="489" t="str">
        <f ca="1">IF(AND('Mapa final'!$K$91="Baja",'Mapa final'!$O$91="Menor"),CONCATENATE("R",'Mapa final'!$A$91),"")</f>
        <v/>
      </c>
      <c r="AA76" s="489"/>
      <c r="AB76" s="489" t="str">
        <f ca="1">IF(AND('Mapa final'!$K$94="Baja",'Mapa final'!$O$94="Menor"),CONCATENATE("R",'Mapa final'!$A$94),"")</f>
        <v/>
      </c>
      <c r="AC76" s="490"/>
      <c r="AD76" s="491" t="str">
        <f ca="1">IF(AND('Mapa final'!$K$82="Baja",'Mapa final'!$O$82="Moderado"),CONCATENATE("R",'Mapa final'!$A$82),"")</f>
        <v/>
      </c>
      <c r="AE76" s="489"/>
      <c r="AF76" s="489" t="str">
        <f ca="1">IF(AND('Mapa final'!$K$85="Baja",'Mapa final'!$O$85="Moderado"),CONCATENATE("R",'Mapa final'!$A$85),"")</f>
        <v>R27</v>
      </c>
      <c r="AG76" s="489"/>
      <c r="AH76" s="489" t="str">
        <f ca="1">IF(AND('Mapa final'!$K$88="Baja",'Mapa final'!$O$88="Moderado"),CONCATENATE("R",'Mapa final'!$A$88),"")</f>
        <v/>
      </c>
      <c r="AI76" s="489"/>
      <c r="AJ76" s="489" t="str">
        <f ca="1">IF(AND('Mapa final'!$K$91="Baja",'Mapa final'!$O$91="Moderado"),CONCATENATE("R",'Mapa final'!$A$91),"")</f>
        <v/>
      </c>
      <c r="AK76" s="489"/>
      <c r="AL76" s="489" t="str">
        <f ca="1">IF(AND('Mapa final'!$K$94="Baja",'Mapa final'!$O$94="Moderado"),CONCATENATE("R",'Mapa final'!$A$94),"")</f>
        <v/>
      </c>
      <c r="AM76" s="490"/>
      <c r="AN76" s="494" t="str">
        <f ca="1">IF(AND('Mapa final'!$K$82="Baja",'Mapa final'!$O$82="Mayor"),CONCATENATE("R",'Mapa final'!$A$82),"")</f>
        <v/>
      </c>
      <c r="AO76" s="492"/>
      <c r="AP76" s="492" t="str">
        <f ca="1">IF(AND('Mapa final'!$K$85="Baja",'Mapa final'!$O$85="Mayor"),CONCATENATE("R",'Mapa final'!$A$85),"")</f>
        <v/>
      </c>
      <c r="AQ76" s="492"/>
      <c r="AR76" s="492" t="str">
        <f ca="1">IF(AND('Mapa final'!$K$88="Baja",'Mapa final'!$O$88="Mayor"),CONCATENATE("R",'Mapa final'!$A$88),"")</f>
        <v/>
      </c>
      <c r="AS76" s="492"/>
      <c r="AT76" s="492" t="str">
        <f ca="1">IF(AND('Mapa final'!$K$91="Baja",'Mapa final'!$O$91="Mayor"),CONCATENATE("R",'Mapa final'!$A$91),"")</f>
        <v/>
      </c>
      <c r="AU76" s="492"/>
      <c r="AV76" s="492" t="str">
        <f ca="1">IF(AND('Mapa final'!$K$94="Baja",'Mapa final'!$O$94="Mayor"),CONCATENATE("R",'Mapa final'!$A$94),"")</f>
        <v/>
      </c>
      <c r="AW76" s="493"/>
      <c r="AX76" s="488" t="str">
        <f ca="1">IF(AND('Mapa final'!$K$82="Baja",'Mapa final'!$O$82="Catastrófico"),CONCATENATE("R",'Mapa final'!$A$82),"")</f>
        <v/>
      </c>
      <c r="AY76" s="486"/>
      <c r="AZ76" s="486" t="str">
        <f ca="1">IF(AND('Mapa final'!$K$85="Baja",'Mapa final'!$O$85="Catastrófico"),CONCATENATE("R",'Mapa final'!$A$85),"")</f>
        <v/>
      </c>
      <c r="BA76" s="486"/>
      <c r="BB76" s="486" t="str">
        <f ca="1">IF(AND('Mapa final'!$K$88="Baja",'Mapa final'!$O$88="Catastrófico"),CONCATENATE("R",'Mapa final'!$A$88),"")</f>
        <v/>
      </c>
      <c r="BC76" s="486"/>
      <c r="BD76" s="486" t="str">
        <f ca="1">IF(AND('Mapa final'!$K$91="Baja",'Mapa final'!$O$91="Catastrófico"),CONCATENATE("R",'Mapa final'!$A$91),"")</f>
        <v/>
      </c>
      <c r="BE76" s="486"/>
      <c r="BF76" s="486" t="str">
        <f ca="1">IF(AND('Mapa final'!$K$94="Baja",'Mapa final'!$O$94="Catastrófico"),CONCATENATE("R",'Mapa final'!$A$94),"")</f>
        <v/>
      </c>
      <c r="BG76" s="487"/>
      <c r="BH76" s="55"/>
      <c r="BI76" s="547"/>
      <c r="BJ76" s="548"/>
      <c r="BK76" s="548"/>
      <c r="BL76" s="548"/>
      <c r="BM76" s="548"/>
      <c r="BN76" s="549"/>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row>
    <row r="77" spans="1:100" ht="15" customHeight="1" x14ac:dyDescent="0.25">
      <c r="A77" s="55"/>
      <c r="B77" s="338"/>
      <c r="C77" s="338"/>
      <c r="D77" s="339"/>
      <c r="E77" s="555"/>
      <c r="F77" s="556"/>
      <c r="G77" s="556"/>
      <c r="H77" s="556"/>
      <c r="I77" s="556"/>
      <c r="J77" s="483"/>
      <c r="K77" s="484"/>
      <c r="L77" s="484"/>
      <c r="M77" s="484"/>
      <c r="N77" s="484"/>
      <c r="O77" s="484"/>
      <c r="P77" s="484"/>
      <c r="Q77" s="484"/>
      <c r="R77" s="484"/>
      <c r="S77" s="485"/>
      <c r="T77" s="491"/>
      <c r="U77" s="489"/>
      <c r="V77" s="489"/>
      <c r="W77" s="489"/>
      <c r="X77" s="489"/>
      <c r="Y77" s="489"/>
      <c r="Z77" s="489"/>
      <c r="AA77" s="489"/>
      <c r="AB77" s="489"/>
      <c r="AC77" s="490"/>
      <c r="AD77" s="491"/>
      <c r="AE77" s="489"/>
      <c r="AF77" s="489"/>
      <c r="AG77" s="489"/>
      <c r="AH77" s="489"/>
      <c r="AI77" s="489"/>
      <c r="AJ77" s="489"/>
      <c r="AK77" s="489"/>
      <c r="AL77" s="489"/>
      <c r="AM77" s="490"/>
      <c r="AN77" s="494"/>
      <c r="AO77" s="492"/>
      <c r="AP77" s="492"/>
      <c r="AQ77" s="492"/>
      <c r="AR77" s="492"/>
      <c r="AS77" s="492"/>
      <c r="AT77" s="492"/>
      <c r="AU77" s="492"/>
      <c r="AV77" s="492"/>
      <c r="AW77" s="493"/>
      <c r="AX77" s="488"/>
      <c r="AY77" s="486"/>
      <c r="AZ77" s="486"/>
      <c r="BA77" s="486"/>
      <c r="BB77" s="486"/>
      <c r="BC77" s="486"/>
      <c r="BD77" s="486"/>
      <c r="BE77" s="486"/>
      <c r="BF77" s="486"/>
      <c r="BG77" s="487"/>
      <c r="BH77" s="55"/>
      <c r="BI77" s="547"/>
      <c r="BJ77" s="548"/>
      <c r="BK77" s="548"/>
      <c r="BL77" s="548"/>
      <c r="BM77" s="548"/>
      <c r="BN77" s="549"/>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row>
    <row r="78" spans="1:100" ht="15" customHeight="1" x14ac:dyDescent="0.25">
      <c r="A78" s="55"/>
      <c r="B78" s="338"/>
      <c r="C78" s="338"/>
      <c r="D78" s="339"/>
      <c r="E78" s="555"/>
      <c r="F78" s="556"/>
      <c r="G78" s="556"/>
      <c r="H78" s="556"/>
      <c r="I78" s="556"/>
      <c r="J78" s="483" t="str">
        <f ca="1">IF(AND('Mapa final'!$K$97="Baja",'Mapa final'!$O$97="Leve"),CONCATENATE("R",'Mapa final'!$A$97),"")</f>
        <v/>
      </c>
      <c r="K78" s="484"/>
      <c r="L78" s="484" t="str">
        <f ca="1">IF(AND('Mapa final'!$K$100="Baja",'Mapa final'!$O$100="Leve"),CONCATENATE("R",'Mapa final'!$A$100),"")</f>
        <v/>
      </c>
      <c r="M78" s="484"/>
      <c r="N78" s="484" t="str">
        <f>IF(AND('Mapa final'!$K$103="Baja",'Mapa final'!$O$103="Leve"),CONCATENATE("R",'Mapa final'!$A$103),"")</f>
        <v/>
      </c>
      <c r="O78" s="484"/>
      <c r="P78" s="484" t="str">
        <f ca="1">IF(AND('Mapa final'!$K$106="Baja",'Mapa final'!$O$106="Leve"),CONCATENATE("R",'Mapa final'!$A$106),"")</f>
        <v/>
      </c>
      <c r="Q78" s="484"/>
      <c r="R78" s="484" t="str">
        <f ca="1">IF(AND('Mapa final'!$K$109="Baja",'Mapa final'!$O$109="Leve"),CONCATENATE("R",'Mapa final'!$A$109),"")</f>
        <v/>
      </c>
      <c r="S78" s="485"/>
      <c r="T78" s="491" t="str">
        <f ca="1">IF(AND('Mapa final'!$K$97="Baja",'Mapa final'!$O$97="Menor"),CONCATENATE("R",'Mapa final'!$A$97),"")</f>
        <v/>
      </c>
      <c r="U78" s="489"/>
      <c r="V78" s="489" t="str">
        <f ca="1">IF(AND('Mapa final'!$K$100="Baja",'Mapa final'!$O$100="Menor"),CONCATENATE("R",'Mapa final'!$A$100),"")</f>
        <v/>
      </c>
      <c r="W78" s="489"/>
      <c r="X78" s="489" t="str">
        <f>IF(AND('Mapa final'!$K$103="Baja",'Mapa final'!$O$103="Menor"),CONCATENATE("R",'Mapa final'!$A$103),"")</f>
        <v/>
      </c>
      <c r="Y78" s="489"/>
      <c r="Z78" s="489" t="str">
        <f ca="1">IF(AND('Mapa final'!$K$106="Baja",'Mapa final'!$O$106="Menor"),CONCATENATE("R",'Mapa final'!$A$106),"")</f>
        <v/>
      </c>
      <c r="AA78" s="489"/>
      <c r="AB78" s="489" t="str">
        <f ca="1">IF(AND('Mapa final'!$K$109="Baja",'Mapa final'!$O$109="Menor"),CONCATENATE("R",'Mapa final'!$A$109),"")</f>
        <v/>
      </c>
      <c r="AC78" s="490"/>
      <c r="AD78" s="491" t="str">
        <f ca="1">IF(AND('Mapa final'!$K$97="Baja",'Mapa final'!$O$97="Moderado"),CONCATENATE("R",'Mapa final'!$A$97),"")</f>
        <v>R31</v>
      </c>
      <c r="AE78" s="489"/>
      <c r="AF78" s="489" t="str">
        <f ca="1">IF(AND('Mapa final'!$K$100="Baja",'Mapa final'!$O$100="Moderado"),CONCATENATE("R",'Mapa final'!$A$100),"")</f>
        <v/>
      </c>
      <c r="AG78" s="489"/>
      <c r="AH78" s="489" t="str">
        <f>IF(AND('Mapa final'!$K$103="Baja",'Mapa final'!$O$103="Moderado"),CONCATENATE("R",'Mapa final'!$A$103),"")</f>
        <v/>
      </c>
      <c r="AI78" s="489"/>
      <c r="AJ78" s="489" t="str">
        <f ca="1">IF(AND('Mapa final'!$K$106="Baja",'Mapa final'!$O$106="Moderado"),CONCATENATE("R",'Mapa final'!$A$106),"")</f>
        <v/>
      </c>
      <c r="AK78" s="489"/>
      <c r="AL78" s="489" t="str">
        <f ca="1">IF(AND('Mapa final'!$K$109="Baja",'Mapa final'!$O$109="Moderado"),CONCATENATE("R",'Mapa final'!$A$109),"")</f>
        <v/>
      </c>
      <c r="AM78" s="490"/>
      <c r="AN78" s="494" t="str">
        <f ca="1">IF(AND('Mapa final'!$K$97="Baja",'Mapa final'!$O$97="Mayor"),CONCATENATE("R",'Mapa final'!$A$97),"")</f>
        <v/>
      </c>
      <c r="AO78" s="492"/>
      <c r="AP78" s="492" t="str">
        <f ca="1">IF(AND('Mapa final'!$K$100="Baja",'Mapa final'!$O$100="Mayor"),CONCATENATE("R",'Mapa final'!$A$100),"")</f>
        <v/>
      </c>
      <c r="AQ78" s="492"/>
      <c r="AR78" s="492" t="str">
        <f>IF(AND('Mapa final'!$K$103="Baja",'Mapa final'!$O$103="Mayor"),CONCATENATE("R",'Mapa final'!$A$103),"")</f>
        <v/>
      </c>
      <c r="AS78" s="492"/>
      <c r="AT78" s="492" t="str">
        <f ca="1">IF(AND('Mapa final'!$K$106="Baja",'Mapa final'!$O$106="Mayor"),CONCATENATE("R",'Mapa final'!$A$106),"")</f>
        <v/>
      </c>
      <c r="AU78" s="492"/>
      <c r="AV78" s="492" t="str">
        <f ca="1">IF(AND('Mapa final'!$K$109="Baja",'Mapa final'!$O$109="Mayor"),CONCATENATE("R",'Mapa final'!$A$109),"")</f>
        <v/>
      </c>
      <c r="AW78" s="493"/>
      <c r="AX78" s="488" t="str">
        <f ca="1">IF(AND('Mapa final'!$K$97="Baja",'Mapa final'!$O$97="Catastrófico"),CONCATENATE("R",'Mapa final'!$A$97),"")</f>
        <v/>
      </c>
      <c r="AY78" s="486"/>
      <c r="AZ78" s="486" t="str">
        <f ca="1">IF(AND('Mapa final'!$K$100="Baja",'Mapa final'!$O$100="Catastrófico"),CONCATENATE("R",'Mapa final'!$A$100),"")</f>
        <v/>
      </c>
      <c r="BA78" s="486"/>
      <c r="BB78" s="486" t="str">
        <f>IF(AND('Mapa final'!$K$103="Baja",'Mapa final'!$O$103="Catastrófico"),CONCATENATE("R",'Mapa final'!$A$103),"")</f>
        <v/>
      </c>
      <c r="BC78" s="486"/>
      <c r="BD78" s="486" t="str">
        <f ca="1">IF(AND('Mapa final'!$K$106="Baja",'Mapa final'!$O$106="Catastrófico"),CONCATENATE("R",'Mapa final'!$A$106),"")</f>
        <v/>
      </c>
      <c r="BE78" s="486"/>
      <c r="BF78" s="486" t="str">
        <f ca="1">IF(AND('Mapa final'!$K$109="Baja",'Mapa final'!$O$109="Catastrófico"),CONCATENATE("R",'Mapa final'!$A$109),"")</f>
        <v/>
      </c>
      <c r="BG78" s="487"/>
      <c r="BH78" s="55"/>
      <c r="BI78" s="547"/>
      <c r="BJ78" s="548"/>
      <c r="BK78" s="548"/>
      <c r="BL78" s="548"/>
      <c r="BM78" s="548"/>
      <c r="BN78" s="549"/>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row>
    <row r="79" spans="1:100" ht="15" customHeight="1" x14ac:dyDescent="0.25">
      <c r="A79" s="55"/>
      <c r="B79" s="338"/>
      <c r="C79" s="338"/>
      <c r="D79" s="339"/>
      <c r="E79" s="555"/>
      <c r="F79" s="556"/>
      <c r="G79" s="556"/>
      <c r="H79" s="556"/>
      <c r="I79" s="556"/>
      <c r="J79" s="483"/>
      <c r="K79" s="484"/>
      <c r="L79" s="484"/>
      <c r="M79" s="484"/>
      <c r="N79" s="484"/>
      <c r="O79" s="484"/>
      <c r="P79" s="484"/>
      <c r="Q79" s="484"/>
      <c r="R79" s="484"/>
      <c r="S79" s="485"/>
      <c r="T79" s="491"/>
      <c r="U79" s="489"/>
      <c r="V79" s="489"/>
      <c r="W79" s="489"/>
      <c r="X79" s="489"/>
      <c r="Y79" s="489"/>
      <c r="Z79" s="489"/>
      <c r="AA79" s="489"/>
      <c r="AB79" s="489"/>
      <c r="AC79" s="490"/>
      <c r="AD79" s="491"/>
      <c r="AE79" s="489"/>
      <c r="AF79" s="489"/>
      <c r="AG79" s="489"/>
      <c r="AH79" s="489"/>
      <c r="AI79" s="489"/>
      <c r="AJ79" s="489"/>
      <c r="AK79" s="489"/>
      <c r="AL79" s="489"/>
      <c r="AM79" s="490"/>
      <c r="AN79" s="494"/>
      <c r="AO79" s="492"/>
      <c r="AP79" s="492"/>
      <c r="AQ79" s="492"/>
      <c r="AR79" s="492"/>
      <c r="AS79" s="492"/>
      <c r="AT79" s="492"/>
      <c r="AU79" s="492"/>
      <c r="AV79" s="492"/>
      <c r="AW79" s="493"/>
      <c r="AX79" s="488"/>
      <c r="AY79" s="486"/>
      <c r="AZ79" s="486"/>
      <c r="BA79" s="486"/>
      <c r="BB79" s="486"/>
      <c r="BC79" s="486"/>
      <c r="BD79" s="486"/>
      <c r="BE79" s="486"/>
      <c r="BF79" s="486"/>
      <c r="BG79" s="487"/>
      <c r="BH79" s="55"/>
      <c r="BI79" s="547"/>
      <c r="BJ79" s="548"/>
      <c r="BK79" s="548"/>
      <c r="BL79" s="548"/>
      <c r="BM79" s="548"/>
      <c r="BN79" s="549"/>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row>
    <row r="80" spans="1:100" ht="15" customHeight="1" x14ac:dyDescent="0.25">
      <c r="A80" s="55"/>
      <c r="B80" s="338"/>
      <c r="C80" s="338"/>
      <c r="D80" s="339"/>
      <c r="E80" s="555"/>
      <c r="F80" s="556"/>
      <c r="G80" s="556"/>
      <c r="H80" s="556"/>
      <c r="I80" s="556"/>
      <c r="J80" s="483" t="str">
        <f ca="1">IF(AND('Mapa final'!$K$112="Baja",'Mapa final'!$O$112="Leve"),CONCATENATE("R",'Mapa final'!$A$112),"")</f>
        <v/>
      </c>
      <c r="K80" s="484"/>
      <c r="L80" s="484" t="str">
        <f ca="1">IF(AND('Mapa final'!$K$115="Baja",'Mapa final'!$O$115="Leve"),CONCATENATE("R",'Mapa final'!$A$115),"")</f>
        <v/>
      </c>
      <c r="M80" s="484"/>
      <c r="N80" s="484" t="str">
        <f ca="1">IF(AND('Mapa final'!$K$118="Baja",'Mapa final'!$O$118="Leve"),CONCATENATE("R",'Mapa final'!$A$118),"")</f>
        <v/>
      </c>
      <c r="O80" s="484"/>
      <c r="P80" s="484" t="str">
        <f ca="1">IF(AND('Mapa final'!$K$121="Baja",'Mapa final'!$O$121="Leve"),CONCATENATE("R",'Mapa final'!$A$121),"")</f>
        <v/>
      </c>
      <c r="Q80" s="484"/>
      <c r="R80" s="484" t="str">
        <f ca="1">IF(AND('Mapa final'!$K$124="Baja",'Mapa final'!$O$124="Leve"),CONCATENATE("R",'Mapa final'!$A$124),"")</f>
        <v/>
      </c>
      <c r="S80" s="485"/>
      <c r="T80" s="491" t="str">
        <f ca="1">IF(AND('Mapa final'!$K$112="Baja",'Mapa final'!$O$112="Menor"),CONCATENATE("R",'Mapa final'!$A$112),"")</f>
        <v/>
      </c>
      <c r="U80" s="489"/>
      <c r="V80" s="489" t="str">
        <f ca="1">IF(AND('Mapa final'!$K$115="Baja",'Mapa final'!$O$115="Menor"),CONCATENATE("R",'Mapa final'!$A$115),"")</f>
        <v/>
      </c>
      <c r="W80" s="489"/>
      <c r="X80" s="489" t="str">
        <f ca="1">IF(AND('Mapa final'!$K$118="Baja",'Mapa final'!$O$118="Menor"),CONCATENATE("R",'Mapa final'!$A$118),"")</f>
        <v>R38</v>
      </c>
      <c r="Y80" s="489"/>
      <c r="Z80" s="489" t="str">
        <f ca="1">IF(AND('Mapa final'!$K$121="Baja",'Mapa final'!$O$121="Menor"),CONCATENATE("R",'Mapa final'!$A$121),"")</f>
        <v/>
      </c>
      <c r="AA80" s="489"/>
      <c r="AB80" s="489" t="str">
        <f ca="1">IF(AND('Mapa final'!$K$124="Baja",'Mapa final'!$O$124="Menor"),CONCATENATE("R",'Mapa final'!$A$124),"")</f>
        <v/>
      </c>
      <c r="AC80" s="490"/>
      <c r="AD80" s="491" t="str">
        <f ca="1">IF(AND('Mapa final'!$K$112="Baja",'Mapa final'!$O$112="Moderado"),CONCATENATE("R",'Mapa final'!$A$112),"")</f>
        <v/>
      </c>
      <c r="AE80" s="489"/>
      <c r="AF80" s="489" t="str">
        <f ca="1">IF(AND('Mapa final'!$K$115="Baja",'Mapa final'!$O$115="Moderado"),CONCATENATE("R",'Mapa final'!$A$115),"")</f>
        <v/>
      </c>
      <c r="AG80" s="489"/>
      <c r="AH80" s="489" t="str">
        <f ca="1">IF(AND('Mapa final'!$K$118="Baja",'Mapa final'!$O$118="Moderado"),CONCATENATE("R",'Mapa final'!$A$118),"")</f>
        <v/>
      </c>
      <c r="AI80" s="489"/>
      <c r="AJ80" s="489" t="str">
        <f ca="1">IF(AND('Mapa final'!$K$121="Baja",'Mapa final'!$O$121="Moderado"),CONCATENATE("R",'Mapa final'!$A$121),"")</f>
        <v/>
      </c>
      <c r="AK80" s="489"/>
      <c r="AL80" s="489" t="str">
        <f ca="1">IF(AND('Mapa final'!$K$124="Baja",'Mapa final'!$O$124="Moderado"),CONCATENATE("R",'Mapa final'!$A$124),"")</f>
        <v/>
      </c>
      <c r="AM80" s="490"/>
      <c r="AN80" s="494" t="str">
        <f ca="1">IF(AND('Mapa final'!$K$112="Baja",'Mapa final'!$O$112="Mayor"),CONCATENATE("R",'Mapa final'!$A$112),"")</f>
        <v/>
      </c>
      <c r="AO80" s="492"/>
      <c r="AP80" s="492" t="str">
        <f ca="1">IF(AND('Mapa final'!$K$115="Baja",'Mapa final'!$O$115="Mayor"),CONCATENATE("R",'Mapa final'!$A$115),"")</f>
        <v/>
      </c>
      <c r="AQ80" s="492"/>
      <c r="AR80" s="492" t="str">
        <f ca="1">IF(AND('Mapa final'!$K$118="Baja",'Mapa final'!$O$118="Mayor"),CONCATENATE("R",'Mapa final'!$A$118),"")</f>
        <v/>
      </c>
      <c r="AS80" s="492"/>
      <c r="AT80" s="492" t="str">
        <f ca="1">IF(AND('Mapa final'!$K$121="Baja",'Mapa final'!$O$121="Mayor"),CONCATENATE("R",'Mapa final'!$A$121),"")</f>
        <v/>
      </c>
      <c r="AU80" s="492"/>
      <c r="AV80" s="492" t="str">
        <f ca="1">IF(AND('Mapa final'!$K$124="Baja",'Mapa final'!$O$124="Mayor"),CONCATENATE("R",'Mapa final'!$A$124),"")</f>
        <v/>
      </c>
      <c r="AW80" s="493"/>
      <c r="AX80" s="488" t="str">
        <f ca="1">IF(AND('Mapa final'!$K$112="Baja",'Mapa final'!$O$112="Catastrófico"),CONCATENATE("R",'Mapa final'!$A$112),"")</f>
        <v/>
      </c>
      <c r="AY80" s="486"/>
      <c r="AZ80" s="486" t="str">
        <f ca="1">IF(AND('Mapa final'!$K$115="Baja",'Mapa final'!$O$115="Catastrófico"),CONCATENATE("R",'Mapa final'!$A$115),"")</f>
        <v/>
      </c>
      <c r="BA80" s="486"/>
      <c r="BB80" s="486" t="str">
        <f ca="1">IF(AND('Mapa final'!$K$118="Baja",'Mapa final'!$O$118="Catastrófico"),CONCATENATE("R",'Mapa final'!$A$118),"")</f>
        <v/>
      </c>
      <c r="BC80" s="486"/>
      <c r="BD80" s="486" t="str">
        <f ca="1">IF(AND('Mapa final'!$K$121="Baja",'Mapa final'!$O$121="Catastrófico"),CONCATENATE("R",'Mapa final'!$A$121),"")</f>
        <v/>
      </c>
      <c r="BE80" s="486"/>
      <c r="BF80" s="486" t="str">
        <f ca="1">IF(AND('Mapa final'!$K$124="Baja",'Mapa final'!$O$124="Catastrófico"),CONCATENATE("R",'Mapa final'!$A$124),"")</f>
        <v/>
      </c>
      <c r="BG80" s="487"/>
      <c r="BH80" s="55"/>
      <c r="BI80" s="547"/>
      <c r="BJ80" s="548"/>
      <c r="BK80" s="548"/>
      <c r="BL80" s="548"/>
      <c r="BM80" s="548"/>
      <c r="BN80" s="549"/>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row>
    <row r="81" spans="1:100" ht="15" customHeight="1" x14ac:dyDescent="0.25">
      <c r="A81" s="55"/>
      <c r="B81" s="338"/>
      <c r="C81" s="338"/>
      <c r="D81" s="339"/>
      <c r="E81" s="555"/>
      <c r="F81" s="556"/>
      <c r="G81" s="556"/>
      <c r="H81" s="556"/>
      <c r="I81" s="556"/>
      <c r="J81" s="483"/>
      <c r="K81" s="484"/>
      <c r="L81" s="484"/>
      <c r="M81" s="484"/>
      <c r="N81" s="484"/>
      <c r="O81" s="484"/>
      <c r="P81" s="484"/>
      <c r="Q81" s="484"/>
      <c r="R81" s="484"/>
      <c r="S81" s="485"/>
      <c r="T81" s="491"/>
      <c r="U81" s="489"/>
      <c r="V81" s="489"/>
      <c r="W81" s="489"/>
      <c r="X81" s="489"/>
      <c r="Y81" s="489"/>
      <c r="Z81" s="489"/>
      <c r="AA81" s="489"/>
      <c r="AB81" s="489"/>
      <c r="AC81" s="490"/>
      <c r="AD81" s="491"/>
      <c r="AE81" s="489"/>
      <c r="AF81" s="489"/>
      <c r="AG81" s="489"/>
      <c r="AH81" s="489"/>
      <c r="AI81" s="489"/>
      <c r="AJ81" s="489"/>
      <c r="AK81" s="489"/>
      <c r="AL81" s="489"/>
      <c r="AM81" s="490"/>
      <c r="AN81" s="494"/>
      <c r="AO81" s="492"/>
      <c r="AP81" s="492"/>
      <c r="AQ81" s="492"/>
      <c r="AR81" s="492"/>
      <c r="AS81" s="492"/>
      <c r="AT81" s="492"/>
      <c r="AU81" s="492"/>
      <c r="AV81" s="492"/>
      <c r="AW81" s="493"/>
      <c r="AX81" s="488"/>
      <c r="AY81" s="486"/>
      <c r="AZ81" s="486"/>
      <c r="BA81" s="486"/>
      <c r="BB81" s="486"/>
      <c r="BC81" s="486"/>
      <c r="BD81" s="486"/>
      <c r="BE81" s="486"/>
      <c r="BF81" s="486"/>
      <c r="BG81" s="487"/>
      <c r="BH81" s="55"/>
      <c r="BI81" s="547"/>
      <c r="BJ81" s="548"/>
      <c r="BK81" s="548"/>
      <c r="BL81" s="548"/>
      <c r="BM81" s="548"/>
      <c r="BN81" s="549"/>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c r="CT81" s="55"/>
      <c r="CU81" s="55"/>
      <c r="CV81" s="55"/>
    </row>
    <row r="82" spans="1:100" ht="15" customHeight="1" x14ac:dyDescent="0.25">
      <c r="A82" s="55"/>
      <c r="B82" s="338"/>
      <c r="C82" s="338"/>
      <c r="D82" s="339"/>
      <c r="E82" s="555"/>
      <c r="F82" s="556"/>
      <c r="G82" s="556"/>
      <c r="H82" s="556"/>
      <c r="I82" s="556"/>
      <c r="J82" s="483" t="str">
        <f ca="1">IF(AND('Mapa final'!$K$127="Baja",'Mapa final'!$O$127="Leve"),CONCATENATE("R",'Mapa final'!$A$127),"")</f>
        <v/>
      </c>
      <c r="K82" s="484"/>
      <c r="L82" s="484" t="str">
        <f ca="1">IF(AND('Mapa final'!$K$130="Baja",'Mapa final'!$O$130="Leve"),CONCATENATE("R",'Mapa final'!$A$130),"")</f>
        <v/>
      </c>
      <c r="M82" s="484"/>
      <c r="N82" s="484" t="str">
        <f ca="1">IF(AND('Mapa final'!$K$133="Baja",'Mapa final'!$O$133="Leve"),CONCATENATE("R",'Mapa final'!$A$133),"")</f>
        <v/>
      </c>
      <c r="O82" s="484"/>
      <c r="P82" s="484" t="str">
        <f ca="1">IF(AND('Mapa final'!$K$136="Baja",'Mapa final'!$O$136="Leve"),CONCATENATE("R",'Mapa final'!$A$136),"")</f>
        <v/>
      </c>
      <c r="Q82" s="484"/>
      <c r="R82" s="484" t="str">
        <f ca="1">IF(AND('Mapa final'!$K$139="Baja",'Mapa final'!$O$139="Leve"),CONCATENATE("R",'Mapa final'!$A$139),"")</f>
        <v/>
      </c>
      <c r="S82" s="485"/>
      <c r="T82" s="491" t="str">
        <f ca="1">IF(AND('Mapa final'!$K$127="Baja",'Mapa final'!$O$127="Menor"),CONCATENATE("R",'Mapa final'!$A$127),"")</f>
        <v/>
      </c>
      <c r="U82" s="489"/>
      <c r="V82" s="489" t="str">
        <f ca="1">IF(AND('Mapa final'!$K$130="Baja",'Mapa final'!$O$130="Menor"),CONCATENATE("R",'Mapa final'!$A$130),"")</f>
        <v/>
      </c>
      <c r="W82" s="489"/>
      <c r="X82" s="489" t="str">
        <f ca="1">IF(AND('Mapa final'!$K$133="Baja",'Mapa final'!$O$133="Menor"),CONCATENATE("R",'Mapa final'!$A$133),"")</f>
        <v/>
      </c>
      <c r="Y82" s="489"/>
      <c r="Z82" s="489" t="str">
        <f ca="1">IF(AND('Mapa final'!$K$136="Baja",'Mapa final'!$O$136="Menor"),CONCATENATE("R",'Mapa final'!$A$136),"")</f>
        <v/>
      </c>
      <c r="AA82" s="489"/>
      <c r="AB82" s="489" t="str">
        <f ca="1">IF(AND('Mapa final'!$K$139="Baja",'Mapa final'!$O$139="Menor"),CONCATENATE("R",'Mapa final'!$A$139),"")</f>
        <v/>
      </c>
      <c r="AC82" s="490"/>
      <c r="AD82" s="491" t="str">
        <f ca="1">IF(AND('Mapa final'!$K$127="Baja",'Mapa final'!$O$127="Moderado"),CONCATENATE("R",'Mapa final'!$A$127),"")</f>
        <v/>
      </c>
      <c r="AE82" s="489"/>
      <c r="AF82" s="489" t="str">
        <f ca="1">IF(AND('Mapa final'!$K$130="Baja",'Mapa final'!$O$130="Moderado"),CONCATENATE("R",'Mapa final'!$A$130),"")</f>
        <v>R42</v>
      </c>
      <c r="AG82" s="489"/>
      <c r="AH82" s="489" t="str">
        <f ca="1">IF(AND('Mapa final'!$K$133="Baja",'Mapa final'!$O$133="Moderado"),CONCATENATE("R",'Mapa final'!$A$133),"")</f>
        <v/>
      </c>
      <c r="AI82" s="489"/>
      <c r="AJ82" s="489" t="str">
        <f ca="1">IF(AND('Mapa final'!$K$136="Baja",'Mapa final'!$O$136="Moderado"),CONCATENATE("R",'Mapa final'!$A$136),"")</f>
        <v/>
      </c>
      <c r="AK82" s="489"/>
      <c r="AL82" s="489" t="str">
        <f ca="1">IF(AND('Mapa final'!$K$139="Baja",'Mapa final'!$O$139="Moderado"),CONCATENATE("R",'Mapa final'!$A$139),"")</f>
        <v/>
      </c>
      <c r="AM82" s="490"/>
      <c r="AN82" s="494" t="str">
        <f ca="1">IF(AND('Mapa final'!$K$127="Baja",'Mapa final'!$O$127="Mayor"),CONCATENATE("R",'Mapa final'!$A$127),"")</f>
        <v/>
      </c>
      <c r="AO82" s="492"/>
      <c r="AP82" s="492" t="str">
        <f ca="1">IF(AND('Mapa final'!$K$130="Baja",'Mapa final'!$O$130="Mayor"),CONCATENATE("R",'Mapa final'!$A$130),"")</f>
        <v/>
      </c>
      <c r="AQ82" s="492"/>
      <c r="AR82" s="492" t="str">
        <f ca="1">IF(AND('Mapa final'!$K$133="Baja",'Mapa final'!$O$133="Mayor"),CONCATENATE("R",'Mapa final'!$A$133),"")</f>
        <v/>
      </c>
      <c r="AS82" s="492"/>
      <c r="AT82" s="492" t="str">
        <f ca="1">IF(AND('Mapa final'!$K$136="Baja",'Mapa final'!$O$136="Mayor"),CONCATENATE("R",'Mapa final'!$A$136),"")</f>
        <v/>
      </c>
      <c r="AU82" s="492"/>
      <c r="AV82" s="492" t="str">
        <f ca="1">IF(AND('Mapa final'!$K$139="Baja",'Mapa final'!$O$139="Mayor"),CONCATENATE("R",'Mapa final'!$A$139),"")</f>
        <v/>
      </c>
      <c r="AW82" s="493"/>
      <c r="AX82" s="488" t="str">
        <f ca="1">IF(AND('Mapa final'!$K$127="Baja",'Mapa final'!$O$127="Catastrófico"),CONCATENATE("R",'Mapa final'!$A$127),"")</f>
        <v/>
      </c>
      <c r="AY82" s="486"/>
      <c r="AZ82" s="486" t="str">
        <f ca="1">IF(AND('Mapa final'!$K$130="Baja",'Mapa final'!$O$130="Catastrófico"),CONCATENATE("R",'Mapa final'!$A$130),"")</f>
        <v/>
      </c>
      <c r="BA82" s="486"/>
      <c r="BB82" s="486" t="str">
        <f ca="1">IF(AND('Mapa final'!$K$133="Baja",'Mapa final'!$O$133="Catastrófico"),CONCATENATE("R",'Mapa final'!$A$133),"")</f>
        <v/>
      </c>
      <c r="BC82" s="486"/>
      <c r="BD82" s="486" t="str">
        <f ca="1">IF(AND('Mapa final'!$K$136="Baja",'Mapa final'!$O$136="Catastrófico"),CONCATENATE("R",'Mapa final'!$A$136),"")</f>
        <v/>
      </c>
      <c r="BE82" s="486"/>
      <c r="BF82" s="486" t="str">
        <f ca="1">IF(AND('Mapa final'!$K$139="Baja",'Mapa final'!$O$139="Catastrófico"),CONCATENATE("R",'Mapa final'!$A$139),"")</f>
        <v/>
      </c>
      <c r="BG82" s="487"/>
      <c r="BH82" s="55"/>
      <c r="BI82" s="547"/>
      <c r="BJ82" s="548"/>
      <c r="BK82" s="548"/>
      <c r="BL82" s="548"/>
      <c r="BM82" s="548"/>
      <c r="BN82" s="549"/>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c r="CT82" s="55"/>
      <c r="CU82" s="55"/>
      <c r="CV82" s="55"/>
    </row>
    <row r="83" spans="1:100" ht="15" customHeight="1" x14ac:dyDescent="0.25">
      <c r="A83" s="55"/>
      <c r="B83" s="338"/>
      <c r="C83" s="338"/>
      <c r="D83" s="339"/>
      <c r="E83" s="555"/>
      <c r="F83" s="556"/>
      <c r="G83" s="556"/>
      <c r="H83" s="556"/>
      <c r="I83" s="556"/>
      <c r="J83" s="483"/>
      <c r="K83" s="484"/>
      <c r="L83" s="484"/>
      <c r="M83" s="484"/>
      <c r="N83" s="484"/>
      <c r="O83" s="484"/>
      <c r="P83" s="484"/>
      <c r="Q83" s="484"/>
      <c r="R83" s="484"/>
      <c r="S83" s="485"/>
      <c r="T83" s="491"/>
      <c r="U83" s="489"/>
      <c r="V83" s="489"/>
      <c r="W83" s="489"/>
      <c r="X83" s="489"/>
      <c r="Y83" s="489"/>
      <c r="Z83" s="489"/>
      <c r="AA83" s="489"/>
      <c r="AB83" s="489"/>
      <c r="AC83" s="490"/>
      <c r="AD83" s="491"/>
      <c r="AE83" s="489"/>
      <c r="AF83" s="489"/>
      <c r="AG83" s="489"/>
      <c r="AH83" s="489"/>
      <c r="AI83" s="489"/>
      <c r="AJ83" s="489"/>
      <c r="AK83" s="489"/>
      <c r="AL83" s="489"/>
      <c r="AM83" s="490"/>
      <c r="AN83" s="494"/>
      <c r="AO83" s="492"/>
      <c r="AP83" s="492"/>
      <c r="AQ83" s="492"/>
      <c r="AR83" s="492"/>
      <c r="AS83" s="492"/>
      <c r="AT83" s="492"/>
      <c r="AU83" s="492"/>
      <c r="AV83" s="492"/>
      <c r="AW83" s="493"/>
      <c r="AX83" s="488"/>
      <c r="AY83" s="486"/>
      <c r="AZ83" s="486"/>
      <c r="BA83" s="486"/>
      <c r="BB83" s="486"/>
      <c r="BC83" s="486"/>
      <c r="BD83" s="486"/>
      <c r="BE83" s="486"/>
      <c r="BF83" s="486"/>
      <c r="BG83" s="487"/>
      <c r="BH83" s="55"/>
      <c r="BI83" s="547"/>
      <c r="BJ83" s="548"/>
      <c r="BK83" s="548"/>
      <c r="BL83" s="548"/>
      <c r="BM83" s="548"/>
      <c r="BN83" s="549"/>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row>
    <row r="84" spans="1:100" ht="15" customHeight="1" x14ac:dyDescent="0.25">
      <c r="A84" s="55"/>
      <c r="B84" s="338"/>
      <c r="C84" s="338"/>
      <c r="D84" s="339"/>
      <c r="E84" s="555"/>
      <c r="F84" s="556"/>
      <c r="G84" s="556"/>
      <c r="H84" s="556"/>
      <c r="I84" s="556"/>
      <c r="J84" s="483" t="str">
        <f ca="1">IF(AND('Mapa final'!$K$142="Baja",'Mapa final'!$O$142="Leve"),CONCATENATE("R",'Mapa final'!$A$142),"")</f>
        <v/>
      </c>
      <c r="K84" s="484"/>
      <c r="L84" s="484" t="str">
        <f ca="1">IF(AND('Mapa final'!$K$145="Baja",'Mapa final'!$O$145="Leve"),CONCATENATE("R",'Mapa final'!$A$145),"")</f>
        <v/>
      </c>
      <c r="M84" s="484"/>
      <c r="N84" s="484" t="str">
        <f ca="1">IF(AND('Mapa final'!$K$148="Baja",'Mapa final'!$O$148="Leve"),CONCATENATE("R",'Mapa final'!$A$148),"")</f>
        <v/>
      </c>
      <c r="O84" s="484"/>
      <c r="P84" s="484" t="str">
        <f ca="1">IF(AND('Mapa final'!$K$151="Baja",'Mapa final'!$O$151="Leve"),CONCATENATE("R",'Mapa final'!$A$151),"")</f>
        <v/>
      </c>
      <c r="Q84" s="484"/>
      <c r="R84" s="484" t="str">
        <f ca="1">IF(AND('Mapa final'!$K$154="Baja",'Mapa final'!$O$154="Leve"),CONCATENATE("R",'Mapa final'!$A$154),"")</f>
        <v/>
      </c>
      <c r="S84" s="485"/>
      <c r="T84" s="491" t="str">
        <f ca="1">IF(AND('Mapa final'!$K$142="Baja",'Mapa final'!$O$142="Menor"),CONCATENATE("R",'Mapa final'!$A$142),"")</f>
        <v/>
      </c>
      <c r="U84" s="489"/>
      <c r="V84" s="489" t="str">
        <f ca="1">IF(AND('Mapa final'!$K$145="Baja",'Mapa final'!$O$145="Menor"),CONCATENATE("R",'Mapa final'!$A$145),"")</f>
        <v/>
      </c>
      <c r="W84" s="489"/>
      <c r="X84" s="489" t="str">
        <f ca="1">IF(AND('Mapa final'!$K$148="Baja",'Mapa final'!$O$148="Menor"),CONCATENATE("R",'Mapa final'!$A$148),"")</f>
        <v/>
      </c>
      <c r="Y84" s="489"/>
      <c r="Z84" s="489" t="str">
        <f ca="1">IF(AND('Mapa final'!$K$151="Baja",'Mapa final'!$O$151="Menor"),CONCATENATE("R",'Mapa final'!$A$151),"")</f>
        <v/>
      </c>
      <c r="AA84" s="489"/>
      <c r="AB84" s="489" t="str">
        <f ca="1">IF(AND('Mapa final'!$K$154="Baja",'Mapa final'!$O$154="Menor"),CONCATENATE("R",'Mapa final'!$A$154),"")</f>
        <v/>
      </c>
      <c r="AC84" s="490"/>
      <c r="AD84" s="491" t="str">
        <f ca="1">IF(AND('Mapa final'!$K$142="Baja",'Mapa final'!$O$142="Moderado"),CONCATENATE("R",'Mapa final'!$A$142),"")</f>
        <v/>
      </c>
      <c r="AE84" s="489"/>
      <c r="AF84" s="489" t="str">
        <f ca="1">IF(AND('Mapa final'!$K$145="Baja",'Mapa final'!$O$145="Moderado"),CONCATENATE("R",'Mapa final'!$A$145),"")</f>
        <v/>
      </c>
      <c r="AG84" s="489"/>
      <c r="AH84" s="489" t="str">
        <f ca="1">IF(AND('Mapa final'!$K$148="Baja",'Mapa final'!$O$148="Moderado"),CONCATENATE("R",'Mapa final'!$A$148),"")</f>
        <v/>
      </c>
      <c r="AI84" s="489"/>
      <c r="AJ84" s="489" t="str">
        <f ca="1">IF(AND('Mapa final'!$K$151="Baja",'Mapa final'!$O$151="Moderado"),CONCATENATE("R",'Mapa final'!$A$151),"")</f>
        <v/>
      </c>
      <c r="AK84" s="489"/>
      <c r="AL84" s="489" t="str">
        <f ca="1">IF(AND('Mapa final'!$K$154="Baja",'Mapa final'!$O$154="Moderado"),CONCATENATE("R",'Mapa final'!$A$154),"")</f>
        <v/>
      </c>
      <c r="AM84" s="490"/>
      <c r="AN84" s="494" t="str">
        <f ca="1">IF(AND('Mapa final'!$K$142="Baja",'Mapa final'!$O$142="Mayor"),CONCATENATE("R",'Mapa final'!$A$142),"")</f>
        <v/>
      </c>
      <c r="AO84" s="492"/>
      <c r="AP84" s="492" t="str">
        <f ca="1">IF(AND('Mapa final'!$K$145="Baja",'Mapa final'!$O$145="Mayor"),CONCATENATE("R",'Mapa final'!$A$145),"")</f>
        <v/>
      </c>
      <c r="AQ84" s="492"/>
      <c r="AR84" s="492" t="str">
        <f ca="1">IF(AND('Mapa final'!$K$148="Baja",'Mapa final'!$O$148="Mayor"),CONCATENATE("R",'Mapa final'!$A$148),"")</f>
        <v/>
      </c>
      <c r="AS84" s="492"/>
      <c r="AT84" s="492" t="str">
        <f ca="1">IF(AND('Mapa final'!$K$151="Baja",'Mapa final'!$O$151="Mayor"),CONCATENATE("R",'Mapa final'!$A$151),"")</f>
        <v/>
      </c>
      <c r="AU84" s="492"/>
      <c r="AV84" s="492" t="str">
        <f ca="1">IF(AND('Mapa final'!$K$154="Baja",'Mapa final'!$O$154="Mayor"),CONCATENATE("R",'Mapa final'!$A$154),"")</f>
        <v/>
      </c>
      <c r="AW84" s="493"/>
      <c r="AX84" s="488" t="str">
        <f ca="1">IF(AND('Mapa final'!$K$142="Baja",'Mapa final'!$O$142="Catastrófico"),CONCATENATE("R",'Mapa final'!$A$142),"")</f>
        <v/>
      </c>
      <c r="AY84" s="486"/>
      <c r="AZ84" s="486" t="str">
        <f ca="1">IF(AND('Mapa final'!$K$145="Baja",'Mapa final'!$O$145="Catastrófico"),CONCATENATE("R",'Mapa final'!$A$145),"")</f>
        <v/>
      </c>
      <c r="BA84" s="486"/>
      <c r="BB84" s="486" t="str">
        <f ca="1">IF(AND('Mapa final'!$K$148="Baja",'Mapa final'!$O$148="Catastrófico"),CONCATENATE("R",'Mapa final'!$A$148),"")</f>
        <v/>
      </c>
      <c r="BC84" s="486"/>
      <c r="BD84" s="486" t="str">
        <f ca="1">IF(AND('Mapa final'!$K$151="Baja",'Mapa final'!$O$151="Catastrófico"),CONCATENATE("R",'Mapa final'!$A$151),"")</f>
        <v/>
      </c>
      <c r="BE84" s="486"/>
      <c r="BF84" s="486" t="str">
        <f ca="1">IF(AND('Mapa final'!$K$154="Baja",'Mapa final'!$O$154="Catastrófico"),CONCATENATE("R",'Mapa final'!$A$154),"")</f>
        <v/>
      </c>
      <c r="BG84" s="487"/>
      <c r="BH84" s="55"/>
      <c r="BI84" s="547"/>
      <c r="BJ84" s="548"/>
      <c r="BK84" s="548"/>
      <c r="BL84" s="548"/>
      <c r="BM84" s="548"/>
      <c r="BN84" s="549"/>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row>
    <row r="85" spans="1:100" ht="15.75" customHeight="1" thickBot="1" x14ac:dyDescent="0.3">
      <c r="A85" s="55"/>
      <c r="B85" s="338"/>
      <c r="C85" s="338"/>
      <c r="D85" s="339"/>
      <c r="E85" s="557"/>
      <c r="F85" s="558"/>
      <c r="G85" s="558"/>
      <c r="H85" s="558"/>
      <c r="I85" s="558"/>
      <c r="J85" s="512"/>
      <c r="K85" s="513"/>
      <c r="L85" s="513"/>
      <c r="M85" s="513"/>
      <c r="N85" s="513"/>
      <c r="O85" s="513"/>
      <c r="P85" s="513"/>
      <c r="Q85" s="513"/>
      <c r="R85" s="513"/>
      <c r="S85" s="515"/>
      <c r="T85" s="501"/>
      <c r="U85" s="502"/>
      <c r="V85" s="502"/>
      <c r="W85" s="502"/>
      <c r="X85" s="502"/>
      <c r="Y85" s="502"/>
      <c r="Z85" s="502"/>
      <c r="AA85" s="502"/>
      <c r="AB85" s="502"/>
      <c r="AC85" s="503"/>
      <c r="AD85" s="501"/>
      <c r="AE85" s="502"/>
      <c r="AF85" s="502"/>
      <c r="AG85" s="502"/>
      <c r="AH85" s="502"/>
      <c r="AI85" s="502"/>
      <c r="AJ85" s="502"/>
      <c r="AK85" s="502"/>
      <c r="AL85" s="502"/>
      <c r="AM85" s="503"/>
      <c r="AN85" s="495"/>
      <c r="AO85" s="496"/>
      <c r="AP85" s="496"/>
      <c r="AQ85" s="496"/>
      <c r="AR85" s="496"/>
      <c r="AS85" s="496"/>
      <c r="AT85" s="496"/>
      <c r="AU85" s="496"/>
      <c r="AV85" s="496"/>
      <c r="AW85" s="497"/>
      <c r="AX85" s="508"/>
      <c r="AY85" s="507"/>
      <c r="AZ85" s="507"/>
      <c r="BA85" s="507"/>
      <c r="BB85" s="507"/>
      <c r="BC85" s="507"/>
      <c r="BD85" s="507"/>
      <c r="BE85" s="507"/>
      <c r="BF85" s="507"/>
      <c r="BG85" s="509"/>
      <c r="BH85" s="55"/>
      <c r="BI85" s="547"/>
      <c r="BJ85" s="548"/>
      <c r="BK85" s="548"/>
      <c r="BL85" s="548"/>
      <c r="BM85" s="548"/>
      <c r="BN85" s="549"/>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row>
    <row r="86" spans="1:100" ht="15" customHeight="1" x14ac:dyDescent="0.25">
      <c r="A86" s="55"/>
      <c r="B86" s="338"/>
      <c r="C86" s="338"/>
      <c r="D86" s="339"/>
      <c r="E86" s="553" t="s">
        <v>104</v>
      </c>
      <c r="F86" s="554"/>
      <c r="G86" s="554"/>
      <c r="H86" s="554"/>
      <c r="I86" s="559"/>
      <c r="J86" s="567" t="str">
        <f ca="1">IF(AND('Mapa final'!$K$7="Muy Baja",'Mapa final'!$O$7="Leve"),CONCATENATE("R",'Mapa final'!$A$7),"")</f>
        <v/>
      </c>
      <c r="K86" s="514"/>
      <c r="L86" s="514" t="str">
        <f ca="1">IF(AND('Mapa final'!$K$10="Muy Baja",'Mapa final'!$O$10="Leve"),CONCATENATE("R",'Mapa final'!$A$10),"")</f>
        <v/>
      </c>
      <c r="M86" s="514"/>
      <c r="N86" s="514" t="str">
        <f ca="1">IF(AND('Mapa final'!$K$13="Muy Baja",'Mapa final'!$O$13="Leve"),CONCATENATE("R",'Mapa final'!$A$13),"")</f>
        <v/>
      </c>
      <c r="O86" s="514"/>
      <c r="P86" s="514" t="e">
        <f>IF(AND('Mapa final'!#REF!="Muy Baja",'Mapa final'!#REF!="Leve"),CONCATENATE("R",'Mapa final'!#REF!),"")</f>
        <v>#REF!</v>
      </c>
      <c r="Q86" s="514"/>
      <c r="R86" s="514" t="str">
        <f ca="1">IF(AND('Mapa final'!$K$16="Muy Baja",'Mapa final'!$O$16="Leve"),CONCATENATE("R",'Mapa final'!$A$16),"")</f>
        <v/>
      </c>
      <c r="S86" s="516"/>
      <c r="T86" s="567" t="str">
        <f ca="1">IF(AND('Mapa final'!$K$7="Muy Baja",'Mapa final'!$O$7="Menor"),CONCATENATE("R",'Mapa final'!$A$7),"")</f>
        <v/>
      </c>
      <c r="U86" s="514"/>
      <c r="V86" s="514" t="str">
        <f ca="1">IF(AND('Mapa final'!$K$10="Muy Baja",'Mapa final'!$O$10="Menor"),CONCATENATE("R",'Mapa final'!$A$10),"")</f>
        <v/>
      </c>
      <c r="W86" s="514"/>
      <c r="X86" s="514" t="str">
        <f ca="1">IF(AND('Mapa final'!$K$13="Muy Baja",'Mapa final'!$O$13="Menor"),CONCATENATE("R",'Mapa final'!$A$13),"")</f>
        <v/>
      </c>
      <c r="Y86" s="514"/>
      <c r="Z86" s="514" t="e">
        <f>IF(AND('Mapa final'!#REF!="Muy Baja",'Mapa final'!#REF!="Menor"),CONCATENATE("R",'Mapa final'!#REF!),"")</f>
        <v>#REF!</v>
      </c>
      <c r="AA86" s="514"/>
      <c r="AB86" s="514" t="str">
        <f ca="1">IF(AND('Mapa final'!$K$16="Muy Baja",'Mapa final'!$O$16="Menor"),CONCATENATE("R",'Mapa final'!$A$16),"")</f>
        <v/>
      </c>
      <c r="AC86" s="516"/>
      <c r="AD86" s="498" t="str">
        <f ca="1">IF(AND('Mapa final'!$K$7="Muy Baja",'Mapa final'!$O$7="Moderado"),CONCATENATE("R",'Mapa final'!$A$7),"")</f>
        <v/>
      </c>
      <c r="AE86" s="499"/>
      <c r="AF86" s="499" t="str">
        <f ca="1">IF(AND('Mapa final'!$K$10="Muy Baja",'Mapa final'!$O$10="Moderado"),CONCATENATE("R",'Mapa final'!$A$10),"")</f>
        <v/>
      </c>
      <c r="AG86" s="499"/>
      <c r="AH86" s="499" t="str">
        <f ca="1">IF(AND('Mapa final'!$K$13="Muy Baja",'Mapa final'!$O$13="Moderado"),CONCATENATE("R",'Mapa final'!$A$13),"")</f>
        <v/>
      </c>
      <c r="AI86" s="499"/>
      <c r="AJ86" s="499" t="e">
        <f>IF(AND('Mapa final'!#REF!="Muy Baja",'Mapa final'!#REF!="Moderado"),CONCATENATE("R",'Mapa final'!#REF!),"")</f>
        <v>#REF!</v>
      </c>
      <c r="AK86" s="499"/>
      <c r="AL86" s="499" t="str">
        <f ca="1">IF(AND('Mapa final'!$K$16="Muy Baja",'Mapa final'!$O$16="Moderado"),CONCATENATE("R",'Mapa final'!$A$16),"")</f>
        <v/>
      </c>
      <c r="AM86" s="500"/>
      <c r="AN86" s="504" t="str">
        <f ca="1">IF(AND('Mapa final'!$K$7="Muy Baja",'Mapa final'!$O$7="Mayor"),CONCATENATE("R",'Mapa final'!$A$7),"")</f>
        <v/>
      </c>
      <c r="AO86" s="505"/>
      <c r="AP86" s="505" t="str">
        <f ca="1">IF(AND('Mapa final'!$K$10="Muy Baja",'Mapa final'!$O$10="Mayor"),CONCATENATE("R",'Mapa final'!$A$10),"")</f>
        <v/>
      </c>
      <c r="AQ86" s="505"/>
      <c r="AR86" s="505" t="str">
        <f ca="1">IF(AND('Mapa final'!$K$13="Muy Baja",'Mapa final'!$O$13="Mayor"),CONCATENATE("R",'Mapa final'!$A$13),"")</f>
        <v/>
      </c>
      <c r="AS86" s="505"/>
      <c r="AT86" s="505" t="e">
        <f>IF(AND('Mapa final'!#REF!="Muy Baja",'Mapa final'!#REF!="Mayor"),CONCATENATE("R",'Mapa final'!#REF!),"")</f>
        <v>#REF!</v>
      </c>
      <c r="AU86" s="505"/>
      <c r="AV86" s="505" t="str">
        <f ca="1">IF(AND('Mapa final'!$K$16="Muy Baja",'Mapa final'!$O$16="Mayor"),CONCATENATE("R",'Mapa final'!$A$16),"")</f>
        <v/>
      </c>
      <c r="AW86" s="506"/>
      <c r="AX86" s="511" t="str">
        <f ca="1">IF(AND('Mapa final'!$K$7="Muy Baja",'Mapa final'!$O$7="Catastrófico"),CONCATENATE("R",'Mapa final'!$A$7),"")</f>
        <v/>
      </c>
      <c r="AY86" s="510"/>
      <c r="AZ86" s="510" t="str">
        <f ca="1">IF(AND('Mapa final'!$K$10="Muy Baja",'Mapa final'!$O$10="Catastrófico"),CONCATENATE("R",'Mapa final'!$A$10),"")</f>
        <v/>
      </c>
      <c r="BA86" s="510"/>
      <c r="BB86" s="510" t="str">
        <f ca="1">IF(AND('Mapa final'!$K$13="Muy Baja",'Mapa final'!$O$13="Catastrófico"),CONCATENATE("R",'Mapa final'!$A$13),"")</f>
        <v/>
      </c>
      <c r="BC86" s="510"/>
      <c r="BD86" s="510" t="e">
        <f>IF(AND('Mapa final'!#REF!="Muy Baja",'Mapa final'!#REF!="Catastrófico"),CONCATENATE("R",'Mapa final'!#REF!),"")</f>
        <v>#REF!</v>
      </c>
      <c r="BE86" s="510"/>
      <c r="BF86" s="510" t="str">
        <f ca="1">IF(AND('Mapa final'!$K$16="Muy Baja",'Mapa final'!$O$16="Catastrófico"),CONCATENATE("R",'Mapa final'!$A$16),"")</f>
        <v/>
      </c>
      <c r="BG86" s="566"/>
      <c r="BH86" s="55"/>
      <c r="BI86" s="547"/>
      <c r="BJ86" s="548"/>
      <c r="BK86" s="548"/>
      <c r="BL86" s="548"/>
      <c r="BM86" s="548"/>
      <c r="BN86" s="549"/>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row>
    <row r="87" spans="1:100" ht="15" customHeight="1" x14ac:dyDescent="0.25">
      <c r="A87" s="55"/>
      <c r="B87" s="338"/>
      <c r="C87" s="338"/>
      <c r="D87" s="339"/>
      <c r="E87" s="555"/>
      <c r="F87" s="556"/>
      <c r="G87" s="556"/>
      <c r="H87" s="556"/>
      <c r="I87" s="560"/>
      <c r="J87" s="483"/>
      <c r="K87" s="484"/>
      <c r="L87" s="484"/>
      <c r="M87" s="484"/>
      <c r="N87" s="484"/>
      <c r="O87" s="484"/>
      <c r="P87" s="484"/>
      <c r="Q87" s="484"/>
      <c r="R87" s="484"/>
      <c r="S87" s="485"/>
      <c r="T87" s="483"/>
      <c r="U87" s="484"/>
      <c r="V87" s="484"/>
      <c r="W87" s="484"/>
      <c r="X87" s="484"/>
      <c r="Y87" s="484"/>
      <c r="Z87" s="484"/>
      <c r="AA87" s="484"/>
      <c r="AB87" s="484"/>
      <c r="AC87" s="485"/>
      <c r="AD87" s="491"/>
      <c r="AE87" s="489"/>
      <c r="AF87" s="489"/>
      <c r="AG87" s="489"/>
      <c r="AH87" s="489"/>
      <c r="AI87" s="489"/>
      <c r="AJ87" s="489"/>
      <c r="AK87" s="489"/>
      <c r="AL87" s="489"/>
      <c r="AM87" s="490"/>
      <c r="AN87" s="494"/>
      <c r="AO87" s="492"/>
      <c r="AP87" s="492"/>
      <c r="AQ87" s="492"/>
      <c r="AR87" s="492"/>
      <c r="AS87" s="492"/>
      <c r="AT87" s="492"/>
      <c r="AU87" s="492"/>
      <c r="AV87" s="492"/>
      <c r="AW87" s="493"/>
      <c r="AX87" s="488"/>
      <c r="AY87" s="486"/>
      <c r="AZ87" s="486"/>
      <c r="BA87" s="486"/>
      <c r="BB87" s="486"/>
      <c r="BC87" s="486"/>
      <c r="BD87" s="486"/>
      <c r="BE87" s="486"/>
      <c r="BF87" s="486"/>
      <c r="BG87" s="487"/>
      <c r="BH87" s="55"/>
      <c r="BI87" s="547"/>
      <c r="BJ87" s="548"/>
      <c r="BK87" s="548"/>
      <c r="BL87" s="548"/>
      <c r="BM87" s="548"/>
      <c r="BN87" s="549"/>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row>
    <row r="88" spans="1:100" ht="15" customHeight="1" x14ac:dyDescent="0.25">
      <c r="A88" s="55"/>
      <c r="B88" s="338"/>
      <c r="C88" s="338"/>
      <c r="D88" s="339"/>
      <c r="E88" s="555"/>
      <c r="F88" s="556"/>
      <c r="G88" s="556"/>
      <c r="H88" s="556"/>
      <c r="I88" s="560"/>
      <c r="J88" s="483" t="str">
        <f ca="1">IF(AND('Mapa final'!$K$19="Muy Baja",'Mapa final'!$O$19="Leve"),CONCATENATE("R",'Mapa final'!$A$19),"")</f>
        <v/>
      </c>
      <c r="K88" s="484"/>
      <c r="L88" s="484" t="str">
        <f ca="1">IF(AND('Mapa final'!$K$22="Muy Baja",'Mapa final'!$O$22="Leve"),CONCATENATE("R",'Mapa final'!$A$22),"")</f>
        <v/>
      </c>
      <c r="M88" s="484"/>
      <c r="N88" s="484" t="str">
        <f ca="1">IF(AND('Mapa final'!$K$25="Muy Baja",'Mapa final'!$O$25="Leve"),CONCATENATE("R",'Mapa final'!$A$25),"")</f>
        <v/>
      </c>
      <c r="O88" s="484"/>
      <c r="P88" s="484" t="str">
        <f>IF(AND('Mapa final'!$K$28="Muy Baja",'Mapa final'!$O$28="Leve"),CONCATENATE("R",'Mapa final'!$A$28),"")</f>
        <v/>
      </c>
      <c r="Q88" s="484"/>
      <c r="R88" s="484" t="str">
        <f ca="1">IF(AND('Mapa final'!$K$31="Muy Baja",'Mapa final'!$O$31="Leve"),CONCATENATE("R",'Mapa final'!$A$31),"")</f>
        <v/>
      </c>
      <c r="S88" s="485"/>
      <c r="T88" s="483" t="str">
        <f ca="1">IF(AND('Mapa final'!$K$19="Muy Baja",'Mapa final'!$O$19="Menor"),CONCATENATE("R",'Mapa final'!$A$19),"")</f>
        <v/>
      </c>
      <c r="U88" s="484"/>
      <c r="V88" s="484" t="str">
        <f ca="1">IF(AND('Mapa final'!$K$22="Muy Baja",'Mapa final'!$O$22="Menor"),CONCATENATE("R",'Mapa final'!$A$22),"")</f>
        <v/>
      </c>
      <c r="W88" s="484"/>
      <c r="X88" s="484" t="str">
        <f ca="1">IF(AND('Mapa final'!$K$25="Muy Baja",'Mapa final'!$O$25="Menor"),CONCATENATE("R",'Mapa final'!$A$25),"")</f>
        <v/>
      </c>
      <c r="Y88" s="484"/>
      <c r="Z88" s="484" t="str">
        <f>IF(AND('Mapa final'!$K$28="Muy Baja",'Mapa final'!$O$28="Menor"),CONCATENATE("R",'Mapa final'!$A$28),"")</f>
        <v/>
      </c>
      <c r="AA88" s="484"/>
      <c r="AB88" s="484" t="str">
        <f ca="1">IF(AND('Mapa final'!$K$31="Muy Baja",'Mapa final'!$O$31="Menor"),CONCATENATE("R",'Mapa final'!$A$31),"")</f>
        <v/>
      </c>
      <c r="AC88" s="485"/>
      <c r="AD88" s="491" t="str">
        <f ca="1">IF(AND('Mapa final'!$K$19="Muy Baja",'Mapa final'!$O$19="Moderado"),CONCATENATE("R",'Mapa final'!$A$19),"")</f>
        <v>R5</v>
      </c>
      <c r="AE88" s="489"/>
      <c r="AF88" s="489" t="str">
        <f ca="1">IF(AND('Mapa final'!$K$22="Muy Baja",'Mapa final'!$O$22="Moderado"),CONCATENATE("R",'Mapa final'!$A$22),"")</f>
        <v>R6</v>
      </c>
      <c r="AG88" s="489"/>
      <c r="AH88" s="489" t="str">
        <f ca="1">IF(AND('Mapa final'!$K$25="Muy Baja",'Mapa final'!$O$25="Moderado"),CONCATENATE("R",'Mapa final'!$A$25),"")</f>
        <v/>
      </c>
      <c r="AI88" s="489"/>
      <c r="AJ88" s="489" t="str">
        <f>IF(AND('Mapa final'!$K$28="Muy Baja",'Mapa final'!$O$28="Moderado"),CONCATENATE("R",'Mapa final'!$A$28),"")</f>
        <v/>
      </c>
      <c r="AK88" s="489"/>
      <c r="AL88" s="489" t="str">
        <f ca="1">IF(AND('Mapa final'!$K$31="Muy Baja",'Mapa final'!$O$31="Moderado"),CONCATENATE("R",'Mapa final'!$A$31),"")</f>
        <v/>
      </c>
      <c r="AM88" s="490"/>
      <c r="AN88" s="494" t="str">
        <f ca="1">IF(AND('Mapa final'!$K$19="Muy Baja",'Mapa final'!$O$19="Mayor"),CONCATENATE("R",'Mapa final'!$A$19),"")</f>
        <v/>
      </c>
      <c r="AO88" s="492"/>
      <c r="AP88" s="492" t="str">
        <f ca="1">IF(AND('Mapa final'!$K$22="Muy Baja",'Mapa final'!$O$22="Mayor"),CONCATENATE("R",'Mapa final'!$A$22),"")</f>
        <v/>
      </c>
      <c r="AQ88" s="492"/>
      <c r="AR88" s="492" t="str">
        <f ca="1">IF(AND('Mapa final'!$K$25="Muy Baja",'Mapa final'!$O$25="Mayor"),CONCATENATE("R",'Mapa final'!$A$25),"")</f>
        <v/>
      </c>
      <c r="AS88" s="492"/>
      <c r="AT88" s="492" t="str">
        <f>IF(AND('Mapa final'!$K$28="Muy Baja",'Mapa final'!$O$28="Mayor"),CONCATENATE("R",'Mapa final'!$A$28),"")</f>
        <v/>
      </c>
      <c r="AU88" s="492"/>
      <c r="AV88" s="492" t="str">
        <f ca="1">IF(AND('Mapa final'!$K$31="Muy Baja",'Mapa final'!$O$31="Mayor"),CONCATENATE("R",'Mapa final'!$A$31),"")</f>
        <v/>
      </c>
      <c r="AW88" s="493"/>
      <c r="AX88" s="488" t="str">
        <f ca="1">IF(AND('Mapa final'!$K$19="Muy Baja",'Mapa final'!$O$19="Catastrófico"),CONCATENATE("R",'Mapa final'!$A$19),"")</f>
        <v/>
      </c>
      <c r="AY88" s="486"/>
      <c r="AZ88" s="486" t="str">
        <f ca="1">IF(AND('Mapa final'!$K$22="Muy Baja",'Mapa final'!$O$22="Catastrófico"),CONCATENATE("R",'Mapa final'!$A$22),"")</f>
        <v/>
      </c>
      <c r="BA88" s="486"/>
      <c r="BB88" s="486" t="str">
        <f ca="1">IF(AND('Mapa final'!$K$25="Muy Baja",'Mapa final'!$O$25="Catastrófico"),CONCATENATE("R",'Mapa final'!$A$25),"")</f>
        <v/>
      </c>
      <c r="BC88" s="486"/>
      <c r="BD88" s="486" t="str">
        <f>IF(AND('Mapa final'!$K$28="Muy Baja",'Mapa final'!$O$28="Catastrófico"),CONCATENATE("R",'Mapa final'!$A$28),"")</f>
        <v/>
      </c>
      <c r="BE88" s="486"/>
      <c r="BF88" s="486" t="str">
        <f ca="1">IF(AND('Mapa final'!$K$31="Muy Baja",'Mapa final'!$O$31="Catastrófico"),CONCATENATE("R",'Mapa final'!$A$31),"")</f>
        <v/>
      </c>
      <c r="BG88" s="487"/>
      <c r="BH88" s="55"/>
      <c r="BI88" s="547"/>
      <c r="BJ88" s="548"/>
      <c r="BK88" s="548"/>
      <c r="BL88" s="548"/>
      <c r="BM88" s="548"/>
      <c r="BN88" s="549"/>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row>
    <row r="89" spans="1:100" ht="15" customHeight="1" x14ac:dyDescent="0.25">
      <c r="A89" s="55"/>
      <c r="B89" s="338"/>
      <c r="C89" s="338"/>
      <c r="D89" s="339"/>
      <c r="E89" s="555"/>
      <c r="F89" s="556"/>
      <c r="G89" s="556"/>
      <c r="H89" s="556"/>
      <c r="I89" s="560"/>
      <c r="J89" s="483"/>
      <c r="K89" s="484"/>
      <c r="L89" s="484"/>
      <c r="M89" s="484"/>
      <c r="N89" s="484"/>
      <c r="O89" s="484"/>
      <c r="P89" s="484"/>
      <c r="Q89" s="484"/>
      <c r="R89" s="484"/>
      <c r="S89" s="485"/>
      <c r="T89" s="483"/>
      <c r="U89" s="484"/>
      <c r="V89" s="484"/>
      <c r="W89" s="484"/>
      <c r="X89" s="484"/>
      <c r="Y89" s="484"/>
      <c r="Z89" s="484"/>
      <c r="AA89" s="484"/>
      <c r="AB89" s="484"/>
      <c r="AC89" s="485"/>
      <c r="AD89" s="491"/>
      <c r="AE89" s="489"/>
      <c r="AF89" s="489"/>
      <c r="AG89" s="489"/>
      <c r="AH89" s="489"/>
      <c r="AI89" s="489"/>
      <c r="AJ89" s="489"/>
      <c r="AK89" s="489"/>
      <c r="AL89" s="489"/>
      <c r="AM89" s="490"/>
      <c r="AN89" s="494"/>
      <c r="AO89" s="492"/>
      <c r="AP89" s="492"/>
      <c r="AQ89" s="492"/>
      <c r="AR89" s="492"/>
      <c r="AS89" s="492"/>
      <c r="AT89" s="492"/>
      <c r="AU89" s="492"/>
      <c r="AV89" s="492"/>
      <c r="AW89" s="493"/>
      <c r="AX89" s="488"/>
      <c r="AY89" s="486"/>
      <c r="AZ89" s="486"/>
      <c r="BA89" s="486"/>
      <c r="BB89" s="486"/>
      <c r="BC89" s="486"/>
      <c r="BD89" s="486"/>
      <c r="BE89" s="486"/>
      <c r="BF89" s="486"/>
      <c r="BG89" s="487"/>
      <c r="BH89" s="55"/>
      <c r="BI89" s="547"/>
      <c r="BJ89" s="548"/>
      <c r="BK89" s="548"/>
      <c r="BL89" s="548"/>
      <c r="BM89" s="548"/>
      <c r="BN89" s="549"/>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row>
    <row r="90" spans="1:100" ht="15" customHeight="1" x14ac:dyDescent="0.25">
      <c r="A90" s="55"/>
      <c r="B90" s="338"/>
      <c r="C90" s="338"/>
      <c r="D90" s="339"/>
      <c r="E90" s="555"/>
      <c r="F90" s="556"/>
      <c r="G90" s="556"/>
      <c r="H90" s="556"/>
      <c r="I90" s="560"/>
      <c r="J90" s="483" t="str">
        <f ca="1">IF(AND('Mapa final'!$K$34="Muy Baja",'Mapa final'!$O$34="Leve"),CONCATENATE("R",'Mapa final'!$A$34),"")</f>
        <v/>
      </c>
      <c r="K90" s="484"/>
      <c r="L90" s="484" t="str">
        <f ca="1">IF(AND('Mapa final'!$K$37="Muy Baja",'Mapa final'!$O$37="Leve"),CONCATENATE("R",'Mapa final'!$A$37),"")</f>
        <v/>
      </c>
      <c r="M90" s="484"/>
      <c r="N90" s="484" t="str">
        <f ca="1">IF(AND('Mapa final'!$K$40="Muy Baja",'Mapa final'!$O$40="Leve"),CONCATENATE("R",'Mapa final'!$A$40),"")</f>
        <v/>
      </c>
      <c r="O90" s="484"/>
      <c r="P90" s="484" t="str">
        <f ca="1">IF(AND('Mapa final'!$K$43="Muy Baja",'Mapa final'!$O$43="Leve"),CONCATENATE("R",'Mapa final'!$A$43),"")</f>
        <v/>
      </c>
      <c r="Q90" s="484"/>
      <c r="R90" s="484" t="str">
        <f ca="1">IF(AND('Mapa final'!$K$46="Muy Baja",'Mapa final'!$O$46="Leve"),CONCATENATE("R",'Mapa final'!$A$46),"")</f>
        <v/>
      </c>
      <c r="S90" s="485"/>
      <c r="T90" s="483" t="str">
        <f ca="1">IF(AND('Mapa final'!$K$34="Muy Baja",'Mapa final'!$O$34="Menor"),CONCATENATE("R",'Mapa final'!$A$34),"")</f>
        <v/>
      </c>
      <c r="U90" s="484"/>
      <c r="V90" s="484" t="str">
        <f ca="1">IF(AND('Mapa final'!$K$37="Muy Baja",'Mapa final'!$O$37="Menor"),CONCATENATE("R",'Mapa final'!$A$37),"")</f>
        <v/>
      </c>
      <c r="W90" s="484"/>
      <c r="X90" s="484" t="str">
        <f ca="1">IF(AND('Mapa final'!$K$40="Muy Baja",'Mapa final'!$O$40="Menor"),CONCATENATE("R",'Mapa final'!$A$40),"")</f>
        <v/>
      </c>
      <c r="Y90" s="484"/>
      <c r="Z90" s="484" t="str">
        <f ca="1">IF(AND('Mapa final'!$K$43="Muy Baja",'Mapa final'!$O$43="Menor"),CONCATENATE("R",'Mapa final'!$A$43),"")</f>
        <v/>
      </c>
      <c r="AA90" s="484"/>
      <c r="AB90" s="484" t="str">
        <f ca="1">IF(AND('Mapa final'!$K$46="Muy Baja",'Mapa final'!$O$46="Menor"),CONCATENATE("R",'Mapa final'!$A$46),"")</f>
        <v/>
      </c>
      <c r="AC90" s="485"/>
      <c r="AD90" s="491" t="str">
        <f ca="1">IF(AND('Mapa final'!$K$34="Muy Baja",'Mapa final'!$O$34="Moderado"),CONCATENATE("R",'Mapa final'!$A$34),"")</f>
        <v/>
      </c>
      <c r="AE90" s="489"/>
      <c r="AF90" s="489" t="str">
        <f ca="1">IF(AND('Mapa final'!$K$37="Muy Baja",'Mapa final'!$O$37="Moderado"),CONCATENATE("R",'Mapa final'!$A$37),"")</f>
        <v/>
      </c>
      <c r="AG90" s="489"/>
      <c r="AH90" s="489" t="str">
        <f ca="1">IF(AND('Mapa final'!$K$40="Muy Baja",'Mapa final'!$O$40="Moderado"),CONCATENATE("R",'Mapa final'!$A$40),"")</f>
        <v>R12</v>
      </c>
      <c r="AI90" s="489"/>
      <c r="AJ90" s="489" t="str">
        <f ca="1">IF(AND('Mapa final'!$K$43="Muy Baja",'Mapa final'!$O$43="Moderado"),CONCATENATE("R",'Mapa final'!$A$43),"")</f>
        <v/>
      </c>
      <c r="AK90" s="489"/>
      <c r="AL90" s="489" t="str">
        <f ca="1">IF(AND('Mapa final'!$K$46="Muy Baja",'Mapa final'!$O$46="Moderado"),CONCATENATE("R",'Mapa final'!$A$46),"")</f>
        <v/>
      </c>
      <c r="AM90" s="490"/>
      <c r="AN90" s="494" t="str">
        <f ca="1">IF(AND('Mapa final'!$K$34="Muy Baja",'Mapa final'!$O$34="Mayor"),CONCATENATE("R",'Mapa final'!$A$34),"")</f>
        <v/>
      </c>
      <c r="AO90" s="492"/>
      <c r="AP90" s="492" t="str">
        <f ca="1">IF(AND('Mapa final'!$K$37="Muy Baja",'Mapa final'!$O$37="Mayor"),CONCATENATE("R",'Mapa final'!$A$37),"")</f>
        <v/>
      </c>
      <c r="AQ90" s="492"/>
      <c r="AR90" s="492" t="str">
        <f ca="1">IF(AND('Mapa final'!$K$40="Muy Baja",'Mapa final'!$O$40="Mayor"),CONCATENATE("R",'Mapa final'!$A$40),"")</f>
        <v/>
      </c>
      <c r="AS90" s="492"/>
      <c r="AT90" s="492" t="str">
        <f ca="1">IF(AND('Mapa final'!$K$43="Muy Baja",'Mapa final'!$O$43="Mayor"),CONCATENATE("R",'Mapa final'!$A$43),"")</f>
        <v/>
      </c>
      <c r="AU90" s="492"/>
      <c r="AV90" s="492" t="str">
        <f ca="1">IF(AND('Mapa final'!$K$46="Muy Baja",'Mapa final'!$O$46="Mayor"),CONCATENATE("R",'Mapa final'!$A$46),"")</f>
        <v/>
      </c>
      <c r="AW90" s="493"/>
      <c r="AX90" s="488" t="str">
        <f ca="1">IF(AND('Mapa final'!$K$34="Muy Baja",'Mapa final'!$O$34="Catastrófico"),CONCATENATE("R",'Mapa final'!$A$34),"")</f>
        <v/>
      </c>
      <c r="AY90" s="486"/>
      <c r="AZ90" s="486" t="str">
        <f ca="1">IF(AND('Mapa final'!$K$37="Muy Baja",'Mapa final'!$O$37="Catastrófico"),CONCATENATE("R",'Mapa final'!$A$37),"")</f>
        <v/>
      </c>
      <c r="BA90" s="486"/>
      <c r="BB90" s="486" t="str">
        <f ca="1">IF(AND('Mapa final'!$K$40="Muy Baja",'Mapa final'!$O$40="Catastrófico"),CONCATENATE("R",'Mapa final'!$A$40),"")</f>
        <v/>
      </c>
      <c r="BC90" s="486"/>
      <c r="BD90" s="486" t="str">
        <f ca="1">IF(AND('Mapa final'!$K$43="Muy Baja",'Mapa final'!$O$43="Catastrófico"),CONCATENATE("R",'Mapa final'!$A$43),"")</f>
        <v/>
      </c>
      <c r="BE90" s="486"/>
      <c r="BF90" s="486" t="str">
        <f ca="1">IF(AND('Mapa final'!$K$46="Muy Baja",'Mapa final'!$O$46="Catastrófico"),CONCATENATE("R",'Mapa final'!$A$46),"")</f>
        <v/>
      </c>
      <c r="BG90" s="487"/>
      <c r="BH90" s="55"/>
      <c r="BI90" s="547"/>
      <c r="BJ90" s="548"/>
      <c r="BK90" s="548"/>
      <c r="BL90" s="548"/>
      <c r="BM90" s="548"/>
      <c r="BN90" s="549"/>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row>
    <row r="91" spans="1:100" ht="15" customHeight="1" x14ac:dyDescent="0.25">
      <c r="A91" s="55"/>
      <c r="B91" s="338"/>
      <c r="C91" s="338"/>
      <c r="D91" s="339"/>
      <c r="E91" s="555"/>
      <c r="F91" s="556"/>
      <c r="G91" s="556"/>
      <c r="H91" s="556"/>
      <c r="I91" s="560"/>
      <c r="J91" s="483"/>
      <c r="K91" s="484"/>
      <c r="L91" s="484"/>
      <c r="M91" s="484"/>
      <c r="N91" s="484"/>
      <c r="O91" s="484"/>
      <c r="P91" s="484"/>
      <c r="Q91" s="484"/>
      <c r="R91" s="484"/>
      <c r="S91" s="485"/>
      <c r="T91" s="483"/>
      <c r="U91" s="484"/>
      <c r="V91" s="484"/>
      <c r="W91" s="484"/>
      <c r="X91" s="484"/>
      <c r="Y91" s="484"/>
      <c r="Z91" s="484"/>
      <c r="AA91" s="484"/>
      <c r="AB91" s="484"/>
      <c r="AC91" s="485"/>
      <c r="AD91" s="491"/>
      <c r="AE91" s="489"/>
      <c r="AF91" s="489"/>
      <c r="AG91" s="489"/>
      <c r="AH91" s="489"/>
      <c r="AI91" s="489"/>
      <c r="AJ91" s="489"/>
      <c r="AK91" s="489"/>
      <c r="AL91" s="489"/>
      <c r="AM91" s="490"/>
      <c r="AN91" s="494"/>
      <c r="AO91" s="492"/>
      <c r="AP91" s="492"/>
      <c r="AQ91" s="492"/>
      <c r="AR91" s="492"/>
      <c r="AS91" s="492"/>
      <c r="AT91" s="492"/>
      <c r="AU91" s="492"/>
      <c r="AV91" s="492"/>
      <c r="AW91" s="493"/>
      <c r="AX91" s="488"/>
      <c r="AY91" s="486"/>
      <c r="AZ91" s="486"/>
      <c r="BA91" s="486"/>
      <c r="BB91" s="486"/>
      <c r="BC91" s="486"/>
      <c r="BD91" s="486"/>
      <c r="BE91" s="486"/>
      <c r="BF91" s="486"/>
      <c r="BG91" s="487"/>
      <c r="BH91" s="55"/>
      <c r="BI91" s="547"/>
      <c r="BJ91" s="548"/>
      <c r="BK91" s="548"/>
      <c r="BL91" s="548"/>
      <c r="BM91" s="548"/>
      <c r="BN91" s="549"/>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row>
    <row r="92" spans="1:100" ht="15" customHeight="1" x14ac:dyDescent="0.25">
      <c r="A92" s="55"/>
      <c r="B92" s="338"/>
      <c r="C92" s="338"/>
      <c r="D92" s="339"/>
      <c r="E92" s="555"/>
      <c r="F92" s="556"/>
      <c r="G92" s="556"/>
      <c r="H92" s="556"/>
      <c r="I92" s="560"/>
      <c r="J92" s="483" t="str">
        <f ca="1">IF(AND('Mapa final'!$K$49="Muy Baja",'Mapa final'!$O$49="Leve"),CONCATENATE("R",'Mapa final'!$A$49),"")</f>
        <v/>
      </c>
      <c r="K92" s="484"/>
      <c r="L92" s="484" t="str">
        <f ca="1">IF(AND('Mapa final'!$K$52="Muy Baja",'Mapa final'!$O$52="Leve"),CONCATENATE("R",'Mapa final'!$A$52),"")</f>
        <v/>
      </c>
      <c r="M92" s="484"/>
      <c r="N92" s="484" t="str">
        <f ca="1">IF(AND('Mapa final'!$K$55="Muy Baja",'Mapa final'!$O$55="Leve"),CONCATENATE("R",'Mapa final'!$A$55),"")</f>
        <v/>
      </c>
      <c r="O92" s="484"/>
      <c r="P92" s="484" t="str">
        <f ca="1">IF(AND('Mapa final'!$K$58="Muy Baja",'Mapa final'!$O$58="Leve"),CONCATENATE("R",'Mapa final'!$A$58),"")</f>
        <v/>
      </c>
      <c r="Q92" s="484"/>
      <c r="R92" s="484" t="str">
        <f ca="1">IF(AND('Mapa final'!$K$61="Muy Baja",'Mapa final'!$O$61="Leve"),CONCATENATE("R",'Mapa final'!$A$61),"")</f>
        <v/>
      </c>
      <c r="S92" s="485"/>
      <c r="T92" s="483" t="str">
        <f ca="1">IF(AND('Mapa final'!$K$49="Muy Baja",'Mapa final'!$O$49="Menor"),CONCATENATE("R",'Mapa final'!$A$49),"")</f>
        <v/>
      </c>
      <c r="U92" s="484"/>
      <c r="V92" s="484" t="str">
        <f ca="1">IF(AND('Mapa final'!$K$52="Muy Baja",'Mapa final'!$O$52="Menor"),CONCATENATE("R",'Mapa final'!$A$52),"")</f>
        <v/>
      </c>
      <c r="W92" s="484"/>
      <c r="X92" s="484" t="str">
        <f ca="1">IF(AND('Mapa final'!$K$55="Muy Baja",'Mapa final'!$O$55="Menor"),CONCATENATE("R",'Mapa final'!$A$55),"")</f>
        <v/>
      </c>
      <c r="Y92" s="484"/>
      <c r="Z92" s="484" t="str">
        <f ca="1">IF(AND('Mapa final'!$K$58="Muy Baja",'Mapa final'!$O$58="Menor"),CONCATENATE("R",'Mapa final'!$A$58),"")</f>
        <v/>
      </c>
      <c r="AA92" s="484"/>
      <c r="AB92" s="484" t="str">
        <f ca="1">IF(AND('Mapa final'!$K$61="Muy Baja",'Mapa final'!$O$61="Menor"),CONCATENATE("R",'Mapa final'!$A$61),"")</f>
        <v/>
      </c>
      <c r="AC92" s="485"/>
      <c r="AD92" s="491" t="str">
        <f ca="1">IF(AND('Mapa final'!$K$49="Muy Baja",'Mapa final'!$O$49="Moderado"),CONCATENATE("R",'Mapa final'!$A$49),"")</f>
        <v/>
      </c>
      <c r="AE92" s="489"/>
      <c r="AF92" s="489" t="str">
        <f ca="1">IF(AND('Mapa final'!$K$52="Muy Baja",'Mapa final'!$O$52="Moderado"),CONCATENATE("R",'Mapa final'!$A$52),"")</f>
        <v/>
      </c>
      <c r="AG92" s="489"/>
      <c r="AH92" s="489" t="str">
        <f ca="1">IF(AND('Mapa final'!$K$55="Muy Baja",'Mapa final'!$O$55="Moderado"),CONCATENATE("R",'Mapa final'!$A$55),"")</f>
        <v/>
      </c>
      <c r="AI92" s="489"/>
      <c r="AJ92" s="489" t="str">
        <f ca="1">IF(AND('Mapa final'!$K$58="Muy Baja",'Mapa final'!$O$58="Moderado"),CONCATENATE("R",'Mapa final'!$A$58),"")</f>
        <v/>
      </c>
      <c r="AK92" s="489"/>
      <c r="AL92" s="489" t="str">
        <f ca="1">IF(AND('Mapa final'!$K$61="Muy Baja",'Mapa final'!$O$61="Moderado"),CONCATENATE("R",'Mapa final'!$A$61),"")</f>
        <v/>
      </c>
      <c r="AM92" s="490"/>
      <c r="AN92" s="494" t="str">
        <f ca="1">IF(AND('Mapa final'!$K$49="Muy Baja",'Mapa final'!$O$49="Mayor"),CONCATENATE("R",'Mapa final'!$A$49),"")</f>
        <v/>
      </c>
      <c r="AO92" s="492"/>
      <c r="AP92" s="492" t="str">
        <f ca="1">IF(AND('Mapa final'!$K$52="Muy Baja",'Mapa final'!$O$52="Mayor"),CONCATENATE("R",'Mapa final'!$A$52),"")</f>
        <v/>
      </c>
      <c r="AQ92" s="492"/>
      <c r="AR92" s="492" t="str">
        <f ca="1">IF(AND('Mapa final'!$K$55="Muy Baja",'Mapa final'!$O$55="Mayor"),CONCATENATE("R",'Mapa final'!$A$55),"")</f>
        <v/>
      </c>
      <c r="AS92" s="492"/>
      <c r="AT92" s="492" t="str">
        <f ca="1">IF(AND('Mapa final'!$K$58="Muy Baja",'Mapa final'!$O$58="Mayor"),CONCATENATE("R",'Mapa final'!$A$58),"")</f>
        <v/>
      </c>
      <c r="AU92" s="492"/>
      <c r="AV92" s="492" t="str">
        <f ca="1">IF(AND('Mapa final'!$K$61="Muy Baja",'Mapa final'!$O$61="Mayor"),CONCATENATE("R",'Mapa final'!$A$61),"")</f>
        <v/>
      </c>
      <c r="AW92" s="493"/>
      <c r="AX92" s="488" t="str">
        <f ca="1">IF(AND('Mapa final'!$K$49="Muy Baja",'Mapa final'!$O$49="Catastrófico"),CONCATENATE("R",'Mapa final'!$A$49),"")</f>
        <v/>
      </c>
      <c r="AY92" s="486"/>
      <c r="AZ92" s="486" t="str">
        <f ca="1">IF(AND('Mapa final'!$K$52="Muy Baja",'Mapa final'!$O$52="Catastrófico"),CONCATENATE("R",'Mapa final'!$A$52),"")</f>
        <v/>
      </c>
      <c r="BA92" s="486"/>
      <c r="BB92" s="486" t="str">
        <f ca="1">IF(AND('Mapa final'!$K$55="Muy Baja",'Mapa final'!$O$55="Catastrófico"),CONCATENATE("R",'Mapa final'!$A$55),"")</f>
        <v/>
      </c>
      <c r="BC92" s="486"/>
      <c r="BD92" s="486" t="str">
        <f ca="1">IF(AND('Mapa final'!$K$58="Muy Baja",'Mapa final'!$O$58="Catastrófico"),CONCATENATE("R",'Mapa final'!$A$58),"")</f>
        <v/>
      </c>
      <c r="BE92" s="486"/>
      <c r="BF92" s="486" t="str">
        <f ca="1">IF(AND('Mapa final'!$K$61="Muy Baja",'Mapa final'!$O$61="Catastrófico"),CONCATENATE("R",'Mapa final'!$A$61),"")</f>
        <v/>
      </c>
      <c r="BG92" s="487"/>
      <c r="BH92" s="55"/>
      <c r="BI92" s="547"/>
      <c r="BJ92" s="548"/>
      <c r="BK92" s="548"/>
      <c r="BL92" s="548"/>
      <c r="BM92" s="548"/>
      <c r="BN92" s="549"/>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row>
    <row r="93" spans="1:100" ht="15" customHeight="1" x14ac:dyDescent="0.25">
      <c r="A93" s="55"/>
      <c r="B93" s="338"/>
      <c r="C93" s="338"/>
      <c r="D93" s="339"/>
      <c r="E93" s="555"/>
      <c r="F93" s="556"/>
      <c r="G93" s="556"/>
      <c r="H93" s="556"/>
      <c r="I93" s="560"/>
      <c r="J93" s="483"/>
      <c r="K93" s="484"/>
      <c r="L93" s="484"/>
      <c r="M93" s="484"/>
      <c r="N93" s="484"/>
      <c r="O93" s="484"/>
      <c r="P93" s="484"/>
      <c r="Q93" s="484"/>
      <c r="R93" s="484"/>
      <c r="S93" s="485"/>
      <c r="T93" s="483"/>
      <c r="U93" s="484"/>
      <c r="V93" s="484"/>
      <c r="W93" s="484"/>
      <c r="X93" s="484"/>
      <c r="Y93" s="484"/>
      <c r="Z93" s="484"/>
      <c r="AA93" s="484"/>
      <c r="AB93" s="484"/>
      <c r="AC93" s="485"/>
      <c r="AD93" s="491"/>
      <c r="AE93" s="489"/>
      <c r="AF93" s="489"/>
      <c r="AG93" s="489"/>
      <c r="AH93" s="489"/>
      <c r="AI93" s="489"/>
      <c r="AJ93" s="489"/>
      <c r="AK93" s="489"/>
      <c r="AL93" s="489"/>
      <c r="AM93" s="490"/>
      <c r="AN93" s="494"/>
      <c r="AO93" s="492"/>
      <c r="AP93" s="492"/>
      <c r="AQ93" s="492"/>
      <c r="AR93" s="492"/>
      <c r="AS93" s="492"/>
      <c r="AT93" s="492"/>
      <c r="AU93" s="492"/>
      <c r="AV93" s="492"/>
      <c r="AW93" s="493"/>
      <c r="AX93" s="488"/>
      <c r="AY93" s="486"/>
      <c r="AZ93" s="486"/>
      <c r="BA93" s="486"/>
      <c r="BB93" s="486"/>
      <c r="BC93" s="486"/>
      <c r="BD93" s="486"/>
      <c r="BE93" s="486"/>
      <c r="BF93" s="486"/>
      <c r="BG93" s="487"/>
      <c r="BH93" s="55"/>
      <c r="BI93" s="547"/>
      <c r="BJ93" s="548"/>
      <c r="BK93" s="548"/>
      <c r="BL93" s="548"/>
      <c r="BM93" s="548"/>
      <c r="BN93" s="549"/>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row>
    <row r="94" spans="1:100" ht="15" customHeight="1" x14ac:dyDescent="0.25">
      <c r="A94" s="55"/>
      <c r="B94" s="338"/>
      <c r="C94" s="338"/>
      <c r="D94" s="339"/>
      <c r="E94" s="555"/>
      <c r="F94" s="556"/>
      <c r="G94" s="556"/>
      <c r="H94" s="556"/>
      <c r="I94" s="560"/>
      <c r="J94" s="483" t="str">
        <f ca="1">IF(AND('Mapa final'!$K$64="Muy Baja",'Mapa final'!$O$64="Leve"),CONCATENATE("R",'Mapa final'!$A$64),"")</f>
        <v/>
      </c>
      <c r="K94" s="484"/>
      <c r="L94" s="484" t="str">
        <f ca="1">IF(AND('Mapa final'!$K$67="Muy Baja",'Mapa final'!$O$67="Leve"),CONCATENATE("R",'Mapa final'!$A$67),"")</f>
        <v/>
      </c>
      <c r="M94" s="484"/>
      <c r="N94" s="484" t="str">
        <f ca="1">IF(AND('Mapa final'!$K$73="Muy Baja",'Mapa final'!$O$73="Leve"),CONCATENATE("R",'Mapa final'!$A$73),"")</f>
        <v/>
      </c>
      <c r="O94" s="484"/>
      <c r="P94" s="484" t="str">
        <f ca="1">IF(AND('Mapa final'!$K$76="Muy Baja",'Mapa final'!$O$76="Leve"),CONCATENATE("R",'Mapa final'!$A$76),"")</f>
        <v/>
      </c>
      <c r="Q94" s="484"/>
      <c r="R94" s="484" t="str">
        <f ca="1">IF(AND('Mapa final'!$K$79="Muy Baja",'Mapa final'!$O$79="Leve"),CONCATENATE("R",'Mapa final'!$A$79),"")</f>
        <v/>
      </c>
      <c r="S94" s="485"/>
      <c r="T94" s="483" t="str">
        <f ca="1">IF(AND('Mapa final'!$K$64="Muy Baja",'Mapa final'!$O$64="Menor"),CONCATENATE("R",'Mapa final'!$A$64),"")</f>
        <v/>
      </c>
      <c r="U94" s="484"/>
      <c r="V94" s="484" t="str">
        <f ca="1">IF(AND('Mapa final'!$K$67="Muy Baja",'Mapa final'!$O$67="Menor"),CONCATENATE("R",'Mapa final'!$A$67),"")</f>
        <v/>
      </c>
      <c r="W94" s="484"/>
      <c r="X94" s="484" t="str">
        <f ca="1">IF(AND('Mapa final'!$K$73="Muy Baja",'Mapa final'!$O$73="Menor"),CONCATENATE("R",'Mapa final'!$A$73),"")</f>
        <v/>
      </c>
      <c r="Y94" s="484"/>
      <c r="Z94" s="484" t="str">
        <f ca="1">IF(AND('Mapa final'!$K$76="Muy Baja",'Mapa final'!$O$76="Menor"),CONCATENATE("R",'Mapa final'!$A$76),"")</f>
        <v/>
      </c>
      <c r="AA94" s="484"/>
      <c r="AB94" s="484" t="str">
        <f ca="1">IF(AND('Mapa final'!$K$79="Muy Baja",'Mapa final'!$O$79="Menor"),CONCATENATE("R",'Mapa final'!$A$79),"")</f>
        <v/>
      </c>
      <c r="AC94" s="485"/>
      <c r="AD94" s="491" t="str">
        <f ca="1">IF(AND('Mapa final'!$K$64="Muy Baja",'Mapa final'!$O$64="Moderado"),CONCATENATE("R",'Mapa final'!$A$64),"")</f>
        <v/>
      </c>
      <c r="AE94" s="489"/>
      <c r="AF94" s="489" t="str">
        <f ca="1">IF(AND('Mapa final'!$K$67="Muy Baja",'Mapa final'!$O$67="Moderado"),CONCATENATE("R",'Mapa final'!$A$67),"")</f>
        <v/>
      </c>
      <c r="AG94" s="489"/>
      <c r="AH94" s="489" t="str">
        <f ca="1">IF(AND('Mapa final'!$K$73="Muy Baja",'Mapa final'!$O$73="Moderado"),CONCATENATE("R",'Mapa final'!$A$73),"")</f>
        <v/>
      </c>
      <c r="AI94" s="489"/>
      <c r="AJ94" s="489" t="str">
        <f ca="1">IF(AND('Mapa final'!$K$76="Muy Baja",'Mapa final'!$O$76="Moderado"),CONCATENATE("R",'Mapa final'!$A$76),"")</f>
        <v/>
      </c>
      <c r="AK94" s="489"/>
      <c r="AL94" s="489" t="str">
        <f ca="1">IF(AND('Mapa final'!$K$79="Muy Baja",'Mapa final'!$O$79="Moderado"),CONCATENATE("R",'Mapa final'!$A$79),"")</f>
        <v/>
      </c>
      <c r="AM94" s="490"/>
      <c r="AN94" s="494" t="str">
        <f ca="1">IF(AND('Mapa final'!$K$64="Muy Baja",'Mapa final'!$O$64="Mayor"),CONCATENATE("R",'Mapa final'!$A$64),"")</f>
        <v/>
      </c>
      <c r="AO94" s="492"/>
      <c r="AP94" s="492" t="str">
        <f ca="1">IF(AND('Mapa final'!$K$67="Muy Baja",'Mapa final'!$O$67="Mayor"),CONCATENATE("R",'Mapa final'!$A$67),"")</f>
        <v/>
      </c>
      <c r="AQ94" s="492"/>
      <c r="AR94" s="492" t="str">
        <f ca="1">IF(AND('Mapa final'!$K$73="Muy Baja",'Mapa final'!$O$73="Mayor"),CONCATENATE("R",'Mapa final'!$A$73),"")</f>
        <v/>
      </c>
      <c r="AS94" s="492"/>
      <c r="AT94" s="492" t="str">
        <f ca="1">IF(AND('Mapa final'!$K$76="Muy Baja",'Mapa final'!$O$76="Mayor"),CONCATENATE("R",'Mapa final'!$A$76),"")</f>
        <v/>
      </c>
      <c r="AU94" s="492"/>
      <c r="AV94" s="492" t="str">
        <f ca="1">IF(AND('Mapa final'!$K$79="Muy Baja",'Mapa final'!$O$79="Mayor"),CONCATENATE("R",'Mapa final'!$A$79),"")</f>
        <v/>
      </c>
      <c r="AW94" s="493"/>
      <c r="AX94" s="488" t="str">
        <f ca="1">IF(AND('Mapa final'!$K$64="Muy Baja",'Mapa final'!$O$64="Catastrófico"),CONCATENATE("R",'Mapa final'!$A$64),"")</f>
        <v/>
      </c>
      <c r="AY94" s="486"/>
      <c r="AZ94" s="486" t="str">
        <f ca="1">IF(AND('Mapa final'!$K$67="Muy Baja",'Mapa final'!$O$67="Catastrófico"),CONCATENATE("R",'Mapa final'!$A$67),"")</f>
        <v/>
      </c>
      <c r="BA94" s="486"/>
      <c r="BB94" s="486" t="str">
        <f ca="1">IF(AND('Mapa final'!$K$73="Muy Baja",'Mapa final'!$O$73="Catastrófico"),CONCATENATE("R",'Mapa final'!$A$73),"")</f>
        <v/>
      </c>
      <c r="BC94" s="486"/>
      <c r="BD94" s="486" t="str">
        <f ca="1">IF(AND('Mapa final'!$K$76="Muy Baja",'Mapa final'!$O$76="Catastrófico"),CONCATENATE("R",'Mapa final'!$A$76),"")</f>
        <v/>
      </c>
      <c r="BE94" s="486"/>
      <c r="BF94" s="486" t="str">
        <f ca="1">IF(AND('Mapa final'!$K$79="Muy Baja",'Mapa final'!$O$79="Catastrófico"),CONCATENATE("R",'Mapa final'!$A$79),"")</f>
        <v/>
      </c>
      <c r="BG94" s="487"/>
      <c r="BH94" s="55"/>
      <c r="BI94" s="547"/>
      <c r="BJ94" s="548"/>
      <c r="BK94" s="548"/>
      <c r="BL94" s="548"/>
      <c r="BM94" s="548"/>
      <c r="BN94" s="549"/>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row>
    <row r="95" spans="1:100" ht="15" customHeight="1" x14ac:dyDescent="0.25">
      <c r="A95" s="55"/>
      <c r="B95" s="338"/>
      <c r="C95" s="338"/>
      <c r="D95" s="339"/>
      <c r="E95" s="555"/>
      <c r="F95" s="556"/>
      <c r="G95" s="556"/>
      <c r="H95" s="556"/>
      <c r="I95" s="560"/>
      <c r="J95" s="483"/>
      <c r="K95" s="484"/>
      <c r="L95" s="484"/>
      <c r="M95" s="484"/>
      <c r="N95" s="484"/>
      <c r="O95" s="484"/>
      <c r="P95" s="484"/>
      <c r="Q95" s="484"/>
      <c r="R95" s="484"/>
      <c r="S95" s="485"/>
      <c r="T95" s="483"/>
      <c r="U95" s="484"/>
      <c r="V95" s="484"/>
      <c r="W95" s="484"/>
      <c r="X95" s="484"/>
      <c r="Y95" s="484"/>
      <c r="Z95" s="484"/>
      <c r="AA95" s="484"/>
      <c r="AB95" s="484"/>
      <c r="AC95" s="485"/>
      <c r="AD95" s="491"/>
      <c r="AE95" s="489"/>
      <c r="AF95" s="489"/>
      <c r="AG95" s="489"/>
      <c r="AH95" s="489"/>
      <c r="AI95" s="489"/>
      <c r="AJ95" s="489"/>
      <c r="AK95" s="489"/>
      <c r="AL95" s="489"/>
      <c r="AM95" s="490"/>
      <c r="AN95" s="494"/>
      <c r="AO95" s="492"/>
      <c r="AP95" s="492"/>
      <c r="AQ95" s="492"/>
      <c r="AR95" s="492"/>
      <c r="AS95" s="492"/>
      <c r="AT95" s="492"/>
      <c r="AU95" s="492"/>
      <c r="AV95" s="492"/>
      <c r="AW95" s="493"/>
      <c r="AX95" s="488"/>
      <c r="AY95" s="486"/>
      <c r="AZ95" s="486"/>
      <c r="BA95" s="486"/>
      <c r="BB95" s="486"/>
      <c r="BC95" s="486"/>
      <c r="BD95" s="486"/>
      <c r="BE95" s="486"/>
      <c r="BF95" s="486"/>
      <c r="BG95" s="487"/>
      <c r="BH95" s="55"/>
      <c r="BI95" s="547"/>
      <c r="BJ95" s="548"/>
      <c r="BK95" s="548"/>
      <c r="BL95" s="548"/>
      <c r="BM95" s="548"/>
      <c r="BN95" s="549"/>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c r="CT95" s="55"/>
      <c r="CU95" s="55"/>
      <c r="CV95" s="55"/>
    </row>
    <row r="96" spans="1:100" ht="15" customHeight="1" x14ac:dyDescent="0.25">
      <c r="A96" s="55"/>
      <c r="B96" s="338"/>
      <c r="C96" s="338"/>
      <c r="D96" s="339"/>
      <c r="E96" s="555"/>
      <c r="F96" s="556"/>
      <c r="G96" s="556"/>
      <c r="H96" s="556"/>
      <c r="I96" s="560"/>
      <c r="J96" s="483" t="str">
        <f ca="1">IF(AND('Mapa final'!$K$82="Muy Baja",'Mapa final'!$O$82="Leve"),CONCATENATE("R",'Mapa final'!$A$82),"")</f>
        <v/>
      </c>
      <c r="K96" s="484"/>
      <c r="L96" s="484" t="str">
        <f ca="1">IF(AND('Mapa final'!$K$85="Muy Baja",'Mapa final'!$O$85="Leve"),CONCATENATE("R",'Mapa final'!$A$85),"")</f>
        <v/>
      </c>
      <c r="M96" s="484"/>
      <c r="N96" s="484" t="str">
        <f ca="1">IF(AND('Mapa final'!$K$88="Muy Baja",'Mapa final'!$O$88="Leve"),CONCATENATE("R",'Mapa final'!$A$88),"")</f>
        <v/>
      </c>
      <c r="O96" s="484"/>
      <c r="P96" s="484" t="str">
        <f ca="1">IF(AND('Mapa final'!$K$91="Muy Baja",'Mapa final'!$O$91="Leve"),CONCATENATE("R",'Mapa final'!$A$91),"")</f>
        <v/>
      </c>
      <c r="Q96" s="484"/>
      <c r="R96" s="484" t="str">
        <f ca="1">IF(AND('Mapa final'!$K$94="Muy Baja",'Mapa final'!$O$94="Leve"),CONCATENATE("R",'Mapa final'!$A$94),"")</f>
        <v/>
      </c>
      <c r="S96" s="485"/>
      <c r="T96" s="483" t="str">
        <f ca="1">IF(AND('Mapa final'!$K$82="Muy Baja",'Mapa final'!$O$82="Menor"),CONCATENATE("R",'Mapa final'!$A$82),"")</f>
        <v/>
      </c>
      <c r="U96" s="484"/>
      <c r="V96" s="484" t="str">
        <f ca="1">IF(AND('Mapa final'!$K$85="Muy Baja",'Mapa final'!$O$85="Menor"),CONCATENATE("R",'Mapa final'!$A$85),"")</f>
        <v/>
      </c>
      <c r="W96" s="484"/>
      <c r="X96" s="484" t="str">
        <f ca="1">IF(AND('Mapa final'!$K$88="Muy Baja",'Mapa final'!$O$88="Menor"),CONCATENATE("R",'Mapa final'!$A$88),"")</f>
        <v/>
      </c>
      <c r="Y96" s="484"/>
      <c r="Z96" s="484" t="str">
        <f ca="1">IF(AND('Mapa final'!$K$91="Muy Baja",'Mapa final'!$O$91="Menor"),CONCATENATE("R",'Mapa final'!$A$91),"")</f>
        <v/>
      </c>
      <c r="AA96" s="484"/>
      <c r="AB96" s="484" t="str">
        <f ca="1">IF(AND('Mapa final'!$K$94="Muy Baja",'Mapa final'!$O$94="Menor"),CONCATENATE("R",'Mapa final'!$A$94),"")</f>
        <v/>
      </c>
      <c r="AC96" s="485"/>
      <c r="AD96" s="491" t="str">
        <f ca="1">IF(AND('Mapa final'!$K$82="Muy Baja",'Mapa final'!$O$82="Moderado"),CONCATENATE("R",'Mapa final'!$A$82),"")</f>
        <v>R26</v>
      </c>
      <c r="AE96" s="489"/>
      <c r="AF96" s="489" t="str">
        <f ca="1">IF(AND('Mapa final'!$K$85="Muy Baja",'Mapa final'!$O$85="Moderado"),CONCATENATE("R",'Mapa final'!$A$85),"")</f>
        <v/>
      </c>
      <c r="AG96" s="489"/>
      <c r="AH96" s="489" t="str">
        <f ca="1">IF(AND('Mapa final'!$K$88="Muy Baja",'Mapa final'!$O$88="Moderado"),CONCATENATE("R",'Mapa final'!$A$88),"")</f>
        <v/>
      </c>
      <c r="AI96" s="489"/>
      <c r="AJ96" s="489" t="str">
        <f ca="1">IF(AND('Mapa final'!$K$91="Muy Baja",'Mapa final'!$O$91="Moderado"),CONCATENATE("R",'Mapa final'!$A$91),"")</f>
        <v/>
      </c>
      <c r="AK96" s="489"/>
      <c r="AL96" s="489" t="str">
        <f ca="1">IF(AND('Mapa final'!$K$94="Muy Baja",'Mapa final'!$O$94="Moderado"),CONCATENATE("R",'Mapa final'!$A$94),"")</f>
        <v/>
      </c>
      <c r="AM96" s="490"/>
      <c r="AN96" s="494" t="str">
        <f ca="1">IF(AND('Mapa final'!$K$82="Muy Baja",'Mapa final'!$O$82="Mayor"),CONCATENATE("R",'Mapa final'!$A$82),"")</f>
        <v/>
      </c>
      <c r="AO96" s="492"/>
      <c r="AP96" s="492" t="str">
        <f ca="1">IF(AND('Mapa final'!$K$85="Muy Baja",'Mapa final'!$O$85="Mayor"),CONCATENATE("R",'Mapa final'!$A$85),"")</f>
        <v/>
      </c>
      <c r="AQ96" s="492"/>
      <c r="AR96" s="492" t="str">
        <f ca="1">IF(AND('Mapa final'!$K$88="Muy Baja",'Mapa final'!$O$88="Mayor"),CONCATENATE("R",'Mapa final'!$A$88),"")</f>
        <v/>
      </c>
      <c r="AS96" s="492"/>
      <c r="AT96" s="492" t="str">
        <f ca="1">IF(AND('Mapa final'!$K$91="Muy Baja",'Mapa final'!$O$91="Mayor"),CONCATENATE("R",'Mapa final'!$A$91),"")</f>
        <v/>
      </c>
      <c r="AU96" s="492"/>
      <c r="AV96" s="492" t="str">
        <f ca="1">IF(AND('Mapa final'!$K$94="Muy Baja",'Mapa final'!$O$94="Mayor"),CONCATENATE("R",'Mapa final'!$A$94),"")</f>
        <v/>
      </c>
      <c r="AW96" s="493"/>
      <c r="AX96" s="488" t="str">
        <f ca="1">IF(AND('Mapa final'!$K$82="Muy Baja",'Mapa final'!$O$82="Catastrófico"),CONCATENATE("R",'Mapa final'!$A$82),"")</f>
        <v/>
      </c>
      <c r="AY96" s="486"/>
      <c r="AZ96" s="486" t="str">
        <f ca="1">IF(AND('Mapa final'!$K$85="Muy Baja",'Mapa final'!$O$85="Catastrófico"),CONCATENATE("R",'Mapa final'!$A$85),"")</f>
        <v/>
      </c>
      <c r="BA96" s="486"/>
      <c r="BB96" s="486" t="str">
        <f ca="1">IF(AND('Mapa final'!$K$88="Muy Baja",'Mapa final'!$O$88="Catastrófico"),CONCATENATE("R",'Mapa final'!$A$88),"")</f>
        <v/>
      </c>
      <c r="BC96" s="486"/>
      <c r="BD96" s="486" t="str">
        <f ca="1">IF(AND('Mapa final'!$K$91="Muy Baja",'Mapa final'!$O$91="Catastrófico"),CONCATENATE("R",'Mapa final'!$A$91),"")</f>
        <v/>
      </c>
      <c r="BE96" s="486"/>
      <c r="BF96" s="486" t="str">
        <f ca="1">IF(AND('Mapa final'!$K$94="Muy Baja",'Mapa final'!$O$94="Catastrófico"),CONCATENATE("R",'Mapa final'!$A$94),"")</f>
        <v/>
      </c>
      <c r="BG96" s="487"/>
      <c r="BH96" s="55"/>
      <c r="BI96" s="547"/>
      <c r="BJ96" s="548"/>
      <c r="BK96" s="548"/>
      <c r="BL96" s="548"/>
      <c r="BM96" s="548"/>
      <c r="BN96" s="549"/>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row>
    <row r="97" spans="1:100" ht="15" customHeight="1" thickBot="1" x14ac:dyDescent="0.3">
      <c r="A97" s="55"/>
      <c r="B97" s="338"/>
      <c r="C97" s="338"/>
      <c r="D97" s="339"/>
      <c r="E97" s="555"/>
      <c r="F97" s="556"/>
      <c r="G97" s="556"/>
      <c r="H97" s="556"/>
      <c r="I97" s="560"/>
      <c r="J97" s="483"/>
      <c r="K97" s="484"/>
      <c r="L97" s="484"/>
      <c r="M97" s="484"/>
      <c r="N97" s="484"/>
      <c r="O97" s="484"/>
      <c r="P97" s="484"/>
      <c r="Q97" s="484"/>
      <c r="R97" s="484"/>
      <c r="S97" s="485"/>
      <c r="T97" s="483"/>
      <c r="U97" s="484"/>
      <c r="V97" s="484"/>
      <c r="W97" s="484"/>
      <c r="X97" s="484"/>
      <c r="Y97" s="484"/>
      <c r="Z97" s="484"/>
      <c r="AA97" s="484"/>
      <c r="AB97" s="484"/>
      <c r="AC97" s="485"/>
      <c r="AD97" s="491"/>
      <c r="AE97" s="489"/>
      <c r="AF97" s="489"/>
      <c r="AG97" s="489"/>
      <c r="AH97" s="489"/>
      <c r="AI97" s="489"/>
      <c r="AJ97" s="489"/>
      <c r="AK97" s="489"/>
      <c r="AL97" s="489"/>
      <c r="AM97" s="490"/>
      <c r="AN97" s="494"/>
      <c r="AO97" s="492"/>
      <c r="AP97" s="492"/>
      <c r="AQ97" s="492"/>
      <c r="AR97" s="492"/>
      <c r="AS97" s="492"/>
      <c r="AT97" s="492"/>
      <c r="AU97" s="492"/>
      <c r="AV97" s="492"/>
      <c r="AW97" s="493"/>
      <c r="AX97" s="488"/>
      <c r="AY97" s="486"/>
      <c r="AZ97" s="486"/>
      <c r="BA97" s="486"/>
      <c r="BB97" s="486"/>
      <c r="BC97" s="486"/>
      <c r="BD97" s="486"/>
      <c r="BE97" s="486"/>
      <c r="BF97" s="486"/>
      <c r="BG97" s="487"/>
      <c r="BH97" s="55"/>
      <c r="BI97" s="550"/>
      <c r="BJ97" s="551"/>
      <c r="BK97" s="551"/>
      <c r="BL97" s="551"/>
      <c r="BM97" s="551"/>
      <c r="BN97" s="552"/>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c r="CT97" s="55"/>
      <c r="CU97" s="55"/>
      <c r="CV97" s="55"/>
    </row>
    <row r="98" spans="1:100" ht="15" customHeight="1" x14ac:dyDescent="0.25">
      <c r="A98" s="55"/>
      <c r="B98" s="338"/>
      <c r="C98" s="338"/>
      <c r="D98" s="339"/>
      <c r="E98" s="555"/>
      <c r="F98" s="556"/>
      <c r="G98" s="556"/>
      <c r="H98" s="556"/>
      <c r="I98" s="560"/>
      <c r="J98" s="483" t="str">
        <f ca="1">IF(AND('Mapa final'!$K$97="Muy Baja",'Mapa final'!$O$97="Leve"),CONCATENATE("R",'Mapa final'!$A$97),"")</f>
        <v/>
      </c>
      <c r="K98" s="484"/>
      <c r="L98" s="484" t="str">
        <f ca="1">IF(AND('Mapa final'!$K$100="Muy Baja",'Mapa final'!$O$100="Leve"),CONCATENATE("R",'Mapa final'!$A$100),"")</f>
        <v/>
      </c>
      <c r="M98" s="484"/>
      <c r="N98" s="484" t="str">
        <f>IF(AND('Mapa final'!$K$103="Muy Baja",'Mapa final'!$O$103="Leve"),CONCATENATE("R",'Mapa final'!$A$103),"")</f>
        <v/>
      </c>
      <c r="O98" s="484"/>
      <c r="P98" s="484" t="str">
        <f ca="1">IF(AND('Mapa final'!$K$106="Muy Baja",'Mapa final'!$O$106="Leve"),CONCATENATE("R",'Mapa final'!$A$106),"")</f>
        <v/>
      </c>
      <c r="Q98" s="484"/>
      <c r="R98" s="484" t="str">
        <f ca="1">IF(AND('Mapa final'!$K$109="Muy Baja",'Mapa final'!$O$109="Leve"),CONCATENATE("R",'Mapa final'!$A$109),"")</f>
        <v/>
      </c>
      <c r="S98" s="485"/>
      <c r="T98" s="483" t="str">
        <f ca="1">IF(AND('Mapa final'!$K$97="Muy Baja",'Mapa final'!$O$97="Menor"),CONCATENATE("R",'Mapa final'!$A$97),"")</f>
        <v/>
      </c>
      <c r="U98" s="484"/>
      <c r="V98" s="484" t="str">
        <f ca="1">IF(AND('Mapa final'!$K$100="Muy Baja",'Mapa final'!$O$100="Menor"),CONCATENATE("R",'Mapa final'!$A$100),"")</f>
        <v/>
      </c>
      <c r="W98" s="484"/>
      <c r="X98" s="484" t="str">
        <f>IF(AND('Mapa final'!$K$103="Muy Baja",'Mapa final'!$O$103="Menor"),CONCATENATE("R",'Mapa final'!$A$103),"")</f>
        <v/>
      </c>
      <c r="Y98" s="484"/>
      <c r="Z98" s="484" t="str">
        <f ca="1">IF(AND('Mapa final'!$K$106="Muy Baja",'Mapa final'!$O$106="Menor"),CONCATENATE("R",'Mapa final'!$A$106),"")</f>
        <v/>
      </c>
      <c r="AA98" s="484"/>
      <c r="AB98" s="484" t="str">
        <f ca="1">IF(AND('Mapa final'!$K$109="Muy Baja",'Mapa final'!$O$109="Menor"),CONCATENATE("R",'Mapa final'!$A$109),"")</f>
        <v/>
      </c>
      <c r="AC98" s="485"/>
      <c r="AD98" s="491" t="str">
        <f ca="1">IF(AND('Mapa final'!$K$97="Muy Baja",'Mapa final'!$O$97="Moderado"),CONCATENATE("R",'Mapa final'!$A$97),"")</f>
        <v/>
      </c>
      <c r="AE98" s="489"/>
      <c r="AF98" s="489" t="str">
        <f ca="1">IF(AND('Mapa final'!$K$100="Muy Baja",'Mapa final'!$O$100="Moderado"),CONCATENATE("R",'Mapa final'!$A$100),"")</f>
        <v/>
      </c>
      <c r="AG98" s="489"/>
      <c r="AH98" s="489" t="str">
        <f>IF(AND('Mapa final'!$K$103="Muy Baja",'Mapa final'!$O$103="Moderado"),CONCATENATE("R",'Mapa final'!$A$103),"")</f>
        <v/>
      </c>
      <c r="AI98" s="489"/>
      <c r="AJ98" s="489" t="str">
        <f ca="1">IF(AND('Mapa final'!$K$106="Muy Baja",'Mapa final'!$O$106="Moderado"),CONCATENATE("R",'Mapa final'!$A$106),"")</f>
        <v/>
      </c>
      <c r="AK98" s="489"/>
      <c r="AL98" s="489" t="str">
        <f ca="1">IF(AND('Mapa final'!$K$109="Muy Baja",'Mapa final'!$O$109="Moderado"),CONCATENATE("R",'Mapa final'!$A$109),"")</f>
        <v/>
      </c>
      <c r="AM98" s="490"/>
      <c r="AN98" s="494" t="str">
        <f ca="1">IF(AND('Mapa final'!$K$97="Muy Baja",'Mapa final'!$O$97="Mayor"),CONCATENATE("R",'Mapa final'!$A$97),"")</f>
        <v/>
      </c>
      <c r="AO98" s="492"/>
      <c r="AP98" s="492" t="str">
        <f ca="1">IF(AND('Mapa final'!$K$100="Muy Baja",'Mapa final'!$O$100="Mayor"),CONCATENATE("R",'Mapa final'!$A$100),"")</f>
        <v/>
      </c>
      <c r="AQ98" s="492"/>
      <c r="AR98" s="492" t="str">
        <f>IF(AND('Mapa final'!$K$103="Muy Baja",'Mapa final'!$O$103="Mayor"),CONCATENATE("R",'Mapa final'!$A$103),"")</f>
        <v/>
      </c>
      <c r="AS98" s="492"/>
      <c r="AT98" s="492" t="str">
        <f ca="1">IF(AND('Mapa final'!$K$106="Muy Baja",'Mapa final'!$O$106="Mayor"),CONCATENATE("R",'Mapa final'!$A$106),"")</f>
        <v/>
      </c>
      <c r="AU98" s="492"/>
      <c r="AV98" s="492" t="str">
        <f ca="1">IF(AND('Mapa final'!$K$109="Muy Baja",'Mapa final'!$O$109="Mayor"),CONCATENATE("R",'Mapa final'!$A$109),"")</f>
        <v/>
      </c>
      <c r="AW98" s="493"/>
      <c r="AX98" s="488" t="str">
        <f ca="1">IF(AND('Mapa final'!$K$97="Muy Baja",'Mapa final'!$O$97="Catastrófico"),CONCATENATE("R",'Mapa final'!$A$97),"")</f>
        <v/>
      </c>
      <c r="AY98" s="486"/>
      <c r="AZ98" s="486" t="str">
        <f ca="1">IF(AND('Mapa final'!$K$100="Muy Baja",'Mapa final'!$O$100="Catastrófico"),CONCATENATE("R",'Mapa final'!$A$100),"")</f>
        <v/>
      </c>
      <c r="BA98" s="486"/>
      <c r="BB98" s="486" t="str">
        <f>IF(AND('Mapa final'!$K$103="Muy Baja",'Mapa final'!$O$103="Catastrófico"),CONCATENATE("R",'Mapa final'!$A$103),"")</f>
        <v/>
      </c>
      <c r="BC98" s="486"/>
      <c r="BD98" s="486" t="str">
        <f ca="1">IF(AND('Mapa final'!$K$106="Muy Baja",'Mapa final'!$O$106="Catastrófico"),CONCATENATE("R",'Mapa final'!$A$106),"")</f>
        <v/>
      </c>
      <c r="BE98" s="486"/>
      <c r="BF98" s="486" t="str">
        <f ca="1">IF(AND('Mapa final'!$K$109="Muy Baja",'Mapa final'!$O$109="Catastrófico"),CONCATENATE("R",'Mapa final'!$A$109),"")</f>
        <v/>
      </c>
      <c r="BG98" s="487"/>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row>
    <row r="99" spans="1:100" ht="15" customHeight="1" x14ac:dyDescent="0.25">
      <c r="A99" s="55"/>
      <c r="B99" s="338"/>
      <c r="C99" s="338"/>
      <c r="D99" s="339"/>
      <c r="E99" s="555"/>
      <c r="F99" s="556"/>
      <c r="G99" s="556"/>
      <c r="H99" s="556"/>
      <c r="I99" s="560"/>
      <c r="J99" s="483"/>
      <c r="K99" s="484"/>
      <c r="L99" s="484"/>
      <c r="M99" s="484"/>
      <c r="N99" s="484"/>
      <c r="O99" s="484"/>
      <c r="P99" s="484"/>
      <c r="Q99" s="484"/>
      <c r="R99" s="484"/>
      <c r="S99" s="485"/>
      <c r="T99" s="483"/>
      <c r="U99" s="484"/>
      <c r="V99" s="484"/>
      <c r="W99" s="484"/>
      <c r="X99" s="484"/>
      <c r="Y99" s="484"/>
      <c r="Z99" s="484"/>
      <c r="AA99" s="484"/>
      <c r="AB99" s="484"/>
      <c r="AC99" s="485"/>
      <c r="AD99" s="491"/>
      <c r="AE99" s="489"/>
      <c r="AF99" s="489"/>
      <c r="AG99" s="489"/>
      <c r="AH99" s="489"/>
      <c r="AI99" s="489"/>
      <c r="AJ99" s="489"/>
      <c r="AK99" s="489"/>
      <c r="AL99" s="489"/>
      <c r="AM99" s="490"/>
      <c r="AN99" s="494"/>
      <c r="AO99" s="492"/>
      <c r="AP99" s="492"/>
      <c r="AQ99" s="492"/>
      <c r="AR99" s="492"/>
      <c r="AS99" s="492"/>
      <c r="AT99" s="492"/>
      <c r="AU99" s="492"/>
      <c r="AV99" s="492"/>
      <c r="AW99" s="493"/>
      <c r="AX99" s="488"/>
      <c r="AY99" s="486"/>
      <c r="AZ99" s="486"/>
      <c r="BA99" s="486"/>
      <c r="BB99" s="486"/>
      <c r="BC99" s="486"/>
      <c r="BD99" s="486"/>
      <c r="BE99" s="486"/>
      <c r="BF99" s="486"/>
      <c r="BG99" s="487"/>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c r="CT99" s="55"/>
      <c r="CU99" s="55"/>
      <c r="CV99" s="55"/>
    </row>
    <row r="100" spans="1:100" ht="15" customHeight="1" x14ac:dyDescent="0.25">
      <c r="A100" s="55"/>
      <c r="B100" s="338"/>
      <c r="C100" s="338"/>
      <c r="D100" s="339"/>
      <c r="E100" s="555"/>
      <c r="F100" s="556"/>
      <c r="G100" s="556"/>
      <c r="H100" s="556"/>
      <c r="I100" s="560"/>
      <c r="J100" s="483" t="str">
        <f ca="1">IF(AND('Mapa final'!$K$112="Muy Baja",'Mapa final'!$O$112="Leve"),CONCATENATE("R",'Mapa final'!$A$112),"")</f>
        <v/>
      </c>
      <c r="K100" s="484"/>
      <c r="L100" s="484" t="str">
        <f ca="1">IF(AND('Mapa final'!$K$115="Muy Baja",'Mapa final'!$O$115="Leve"),CONCATENATE("R",'Mapa final'!$A$115),"")</f>
        <v/>
      </c>
      <c r="M100" s="484"/>
      <c r="N100" s="484" t="str">
        <f ca="1">IF(AND('Mapa final'!$K$118="Muy Baja",'Mapa final'!$O$118="Leve"),CONCATENATE("R",'Mapa final'!$A$118),"")</f>
        <v/>
      </c>
      <c r="O100" s="484"/>
      <c r="P100" s="484" t="str">
        <f ca="1">IF(AND('Mapa final'!$K$121="Muy Baja",'Mapa final'!$O$121="Leve"),CONCATENATE("R",'Mapa final'!$A$121),"")</f>
        <v/>
      </c>
      <c r="Q100" s="484"/>
      <c r="R100" s="484" t="str">
        <f ca="1">IF(AND('Mapa final'!$K$124="Muy Baja",'Mapa final'!$O$124="Leve"),CONCATENATE("R",'Mapa final'!$A$124),"")</f>
        <v/>
      </c>
      <c r="S100" s="485"/>
      <c r="T100" s="483" t="str">
        <f ca="1">IF(AND('Mapa final'!$K$112="Muy Baja",'Mapa final'!$O$112="Menor"),CONCATENATE("R",'Mapa final'!$A$112),"")</f>
        <v/>
      </c>
      <c r="U100" s="484"/>
      <c r="V100" s="484" t="str">
        <f ca="1">IF(AND('Mapa final'!$K$115="Muy Baja",'Mapa final'!$O$115="Menor"),CONCATENATE("R",'Mapa final'!$A$115),"")</f>
        <v/>
      </c>
      <c r="W100" s="484"/>
      <c r="X100" s="484" t="str">
        <f ca="1">IF(AND('Mapa final'!$K$118="Muy Baja",'Mapa final'!$O$118="Menor"),CONCATENATE("R",'Mapa final'!$A$118),"")</f>
        <v/>
      </c>
      <c r="Y100" s="484"/>
      <c r="Z100" s="484" t="str">
        <f ca="1">IF(AND('Mapa final'!$K$121="Muy Baja",'Mapa final'!$O$121="Menor"),CONCATENATE("R",'Mapa final'!$A$121),"")</f>
        <v/>
      </c>
      <c r="AA100" s="484"/>
      <c r="AB100" s="484" t="str">
        <f ca="1">IF(AND('Mapa final'!$K$124="Muy Baja",'Mapa final'!$O$124="Menor"),CONCATENATE("R",'Mapa final'!$A$124),"")</f>
        <v/>
      </c>
      <c r="AC100" s="485"/>
      <c r="AD100" s="491" t="str">
        <f ca="1">IF(AND('Mapa final'!$K$112="Muy Baja",'Mapa final'!$O$112="Moderado"),CONCATENATE("R",'Mapa final'!$A$112),"")</f>
        <v/>
      </c>
      <c r="AE100" s="489"/>
      <c r="AF100" s="489" t="str">
        <f ca="1">IF(AND('Mapa final'!$K$115="Muy Baja",'Mapa final'!$O$115="Moderado"),CONCATENATE("R",'Mapa final'!$A$115),"")</f>
        <v/>
      </c>
      <c r="AG100" s="489"/>
      <c r="AH100" s="489" t="str">
        <f ca="1">IF(AND('Mapa final'!$K$118="Muy Baja",'Mapa final'!$O$118="Moderado"),CONCATENATE("R",'Mapa final'!$A$118),"")</f>
        <v/>
      </c>
      <c r="AI100" s="489"/>
      <c r="AJ100" s="489" t="str">
        <f ca="1">IF(AND('Mapa final'!$K$121="Muy Baja",'Mapa final'!$O$121="Moderado"),CONCATENATE("R",'Mapa final'!$A$121),"")</f>
        <v/>
      </c>
      <c r="AK100" s="489"/>
      <c r="AL100" s="489" t="str">
        <f ca="1">IF(AND('Mapa final'!$K$124="Muy Baja",'Mapa final'!$O$124="Moderado"),CONCATENATE("R",'Mapa final'!$A$124),"")</f>
        <v/>
      </c>
      <c r="AM100" s="490"/>
      <c r="AN100" s="494" t="str">
        <f ca="1">IF(AND('Mapa final'!$K$112="Muy Baja",'Mapa final'!$O$112="Mayor"),CONCATENATE("R",'Mapa final'!$A$112),"")</f>
        <v/>
      </c>
      <c r="AO100" s="492"/>
      <c r="AP100" s="492" t="str">
        <f ca="1">IF(AND('Mapa final'!$K$115="Muy Baja",'Mapa final'!$O$115="Mayor"),CONCATENATE("R",'Mapa final'!$A$115),"")</f>
        <v/>
      </c>
      <c r="AQ100" s="492"/>
      <c r="AR100" s="492" t="str">
        <f ca="1">IF(AND('Mapa final'!$K$118="Muy Baja",'Mapa final'!$O$118="Mayor"),CONCATENATE("R",'Mapa final'!$A$118),"")</f>
        <v/>
      </c>
      <c r="AS100" s="492"/>
      <c r="AT100" s="492" t="str">
        <f ca="1">IF(AND('Mapa final'!$K$121="Muy Baja",'Mapa final'!$O$121="Mayor"),CONCATENATE("R",'Mapa final'!$A$121),"")</f>
        <v/>
      </c>
      <c r="AU100" s="492"/>
      <c r="AV100" s="492" t="str">
        <f ca="1">IF(AND('Mapa final'!$K$124="Muy Baja",'Mapa final'!$O$124="Mayor"),CONCATENATE("R",'Mapa final'!$A$124),"")</f>
        <v/>
      </c>
      <c r="AW100" s="493"/>
      <c r="AX100" s="488" t="str">
        <f ca="1">IF(AND('Mapa final'!$K$112="Muy Baja",'Mapa final'!$O$112="Catastrófico"),CONCATENATE("R",'Mapa final'!$A$112),"")</f>
        <v/>
      </c>
      <c r="AY100" s="486"/>
      <c r="AZ100" s="486" t="str">
        <f ca="1">IF(AND('Mapa final'!$K$115="Muy Baja",'Mapa final'!$O$115="Catastrófico"),CONCATENATE("R",'Mapa final'!$A$115),"")</f>
        <v/>
      </c>
      <c r="BA100" s="486"/>
      <c r="BB100" s="486" t="str">
        <f ca="1">IF(AND('Mapa final'!$K$118="Muy Baja",'Mapa final'!$O$118="Catastrófico"),CONCATENATE("R",'Mapa final'!$A$118),"")</f>
        <v/>
      </c>
      <c r="BC100" s="486"/>
      <c r="BD100" s="486" t="str">
        <f ca="1">IF(AND('Mapa final'!$K$121="Muy Baja",'Mapa final'!$O$121="Catastrófico"),CONCATENATE("R",'Mapa final'!$A$121),"")</f>
        <v/>
      </c>
      <c r="BE100" s="486"/>
      <c r="BF100" s="486" t="str">
        <f ca="1">IF(AND('Mapa final'!$K$124="Muy Baja",'Mapa final'!$O$124="Catastrófico"),CONCATENATE("R",'Mapa final'!$A$124),"")</f>
        <v/>
      </c>
      <c r="BG100" s="487"/>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row>
    <row r="101" spans="1:100" ht="15" customHeight="1" x14ac:dyDescent="0.25">
      <c r="A101" s="55"/>
      <c r="B101" s="338"/>
      <c r="C101" s="338"/>
      <c r="D101" s="339"/>
      <c r="E101" s="555"/>
      <c r="F101" s="556"/>
      <c r="G101" s="556"/>
      <c r="H101" s="556"/>
      <c r="I101" s="560"/>
      <c r="J101" s="483"/>
      <c r="K101" s="484"/>
      <c r="L101" s="484"/>
      <c r="M101" s="484"/>
      <c r="N101" s="484"/>
      <c r="O101" s="484"/>
      <c r="P101" s="484"/>
      <c r="Q101" s="484"/>
      <c r="R101" s="484"/>
      <c r="S101" s="485"/>
      <c r="T101" s="483"/>
      <c r="U101" s="484"/>
      <c r="V101" s="484"/>
      <c r="W101" s="484"/>
      <c r="X101" s="484"/>
      <c r="Y101" s="484"/>
      <c r="Z101" s="484"/>
      <c r="AA101" s="484"/>
      <c r="AB101" s="484"/>
      <c r="AC101" s="485"/>
      <c r="AD101" s="491"/>
      <c r="AE101" s="489"/>
      <c r="AF101" s="489"/>
      <c r="AG101" s="489"/>
      <c r="AH101" s="489"/>
      <c r="AI101" s="489"/>
      <c r="AJ101" s="489"/>
      <c r="AK101" s="489"/>
      <c r="AL101" s="489"/>
      <c r="AM101" s="490"/>
      <c r="AN101" s="494"/>
      <c r="AO101" s="492"/>
      <c r="AP101" s="492"/>
      <c r="AQ101" s="492"/>
      <c r="AR101" s="492"/>
      <c r="AS101" s="492"/>
      <c r="AT101" s="492"/>
      <c r="AU101" s="492"/>
      <c r="AV101" s="492"/>
      <c r="AW101" s="493"/>
      <c r="AX101" s="488"/>
      <c r="AY101" s="486"/>
      <c r="AZ101" s="486"/>
      <c r="BA101" s="486"/>
      <c r="BB101" s="486"/>
      <c r="BC101" s="486"/>
      <c r="BD101" s="486"/>
      <c r="BE101" s="486"/>
      <c r="BF101" s="486"/>
      <c r="BG101" s="487"/>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c r="CT101" s="55"/>
      <c r="CU101" s="55"/>
      <c r="CV101" s="55"/>
    </row>
    <row r="102" spans="1:100" ht="15" customHeight="1" x14ac:dyDescent="0.25">
      <c r="A102" s="55"/>
      <c r="B102" s="338"/>
      <c r="C102" s="338"/>
      <c r="D102" s="339"/>
      <c r="E102" s="555"/>
      <c r="F102" s="556"/>
      <c r="G102" s="556"/>
      <c r="H102" s="556"/>
      <c r="I102" s="560"/>
      <c r="J102" s="483" t="str">
        <f ca="1">IF(AND('Mapa final'!$K$127="Muy Baja",'Mapa final'!$O$127="Leve"),CONCATENATE("R",'Mapa final'!$A$127),"")</f>
        <v/>
      </c>
      <c r="K102" s="484"/>
      <c r="L102" s="484" t="str">
        <f ca="1">IF(AND('Mapa final'!$K$130="Muy Baja",'Mapa final'!$O$130="Leve"),CONCATENATE("R",'Mapa final'!$A$130),"")</f>
        <v/>
      </c>
      <c r="M102" s="484"/>
      <c r="N102" s="484" t="str">
        <f ca="1">IF(AND('Mapa final'!$K$133="Muy Baja",'Mapa final'!$O$133="Leve"),CONCATENATE("R",'Mapa final'!$A$133),"")</f>
        <v/>
      </c>
      <c r="O102" s="484"/>
      <c r="P102" s="484" t="str">
        <f ca="1">IF(AND('Mapa final'!$K$136="Muy Baja",'Mapa final'!$O$136="Leve"),CONCATENATE("R",'Mapa final'!$A$136),"")</f>
        <v/>
      </c>
      <c r="Q102" s="484"/>
      <c r="R102" s="484" t="str">
        <f ca="1">IF(AND('Mapa final'!$K$139="Muy Baja",'Mapa final'!$O$139="Leve"),CONCATENATE("R",'Mapa final'!$A$139),"")</f>
        <v/>
      </c>
      <c r="S102" s="485"/>
      <c r="T102" s="483" t="str">
        <f ca="1">IF(AND('Mapa final'!$K$127="Muy Baja",'Mapa final'!$O$127="Menor"),CONCATENATE("R",'Mapa final'!$A$127),"")</f>
        <v/>
      </c>
      <c r="U102" s="484"/>
      <c r="V102" s="484" t="str">
        <f ca="1">IF(AND('Mapa final'!$K$130="Muy Baja",'Mapa final'!$O$130="Menor"),CONCATENATE("R",'Mapa final'!$A$130),"")</f>
        <v/>
      </c>
      <c r="W102" s="484"/>
      <c r="X102" s="484" t="str">
        <f ca="1">IF(AND('Mapa final'!$K$133="Muy Baja",'Mapa final'!$O$133="Menor"),CONCATENATE("R",'Mapa final'!$A$133),"")</f>
        <v/>
      </c>
      <c r="Y102" s="484"/>
      <c r="Z102" s="484" t="str">
        <f ca="1">IF(AND('Mapa final'!$K$136="Muy Baja",'Mapa final'!$O$136="Menor"),CONCATENATE("R",'Mapa final'!$A$136),"")</f>
        <v/>
      </c>
      <c r="AA102" s="484"/>
      <c r="AB102" s="484" t="str">
        <f ca="1">IF(AND('Mapa final'!$K$139="Muy Baja",'Mapa final'!$O$139="Menor"),CONCATENATE("R",'Mapa final'!$A$139),"")</f>
        <v/>
      </c>
      <c r="AC102" s="485"/>
      <c r="AD102" s="491" t="str">
        <f ca="1">IF(AND('Mapa final'!$K$127="Muy Baja",'Mapa final'!$O$127="Moderado"),CONCATENATE("R",'Mapa final'!$A$127),"")</f>
        <v/>
      </c>
      <c r="AE102" s="489"/>
      <c r="AF102" s="489" t="str">
        <f ca="1">IF(AND('Mapa final'!$K$130="Muy Baja",'Mapa final'!$O$130="Moderado"),CONCATENATE("R",'Mapa final'!$A$130),"")</f>
        <v/>
      </c>
      <c r="AG102" s="489"/>
      <c r="AH102" s="489" t="str">
        <f ca="1">IF(AND('Mapa final'!$K$133="Muy Baja",'Mapa final'!$O$133="Moderado"),CONCATENATE("R",'Mapa final'!$A$133),"")</f>
        <v/>
      </c>
      <c r="AI102" s="489"/>
      <c r="AJ102" s="489" t="str">
        <f ca="1">IF(AND('Mapa final'!$K$136="Muy Baja",'Mapa final'!$O$136="Moderado"),CONCATENATE("R",'Mapa final'!$A$136),"")</f>
        <v/>
      </c>
      <c r="AK102" s="489"/>
      <c r="AL102" s="489" t="str">
        <f ca="1">IF(AND('Mapa final'!$K$139="Muy Baja",'Mapa final'!$O$139="Moderado"),CONCATENATE("R",'Mapa final'!$A$139),"")</f>
        <v/>
      </c>
      <c r="AM102" s="490"/>
      <c r="AN102" s="494" t="str">
        <f ca="1">IF(AND('Mapa final'!$K$127="Muy Baja",'Mapa final'!$O$127="Mayor"),CONCATENATE("R",'Mapa final'!$A$127),"")</f>
        <v/>
      </c>
      <c r="AO102" s="492"/>
      <c r="AP102" s="492" t="str">
        <f ca="1">IF(AND('Mapa final'!$K$130="Muy Baja",'Mapa final'!$O$130="Mayor"),CONCATENATE("R",'Mapa final'!$A$130),"")</f>
        <v/>
      </c>
      <c r="AQ102" s="492"/>
      <c r="AR102" s="492" t="str">
        <f ca="1">IF(AND('Mapa final'!$K$133="Muy Baja",'Mapa final'!$O$133="Mayor"),CONCATENATE("R",'Mapa final'!$A$133),"")</f>
        <v/>
      </c>
      <c r="AS102" s="492"/>
      <c r="AT102" s="492" t="str">
        <f ca="1">IF(AND('Mapa final'!$K$136="Muy Baja",'Mapa final'!$O$136="Mayor"),CONCATENATE("R",'Mapa final'!$A$136),"")</f>
        <v/>
      </c>
      <c r="AU102" s="492"/>
      <c r="AV102" s="492" t="str">
        <f ca="1">IF(AND('Mapa final'!$K$139="Muy Baja",'Mapa final'!$O$139="Mayor"),CONCATENATE("R",'Mapa final'!$A$139),"")</f>
        <v/>
      </c>
      <c r="AW102" s="493"/>
      <c r="AX102" s="488" t="str">
        <f ca="1">IF(AND('Mapa final'!$K$127="Muy Baja",'Mapa final'!$O$127="Catastrófico"),CONCATENATE("R",'Mapa final'!$A$127),"")</f>
        <v/>
      </c>
      <c r="AY102" s="486"/>
      <c r="AZ102" s="486" t="str">
        <f ca="1">IF(AND('Mapa final'!$K$130="Muy Baja",'Mapa final'!$O$130="Catastrófico"),CONCATENATE("R",'Mapa final'!$A$130),"")</f>
        <v/>
      </c>
      <c r="BA102" s="486"/>
      <c r="BB102" s="486" t="str">
        <f ca="1">IF(AND('Mapa final'!$K$133="Muy Baja",'Mapa final'!$O$133="Catastrófico"),CONCATENATE("R",'Mapa final'!$A$133),"")</f>
        <v/>
      </c>
      <c r="BC102" s="486"/>
      <c r="BD102" s="486" t="str">
        <f ca="1">IF(AND('Mapa final'!$K$136="Muy Baja",'Mapa final'!$O$136="Catastrófico"),CONCATENATE("R",'Mapa final'!$A$136),"")</f>
        <v/>
      </c>
      <c r="BE102" s="486"/>
      <c r="BF102" s="486" t="str">
        <f ca="1">IF(AND('Mapa final'!$K$139="Muy Baja",'Mapa final'!$O$139="Catastrófico"),CONCATENATE("R",'Mapa final'!$A$139),"")</f>
        <v/>
      </c>
      <c r="BG102" s="487"/>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row>
    <row r="103" spans="1:100" ht="15" customHeight="1" x14ac:dyDescent="0.25">
      <c r="A103" s="55"/>
      <c r="B103" s="338"/>
      <c r="C103" s="338"/>
      <c r="D103" s="339"/>
      <c r="E103" s="555"/>
      <c r="F103" s="556"/>
      <c r="G103" s="556"/>
      <c r="H103" s="556"/>
      <c r="I103" s="560"/>
      <c r="J103" s="483"/>
      <c r="K103" s="484"/>
      <c r="L103" s="484"/>
      <c r="M103" s="484"/>
      <c r="N103" s="484"/>
      <c r="O103" s="484"/>
      <c r="P103" s="484"/>
      <c r="Q103" s="484"/>
      <c r="R103" s="484"/>
      <c r="S103" s="485"/>
      <c r="T103" s="483"/>
      <c r="U103" s="484"/>
      <c r="V103" s="484"/>
      <c r="W103" s="484"/>
      <c r="X103" s="484"/>
      <c r="Y103" s="484"/>
      <c r="Z103" s="484"/>
      <c r="AA103" s="484"/>
      <c r="AB103" s="484"/>
      <c r="AC103" s="485"/>
      <c r="AD103" s="491"/>
      <c r="AE103" s="489"/>
      <c r="AF103" s="489"/>
      <c r="AG103" s="489"/>
      <c r="AH103" s="489"/>
      <c r="AI103" s="489"/>
      <c r="AJ103" s="489"/>
      <c r="AK103" s="489"/>
      <c r="AL103" s="489"/>
      <c r="AM103" s="490"/>
      <c r="AN103" s="494"/>
      <c r="AO103" s="492"/>
      <c r="AP103" s="492"/>
      <c r="AQ103" s="492"/>
      <c r="AR103" s="492"/>
      <c r="AS103" s="492"/>
      <c r="AT103" s="492"/>
      <c r="AU103" s="492"/>
      <c r="AV103" s="492"/>
      <c r="AW103" s="493"/>
      <c r="AX103" s="488"/>
      <c r="AY103" s="486"/>
      <c r="AZ103" s="486"/>
      <c r="BA103" s="486"/>
      <c r="BB103" s="486"/>
      <c r="BC103" s="486"/>
      <c r="BD103" s="486"/>
      <c r="BE103" s="486"/>
      <c r="BF103" s="486"/>
      <c r="BG103" s="487"/>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row>
    <row r="104" spans="1:100" ht="15" customHeight="1" x14ac:dyDescent="0.25">
      <c r="A104" s="55"/>
      <c r="B104" s="338"/>
      <c r="C104" s="338"/>
      <c r="D104" s="339"/>
      <c r="E104" s="555"/>
      <c r="F104" s="556"/>
      <c r="G104" s="556"/>
      <c r="H104" s="556"/>
      <c r="I104" s="560"/>
      <c r="J104" s="483" t="str">
        <f ca="1">IF(AND('Mapa final'!$K$142="Muy Baja",'Mapa final'!$O$142="Leve"),CONCATENATE("R",'Mapa final'!$A$142),"")</f>
        <v/>
      </c>
      <c r="K104" s="484"/>
      <c r="L104" s="484" t="str">
        <f ca="1">IF(AND('Mapa final'!$K$145="Muy Baja",'Mapa final'!$O$145="Leve"),CONCATENATE("R",'Mapa final'!$A$145),"")</f>
        <v/>
      </c>
      <c r="M104" s="484"/>
      <c r="N104" s="484" t="str">
        <f ca="1">IF(AND('Mapa final'!$K$148="Muy Baja",'Mapa final'!$O$148="Leve"),CONCATENATE("R",'Mapa final'!$A$148),"")</f>
        <v/>
      </c>
      <c r="O104" s="484"/>
      <c r="P104" s="484" t="str">
        <f ca="1">IF(AND('Mapa final'!$K$151="Muy Baja",'Mapa final'!$O$151="Leve"),CONCATENATE("R",'Mapa final'!$A$151),"")</f>
        <v/>
      </c>
      <c r="Q104" s="484"/>
      <c r="R104" s="484" t="str">
        <f ca="1">IF(AND('Mapa final'!$K$154="Muy Baja",'Mapa final'!$O$154="Leve"),CONCATENATE("R",'Mapa final'!$A$154),"")</f>
        <v/>
      </c>
      <c r="S104" s="485"/>
      <c r="T104" s="483" t="str">
        <f ca="1">IF(AND('Mapa final'!$K$142="Muy Baja",'Mapa final'!$O$142="Menor"),CONCATENATE("R",'Mapa final'!$A$142),"")</f>
        <v/>
      </c>
      <c r="U104" s="484"/>
      <c r="V104" s="484" t="str">
        <f ca="1">IF(AND('Mapa final'!$K$145="Muy Baja",'Mapa final'!$O$145="Menor"),CONCATENATE("R",'Mapa final'!$A$145),"")</f>
        <v/>
      </c>
      <c r="W104" s="484"/>
      <c r="X104" s="484" t="str">
        <f ca="1">IF(AND('Mapa final'!$K$148="Muy Baja",'Mapa final'!$O$148="Menor"),CONCATENATE("R",'Mapa final'!$A$148),"")</f>
        <v/>
      </c>
      <c r="Y104" s="484"/>
      <c r="Z104" s="484" t="str">
        <f ca="1">IF(AND('Mapa final'!$K$151="Muy Baja",'Mapa final'!$O$151="Menor"),CONCATENATE("R",'Mapa final'!$A$151),"")</f>
        <v/>
      </c>
      <c r="AA104" s="484"/>
      <c r="AB104" s="484" t="str">
        <f ca="1">IF(AND('Mapa final'!$K$154="Muy Baja",'Mapa final'!$O$154="Menor"),CONCATENATE("R",'Mapa final'!$A$154),"")</f>
        <v/>
      </c>
      <c r="AC104" s="485"/>
      <c r="AD104" s="491" t="str">
        <f ca="1">IF(AND('Mapa final'!$K$142="Muy Baja",'Mapa final'!$O$142="Moderado"),CONCATENATE("R",'Mapa final'!$A$142),"")</f>
        <v/>
      </c>
      <c r="AE104" s="489"/>
      <c r="AF104" s="489" t="str">
        <f ca="1">IF(AND('Mapa final'!$K$145="Muy Baja",'Mapa final'!$O$145="Moderado"),CONCATENATE("R",'Mapa final'!$A$145),"")</f>
        <v/>
      </c>
      <c r="AG104" s="489"/>
      <c r="AH104" s="489" t="str">
        <f ca="1">IF(AND('Mapa final'!$K$148="Muy Baja",'Mapa final'!$O$148="Moderado"),CONCATENATE("R",'Mapa final'!$A$148),"")</f>
        <v/>
      </c>
      <c r="AI104" s="489"/>
      <c r="AJ104" s="489" t="str">
        <f ca="1">IF(AND('Mapa final'!$K$151="Muy Baja",'Mapa final'!$O$151="Moderado"),CONCATENATE("R",'Mapa final'!$A$151),"")</f>
        <v/>
      </c>
      <c r="AK104" s="489"/>
      <c r="AL104" s="489" t="str">
        <f ca="1">IF(AND('Mapa final'!$K$154="Muy Baja",'Mapa final'!$O$154="Moderado"),CONCATENATE("R",'Mapa final'!$A$154),"")</f>
        <v/>
      </c>
      <c r="AM104" s="490"/>
      <c r="AN104" s="494" t="str">
        <f ca="1">IF(AND('Mapa final'!$K$142="Muy Baja",'Mapa final'!$O$142="Mayor"),CONCATENATE("R",'Mapa final'!$A$142),"")</f>
        <v/>
      </c>
      <c r="AO104" s="492"/>
      <c r="AP104" s="492" t="str">
        <f ca="1">IF(AND('Mapa final'!$K$145="Muy Baja",'Mapa final'!$O$145="Mayor"),CONCATENATE("R",'Mapa final'!$A$145),"")</f>
        <v/>
      </c>
      <c r="AQ104" s="492"/>
      <c r="AR104" s="492" t="str">
        <f ca="1">IF(AND('Mapa final'!$K$148="Muy Baja",'Mapa final'!$O$148="Mayor"),CONCATENATE("R",'Mapa final'!$A$148),"")</f>
        <v/>
      </c>
      <c r="AS104" s="492"/>
      <c r="AT104" s="492" t="str">
        <f ca="1">IF(AND('Mapa final'!$K$151="Muy Baja",'Mapa final'!$O$151="Mayor"),CONCATENATE("R",'Mapa final'!$A$151),"")</f>
        <v/>
      </c>
      <c r="AU104" s="492"/>
      <c r="AV104" s="492" t="str">
        <f ca="1">IF(AND('Mapa final'!$K$154="Muy Baja",'Mapa final'!$O$154="Mayor"),CONCATENATE("R",'Mapa final'!$A$154),"")</f>
        <v/>
      </c>
      <c r="AW104" s="493"/>
      <c r="AX104" s="488" t="str">
        <f ca="1">IF(AND('Mapa final'!$K$142="Muy Baja",'Mapa final'!$O$142="Catastrófico"),CONCATENATE("R",'Mapa final'!$A$142),"")</f>
        <v/>
      </c>
      <c r="AY104" s="486"/>
      <c r="AZ104" s="486" t="str">
        <f ca="1">IF(AND('Mapa final'!$K$145="Muy Baja",'Mapa final'!$O$145="Catastrófico"),CONCATENATE("R",'Mapa final'!$A$145),"")</f>
        <v/>
      </c>
      <c r="BA104" s="486"/>
      <c r="BB104" s="486" t="str">
        <f ca="1">IF(AND('Mapa final'!$K$148="Muy Baja",'Mapa final'!$O$148="Catastrófico"),CONCATENATE("R",'Mapa final'!$A$148),"")</f>
        <v/>
      </c>
      <c r="BC104" s="486"/>
      <c r="BD104" s="486" t="str">
        <f ca="1">IF(AND('Mapa final'!$K$151="Muy Baja",'Mapa final'!$O$151="Catastrófico"),CONCATENATE("R",'Mapa final'!$A$151),"")</f>
        <v/>
      </c>
      <c r="BE104" s="486"/>
      <c r="BF104" s="486" t="str">
        <f ca="1">IF(AND('Mapa final'!$K$154="Muy Baja",'Mapa final'!$O$154="Catastrófico"),CONCATENATE("R",'Mapa final'!$A$154),"")</f>
        <v/>
      </c>
      <c r="BG104" s="487"/>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row>
    <row r="105" spans="1:100" ht="15.75" customHeight="1" thickBot="1" x14ac:dyDescent="0.3">
      <c r="A105" s="55"/>
      <c r="B105" s="338"/>
      <c r="C105" s="338"/>
      <c r="D105" s="339"/>
      <c r="E105" s="557"/>
      <c r="F105" s="558"/>
      <c r="G105" s="558"/>
      <c r="H105" s="558"/>
      <c r="I105" s="561"/>
      <c r="J105" s="512"/>
      <c r="K105" s="513"/>
      <c r="L105" s="513"/>
      <c r="M105" s="513"/>
      <c r="N105" s="513"/>
      <c r="O105" s="513"/>
      <c r="P105" s="513"/>
      <c r="Q105" s="513"/>
      <c r="R105" s="513"/>
      <c r="S105" s="515"/>
      <c r="T105" s="512"/>
      <c r="U105" s="513"/>
      <c r="V105" s="513"/>
      <c r="W105" s="513"/>
      <c r="X105" s="513"/>
      <c r="Y105" s="513"/>
      <c r="Z105" s="513"/>
      <c r="AA105" s="513"/>
      <c r="AB105" s="513"/>
      <c r="AC105" s="515"/>
      <c r="AD105" s="501"/>
      <c r="AE105" s="502"/>
      <c r="AF105" s="502"/>
      <c r="AG105" s="502"/>
      <c r="AH105" s="502"/>
      <c r="AI105" s="502"/>
      <c r="AJ105" s="502"/>
      <c r="AK105" s="502"/>
      <c r="AL105" s="502"/>
      <c r="AM105" s="503"/>
      <c r="AN105" s="495"/>
      <c r="AO105" s="496"/>
      <c r="AP105" s="496"/>
      <c r="AQ105" s="496"/>
      <c r="AR105" s="496"/>
      <c r="AS105" s="496"/>
      <c r="AT105" s="496"/>
      <c r="AU105" s="496"/>
      <c r="AV105" s="496"/>
      <c r="AW105" s="497"/>
      <c r="AX105" s="508"/>
      <c r="AY105" s="507"/>
      <c r="AZ105" s="507"/>
      <c r="BA105" s="507"/>
      <c r="BB105" s="507"/>
      <c r="BC105" s="507"/>
      <c r="BD105" s="507"/>
      <c r="BE105" s="507"/>
      <c r="BF105" s="507"/>
      <c r="BG105" s="509"/>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row>
    <row r="106" spans="1:100" x14ac:dyDescent="0.25">
      <c r="A106" s="55"/>
      <c r="B106" s="55"/>
      <c r="C106" s="55"/>
      <c r="D106" s="55"/>
      <c r="E106" s="55"/>
      <c r="F106" s="55"/>
      <c r="G106" s="55"/>
      <c r="H106" s="55"/>
      <c r="I106" s="55"/>
      <c r="J106" s="562" t="s">
        <v>103</v>
      </c>
      <c r="K106" s="556"/>
      <c r="L106" s="556"/>
      <c r="M106" s="556"/>
      <c r="N106" s="556"/>
      <c r="O106" s="556"/>
      <c r="P106" s="556"/>
      <c r="Q106" s="556"/>
      <c r="R106" s="556"/>
      <c r="S106" s="560"/>
      <c r="T106" s="562" t="s">
        <v>102</v>
      </c>
      <c r="U106" s="556"/>
      <c r="V106" s="556"/>
      <c r="W106" s="556"/>
      <c r="X106" s="556"/>
      <c r="Y106" s="556"/>
      <c r="Z106" s="556"/>
      <c r="AA106" s="556"/>
      <c r="AB106" s="556"/>
      <c r="AC106" s="560"/>
      <c r="AD106" s="562" t="s">
        <v>101</v>
      </c>
      <c r="AE106" s="556"/>
      <c r="AF106" s="556"/>
      <c r="AG106" s="556"/>
      <c r="AH106" s="556"/>
      <c r="AI106" s="556"/>
      <c r="AJ106" s="556"/>
      <c r="AK106" s="556"/>
      <c r="AL106" s="556"/>
      <c r="AM106" s="560"/>
      <c r="AN106" s="562" t="s">
        <v>100</v>
      </c>
      <c r="AO106" s="564"/>
      <c r="AP106" s="564"/>
      <c r="AQ106" s="564"/>
      <c r="AR106" s="564"/>
      <c r="AS106" s="564"/>
      <c r="AT106" s="556"/>
      <c r="AU106" s="556"/>
      <c r="AV106" s="556"/>
      <c r="AW106" s="560"/>
      <c r="AX106" s="562" t="s">
        <v>99</v>
      </c>
      <c r="AY106" s="556"/>
      <c r="AZ106" s="556"/>
      <c r="BA106" s="556"/>
      <c r="BB106" s="556"/>
      <c r="BC106" s="556"/>
      <c r="BD106" s="556"/>
      <c r="BE106" s="556"/>
      <c r="BF106" s="556"/>
      <c r="BG106" s="560"/>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row>
    <row r="107" spans="1:100" x14ac:dyDescent="0.25">
      <c r="A107" s="55"/>
      <c r="B107" s="55"/>
      <c r="C107" s="55"/>
      <c r="D107" s="55"/>
      <c r="E107" s="55"/>
      <c r="F107" s="55"/>
      <c r="G107" s="55"/>
      <c r="H107" s="55"/>
      <c r="I107" s="55"/>
      <c r="J107" s="555"/>
      <c r="K107" s="556"/>
      <c r="L107" s="556"/>
      <c r="M107" s="556"/>
      <c r="N107" s="556"/>
      <c r="O107" s="556"/>
      <c r="P107" s="556"/>
      <c r="Q107" s="556"/>
      <c r="R107" s="556"/>
      <c r="S107" s="560"/>
      <c r="T107" s="555"/>
      <c r="U107" s="556"/>
      <c r="V107" s="556"/>
      <c r="W107" s="556"/>
      <c r="X107" s="556"/>
      <c r="Y107" s="556"/>
      <c r="Z107" s="556"/>
      <c r="AA107" s="556"/>
      <c r="AB107" s="556"/>
      <c r="AC107" s="560"/>
      <c r="AD107" s="555"/>
      <c r="AE107" s="556"/>
      <c r="AF107" s="556"/>
      <c r="AG107" s="556"/>
      <c r="AH107" s="556"/>
      <c r="AI107" s="556"/>
      <c r="AJ107" s="556"/>
      <c r="AK107" s="556"/>
      <c r="AL107" s="556"/>
      <c r="AM107" s="560"/>
      <c r="AN107" s="555"/>
      <c r="AO107" s="556"/>
      <c r="AP107" s="556"/>
      <c r="AQ107" s="556"/>
      <c r="AR107" s="556"/>
      <c r="AS107" s="556"/>
      <c r="AT107" s="556"/>
      <c r="AU107" s="556"/>
      <c r="AV107" s="556"/>
      <c r="AW107" s="560"/>
      <c r="AX107" s="555"/>
      <c r="AY107" s="556"/>
      <c r="AZ107" s="556"/>
      <c r="BA107" s="556"/>
      <c r="BB107" s="556"/>
      <c r="BC107" s="556"/>
      <c r="BD107" s="556"/>
      <c r="BE107" s="556"/>
      <c r="BF107" s="556"/>
      <c r="BG107" s="560"/>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row>
    <row r="108" spans="1:100" x14ac:dyDescent="0.25">
      <c r="A108" s="55"/>
      <c r="B108" s="55"/>
      <c r="C108" s="55"/>
      <c r="D108" s="55"/>
      <c r="E108" s="55"/>
      <c r="F108" s="55"/>
      <c r="G108" s="55"/>
      <c r="H108" s="55"/>
      <c r="I108" s="55"/>
      <c r="J108" s="555"/>
      <c r="K108" s="556"/>
      <c r="L108" s="556"/>
      <c r="M108" s="556"/>
      <c r="N108" s="556"/>
      <c r="O108" s="556"/>
      <c r="P108" s="556"/>
      <c r="Q108" s="556"/>
      <c r="R108" s="556"/>
      <c r="S108" s="560"/>
      <c r="T108" s="555"/>
      <c r="U108" s="556"/>
      <c r="V108" s="556"/>
      <c r="W108" s="556"/>
      <c r="X108" s="556"/>
      <c r="Y108" s="556"/>
      <c r="Z108" s="556"/>
      <c r="AA108" s="556"/>
      <c r="AB108" s="556"/>
      <c r="AC108" s="560"/>
      <c r="AD108" s="555"/>
      <c r="AE108" s="556"/>
      <c r="AF108" s="556"/>
      <c r="AG108" s="556"/>
      <c r="AH108" s="556"/>
      <c r="AI108" s="556"/>
      <c r="AJ108" s="556"/>
      <c r="AK108" s="556"/>
      <c r="AL108" s="556"/>
      <c r="AM108" s="560"/>
      <c r="AN108" s="555"/>
      <c r="AO108" s="556"/>
      <c r="AP108" s="556"/>
      <c r="AQ108" s="556"/>
      <c r="AR108" s="556"/>
      <c r="AS108" s="556"/>
      <c r="AT108" s="556"/>
      <c r="AU108" s="556"/>
      <c r="AV108" s="556"/>
      <c r="AW108" s="560"/>
      <c r="AX108" s="555"/>
      <c r="AY108" s="556"/>
      <c r="AZ108" s="556"/>
      <c r="BA108" s="556"/>
      <c r="BB108" s="556"/>
      <c r="BC108" s="556"/>
      <c r="BD108" s="556"/>
      <c r="BE108" s="556"/>
      <c r="BF108" s="556"/>
      <c r="BG108" s="560"/>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row>
    <row r="109" spans="1:100" x14ac:dyDescent="0.25">
      <c r="A109" s="55"/>
      <c r="B109" s="55"/>
      <c r="C109" s="55"/>
      <c r="D109" s="55"/>
      <c r="E109" s="55"/>
      <c r="F109" s="55"/>
      <c r="G109" s="55"/>
      <c r="H109" s="55"/>
      <c r="I109" s="55"/>
      <c r="J109" s="555"/>
      <c r="K109" s="556"/>
      <c r="L109" s="556"/>
      <c r="M109" s="556"/>
      <c r="N109" s="556"/>
      <c r="O109" s="556"/>
      <c r="P109" s="556"/>
      <c r="Q109" s="556"/>
      <c r="R109" s="556"/>
      <c r="S109" s="560"/>
      <c r="T109" s="555"/>
      <c r="U109" s="556"/>
      <c r="V109" s="556"/>
      <c r="W109" s="556"/>
      <c r="X109" s="556"/>
      <c r="Y109" s="556"/>
      <c r="Z109" s="556"/>
      <c r="AA109" s="556"/>
      <c r="AB109" s="556"/>
      <c r="AC109" s="560"/>
      <c r="AD109" s="555"/>
      <c r="AE109" s="556"/>
      <c r="AF109" s="556"/>
      <c r="AG109" s="556"/>
      <c r="AH109" s="556"/>
      <c r="AI109" s="556"/>
      <c r="AJ109" s="556"/>
      <c r="AK109" s="556"/>
      <c r="AL109" s="556"/>
      <c r="AM109" s="560"/>
      <c r="AN109" s="555"/>
      <c r="AO109" s="556"/>
      <c r="AP109" s="556"/>
      <c r="AQ109" s="556"/>
      <c r="AR109" s="556"/>
      <c r="AS109" s="556"/>
      <c r="AT109" s="556"/>
      <c r="AU109" s="556"/>
      <c r="AV109" s="556"/>
      <c r="AW109" s="560"/>
      <c r="AX109" s="555"/>
      <c r="AY109" s="556"/>
      <c r="AZ109" s="556"/>
      <c r="BA109" s="556"/>
      <c r="BB109" s="556"/>
      <c r="BC109" s="556"/>
      <c r="BD109" s="556"/>
      <c r="BE109" s="556"/>
      <c r="BF109" s="556"/>
      <c r="BG109" s="560"/>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row>
    <row r="110" spans="1:100" x14ac:dyDescent="0.25">
      <c r="A110" s="55"/>
      <c r="B110" s="55"/>
      <c r="C110" s="55"/>
      <c r="D110" s="55"/>
      <c r="E110" s="55"/>
      <c r="F110" s="55"/>
      <c r="G110" s="55"/>
      <c r="H110" s="55"/>
      <c r="I110" s="55"/>
      <c r="J110" s="555"/>
      <c r="K110" s="556"/>
      <c r="L110" s="556"/>
      <c r="M110" s="556"/>
      <c r="N110" s="556"/>
      <c r="O110" s="556"/>
      <c r="P110" s="556"/>
      <c r="Q110" s="556"/>
      <c r="R110" s="556"/>
      <c r="S110" s="560"/>
      <c r="T110" s="555"/>
      <c r="U110" s="556"/>
      <c r="V110" s="556"/>
      <c r="W110" s="556"/>
      <c r="X110" s="556"/>
      <c r="Y110" s="556"/>
      <c r="Z110" s="556"/>
      <c r="AA110" s="556"/>
      <c r="AB110" s="556"/>
      <c r="AC110" s="560"/>
      <c r="AD110" s="555"/>
      <c r="AE110" s="556"/>
      <c r="AF110" s="556"/>
      <c r="AG110" s="556"/>
      <c r="AH110" s="556"/>
      <c r="AI110" s="556"/>
      <c r="AJ110" s="556"/>
      <c r="AK110" s="556"/>
      <c r="AL110" s="556"/>
      <c r="AM110" s="560"/>
      <c r="AN110" s="555"/>
      <c r="AO110" s="556"/>
      <c r="AP110" s="556"/>
      <c r="AQ110" s="556"/>
      <c r="AR110" s="556"/>
      <c r="AS110" s="556"/>
      <c r="AT110" s="556"/>
      <c r="AU110" s="556"/>
      <c r="AV110" s="556"/>
      <c r="AW110" s="560"/>
      <c r="AX110" s="555"/>
      <c r="AY110" s="556"/>
      <c r="AZ110" s="556"/>
      <c r="BA110" s="556"/>
      <c r="BB110" s="556"/>
      <c r="BC110" s="556"/>
      <c r="BD110" s="556"/>
      <c r="BE110" s="556"/>
      <c r="BF110" s="556"/>
      <c r="BG110" s="560"/>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row>
    <row r="111" spans="1:100" ht="15.75" thickBot="1" x14ac:dyDescent="0.3">
      <c r="A111" s="55"/>
      <c r="B111" s="55"/>
      <c r="C111" s="55"/>
      <c r="D111" s="55"/>
      <c r="E111" s="55"/>
      <c r="F111" s="55"/>
      <c r="G111" s="55"/>
      <c r="H111" s="55"/>
      <c r="I111" s="55"/>
      <c r="J111" s="557"/>
      <c r="K111" s="558"/>
      <c r="L111" s="558"/>
      <c r="M111" s="558"/>
      <c r="N111" s="558"/>
      <c r="O111" s="558"/>
      <c r="P111" s="558"/>
      <c r="Q111" s="558"/>
      <c r="R111" s="558"/>
      <c r="S111" s="561"/>
      <c r="T111" s="557"/>
      <c r="U111" s="558"/>
      <c r="V111" s="558"/>
      <c r="W111" s="558"/>
      <c r="X111" s="558"/>
      <c r="Y111" s="558"/>
      <c r="Z111" s="558"/>
      <c r="AA111" s="558"/>
      <c r="AB111" s="558"/>
      <c r="AC111" s="561"/>
      <c r="AD111" s="557"/>
      <c r="AE111" s="558"/>
      <c r="AF111" s="558"/>
      <c r="AG111" s="558"/>
      <c r="AH111" s="558"/>
      <c r="AI111" s="558"/>
      <c r="AJ111" s="558"/>
      <c r="AK111" s="558"/>
      <c r="AL111" s="558"/>
      <c r="AM111" s="561"/>
      <c r="AN111" s="557"/>
      <c r="AO111" s="558"/>
      <c r="AP111" s="558"/>
      <c r="AQ111" s="558"/>
      <c r="AR111" s="558"/>
      <c r="AS111" s="558"/>
      <c r="AT111" s="558"/>
      <c r="AU111" s="558"/>
      <c r="AV111" s="558"/>
      <c r="AW111" s="561"/>
      <c r="AX111" s="557"/>
      <c r="AY111" s="558"/>
      <c r="AZ111" s="558"/>
      <c r="BA111" s="558"/>
      <c r="BB111" s="558"/>
      <c r="BC111" s="558"/>
      <c r="BD111" s="558"/>
      <c r="BE111" s="558"/>
      <c r="BF111" s="558"/>
      <c r="BG111" s="561"/>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row>
    <row r="112" spans="1:10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row>
    <row r="113" spans="1:100" ht="15" customHeight="1" x14ac:dyDescent="0.25">
      <c r="A113" s="55"/>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row>
    <row r="114" spans="1:100" ht="15" customHeight="1" x14ac:dyDescent="0.25">
      <c r="A114" s="55"/>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row>
    <row r="115" spans="1:10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row>
    <row r="116" spans="1:10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row>
    <row r="117" spans="1:10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row>
    <row r="118" spans="1:10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row>
    <row r="119" spans="1:10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row>
    <row r="120" spans="1:10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row>
    <row r="121" spans="1:100" ht="21"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9"/>
      <c r="BJ121" s="59"/>
      <c r="BK121" s="59"/>
      <c r="BL121" s="59"/>
      <c r="BM121" s="59"/>
      <c r="BN121" s="59"/>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row>
    <row r="122" spans="1:100" ht="21"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9"/>
      <c r="BJ122" s="59"/>
      <c r="BK122" s="59"/>
      <c r="BL122" s="59"/>
      <c r="BM122" s="59"/>
      <c r="BN122" s="59"/>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row>
    <row r="123" spans="1:10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row>
    <row r="124" spans="1:10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row>
    <row r="125" spans="1:10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row>
    <row r="126" spans="1:10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row>
    <row r="127" spans="1:10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row>
    <row r="128" spans="1:10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row>
    <row r="129" spans="1:10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row>
    <row r="130" spans="1:10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row>
    <row r="131" spans="1:10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row>
    <row r="132" spans="1:10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row>
    <row r="133" spans="1:10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row>
    <row r="134" spans="1:10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row>
    <row r="135" spans="1:10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row>
    <row r="136" spans="1:10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row>
    <row r="137" spans="1:10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row>
    <row r="138" spans="1:10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row>
    <row r="139" spans="1:10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row>
    <row r="140" spans="1:10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row>
    <row r="141" spans="1:10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row>
    <row r="142" spans="1:10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row>
    <row r="143" spans="1:10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row>
    <row r="144" spans="1:10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row>
    <row r="145" spans="1:83"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row>
    <row r="146" spans="1:83"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row>
    <row r="147" spans="1:83"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row>
    <row r="148" spans="1:83"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row>
    <row r="149" spans="1:83"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row>
    <row r="150" spans="1:83"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row>
    <row r="151" spans="1:83"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row>
    <row r="152" spans="1:83"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row>
    <row r="153" spans="1:83"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row>
    <row r="154" spans="1:83"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row>
    <row r="155" spans="1:83"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row>
    <row r="156" spans="1:83"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row>
    <row r="157" spans="1:83"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row>
    <row r="158" spans="1:83"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row>
    <row r="159" spans="1:83"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row>
    <row r="160" spans="1:83"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row>
    <row r="161" spans="1:83"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row>
    <row r="162" spans="1:83"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row>
    <row r="163" spans="1:83"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row>
    <row r="164" spans="1:83"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row>
    <row r="165" spans="1:83"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row>
    <row r="166" spans="1:83"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row>
    <row r="167" spans="1:83"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row>
    <row r="168" spans="1:83"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row>
    <row r="169" spans="1:83"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row>
    <row r="170" spans="1:83"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row>
    <row r="171" spans="1:83"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row>
    <row r="172" spans="1:83"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row>
    <row r="173" spans="1:83"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row>
    <row r="174" spans="1:83"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row>
    <row r="175" spans="1:83"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row>
    <row r="176" spans="1:83"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row>
    <row r="177" spans="1:83"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row>
    <row r="178" spans="1:83"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row>
    <row r="179" spans="1:83"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row>
    <row r="180" spans="1:83"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row>
    <row r="181" spans="1:83"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row>
    <row r="182" spans="1:83" x14ac:dyDescent="0.2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row>
    <row r="183" spans="1:83" x14ac:dyDescent="0.2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row>
    <row r="184" spans="1:83" x14ac:dyDescent="0.2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row>
    <row r="185" spans="1:83" x14ac:dyDescent="0.2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row>
    <row r="186" spans="1:83" x14ac:dyDescent="0.2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row>
    <row r="187" spans="1:83" x14ac:dyDescent="0.2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row>
    <row r="188" spans="1:83" x14ac:dyDescent="0.2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row>
    <row r="189" spans="1:83" x14ac:dyDescent="0.2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row>
    <row r="190" spans="1:83" x14ac:dyDescent="0.2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row>
    <row r="191" spans="1:83" x14ac:dyDescent="0.2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row>
    <row r="192" spans="1:83" x14ac:dyDescent="0.2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row>
    <row r="193" spans="2:83" x14ac:dyDescent="0.2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row>
    <row r="194" spans="2:83" x14ac:dyDescent="0.2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row>
    <row r="195" spans="2:83" x14ac:dyDescent="0.2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row>
    <row r="196" spans="2:83" x14ac:dyDescent="0.2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row>
    <row r="197" spans="2:83" x14ac:dyDescent="0.25">
      <c r="B197" s="55"/>
      <c r="C197" s="55"/>
      <c r="D197" s="55"/>
      <c r="E197" s="55"/>
      <c r="F197" s="55"/>
      <c r="G197" s="55"/>
      <c r="H197" s="55"/>
      <c r="I197" s="55"/>
      <c r="BI197" s="55"/>
      <c r="BJ197" s="55"/>
      <c r="BK197" s="55"/>
      <c r="BL197" s="55"/>
      <c r="BM197" s="55"/>
      <c r="BN197" s="55"/>
    </row>
    <row r="198" spans="2:83" x14ac:dyDescent="0.25">
      <c r="B198" s="55"/>
      <c r="C198" s="55"/>
      <c r="D198" s="55"/>
      <c r="E198" s="55"/>
      <c r="F198" s="55"/>
      <c r="G198" s="55"/>
      <c r="H198" s="55"/>
      <c r="I198" s="55"/>
      <c r="BI198" s="55"/>
      <c r="BJ198" s="55"/>
      <c r="BK198" s="55"/>
      <c r="BL198" s="55"/>
      <c r="BM198" s="55"/>
      <c r="BN198" s="55"/>
    </row>
    <row r="199" spans="2:83" x14ac:dyDescent="0.25">
      <c r="B199" s="55"/>
      <c r="C199" s="55"/>
      <c r="D199" s="55"/>
      <c r="E199" s="55"/>
      <c r="F199" s="55"/>
      <c r="G199" s="55"/>
      <c r="H199" s="55"/>
      <c r="I199" s="55"/>
      <c r="BI199" s="55"/>
      <c r="BJ199" s="55"/>
      <c r="BK199" s="55"/>
      <c r="BL199" s="55"/>
      <c r="BM199" s="55"/>
      <c r="BN199" s="55"/>
    </row>
    <row r="200" spans="2:83" x14ac:dyDescent="0.25">
      <c r="B200" s="55"/>
      <c r="C200" s="55"/>
      <c r="D200" s="55"/>
      <c r="E200" s="55"/>
      <c r="F200" s="55"/>
      <c r="G200" s="55"/>
      <c r="H200" s="55"/>
      <c r="I200" s="55"/>
      <c r="BI200" s="55"/>
      <c r="BJ200" s="55"/>
      <c r="BK200" s="55"/>
      <c r="BL200" s="55"/>
      <c r="BM200" s="55"/>
      <c r="BN200" s="55"/>
    </row>
    <row r="201" spans="2:83" x14ac:dyDescent="0.25">
      <c r="BI201" s="55"/>
      <c r="BJ201" s="55"/>
      <c r="BK201" s="55"/>
      <c r="BL201" s="55"/>
      <c r="BM201" s="55"/>
      <c r="BN201" s="55"/>
    </row>
    <row r="202" spans="2:83" x14ac:dyDescent="0.25">
      <c r="BI202" s="55"/>
      <c r="BJ202" s="55"/>
      <c r="BK202" s="55"/>
      <c r="BL202" s="55"/>
      <c r="BM202" s="55"/>
      <c r="BN202" s="55"/>
    </row>
    <row r="203" spans="2:83" x14ac:dyDescent="0.25">
      <c r="BI203" s="55"/>
      <c r="BJ203" s="55"/>
      <c r="BK203" s="55"/>
      <c r="BL203" s="55"/>
      <c r="BM203" s="55"/>
      <c r="BN203" s="55"/>
    </row>
    <row r="204" spans="2:83" x14ac:dyDescent="0.25">
      <c r="BI204" s="55"/>
      <c r="BJ204" s="55"/>
      <c r="BK204" s="55"/>
      <c r="BL204" s="55"/>
      <c r="BM204" s="55"/>
      <c r="BN204" s="55"/>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5"/>
      <c r="B1" s="570" t="s">
        <v>49</v>
      </c>
      <c r="C1" s="570"/>
      <c r="D1" s="570"/>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x14ac:dyDescent="0.2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x14ac:dyDescent="0.25">
      <c r="A3" s="55"/>
      <c r="B3" s="6"/>
      <c r="C3" s="7" t="s">
        <v>46</v>
      </c>
      <c r="D3" s="7" t="s">
        <v>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x14ac:dyDescent="0.25">
      <c r="A4" s="55"/>
      <c r="B4" s="8" t="s">
        <v>45</v>
      </c>
      <c r="C4" s="9" t="s">
        <v>93</v>
      </c>
      <c r="D4" s="10">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x14ac:dyDescent="0.25">
      <c r="A5" s="55"/>
      <c r="B5" s="11" t="s">
        <v>47</v>
      </c>
      <c r="C5" s="12" t="s">
        <v>94</v>
      </c>
      <c r="D5" s="13">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x14ac:dyDescent="0.25">
      <c r="A6" s="55"/>
      <c r="B6" s="14" t="s">
        <v>98</v>
      </c>
      <c r="C6" s="12" t="s">
        <v>95</v>
      </c>
      <c r="D6" s="13">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x14ac:dyDescent="0.25">
      <c r="A7" s="55"/>
      <c r="B7" s="15" t="s">
        <v>6</v>
      </c>
      <c r="C7" s="12" t="s">
        <v>96</v>
      </c>
      <c r="D7" s="13">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x14ac:dyDescent="0.25">
      <c r="A8" s="55"/>
      <c r="B8" s="16" t="s">
        <v>48</v>
      </c>
      <c r="C8" s="12" t="s">
        <v>97</v>
      </c>
      <c r="D8" s="13">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x14ac:dyDescent="0.25">
      <c r="A9" s="55"/>
      <c r="B9" s="79"/>
      <c r="C9" s="79"/>
      <c r="D9" s="79"/>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x14ac:dyDescent="0.25">
      <c r="A10" s="55"/>
      <c r="B10" s="80"/>
      <c r="C10" s="79"/>
      <c r="D10" s="79"/>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x14ac:dyDescent="0.25">
      <c r="A11" s="55"/>
      <c r="B11" s="79"/>
      <c r="C11" s="79"/>
      <c r="D11" s="79"/>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x14ac:dyDescent="0.25">
      <c r="A12" s="55"/>
      <c r="B12" s="79"/>
      <c r="C12" s="79"/>
      <c r="D12" s="79"/>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x14ac:dyDescent="0.25">
      <c r="A13" s="55"/>
      <c r="B13" s="79"/>
      <c r="C13" s="79"/>
      <c r="D13" s="79"/>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x14ac:dyDescent="0.25">
      <c r="A14" s="55"/>
      <c r="B14" s="79"/>
      <c r="C14" s="79"/>
      <c r="D14" s="79"/>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x14ac:dyDescent="0.25">
      <c r="A15" s="55"/>
      <c r="B15" s="79"/>
      <c r="C15" s="79"/>
      <c r="D15" s="79"/>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x14ac:dyDescent="0.25">
      <c r="A16" s="55"/>
      <c r="B16" s="79"/>
      <c r="C16" s="79"/>
      <c r="D16" s="79"/>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x14ac:dyDescent="0.25">
      <c r="A17" s="55"/>
      <c r="B17" s="79"/>
      <c r="C17" s="79"/>
      <c r="D17" s="79"/>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x14ac:dyDescent="0.25">
      <c r="A18" s="55"/>
      <c r="B18" s="79"/>
      <c r="C18" s="79"/>
      <c r="D18" s="79"/>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x14ac:dyDescent="0.2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x14ac:dyDescent="0.2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x14ac:dyDescent="0.2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x14ac:dyDescent="0.25">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x14ac:dyDescent="0.25">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x14ac:dyDescent="0.25">
      <c r="A35" s="55"/>
    </row>
    <row r="36" spans="1:31" x14ac:dyDescent="0.25">
      <c r="A36" s="55"/>
    </row>
    <row r="37" spans="1:31" x14ac:dyDescent="0.25">
      <c r="A37" s="55"/>
    </row>
    <row r="38" spans="1:31" x14ac:dyDescent="0.25">
      <c r="A38" s="55"/>
    </row>
    <row r="39" spans="1:31" x14ac:dyDescent="0.25">
      <c r="A39" s="55"/>
    </row>
    <row r="40" spans="1:31" x14ac:dyDescent="0.25">
      <c r="A40" s="55"/>
    </row>
    <row r="41" spans="1:31" x14ac:dyDescent="0.25">
      <c r="A41" s="55"/>
    </row>
    <row r="42" spans="1:31" x14ac:dyDescent="0.25">
      <c r="A42" s="55"/>
    </row>
    <row r="43" spans="1:31" x14ac:dyDescent="0.25">
      <c r="A43" s="55"/>
    </row>
    <row r="44" spans="1:31" x14ac:dyDescent="0.25">
      <c r="A44" s="55"/>
    </row>
    <row r="45" spans="1:31" x14ac:dyDescent="0.25">
      <c r="A45" s="55"/>
    </row>
    <row r="46" spans="1:31" x14ac:dyDescent="0.25">
      <c r="A46" s="55"/>
    </row>
    <row r="47" spans="1:31" x14ac:dyDescent="0.25">
      <c r="A47" s="55"/>
    </row>
    <row r="48" spans="1:31" x14ac:dyDescent="0.25">
      <c r="A48" s="55"/>
    </row>
    <row r="49" spans="1:1" x14ac:dyDescent="0.25">
      <c r="A49" s="55"/>
    </row>
    <row r="50" spans="1:1" x14ac:dyDescent="0.25">
      <c r="A50" s="55"/>
    </row>
    <row r="51" spans="1:1" x14ac:dyDescent="0.25">
      <c r="A51" s="55"/>
    </row>
    <row r="52" spans="1:1" x14ac:dyDescent="0.25">
      <c r="A52" s="55"/>
    </row>
    <row r="53" spans="1:1" x14ac:dyDescent="0.25">
      <c r="A53" s="55"/>
    </row>
    <row r="54" spans="1:1" x14ac:dyDescent="0.25">
      <c r="A54" s="55"/>
    </row>
    <row r="55" spans="1:1" x14ac:dyDescent="0.25">
      <c r="A55" s="55"/>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2" zoomScale="60" zoomScaleNormal="60" workbookViewId="0">
      <selection activeCell="C217" sqref="C21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5"/>
      <c r="B1" s="571" t="s">
        <v>57</v>
      </c>
      <c r="C1" s="571"/>
      <c r="D1" s="571"/>
      <c r="E1" s="55"/>
      <c r="F1" s="55"/>
      <c r="G1" s="55"/>
      <c r="H1" s="55"/>
      <c r="I1" s="55"/>
      <c r="J1" s="55"/>
      <c r="K1" s="55"/>
      <c r="L1" s="55"/>
      <c r="M1" s="55"/>
      <c r="N1" s="55"/>
      <c r="O1" s="55"/>
      <c r="P1" s="55"/>
      <c r="Q1" s="55"/>
      <c r="R1" s="55"/>
      <c r="S1" s="55"/>
      <c r="T1" s="55"/>
      <c r="U1" s="55"/>
    </row>
    <row r="2" spans="1:21" x14ac:dyDescent="0.25">
      <c r="A2" s="55"/>
      <c r="B2" s="55"/>
      <c r="C2" s="55"/>
      <c r="D2" s="55"/>
      <c r="E2" s="55"/>
      <c r="F2" s="55"/>
      <c r="G2" s="55"/>
      <c r="H2" s="55"/>
      <c r="I2" s="55"/>
      <c r="J2" s="55"/>
      <c r="K2" s="55"/>
      <c r="L2" s="55"/>
      <c r="M2" s="55"/>
      <c r="N2" s="55"/>
      <c r="O2" s="55"/>
      <c r="P2" s="55"/>
      <c r="Q2" s="55"/>
      <c r="R2" s="55"/>
      <c r="S2" s="55"/>
      <c r="T2" s="55"/>
      <c r="U2" s="55"/>
    </row>
    <row r="3" spans="1:21" ht="30" x14ac:dyDescent="0.25">
      <c r="A3" s="55"/>
      <c r="B3" s="76"/>
      <c r="C3" s="29" t="s">
        <v>50</v>
      </c>
      <c r="D3" s="29" t="s">
        <v>51</v>
      </c>
      <c r="E3" s="55"/>
      <c r="F3" s="55"/>
      <c r="G3" s="55"/>
      <c r="H3" s="55"/>
      <c r="I3" s="55"/>
      <c r="J3" s="55"/>
      <c r="K3" s="55"/>
      <c r="L3" s="55"/>
      <c r="M3" s="55"/>
      <c r="N3" s="55"/>
      <c r="O3" s="55"/>
      <c r="P3" s="55"/>
      <c r="Q3" s="55"/>
      <c r="R3" s="55"/>
      <c r="S3" s="55"/>
      <c r="T3" s="55"/>
      <c r="U3" s="55"/>
    </row>
    <row r="4" spans="1:21" ht="33.75" x14ac:dyDescent="0.25">
      <c r="A4" s="75" t="s">
        <v>77</v>
      </c>
      <c r="B4" s="32" t="s">
        <v>92</v>
      </c>
      <c r="C4" s="37" t="s">
        <v>132</v>
      </c>
      <c r="D4" s="30" t="s">
        <v>90</v>
      </c>
      <c r="E4" s="55"/>
      <c r="F4" s="55"/>
      <c r="G4" s="55"/>
      <c r="H4" s="55"/>
      <c r="I4" s="55"/>
      <c r="J4" s="55"/>
      <c r="K4" s="55"/>
      <c r="L4" s="55"/>
      <c r="M4" s="55"/>
      <c r="N4" s="55"/>
      <c r="O4" s="55"/>
      <c r="P4" s="55"/>
      <c r="Q4" s="55"/>
      <c r="R4" s="55"/>
      <c r="S4" s="55"/>
      <c r="T4" s="55"/>
      <c r="U4" s="55"/>
    </row>
    <row r="5" spans="1:21" ht="101.25" x14ac:dyDescent="0.25">
      <c r="A5" s="75" t="s">
        <v>78</v>
      </c>
      <c r="B5" s="33" t="s">
        <v>53</v>
      </c>
      <c r="C5" s="38" t="s">
        <v>86</v>
      </c>
      <c r="D5" s="31" t="s">
        <v>520</v>
      </c>
      <c r="E5" s="55"/>
      <c r="F5" s="55"/>
      <c r="G5" s="55"/>
      <c r="H5" s="55"/>
      <c r="I5" s="55"/>
      <c r="J5" s="55"/>
      <c r="K5" s="55"/>
      <c r="L5" s="55"/>
      <c r="M5" s="55"/>
      <c r="N5" s="55"/>
      <c r="O5" s="55"/>
      <c r="P5" s="55"/>
      <c r="Q5" s="55"/>
      <c r="R5" s="55"/>
      <c r="S5" s="55"/>
      <c r="T5" s="55"/>
      <c r="U5" s="55"/>
    </row>
    <row r="6" spans="1:21" ht="67.5" x14ac:dyDescent="0.25">
      <c r="A6" s="75" t="s">
        <v>75</v>
      </c>
      <c r="B6" s="34" t="s">
        <v>54</v>
      </c>
      <c r="C6" s="38" t="s">
        <v>87</v>
      </c>
      <c r="D6" s="31" t="s">
        <v>91</v>
      </c>
      <c r="E6" s="55"/>
      <c r="F6" s="55"/>
      <c r="G6" s="55"/>
      <c r="H6" s="55"/>
      <c r="I6" s="55"/>
      <c r="J6" s="55"/>
      <c r="K6" s="55"/>
      <c r="L6" s="55"/>
      <c r="M6" s="55"/>
      <c r="N6" s="55"/>
      <c r="O6" s="55"/>
      <c r="P6" s="55"/>
      <c r="Q6" s="55"/>
      <c r="R6" s="55"/>
      <c r="S6" s="55"/>
      <c r="T6" s="55"/>
      <c r="U6" s="55"/>
    </row>
    <row r="7" spans="1:21" ht="101.25" x14ac:dyDescent="0.25">
      <c r="A7" s="75" t="s">
        <v>7</v>
      </c>
      <c r="B7" s="35" t="s">
        <v>55</v>
      </c>
      <c r="C7" s="38" t="s">
        <v>88</v>
      </c>
      <c r="D7" s="31" t="s">
        <v>522</v>
      </c>
      <c r="E7" s="55"/>
      <c r="F7" s="55"/>
      <c r="G7" s="55"/>
      <c r="H7" s="55"/>
      <c r="I7" s="55"/>
      <c r="J7" s="55"/>
      <c r="K7" s="55"/>
      <c r="L7" s="55"/>
      <c r="M7" s="55"/>
      <c r="N7" s="55"/>
      <c r="O7" s="55"/>
      <c r="P7" s="55"/>
      <c r="Q7" s="55"/>
      <c r="R7" s="55"/>
      <c r="S7" s="55"/>
      <c r="T7" s="55"/>
      <c r="U7" s="55"/>
    </row>
    <row r="8" spans="1:21" ht="67.5" x14ac:dyDescent="0.25">
      <c r="A8" s="75" t="s">
        <v>79</v>
      </c>
      <c r="B8" s="36" t="s">
        <v>56</v>
      </c>
      <c r="C8" s="38" t="s">
        <v>89</v>
      </c>
      <c r="D8" s="31" t="s">
        <v>109</v>
      </c>
      <c r="E8" s="55"/>
      <c r="F8" s="55"/>
      <c r="G8" s="55"/>
      <c r="H8" s="55"/>
      <c r="I8" s="55"/>
      <c r="J8" s="55"/>
      <c r="K8" s="55"/>
      <c r="L8" s="55"/>
      <c r="M8" s="55"/>
      <c r="N8" s="55"/>
      <c r="O8" s="55"/>
      <c r="P8" s="55"/>
      <c r="Q8" s="55"/>
      <c r="R8" s="55"/>
      <c r="S8" s="55"/>
      <c r="T8" s="55"/>
      <c r="U8" s="55"/>
    </row>
    <row r="9" spans="1:21" ht="20.25" x14ac:dyDescent="0.25">
      <c r="A9" s="75"/>
      <c r="B9" s="75"/>
      <c r="C9" s="77"/>
      <c r="D9" s="77"/>
      <c r="E9" s="55"/>
      <c r="F9" s="55"/>
      <c r="G9" s="55"/>
      <c r="H9" s="55"/>
      <c r="I9" s="55"/>
      <c r="J9" s="55"/>
      <c r="K9" s="55"/>
      <c r="L9" s="55"/>
      <c r="M9" s="55"/>
      <c r="N9" s="55"/>
      <c r="O9" s="55"/>
      <c r="P9" s="55"/>
      <c r="Q9" s="55"/>
      <c r="R9" s="55"/>
      <c r="S9" s="55"/>
      <c r="T9" s="55"/>
      <c r="U9" s="55"/>
    </row>
    <row r="10" spans="1:21" ht="16.5" x14ac:dyDescent="0.25">
      <c r="A10" s="75"/>
      <c r="B10" s="78"/>
      <c r="C10" s="78"/>
      <c r="D10" s="78"/>
      <c r="E10" s="55"/>
      <c r="F10" s="55"/>
      <c r="G10" s="55"/>
      <c r="H10" s="55"/>
      <c r="I10" s="55"/>
      <c r="J10" s="55"/>
      <c r="K10" s="55"/>
      <c r="L10" s="55"/>
      <c r="M10" s="55"/>
      <c r="N10" s="55"/>
      <c r="O10" s="55"/>
      <c r="P10" s="55"/>
      <c r="Q10" s="55"/>
      <c r="R10" s="55"/>
      <c r="S10" s="55"/>
      <c r="T10" s="55"/>
      <c r="U10" s="55"/>
    </row>
    <row r="11" spans="1:21" x14ac:dyDescent="0.25">
      <c r="A11" s="75"/>
      <c r="B11" s="75" t="s">
        <v>84</v>
      </c>
      <c r="C11" s="75" t="s">
        <v>512</v>
      </c>
      <c r="D11" s="75" t="s">
        <v>513</v>
      </c>
      <c r="E11" s="55"/>
      <c r="F11" s="55"/>
      <c r="G11" s="55"/>
      <c r="H11" s="55"/>
      <c r="I11" s="55"/>
      <c r="J11" s="55"/>
      <c r="K11" s="55"/>
      <c r="L11" s="55"/>
      <c r="M11" s="55"/>
      <c r="N11" s="55"/>
      <c r="O11" s="55"/>
      <c r="P11" s="55"/>
      <c r="Q11" s="55"/>
      <c r="R11" s="55"/>
      <c r="S11" s="55"/>
      <c r="T11" s="55"/>
      <c r="U11" s="55"/>
    </row>
    <row r="12" spans="1:21" x14ac:dyDescent="0.25">
      <c r="A12" s="75"/>
      <c r="B12" s="75" t="s">
        <v>82</v>
      </c>
      <c r="C12" s="75" t="s">
        <v>514</v>
      </c>
      <c r="D12" s="75" t="s">
        <v>521</v>
      </c>
      <c r="E12" s="55"/>
      <c r="F12" s="55"/>
      <c r="G12" s="55"/>
      <c r="H12" s="55"/>
      <c r="I12" s="55"/>
      <c r="J12" s="55"/>
      <c r="K12" s="55"/>
      <c r="L12" s="55"/>
      <c r="M12" s="55"/>
      <c r="N12" s="55"/>
      <c r="O12" s="55"/>
      <c r="P12" s="55"/>
      <c r="Q12" s="55"/>
      <c r="R12" s="55"/>
      <c r="S12" s="55"/>
      <c r="T12" s="55"/>
      <c r="U12" s="55"/>
    </row>
    <row r="13" spans="1:21" x14ac:dyDescent="0.25">
      <c r="A13" s="75"/>
      <c r="B13" s="75"/>
      <c r="C13" s="75" t="s">
        <v>515</v>
      </c>
      <c r="D13" s="75" t="s">
        <v>516</v>
      </c>
      <c r="E13" s="55"/>
      <c r="F13" s="55"/>
      <c r="G13" s="55"/>
      <c r="H13" s="55"/>
      <c r="I13" s="55"/>
      <c r="J13" s="55"/>
      <c r="K13" s="55"/>
      <c r="L13" s="55"/>
      <c r="M13" s="55"/>
      <c r="N13" s="55"/>
      <c r="O13" s="55"/>
      <c r="P13" s="55"/>
      <c r="Q13" s="55"/>
      <c r="R13" s="55"/>
      <c r="S13" s="55"/>
      <c r="T13" s="55"/>
      <c r="U13" s="55"/>
    </row>
    <row r="14" spans="1:21" x14ac:dyDescent="0.25">
      <c r="A14" s="75"/>
      <c r="B14" s="75"/>
      <c r="C14" s="75" t="s">
        <v>517</v>
      </c>
      <c r="D14" s="75" t="s">
        <v>523</v>
      </c>
      <c r="E14" s="55"/>
      <c r="F14" s="55"/>
      <c r="G14" s="55"/>
      <c r="H14" s="55"/>
      <c r="I14" s="55"/>
      <c r="J14" s="55"/>
      <c r="K14" s="55"/>
      <c r="L14" s="55"/>
      <c r="M14" s="55"/>
      <c r="N14" s="55"/>
      <c r="O14" s="55"/>
      <c r="P14" s="55"/>
      <c r="Q14" s="55"/>
      <c r="R14" s="55"/>
      <c r="S14" s="55"/>
      <c r="T14" s="55"/>
      <c r="U14" s="55"/>
    </row>
    <row r="15" spans="1:21" x14ac:dyDescent="0.25">
      <c r="A15" s="75"/>
      <c r="B15" s="75"/>
      <c r="C15" s="75" t="s">
        <v>518</v>
      </c>
      <c r="D15" s="75" t="s">
        <v>519</v>
      </c>
      <c r="E15" s="55"/>
      <c r="F15" s="55"/>
      <c r="G15" s="55"/>
      <c r="H15" s="55"/>
      <c r="I15" s="55"/>
      <c r="J15" s="55"/>
      <c r="K15" s="55"/>
      <c r="L15" s="55"/>
      <c r="M15" s="55"/>
      <c r="N15" s="55"/>
      <c r="O15" s="55"/>
      <c r="P15" s="55"/>
      <c r="Q15" s="55"/>
      <c r="R15" s="55"/>
      <c r="S15" s="55"/>
      <c r="T15" s="55"/>
      <c r="U15" s="55"/>
    </row>
    <row r="16" spans="1:21" x14ac:dyDescent="0.25">
      <c r="A16" s="75"/>
      <c r="B16" s="75"/>
      <c r="C16" s="75"/>
      <c r="D16" s="75"/>
      <c r="E16" s="55"/>
      <c r="F16" s="55"/>
      <c r="G16" s="55"/>
      <c r="H16" s="55"/>
      <c r="I16" s="55"/>
      <c r="J16" s="55"/>
      <c r="K16" s="55"/>
      <c r="L16" s="55"/>
      <c r="M16" s="55"/>
      <c r="N16" s="55"/>
      <c r="O16" s="55"/>
    </row>
    <row r="17" spans="1:15" x14ac:dyDescent="0.25">
      <c r="A17" s="75"/>
      <c r="B17" s="75"/>
      <c r="C17" s="75"/>
      <c r="D17" s="75"/>
      <c r="E17" s="55"/>
      <c r="F17" s="55"/>
      <c r="G17" s="55"/>
      <c r="H17" s="55"/>
      <c r="I17" s="55"/>
      <c r="J17" s="55"/>
      <c r="K17" s="55"/>
      <c r="L17" s="55"/>
      <c r="M17" s="55"/>
      <c r="N17" s="55"/>
      <c r="O17" s="55"/>
    </row>
    <row r="18" spans="1:15" x14ac:dyDescent="0.25">
      <c r="A18" s="75"/>
      <c r="B18" s="79"/>
      <c r="C18" s="79"/>
      <c r="D18" s="79"/>
      <c r="E18" s="55"/>
      <c r="F18" s="55"/>
      <c r="G18" s="55"/>
      <c r="H18" s="55"/>
      <c r="I18" s="55"/>
      <c r="J18" s="55"/>
      <c r="K18" s="55"/>
      <c r="L18" s="55"/>
      <c r="M18" s="55"/>
      <c r="N18" s="55"/>
      <c r="O18" s="55"/>
    </row>
    <row r="19" spans="1:15" x14ac:dyDescent="0.25">
      <c r="A19" s="75"/>
      <c r="B19" s="79"/>
      <c r="C19" s="79"/>
      <c r="D19" s="79"/>
      <c r="E19" s="55"/>
      <c r="F19" s="55"/>
      <c r="G19" s="55"/>
      <c r="H19" s="55"/>
      <c r="I19" s="55"/>
      <c r="J19" s="55"/>
      <c r="K19" s="55"/>
      <c r="L19" s="55"/>
      <c r="M19" s="55"/>
      <c r="N19" s="55"/>
      <c r="O19" s="55"/>
    </row>
    <row r="20" spans="1:15" x14ac:dyDescent="0.25">
      <c r="A20" s="75"/>
      <c r="B20" s="79"/>
      <c r="C20" s="79"/>
      <c r="D20" s="79"/>
      <c r="E20" s="55"/>
      <c r="F20" s="55"/>
      <c r="G20" s="55"/>
      <c r="H20" s="55"/>
      <c r="I20" s="55"/>
      <c r="J20" s="55"/>
      <c r="K20" s="55"/>
      <c r="L20" s="55"/>
      <c r="M20" s="55"/>
      <c r="N20" s="55"/>
      <c r="O20" s="55"/>
    </row>
    <row r="21" spans="1:15" x14ac:dyDescent="0.25">
      <c r="A21" s="75"/>
      <c r="B21" s="79"/>
      <c r="C21" s="79"/>
      <c r="D21" s="79"/>
      <c r="E21" s="55"/>
      <c r="F21" s="55"/>
      <c r="G21" s="55"/>
      <c r="H21" s="55"/>
      <c r="I21" s="55"/>
      <c r="J21" s="55"/>
      <c r="K21" s="55"/>
      <c r="L21" s="55"/>
      <c r="M21" s="55"/>
      <c r="N21" s="55"/>
      <c r="O21" s="55"/>
    </row>
    <row r="22" spans="1:15" ht="20.25" x14ac:dyDescent="0.25">
      <c r="A22" s="75"/>
      <c r="B22" s="75"/>
      <c r="C22" s="77"/>
      <c r="D22" s="77"/>
      <c r="E22" s="55"/>
      <c r="F22" s="55"/>
      <c r="G22" s="55"/>
      <c r="H22" s="55"/>
      <c r="I22" s="55"/>
      <c r="J22" s="55"/>
      <c r="K22" s="55"/>
      <c r="L22" s="55"/>
      <c r="M22" s="55"/>
      <c r="N22" s="55"/>
      <c r="O22" s="55"/>
    </row>
    <row r="23" spans="1:15" ht="20.25" x14ac:dyDescent="0.25">
      <c r="A23" s="75"/>
      <c r="B23" s="75"/>
      <c r="C23" s="77"/>
      <c r="D23" s="77"/>
      <c r="E23" s="55"/>
      <c r="F23" s="55"/>
      <c r="G23" s="55"/>
      <c r="H23" s="55"/>
      <c r="I23" s="55"/>
      <c r="J23" s="55"/>
      <c r="K23" s="55"/>
      <c r="L23" s="55"/>
      <c r="M23" s="55"/>
      <c r="N23" s="55"/>
      <c r="O23" s="55"/>
    </row>
    <row r="24" spans="1:15" ht="20.25" x14ac:dyDescent="0.25">
      <c r="A24" s="75"/>
      <c r="B24" s="75"/>
      <c r="C24" s="77"/>
      <c r="D24" s="77"/>
      <c r="E24" s="55"/>
      <c r="F24" s="55"/>
      <c r="G24" s="55"/>
      <c r="H24" s="55"/>
      <c r="I24" s="55"/>
      <c r="J24" s="55"/>
      <c r="K24" s="55"/>
      <c r="L24" s="55"/>
      <c r="M24" s="55"/>
      <c r="N24" s="55"/>
      <c r="O24" s="55"/>
    </row>
    <row r="25" spans="1:15" ht="20.25" x14ac:dyDescent="0.25">
      <c r="A25" s="75"/>
      <c r="B25" s="75"/>
      <c r="C25" s="77"/>
      <c r="D25" s="77"/>
      <c r="E25" s="55"/>
      <c r="F25" s="55"/>
      <c r="G25" s="55"/>
      <c r="H25" s="55"/>
      <c r="I25" s="55"/>
      <c r="J25" s="55"/>
      <c r="K25" s="55"/>
      <c r="L25" s="55"/>
      <c r="M25" s="55"/>
      <c r="N25" s="55"/>
      <c r="O25" s="55"/>
    </row>
    <row r="26" spans="1:15" ht="20.25" x14ac:dyDescent="0.25">
      <c r="A26" s="75"/>
      <c r="B26" s="75"/>
      <c r="C26" s="77"/>
      <c r="D26" s="77"/>
      <c r="E26" s="55"/>
      <c r="F26" s="55"/>
      <c r="G26" s="55"/>
      <c r="H26" s="55"/>
      <c r="I26" s="55"/>
      <c r="J26" s="55"/>
      <c r="K26" s="55"/>
      <c r="L26" s="55"/>
      <c r="M26" s="55"/>
      <c r="N26" s="55"/>
      <c r="O26" s="55"/>
    </row>
    <row r="27" spans="1:15" ht="20.25" x14ac:dyDescent="0.25">
      <c r="A27" s="75"/>
      <c r="B27" s="75"/>
      <c r="C27" s="77"/>
      <c r="D27" s="77"/>
      <c r="E27" s="55"/>
      <c r="F27" s="55"/>
      <c r="G27" s="55"/>
      <c r="H27" s="55"/>
      <c r="I27" s="55"/>
      <c r="J27" s="55"/>
      <c r="K27" s="55"/>
      <c r="L27" s="55"/>
      <c r="M27" s="55"/>
      <c r="N27" s="55"/>
      <c r="O27" s="55"/>
    </row>
    <row r="28" spans="1:15" ht="20.25" x14ac:dyDescent="0.25">
      <c r="A28" s="75"/>
      <c r="B28" s="75"/>
      <c r="C28" s="77"/>
      <c r="D28" s="77"/>
      <c r="E28" s="55"/>
      <c r="F28" s="55"/>
      <c r="G28" s="55"/>
      <c r="H28" s="55"/>
      <c r="I28" s="55"/>
      <c r="J28" s="55"/>
      <c r="K28" s="55"/>
      <c r="L28" s="55"/>
      <c r="M28" s="55"/>
      <c r="N28" s="55"/>
      <c r="O28" s="55"/>
    </row>
    <row r="29" spans="1:15" ht="20.25" x14ac:dyDescent="0.25">
      <c r="A29" s="75"/>
      <c r="B29" s="75"/>
      <c r="C29" s="77"/>
      <c r="D29" s="77"/>
      <c r="E29" s="55"/>
      <c r="F29" s="55"/>
      <c r="G29" s="55"/>
      <c r="H29" s="55"/>
      <c r="I29" s="55"/>
      <c r="J29" s="55"/>
      <c r="K29" s="55"/>
      <c r="L29" s="55"/>
      <c r="M29" s="55"/>
      <c r="N29" s="55"/>
      <c r="O29" s="55"/>
    </row>
    <row r="30" spans="1:15" ht="20.25" x14ac:dyDescent="0.25">
      <c r="A30" s="75"/>
      <c r="B30" s="75"/>
      <c r="C30" s="77"/>
      <c r="D30" s="77"/>
      <c r="E30" s="55"/>
      <c r="F30" s="55"/>
      <c r="G30" s="55"/>
      <c r="H30" s="55"/>
      <c r="I30" s="55"/>
      <c r="J30" s="55"/>
      <c r="K30" s="55"/>
      <c r="L30" s="55"/>
      <c r="M30" s="55"/>
      <c r="N30" s="55"/>
      <c r="O30" s="55"/>
    </row>
    <row r="31" spans="1:15" ht="20.25" x14ac:dyDescent="0.25">
      <c r="A31" s="75"/>
      <c r="B31" s="75"/>
      <c r="C31" s="77"/>
      <c r="D31" s="77"/>
      <c r="E31" s="55"/>
      <c r="F31" s="55"/>
      <c r="G31" s="55"/>
      <c r="H31" s="55"/>
      <c r="I31" s="55"/>
      <c r="J31" s="55"/>
      <c r="K31" s="55"/>
      <c r="L31" s="55"/>
      <c r="M31" s="55"/>
      <c r="N31" s="55"/>
      <c r="O31" s="55"/>
    </row>
    <row r="32" spans="1:15" ht="20.25" x14ac:dyDescent="0.25">
      <c r="A32" s="75"/>
      <c r="B32" s="75"/>
      <c r="C32" s="77"/>
      <c r="D32" s="77"/>
      <c r="E32" s="55"/>
      <c r="F32" s="55"/>
      <c r="G32" s="55"/>
      <c r="H32" s="55"/>
      <c r="I32" s="55"/>
      <c r="J32" s="55"/>
      <c r="K32" s="55"/>
      <c r="L32" s="55"/>
      <c r="M32" s="55"/>
      <c r="N32" s="55"/>
      <c r="O32" s="55"/>
    </row>
    <row r="33" spans="1:15" ht="20.25" x14ac:dyDescent="0.25">
      <c r="A33" s="75"/>
      <c r="B33" s="75"/>
      <c r="C33" s="77"/>
      <c r="D33" s="77"/>
      <c r="E33" s="55"/>
      <c r="F33" s="55"/>
      <c r="G33" s="55"/>
      <c r="H33" s="55"/>
      <c r="I33" s="55"/>
      <c r="J33" s="55"/>
      <c r="K33" s="55"/>
      <c r="L33" s="55"/>
      <c r="M33" s="55"/>
      <c r="N33" s="55"/>
      <c r="O33" s="55"/>
    </row>
    <row r="34" spans="1:15" ht="20.25" x14ac:dyDescent="0.25">
      <c r="A34" s="75"/>
      <c r="B34" s="75"/>
      <c r="C34" s="77"/>
      <c r="D34" s="77"/>
      <c r="E34" s="55"/>
      <c r="F34" s="55"/>
      <c r="G34" s="55"/>
      <c r="H34" s="55"/>
      <c r="I34" s="55"/>
      <c r="J34" s="55"/>
      <c r="K34" s="55"/>
      <c r="L34" s="55"/>
      <c r="M34" s="55"/>
      <c r="N34" s="55"/>
      <c r="O34" s="55"/>
    </row>
    <row r="35" spans="1:15" ht="20.25" x14ac:dyDescent="0.25">
      <c r="A35" s="75"/>
      <c r="B35" s="75"/>
      <c r="C35" s="77"/>
      <c r="D35" s="77"/>
      <c r="E35" s="55"/>
      <c r="F35" s="55"/>
      <c r="G35" s="55"/>
      <c r="H35" s="55"/>
      <c r="I35" s="55"/>
      <c r="J35" s="55"/>
      <c r="K35" s="55"/>
      <c r="L35" s="55"/>
      <c r="M35" s="55"/>
      <c r="N35" s="55"/>
      <c r="O35" s="55"/>
    </row>
    <row r="36" spans="1:15" ht="20.25" x14ac:dyDescent="0.25">
      <c r="A36" s="75"/>
      <c r="B36" s="75"/>
      <c r="C36" s="77"/>
      <c r="D36" s="77"/>
      <c r="E36" s="55"/>
      <c r="F36" s="55"/>
      <c r="G36" s="55"/>
      <c r="H36" s="55"/>
      <c r="I36" s="55"/>
      <c r="J36" s="55"/>
      <c r="K36" s="55"/>
      <c r="L36" s="55"/>
      <c r="M36" s="55"/>
      <c r="N36" s="55"/>
      <c r="O36" s="55"/>
    </row>
    <row r="37" spans="1:15" ht="20.25" x14ac:dyDescent="0.25">
      <c r="A37" s="75"/>
      <c r="B37" s="75"/>
      <c r="C37" s="77"/>
      <c r="D37" s="77"/>
      <c r="E37" s="55"/>
      <c r="F37" s="55"/>
      <c r="G37" s="55"/>
      <c r="H37" s="55"/>
      <c r="I37" s="55"/>
      <c r="J37" s="55"/>
      <c r="K37" s="55"/>
      <c r="L37" s="55"/>
      <c r="M37" s="55"/>
      <c r="N37" s="55"/>
      <c r="O37" s="55"/>
    </row>
    <row r="38" spans="1:15" ht="20.25" x14ac:dyDescent="0.25">
      <c r="A38" s="75"/>
      <c r="B38" s="75"/>
      <c r="C38" s="77"/>
      <c r="D38" s="77"/>
      <c r="E38" s="55"/>
      <c r="F38" s="55"/>
      <c r="G38" s="55"/>
      <c r="H38" s="55"/>
      <c r="I38" s="55"/>
      <c r="J38" s="55"/>
      <c r="K38" s="55"/>
      <c r="L38" s="55"/>
      <c r="M38" s="55"/>
      <c r="N38" s="55"/>
      <c r="O38" s="55"/>
    </row>
    <row r="39" spans="1:15" ht="20.25" x14ac:dyDescent="0.25">
      <c r="A39" s="75"/>
      <c r="B39" s="75"/>
      <c r="C39" s="77"/>
      <c r="D39" s="77"/>
      <c r="E39" s="55"/>
      <c r="F39" s="55"/>
      <c r="G39" s="55"/>
      <c r="H39" s="55"/>
      <c r="I39" s="55"/>
      <c r="J39" s="55"/>
      <c r="K39" s="55"/>
      <c r="L39" s="55"/>
      <c r="M39" s="55"/>
      <c r="N39" s="55"/>
      <c r="O39" s="55"/>
    </row>
    <row r="40" spans="1:15" ht="20.25" x14ac:dyDescent="0.25">
      <c r="A40" s="75"/>
      <c r="B40" s="75"/>
      <c r="C40" s="77"/>
      <c r="D40" s="77"/>
      <c r="E40" s="55"/>
      <c r="F40" s="55"/>
      <c r="G40" s="55"/>
      <c r="H40" s="55"/>
      <c r="I40" s="55"/>
      <c r="J40" s="55"/>
      <c r="K40" s="55"/>
      <c r="L40" s="55"/>
      <c r="M40" s="55"/>
      <c r="N40" s="55"/>
      <c r="O40" s="55"/>
    </row>
    <row r="41" spans="1:15" ht="20.25" x14ac:dyDescent="0.25">
      <c r="A41" s="75"/>
      <c r="B41" s="75"/>
      <c r="C41" s="77"/>
      <c r="D41" s="77"/>
      <c r="E41" s="55"/>
      <c r="F41" s="55"/>
      <c r="G41" s="55"/>
      <c r="H41" s="55"/>
      <c r="I41" s="55"/>
      <c r="J41" s="55"/>
      <c r="K41" s="55"/>
      <c r="L41" s="55"/>
      <c r="M41" s="55"/>
      <c r="N41" s="55"/>
      <c r="O41" s="55"/>
    </row>
    <row r="42" spans="1:15" ht="20.25" x14ac:dyDescent="0.25">
      <c r="A42" s="75"/>
      <c r="B42" s="75"/>
      <c r="C42" s="77"/>
      <c r="D42" s="77"/>
      <c r="E42" s="55"/>
      <c r="F42" s="55"/>
      <c r="G42" s="55"/>
      <c r="H42" s="55"/>
      <c r="I42" s="55"/>
      <c r="J42" s="55"/>
      <c r="K42" s="55"/>
      <c r="L42" s="55"/>
      <c r="M42" s="55"/>
      <c r="N42" s="55"/>
      <c r="O42" s="55"/>
    </row>
    <row r="43" spans="1:15" ht="20.25" x14ac:dyDescent="0.25">
      <c r="A43" s="75"/>
      <c r="B43" s="75"/>
      <c r="C43" s="77"/>
      <c r="D43" s="77"/>
      <c r="E43" s="55"/>
      <c r="F43" s="55"/>
      <c r="G43" s="55"/>
      <c r="H43" s="55"/>
      <c r="I43" s="55"/>
      <c r="J43" s="55"/>
      <c r="K43" s="55"/>
      <c r="L43" s="55"/>
      <c r="M43" s="55"/>
      <c r="N43" s="55"/>
      <c r="O43" s="55"/>
    </row>
    <row r="44" spans="1:15" ht="20.25" x14ac:dyDescent="0.25">
      <c r="A44" s="75"/>
      <c r="B44" s="75"/>
      <c r="C44" s="77"/>
      <c r="D44" s="77"/>
      <c r="E44" s="55"/>
      <c r="F44" s="55"/>
      <c r="G44" s="55"/>
      <c r="H44" s="55"/>
      <c r="I44" s="55"/>
      <c r="J44" s="55"/>
      <c r="K44" s="55"/>
      <c r="L44" s="55"/>
      <c r="M44" s="55"/>
      <c r="N44" s="55"/>
      <c r="O44" s="55"/>
    </row>
    <row r="45" spans="1:15" ht="20.25" x14ac:dyDescent="0.25">
      <c r="A45" s="75"/>
      <c r="B45" s="75"/>
      <c r="C45" s="77"/>
      <c r="D45" s="77"/>
      <c r="E45" s="55"/>
      <c r="F45" s="55"/>
      <c r="G45" s="55"/>
      <c r="H45" s="55"/>
      <c r="I45" s="55"/>
      <c r="J45" s="55"/>
      <c r="K45" s="55"/>
      <c r="L45" s="55"/>
      <c r="M45" s="55"/>
      <c r="N45" s="55"/>
      <c r="O45" s="55"/>
    </row>
    <row r="46" spans="1:15" ht="20.25" x14ac:dyDescent="0.25">
      <c r="A46" s="75"/>
      <c r="B46" s="75"/>
      <c r="C46" s="77"/>
      <c r="D46" s="77"/>
      <c r="E46" s="55"/>
      <c r="F46" s="55"/>
      <c r="G46" s="55"/>
      <c r="H46" s="55"/>
      <c r="I46" s="55"/>
      <c r="J46" s="55"/>
      <c r="K46" s="55"/>
      <c r="L46" s="55"/>
      <c r="M46" s="55"/>
      <c r="N46" s="55"/>
      <c r="O46" s="55"/>
    </row>
    <row r="47" spans="1:15" ht="20.25" x14ac:dyDescent="0.25">
      <c r="A47" s="75"/>
      <c r="B47" s="75"/>
      <c r="C47" s="77"/>
      <c r="D47" s="77"/>
      <c r="E47" s="55"/>
      <c r="F47" s="55"/>
      <c r="G47" s="55"/>
      <c r="H47" s="55"/>
      <c r="I47" s="55"/>
      <c r="J47" s="55"/>
      <c r="K47" s="55"/>
      <c r="L47" s="55"/>
      <c r="M47" s="55"/>
      <c r="N47" s="55"/>
      <c r="O47" s="55"/>
    </row>
    <row r="48" spans="1:15" ht="20.25" x14ac:dyDescent="0.25">
      <c r="A48" s="75"/>
      <c r="B48" s="75"/>
      <c r="C48" s="77"/>
      <c r="D48" s="77"/>
      <c r="E48" s="55"/>
      <c r="F48" s="55"/>
      <c r="G48" s="55"/>
      <c r="H48" s="55"/>
      <c r="I48" s="55"/>
      <c r="J48" s="55"/>
      <c r="K48" s="55"/>
      <c r="L48" s="55"/>
      <c r="M48" s="55"/>
      <c r="N48" s="55"/>
      <c r="O48" s="55"/>
    </row>
    <row r="49" spans="1:15" ht="20.25" x14ac:dyDescent="0.25">
      <c r="A49" s="75"/>
      <c r="B49" s="75"/>
      <c r="C49" s="77"/>
      <c r="D49" s="77"/>
      <c r="E49" s="55"/>
      <c r="F49" s="55"/>
      <c r="G49" s="55"/>
      <c r="H49" s="55"/>
      <c r="I49" s="55"/>
      <c r="J49" s="55"/>
      <c r="K49" s="55"/>
      <c r="L49" s="55"/>
      <c r="M49" s="55"/>
      <c r="N49" s="55"/>
      <c r="O49" s="55"/>
    </row>
    <row r="50" spans="1:15" ht="20.25" x14ac:dyDescent="0.25">
      <c r="A50" s="75"/>
      <c r="B50" s="75"/>
      <c r="C50" s="77"/>
      <c r="D50" s="77"/>
      <c r="E50" s="55"/>
      <c r="F50" s="55"/>
      <c r="G50" s="55"/>
      <c r="H50" s="55"/>
      <c r="I50" s="55"/>
      <c r="J50" s="55"/>
      <c r="K50" s="55"/>
      <c r="L50" s="55"/>
      <c r="M50" s="55"/>
      <c r="N50" s="55"/>
      <c r="O50" s="55"/>
    </row>
    <row r="51" spans="1:15" ht="20.25" x14ac:dyDescent="0.25">
      <c r="A51" s="75"/>
      <c r="B51" s="75"/>
      <c r="C51" s="77"/>
      <c r="D51" s="77"/>
      <c r="E51" s="55"/>
      <c r="F51" s="55"/>
      <c r="G51" s="55"/>
      <c r="H51" s="55"/>
      <c r="I51" s="55"/>
      <c r="J51" s="55"/>
      <c r="K51" s="55"/>
      <c r="L51" s="55"/>
      <c r="M51" s="55"/>
      <c r="N51" s="55"/>
      <c r="O51" s="55"/>
    </row>
    <row r="52" spans="1:15" ht="20.25" x14ac:dyDescent="0.25">
      <c r="A52" s="75"/>
      <c r="B52" s="18"/>
      <c r="C52" s="27"/>
      <c r="D52" s="27"/>
    </row>
    <row r="53" spans="1:15" ht="20.25" x14ac:dyDescent="0.25">
      <c r="A53" s="75"/>
      <c r="B53" s="18"/>
      <c r="C53" s="27"/>
      <c r="D53" s="27"/>
    </row>
    <row r="54" spans="1:15" ht="20.25" x14ac:dyDescent="0.25">
      <c r="A54" s="75"/>
      <c r="B54" s="18"/>
      <c r="C54" s="27"/>
      <c r="D54" s="27"/>
    </row>
    <row r="55" spans="1:15" ht="20.25" x14ac:dyDescent="0.25">
      <c r="A55" s="75"/>
      <c r="B55" s="18"/>
      <c r="C55" s="27"/>
      <c r="D55" s="27"/>
    </row>
    <row r="56" spans="1:15" ht="20.25" x14ac:dyDescent="0.25">
      <c r="A56" s="75"/>
      <c r="B56" s="18"/>
      <c r="C56" s="27"/>
      <c r="D56" s="27"/>
    </row>
    <row r="57" spans="1:15" ht="20.25" x14ac:dyDescent="0.25">
      <c r="A57" s="75"/>
      <c r="B57" s="18"/>
      <c r="C57" s="27"/>
      <c r="D57" s="27"/>
    </row>
    <row r="58" spans="1:15" ht="20.25" x14ac:dyDescent="0.25">
      <c r="A58" s="75"/>
      <c r="B58" s="18"/>
      <c r="C58" s="27"/>
      <c r="D58" s="27"/>
    </row>
    <row r="59" spans="1:15" ht="20.25" x14ac:dyDescent="0.25">
      <c r="A59" s="75"/>
      <c r="B59" s="18"/>
      <c r="C59" s="27"/>
      <c r="D59" s="27"/>
    </row>
    <row r="60" spans="1:15" ht="20.25" x14ac:dyDescent="0.25">
      <c r="A60" s="75"/>
      <c r="B60" s="18"/>
      <c r="C60" s="27"/>
      <c r="D60" s="27"/>
    </row>
    <row r="61" spans="1:15" ht="20.25" x14ac:dyDescent="0.25">
      <c r="A61" s="75"/>
      <c r="B61" s="18"/>
      <c r="C61" s="27"/>
      <c r="D61" s="27"/>
    </row>
    <row r="62" spans="1:15" ht="20.25" x14ac:dyDescent="0.25">
      <c r="A62" s="75"/>
      <c r="B62" s="18"/>
      <c r="C62" s="27"/>
      <c r="D62" s="27"/>
    </row>
    <row r="63" spans="1:15" ht="20.25" x14ac:dyDescent="0.25">
      <c r="A63" s="75"/>
      <c r="B63" s="18"/>
      <c r="C63" s="27"/>
      <c r="D63" s="27"/>
    </row>
    <row r="64" spans="1:15" ht="20.25" x14ac:dyDescent="0.25">
      <c r="A64" s="75"/>
      <c r="B64" s="18"/>
      <c r="C64" s="27"/>
      <c r="D64" s="27"/>
    </row>
    <row r="65" spans="1:4" ht="20.25" x14ac:dyDescent="0.25">
      <c r="A65" s="75"/>
      <c r="B65" s="18"/>
      <c r="C65" s="27"/>
      <c r="D65" s="27"/>
    </row>
    <row r="66" spans="1:4" ht="20.25" x14ac:dyDescent="0.25">
      <c r="A66" s="75"/>
      <c r="B66" s="18"/>
      <c r="C66" s="27"/>
      <c r="D66" s="27"/>
    </row>
    <row r="67" spans="1:4" ht="20.25" x14ac:dyDescent="0.25">
      <c r="A67" s="75"/>
      <c r="B67" s="18"/>
      <c r="C67" s="27"/>
      <c r="D67" s="27"/>
    </row>
    <row r="68" spans="1:4" ht="20.25" x14ac:dyDescent="0.25">
      <c r="A68" s="75"/>
      <c r="B68" s="18"/>
      <c r="C68" s="27"/>
      <c r="D68" s="27"/>
    </row>
    <row r="69" spans="1:4" ht="20.25" x14ac:dyDescent="0.25">
      <c r="A69" s="75"/>
      <c r="B69" s="18"/>
      <c r="C69" s="27"/>
      <c r="D69" s="27"/>
    </row>
    <row r="70" spans="1:4" ht="20.25" x14ac:dyDescent="0.25">
      <c r="A70" s="75"/>
      <c r="B70" s="18"/>
      <c r="C70" s="27"/>
      <c r="D70" s="27"/>
    </row>
    <row r="71" spans="1:4" ht="20.25" x14ac:dyDescent="0.25">
      <c r="A71" s="75"/>
      <c r="B71" s="18"/>
      <c r="C71" s="27"/>
      <c r="D71" s="27"/>
    </row>
    <row r="72" spans="1:4" ht="20.25" x14ac:dyDescent="0.25">
      <c r="A72" s="75"/>
      <c r="B72" s="18"/>
      <c r="C72" s="27"/>
      <c r="D72" s="27"/>
    </row>
    <row r="73" spans="1:4" ht="20.25" x14ac:dyDescent="0.25">
      <c r="A73" s="75"/>
      <c r="B73" s="18"/>
      <c r="C73" s="27"/>
      <c r="D73" s="27"/>
    </row>
    <row r="74" spans="1:4" ht="20.25" x14ac:dyDescent="0.25">
      <c r="A74" s="75"/>
      <c r="B74" s="18"/>
      <c r="C74" s="27"/>
      <c r="D74" s="27"/>
    </row>
    <row r="75" spans="1:4" ht="20.25" x14ac:dyDescent="0.25">
      <c r="A75" s="75"/>
      <c r="B75" s="18"/>
      <c r="C75" s="27"/>
      <c r="D75" s="27"/>
    </row>
    <row r="76" spans="1:4" ht="20.25" x14ac:dyDescent="0.25">
      <c r="A76" s="75"/>
      <c r="B76" s="18"/>
      <c r="C76" s="27"/>
      <c r="D76" s="27"/>
    </row>
    <row r="77" spans="1:4" ht="20.25" x14ac:dyDescent="0.25">
      <c r="A77" s="75"/>
      <c r="B77" s="18"/>
      <c r="C77" s="27"/>
      <c r="D77" s="27"/>
    </row>
    <row r="78" spans="1:4" ht="20.25" x14ac:dyDescent="0.25">
      <c r="A78" s="75"/>
      <c r="B78" s="18"/>
      <c r="C78" s="27"/>
      <c r="D78" s="27"/>
    </row>
    <row r="79" spans="1:4" ht="20.25" x14ac:dyDescent="0.25">
      <c r="A79" s="75"/>
      <c r="B79" s="18"/>
      <c r="C79" s="27"/>
      <c r="D79" s="27"/>
    </row>
    <row r="80" spans="1:4" ht="20.25" x14ac:dyDescent="0.25">
      <c r="A80" s="75"/>
      <c r="B80" s="18"/>
      <c r="C80" s="27"/>
      <c r="D80" s="27"/>
    </row>
    <row r="81" spans="1:4" ht="20.25" x14ac:dyDescent="0.25">
      <c r="A81" s="75"/>
      <c r="B81" s="18"/>
      <c r="C81" s="27"/>
      <c r="D81" s="27"/>
    </row>
    <row r="82" spans="1:4" ht="20.25" x14ac:dyDescent="0.25">
      <c r="A82" s="75"/>
      <c r="B82" s="18"/>
      <c r="C82" s="27"/>
      <c r="D82" s="27"/>
    </row>
    <row r="83" spans="1:4" ht="20.25" x14ac:dyDescent="0.25">
      <c r="A83" s="75"/>
      <c r="B83" s="18"/>
      <c r="C83" s="27"/>
      <c r="D83" s="27"/>
    </row>
    <row r="84" spans="1:4" ht="20.25" x14ac:dyDescent="0.25">
      <c r="A84" s="75"/>
      <c r="B84" s="18"/>
      <c r="C84" s="27"/>
      <c r="D84" s="27"/>
    </row>
    <row r="85" spans="1:4" ht="20.25" x14ac:dyDescent="0.25">
      <c r="A85" s="75"/>
      <c r="B85" s="18"/>
      <c r="C85" s="27"/>
      <c r="D85" s="27"/>
    </row>
    <row r="86" spans="1:4" ht="20.25" x14ac:dyDescent="0.25">
      <c r="A86" s="75"/>
      <c r="B86" s="18"/>
      <c r="C86" s="27"/>
      <c r="D86" s="27"/>
    </row>
    <row r="87" spans="1:4" ht="20.25" x14ac:dyDescent="0.25">
      <c r="A87" s="75"/>
      <c r="B87" s="18"/>
      <c r="C87" s="27"/>
      <c r="D87" s="27"/>
    </row>
    <row r="88" spans="1:4" ht="20.25" x14ac:dyDescent="0.25">
      <c r="A88" s="75"/>
      <c r="B88" s="18"/>
      <c r="C88" s="27"/>
      <c r="D88" s="27"/>
    </row>
    <row r="89" spans="1:4" ht="20.25" x14ac:dyDescent="0.25">
      <c r="A89" s="75"/>
      <c r="B89" s="18"/>
      <c r="C89" s="27"/>
      <c r="D89" s="27"/>
    </row>
    <row r="90" spans="1:4" ht="20.25" x14ac:dyDescent="0.25">
      <c r="A90" s="75"/>
      <c r="B90" s="18"/>
      <c r="C90" s="27"/>
      <c r="D90" s="27"/>
    </row>
    <row r="91" spans="1:4" ht="20.25" x14ac:dyDescent="0.25">
      <c r="A91" s="75"/>
      <c r="B91" s="18"/>
      <c r="C91" s="27"/>
      <c r="D91" s="27"/>
    </row>
    <row r="92" spans="1:4" ht="20.25" x14ac:dyDescent="0.25">
      <c r="A92" s="75"/>
      <c r="B92" s="18"/>
      <c r="C92" s="27"/>
      <c r="D92" s="27"/>
    </row>
    <row r="93" spans="1:4" ht="20.25" x14ac:dyDescent="0.25">
      <c r="A93" s="75"/>
      <c r="B93" s="18"/>
      <c r="C93" s="27"/>
      <c r="D93" s="27"/>
    </row>
    <row r="94" spans="1:4" ht="20.25" x14ac:dyDescent="0.25">
      <c r="A94" s="75"/>
      <c r="B94" s="18"/>
      <c r="C94" s="27"/>
      <c r="D94" s="27"/>
    </row>
    <row r="95" spans="1:4" ht="20.25" x14ac:dyDescent="0.25">
      <c r="A95" s="75"/>
      <c r="B95" s="18"/>
      <c r="C95" s="27"/>
      <c r="D95" s="27"/>
    </row>
    <row r="96" spans="1:4" ht="20.25" x14ac:dyDescent="0.25">
      <c r="A96" s="75"/>
      <c r="B96" s="18"/>
      <c r="C96" s="27"/>
      <c r="D96" s="27"/>
    </row>
    <row r="97" spans="1:4" ht="20.25" x14ac:dyDescent="0.25">
      <c r="A97" s="75"/>
      <c r="B97" s="18"/>
      <c r="C97" s="27"/>
      <c r="D97" s="27"/>
    </row>
    <row r="98" spans="1:4" ht="20.25" x14ac:dyDescent="0.25">
      <c r="A98" s="75"/>
      <c r="B98" s="18"/>
      <c r="C98" s="27"/>
      <c r="D98" s="27"/>
    </row>
    <row r="99" spans="1:4" ht="20.25" x14ac:dyDescent="0.25">
      <c r="A99" s="75"/>
      <c r="B99" s="18"/>
      <c r="C99" s="27"/>
      <c r="D99" s="27"/>
    </row>
    <row r="100" spans="1:4" ht="20.25" x14ac:dyDescent="0.25">
      <c r="A100" s="75"/>
      <c r="B100" s="18"/>
      <c r="C100" s="27"/>
      <c r="D100" s="27"/>
    </row>
    <row r="101" spans="1:4" ht="20.25" x14ac:dyDescent="0.25">
      <c r="A101" s="75"/>
      <c r="B101" s="18"/>
      <c r="C101" s="27"/>
      <c r="D101" s="27"/>
    </row>
    <row r="102" spans="1:4" ht="20.25" x14ac:dyDescent="0.25">
      <c r="A102" s="75"/>
      <c r="B102" s="18"/>
      <c r="C102" s="27"/>
      <c r="D102" s="27"/>
    </row>
    <row r="103" spans="1:4" ht="20.25" x14ac:dyDescent="0.25">
      <c r="A103" s="75"/>
      <c r="B103" s="18"/>
      <c r="C103" s="27"/>
      <c r="D103" s="27"/>
    </row>
    <row r="104" spans="1:4" ht="20.25" x14ac:dyDescent="0.25">
      <c r="A104" s="75"/>
      <c r="B104" s="18"/>
      <c r="C104" s="27"/>
      <c r="D104" s="27"/>
    </row>
    <row r="105" spans="1:4" ht="20.25" x14ac:dyDescent="0.25">
      <c r="A105" s="75"/>
      <c r="B105" s="18"/>
      <c r="C105" s="27"/>
      <c r="D105" s="27"/>
    </row>
    <row r="106" spans="1:4" ht="20.25" x14ac:dyDescent="0.25">
      <c r="A106" s="75"/>
      <c r="B106" s="18"/>
      <c r="C106" s="27"/>
      <c r="D106" s="27"/>
    </row>
    <row r="107" spans="1:4" ht="20.25" x14ac:dyDescent="0.25">
      <c r="A107" s="75"/>
      <c r="B107" s="18"/>
      <c r="C107" s="27"/>
      <c r="D107" s="27"/>
    </row>
    <row r="108" spans="1:4" ht="20.25" x14ac:dyDescent="0.25">
      <c r="A108" s="75"/>
      <c r="B108" s="18"/>
      <c r="C108" s="27"/>
      <c r="D108" s="27"/>
    </row>
    <row r="109" spans="1:4" ht="20.25" x14ac:dyDescent="0.25">
      <c r="A109" s="75"/>
      <c r="B109" s="18"/>
      <c r="C109" s="27"/>
      <c r="D109" s="27"/>
    </row>
    <row r="110" spans="1:4" ht="20.25" x14ac:dyDescent="0.25">
      <c r="A110" s="75"/>
      <c r="B110" s="18"/>
      <c r="C110" s="27"/>
      <c r="D110" s="27"/>
    </row>
    <row r="111" spans="1:4" ht="20.25" x14ac:dyDescent="0.25">
      <c r="A111" s="75"/>
      <c r="B111" s="18"/>
      <c r="C111" s="27"/>
      <c r="D111" s="27"/>
    </row>
    <row r="112" spans="1:4" ht="20.25" x14ac:dyDescent="0.25">
      <c r="A112" s="75"/>
      <c r="B112" s="18"/>
      <c r="C112" s="27"/>
      <c r="D112" s="27"/>
    </row>
    <row r="113" spans="1:4" ht="20.25" x14ac:dyDescent="0.25">
      <c r="A113" s="75"/>
      <c r="B113" s="18"/>
      <c r="C113" s="27"/>
      <c r="D113" s="27"/>
    </row>
    <row r="114" spans="1:4" ht="20.25" x14ac:dyDescent="0.25">
      <c r="A114" s="75"/>
      <c r="B114" s="18"/>
      <c r="C114" s="27"/>
      <c r="D114" s="27"/>
    </row>
    <row r="115" spans="1:4" ht="20.25" x14ac:dyDescent="0.25">
      <c r="A115" s="75"/>
      <c r="B115" s="18"/>
      <c r="C115" s="27"/>
      <c r="D115" s="27"/>
    </row>
    <row r="116" spans="1:4" ht="20.25" x14ac:dyDescent="0.25">
      <c r="A116" s="75"/>
      <c r="B116" s="18"/>
      <c r="C116" s="27"/>
      <c r="D116" s="27"/>
    </row>
    <row r="117" spans="1:4" ht="20.25" x14ac:dyDescent="0.25">
      <c r="A117" s="75"/>
      <c r="B117" s="18"/>
      <c r="C117" s="27"/>
      <c r="D117" s="27"/>
    </row>
    <row r="118" spans="1:4" ht="20.25" x14ac:dyDescent="0.25">
      <c r="A118" s="75"/>
      <c r="B118" s="18"/>
      <c r="C118" s="27"/>
      <c r="D118" s="27"/>
    </row>
    <row r="119" spans="1:4" ht="20.25" x14ac:dyDescent="0.25">
      <c r="A119" s="75"/>
      <c r="B119" s="18"/>
      <c r="C119" s="27"/>
      <c r="D119" s="27"/>
    </row>
    <row r="120" spans="1:4" ht="20.25" x14ac:dyDescent="0.25">
      <c r="A120" s="75"/>
      <c r="B120" s="18"/>
      <c r="C120" s="27"/>
      <c r="D120" s="27"/>
    </row>
    <row r="121" spans="1:4" ht="20.25" x14ac:dyDescent="0.25">
      <c r="A121" s="75"/>
      <c r="B121" s="18"/>
      <c r="C121" s="27"/>
      <c r="D121" s="27"/>
    </row>
    <row r="122" spans="1:4" ht="20.25" x14ac:dyDescent="0.25">
      <c r="A122" s="75"/>
      <c r="B122" s="18"/>
      <c r="C122" s="27"/>
      <c r="D122" s="27"/>
    </row>
    <row r="123" spans="1:4" ht="20.25" x14ac:dyDescent="0.25">
      <c r="A123" s="75"/>
      <c r="B123" s="18"/>
      <c r="C123" s="27"/>
      <c r="D123" s="27"/>
    </row>
    <row r="124" spans="1:4" ht="20.25" x14ac:dyDescent="0.25">
      <c r="A124" s="75"/>
      <c r="B124" s="18"/>
      <c r="C124" s="27"/>
      <c r="D124" s="27"/>
    </row>
    <row r="125" spans="1:4" ht="20.25" x14ac:dyDescent="0.25">
      <c r="A125" s="75"/>
      <c r="B125" s="18"/>
      <c r="C125" s="27"/>
      <c r="D125" s="27"/>
    </row>
    <row r="126" spans="1:4" ht="20.25" x14ac:dyDescent="0.25">
      <c r="A126" s="75"/>
      <c r="B126" s="18"/>
      <c r="C126" s="27"/>
      <c r="D126" s="27"/>
    </row>
    <row r="127" spans="1:4" ht="20.25" x14ac:dyDescent="0.25">
      <c r="A127" s="75"/>
      <c r="B127" s="18"/>
      <c r="C127" s="27"/>
      <c r="D127" s="27"/>
    </row>
    <row r="128" spans="1:4" ht="20.25" x14ac:dyDescent="0.25">
      <c r="A128" s="75"/>
      <c r="B128" s="18"/>
      <c r="C128" s="27"/>
      <c r="D128" s="27"/>
    </row>
    <row r="129" spans="1:4" ht="20.25" x14ac:dyDescent="0.25">
      <c r="A129" s="75"/>
      <c r="B129" s="18"/>
      <c r="C129" s="27"/>
      <c r="D129" s="27"/>
    </row>
    <row r="130" spans="1:4" ht="20.25" x14ac:dyDescent="0.25">
      <c r="A130" s="75"/>
      <c r="B130" s="18"/>
      <c r="C130" s="27"/>
      <c r="D130" s="27"/>
    </row>
    <row r="131" spans="1:4" ht="20.25" x14ac:dyDescent="0.25">
      <c r="A131" s="75"/>
      <c r="B131" s="18"/>
      <c r="C131" s="27"/>
      <c r="D131" s="27"/>
    </row>
    <row r="132" spans="1:4" ht="20.25" x14ac:dyDescent="0.25">
      <c r="A132" s="75"/>
      <c r="B132" s="18"/>
      <c r="C132" s="27"/>
      <c r="D132" s="27"/>
    </row>
    <row r="133" spans="1:4" ht="20.25" x14ac:dyDescent="0.25">
      <c r="A133" s="75"/>
      <c r="B133" s="18"/>
      <c r="C133" s="27"/>
      <c r="D133" s="27"/>
    </row>
    <row r="134" spans="1:4" ht="20.25" x14ac:dyDescent="0.25">
      <c r="A134" s="75"/>
      <c r="B134" s="18"/>
      <c r="C134" s="27"/>
      <c r="D134" s="27"/>
    </row>
    <row r="135" spans="1:4" ht="20.25" x14ac:dyDescent="0.25">
      <c r="A135" s="75"/>
      <c r="B135" s="18"/>
      <c r="C135" s="27"/>
      <c r="D135" s="27"/>
    </row>
    <row r="136" spans="1:4" ht="20.25" x14ac:dyDescent="0.25">
      <c r="A136" s="75"/>
      <c r="B136" s="18"/>
      <c r="C136" s="27"/>
      <c r="D136" s="27"/>
    </row>
    <row r="137" spans="1:4" ht="20.25" x14ac:dyDescent="0.25">
      <c r="A137" s="75"/>
      <c r="B137" s="18"/>
      <c r="C137" s="27"/>
      <c r="D137" s="27"/>
    </row>
    <row r="138" spans="1:4" ht="20.25" x14ac:dyDescent="0.25">
      <c r="A138" s="75"/>
      <c r="B138" s="18"/>
      <c r="C138" s="27"/>
      <c r="D138" s="27"/>
    </row>
    <row r="139" spans="1:4" ht="20.25" x14ac:dyDescent="0.25">
      <c r="A139" s="75"/>
      <c r="B139" s="18"/>
      <c r="C139" s="27"/>
      <c r="D139" s="27"/>
    </row>
    <row r="140" spans="1:4" ht="20.25" x14ac:dyDescent="0.25">
      <c r="A140" s="75"/>
      <c r="B140" s="18"/>
      <c r="C140" s="27"/>
      <c r="D140" s="27"/>
    </row>
    <row r="141" spans="1:4" ht="20.25" x14ac:dyDescent="0.25">
      <c r="A141" s="75"/>
      <c r="B141" s="18"/>
      <c r="C141" s="27"/>
      <c r="D141" s="27"/>
    </row>
    <row r="142" spans="1:4" ht="20.25" x14ac:dyDescent="0.25">
      <c r="A142" s="75"/>
      <c r="B142" s="18"/>
      <c r="C142" s="27"/>
      <c r="D142" s="27"/>
    </row>
    <row r="143" spans="1:4" ht="20.25" x14ac:dyDescent="0.25">
      <c r="A143" s="75"/>
      <c r="B143" s="18"/>
      <c r="C143" s="27"/>
      <c r="D143" s="27"/>
    </row>
    <row r="144" spans="1:4" ht="20.25" x14ac:dyDescent="0.25">
      <c r="A144" s="75"/>
      <c r="B144" s="18"/>
      <c r="C144" s="27"/>
      <c r="D144" s="27"/>
    </row>
    <row r="145" spans="1:4" ht="20.25" x14ac:dyDescent="0.25">
      <c r="A145" s="75"/>
      <c r="B145" s="18"/>
      <c r="C145" s="27"/>
      <c r="D145" s="27"/>
    </row>
    <row r="146" spans="1:4" ht="20.25" x14ac:dyDescent="0.25">
      <c r="A146" s="75"/>
      <c r="B146" s="18"/>
      <c r="C146" s="27"/>
      <c r="D146" s="27"/>
    </row>
    <row r="147" spans="1:4" ht="20.25" x14ac:dyDescent="0.25">
      <c r="A147" s="75"/>
      <c r="B147" s="18"/>
      <c r="C147" s="27"/>
      <c r="D147" s="27"/>
    </row>
    <row r="148" spans="1:4" ht="20.25" x14ac:dyDescent="0.25">
      <c r="A148" s="75"/>
      <c r="B148" s="18"/>
      <c r="C148" s="27"/>
      <c r="D148" s="27"/>
    </row>
    <row r="149" spans="1:4" ht="20.25" x14ac:dyDescent="0.25">
      <c r="A149" s="75"/>
      <c r="B149" s="18"/>
      <c r="C149" s="27"/>
      <c r="D149" s="27"/>
    </row>
    <row r="150" spans="1:4" ht="20.25" x14ac:dyDescent="0.25">
      <c r="A150" s="75"/>
      <c r="B150" s="18"/>
      <c r="C150" s="27"/>
      <c r="D150" s="27"/>
    </row>
    <row r="151" spans="1:4" ht="20.25" x14ac:dyDescent="0.25">
      <c r="A151" s="75"/>
      <c r="B151" s="18"/>
      <c r="C151" s="27"/>
      <c r="D151" s="27"/>
    </row>
    <row r="152" spans="1:4" ht="20.25" x14ac:dyDescent="0.25">
      <c r="A152" s="75"/>
      <c r="B152" s="18"/>
      <c r="C152" s="27"/>
      <c r="D152" s="27"/>
    </row>
    <row r="153" spans="1:4" ht="20.25" x14ac:dyDescent="0.25">
      <c r="A153" s="75"/>
      <c r="B153" s="18"/>
      <c r="C153" s="27"/>
      <c r="D153" s="27"/>
    </row>
    <row r="154" spans="1:4" ht="20.25" x14ac:dyDescent="0.25">
      <c r="A154" s="75"/>
      <c r="B154" s="18"/>
      <c r="C154" s="27"/>
      <c r="D154" s="27"/>
    </row>
    <row r="155" spans="1:4" ht="20.25" x14ac:dyDescent="0.25">
      <c r="A155" s="75"/>
      <c r="B155" s="18"/>
      <c r="C155" s="27"/>
      <c r="D155" s="27"/>
    </row>
    <row r="156" spans="1:4" ht="20.25" x14ac:dyDescent="0.25">
      <c r="A156" s="75"/>
      <c r="B156" s="18"/>
      <c r="C156" s="27"/>
      <c r="D156" s="27"/>
    </row>
    <row r="157" spans="1:4" ht="20.25" x14ac:dyDescent="0.25">
      <c r="A157" s="75"/>
      <c r="B157" s="18"/>
      <c r="C157" s="27"/>
      <c r="D157" s="27"/>
    </row>
    <row r="158" spans="1:4" ht="20.25" x14ac:dyDescent="0.25">
      <c r="A158" s="75"/>
      <c r="B158" s="18"/>
      <c r="C158" s="27"/>
      <c r="D158" s="27"/>
    </row>
    <row r="159" spans="1:4" ht="20.25" x14ac:dyDescent="0.25">
      <c r="A159" s="75"/>
      <c r="B159" s="18"/>
      <c r="C159" s="27"/>
      <c r="D159" s="27"/>
    </row>
    <row r="160" spans="1:4" ht="20.25" x14ac:dyDescent="0.25">
      <c r="A160" s="75"/>
      <c r="B160" s="18"/>
      <c r="C160" s="27"/>
      <c r="D160" s="27"/>
    </row>
    <row r="161" spans="1:4" ht="20.25" x14ac:dyDescent="0.25">
      <c r="A161" s="75"/>
      <c r="B161" s="18"/>
      <c r="C161" s="27"/>
      <c r="D161" s="27"/>
    </row>
    <row r="162" spans="1:4" ht="20.25" x14ac:dyDescent="0.25">
      <c r="A162" s="75"/>
      <c r="B162" s="18"/>
      <c r="C162" s="27"/>
      <c r="D162" s="27"/>
    </row>
    <row r="163" spans="1:4" ht="20.25" x14ac:dyDescent="0.25">
      <c r="A163" s="75"/>
      <c r="B163" s="18"/>
      <c r="C163" s="27"/>
      <c r="D163" s="27"/>
    </row>
    <row r="164" spans="1:4" ht="20.25" x14ac:dyDescent="0.25">
      <c r="A164" s="75"/>
      <c r="B164" s="18"/>
      <c r="C164" s="27"/>
      <c r="D164" s="27"/>
    </row>
    <row r="165" spans="1:4" ht="20.25" x14ac:dyDescent="0.25">
      <c r="A165" s="75"/>
      <c r="B165" s="18"/>
      <c r="C165" s="27"/>
      <c r="D165" s="27"/>
    </row>
    <row r="166" spans="1:4" ht="20.25" x14ac:dyDescent="0.25">
      <c r="A166" s="75"/>
      <c r="B166" s="18"/>
      <c r="C166" s="27"/>
      <c r="D166" s="27"/>
    </row>
    <row r="167" spans="1:4" ht="20.25" x14ac:dyDescent="0.25">
      <c r="A167" s="75"/>
      <c r="B167" s="18"/>
      <c r="C167" s="27"/>
      <c r="D167" s="27"/>
    </row>
    <row r="168" spans="1:4" ht="20.25" x14ac:dyDescent="0.25">
      <c r="A168" s="75"/>
      <c r="B168" s="18"/>
      <c r="C168" s="27"/>
      <c r="D168" s="27"/>
    </row>
    <row r="169" spans="1:4" ht="20.25" x14ac:dyDescent="0.25">
      <c r="A169" s="75"/>
      <c r="B169" s="18"/>
      <c r="C169" s="27"/>
      <c r="D169" s="27"/>
    </row>
    <row r="170" spans="1:4" ht="20.25" x14ac:dyDescent="0.25">
      <c r="A170" s="75"/>
      <c r="B170" s="18"/>
      <c r="C170" s="27"/>
      <c r="D170" s="27"/>
    </row>
    <row r="171" spans="1:4" ht="20.25" x14ac:dyDescent="0.25">
      <c r="A171" s="75"/>
      <c r="B171" s="18"/>
      <c r="C171" s="27"/>
      <c r="D171" s="27"/>
    </row>
    <row r="172" spans="1:4" ht="20.25" x14ac:dyDescent="0.25">
      <c r="A172" s="75"/>
      <c r="B172" s="18"/>
      <c r="C172" s="27"/>
      <c r="D172" s="27"/>
    </row>
    <row r="173" spans="1:4" ht="20.25" x14ac:dyDescent="0.25">
      <c r="A173" s="75"/>
      <c r="B173" s="18"/>
      <c r="C173" s="27"/>
      <c r="D173" s="27"/>
    </row>
    <row r="174" spans="1:4" ht="20.25" x14ac:dyDescent="0.25">
      <c r="A174" s="75"/>
      <c r="B174" s="18"/>
      <c r="C174" s="27"/>
      <c r="D174" s="27"/>
    </row>
    <row r="175" spans="1:4" ht="20.25" x14ac:dyDescent="0.25">
      <c r="A175" s="75"/>
      <c r="B175" s="18"/>
      <c r="C175" s="27"/>
      <c r="D175" s="27"/>
    </row>
    <row r="176" spans="1:4" ht="20.25" x14ac:dyDescent="0.25">
      <c r="A176" s="75"/>
      <c r="B176" s="18"/>
      <c r="C176" s="27"/>
      <c r="D176" s="27"/>
    </row>
    <row r="177" spans="1:4" ht="20.25" x14ac:dyDescent="0.25">
      <c r="A177" s="75"/>
      <c r="B177" s="18"/>
      <c r="C177" s="27"/>
      <c r="D177" s="27"/>
    </row>
    <row r="178" spans="1:4" ht="20.25" x14ac:dyDescent="0.25">
      <c r="A178" s="75"/>
      <c r="B178" s="18"/>
      <c r="C178" s="27"/>
      <c r="D178" s="27"/>
    </row>
    <row r="179" spans="1:4" ht="20.25" x14ac:dyDescent="0.25">
      <c r="A179" s="75"/>
      <c r="B179" s="18"/>
      <c r="C179" s="27"/>
      <c r="D179" s="27"/>
    </row>
    <row r="180" spans="1:4" ht="20.25" x14ac:dyDescent="0.25">
      <c r="A180" s="75"/>
      <c r="B180" s="18"/>
      <c r="C180" s="27"/>
      <c r="D180" s="27"/>
    </row>
    <row r="181" spans="1:4" ht="20.25" x14ac:dyDescent="0.25">
      <c r="A181" s="75"/>
      <c r="B181" s="18"/>
      <c r="C181" s="27"/>
      <c r="D181" s="27"/>
    </row>
    <row r="182" spans="1:4" ht="20.25" x14ac:dyDescent="0.25">
      <c r="A182" s="75"/>
      <c r="B182" s="18"/>
      <c r="C182" s="27"/>
      <c r="D182" s="27"/>
    </row>
    <row r="183" spans="1:4" ht="20.25" x14ac:dyDescent="0.25">
      <c r="A183" s="75"/>
      <c r="B183" s="18"/>
      <c r="C183" s="27"/>
      <c r="D183" s="27"/>
    </row>
    <row r="184" spans="1:4" ht="20.25" x14ac:dyDescent="0.25">
      <c r="A184" s="75"/>
      <c r="B184" s="18"/>
      <c r="C184" s="27"/>
      <c r="D184" s="27"/>
    </row>
    <row r="185" spans="1:4" ht="20.25" x14ac:dyDescent="0.25">
      <c r="A185" s="75"/>
      <c r="B185" s="18"/>
      <c r="C185" s="27"/>
      <c r="D185" s="27"/>
    </row>
    <row r="186" spans="1:4" ht="20.25" x14ac:dyDescent="0.25">
      <c r="A186" s="75"/>
      <c r="B186" s="18"/>
      <c r="C186" s="27"/>
      <c r="D186" s="27"/>
    </row>
    <row r="187" spans="1:4" ht="20.25" x14ac:dyDescent="0.25">
      <c r="A187" s="75"/>
      <c r="B187" s="18"/>
      <c r="C187" s="27"/>
      <c r="D187" s="27"/>
    </row>
    <row r="188" spans="1:4" ht="20.25" x14ac:dyDescent="0.25">
      <c r="A188" s="75"/>
      <c r="B188" s="18"/>
      <c r="C188" s="27"/>
      <c r="D188" s="27"/>
    </row>
    <row r="189" spans="1:4" ht="20.25" x14ac:dyDescent="0.25">
      <c r="A189" s="75"/>
      <c r="B189" s="18"/>
      <c r="C189" s="27"/>
      <c r="D189" s="27"/>
    </row>
    <row r="190" spans="1:4" ht="20.25" x14ac:dyDescent="0.25">
      <c r="A190" s="75"/>
      <c r="B190" s="18"/>
      <c r="C190" s="27"/>
      <c r="D190" s="27"/>
    </row>
    <row r="191" spans="1:4" ht="20.25" x14ac:dyDescent="0.25">
      <c r="A191" s="75"/>
      <c r="B191" s="18"/>
      <c r="C191" s="27"/>
      <c r="D191" s="27"/>
    </row>
    <row r="192" spans="1:4" ht="20.25" x14ac:dyDescent="0.25">
      <c r="A192" s="75"/>
      <c r="B192" s="18"/>
      <c r="C192" s="27"/>
      <c r="D192" s="27"/>
    </row>
    <row r="193" spans="1:4" ht="20.25" x14ac:dyDescent="0.25">
      <c r="A193" s="75"/>
      <c r="B193" s="18"/>
      <c r="C193" s="27"/>
      <c r="D193" s="27"/>
    </row>
    <row r="194" spans="1:4" ht="20.25" x14ac:dyDescent="0.25">
      <c r="A194" s="75"/>
      <c r="B194" s="18"/>
      <c r="C194" s="27"/>
      <c r="D194" s="27"/>
    </row>
    <row r="195" spans="1:4" ht="20.25" x14ac:dyDescent="0.25">
      <c r="A195" s="75"/>
      <c r="B195" s="18"/>
      <c r="C195" s="27"/>
      <c r="D195" s="27"/>
    </row>
    <row r="196" spans="1:4" ht="20.25" x14ac:dyDescent="0.25">
      <c r="A196" s="75"/>
      <c r="B196" s="18"/>
      <c r="C196" s="27"/>
      <c r="D196" s="27"/>
    </row>
    <row r="197" spans="1:4" ht="20.25" x14ac:dyDescent="0.25">
      <c r="A197" s="75"/>
      <c r="B197" s="18"/>
      <c r="C197" s="27"/>
      <c r="D197" s="27"/>
    </row>
    <row r="198" spans="1:4" ht="20.25" x14ac:dyDescent="0.25">
      <c r="A198" s="75"/>
      <c r="B198" s="18"/>
      <c r="C198" s="27"/>
      <c r="D198" s="27"/>
    </row>
    <row r="199" spans="1:4" ht="20.25" x14ac:dyDescent="0.25">
      <c r="A199" s="75"/>
      <c r="B199" s="18"/>
      <c r="C199" s="27"/>
      <c r="D199" s="27"/>
    </row>
    <row r="200" spans="1:4" ht="20.25" x14ac:dyDescent="0.25">
      <c r="A200" s="75"/>
      <c r="B200" s="18"/>
      <c r="C200" s="27"/>
      <c r="D200" s="27"/>
    </row>
    <row r="201" spans="1:4" ht="20.25" x14ac:dyDescent="0.25">
      <c r="A201" s="75"/>
      <c r="B201" s="18"/>
      <c r="C201" s="27"/>
      <c r="D201" s="27"/>
    </row>
    <row r="202" spans="1:4" ht="20.25" x14ac:dyDescent="0.25">
      <c r="A202" s="75"/>
      <c r="B202" s="18"/>
      <c r="C202" s="27"/>
      <c r="D202" s="27"/>
    </row>
    <row r="203" spans="1:4" ht="20.25" x14ac:dyDescent="0.25">
      <c r="A203" s="75"/>
      <c r="B203" s="18"/>
      <c r="C203" s="27"/>
      <c r="D203" s="27"/>
    </row>
    <row r="204" spans="1:4" ht="20.25" x14ac:dyDescent="0.25">
      <c r="A204" s="75"/>
      <c r="B204" s="18"/>
      <c r="C204" s="27"/>
      <c r="D204" s="27"/>
    </row>
    <row r="205" spans="1:4" ht="20.25" x14ac:dyDescent="0.25">
      <c r="A205" s="75"/>
      <c r="B205" s="18"/>
      <c r="C205" s="27"/>
      <c r="D205" s="27"/>
    </row>
    <row r="206" spans="1:4" ht="20.25" x14ac:dyDescent="0.25">
      <c r="A206" s="75"/>
      <c r="B206" s="18"/>
      <c r="C206" s="27"/>
      <c r="D206" s="27"/>
    </row>
    <row r="207" spans="1:4" ht="20.25" x14ac:dyDescent="0.25">
      <c r="A207" s="75"/>
      <c r="B207" s="18"/>
      <c r="C207" s="27"/>
      <c r="D207" s="27"/>
    </row>
    <row r="208" spans="1:4" x14ac:dyDescent="0.25">
      <c r="A208" s="55"/>
      <c r="B208" s="18"/>
      <c r="C208" s="18"/>
      <c r="D208" s="18"/>
    </row>
    <row r="209" spans="1:8" ht="20.25" x14ac:dyDescent="0.25">
      <c r="A209" s="55"/>
      <c r="B209" s="23" t="s">
        <v>81</v>
      </c>
      <c r="C209" s="23" t="s">
        <v>129</v>
      </c>
      <c r="D209" s="26" t="s">
        <v>81</v>
      </c>
      <c r="E209" s="26" t="s">
        <v>129</v>
      </c>
    </row>
    <row r="210" spans="1:8" ht="21" x14ac:dyDescent="0.35">
      <c r="A210" s="55"/>
      <c r="B210" s="24" t="s">
        <v>83</v>
      </c>
      <c r="C210" s="24"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55"/>
      <c r="B211" s="24" t="s">
        <v>83</v>
      </c>
      <c r="C211" s="24" t="s">
        <v>86</v>
      </c>
      <c r="E211" t="s">
        <v>52</v>
      </c>
      <c r="F211" t="str">
        <f t="shared" si="0"/>
        <v xml:space="preserve"> Afectación menor a 10 SMLMV .</v>
      </c>
    </row>
    <row r="212" spans="1:8" ht="21" x14ac:dyDescent="0.35">
      <c r="A212" s="55"/>
      <c r="B212" s="24" t="s">
        <v>83</v>
      </c>
      <c r="C212" s="24" t="s">
        <v>87</v>
      </c>
      <c r="E212" t="s">
        <v>86</v>
      </c>
      <c r="F212" t="str">
        <f t="shared" si="0"/>
        <v xml:space="preserve"> Entre 10 y 50 SMLMV </v>
      </c>
    </row>
    <row r="213" spans="1:8" ht="21" x14ac:dyDescent="0.35">
      <c r="A213" s="55"/>
      <c r="B213" s="24" t="s">
        <v>83</v>
      </c>
      <c r="C213" s="24" t="s">
        <v>88</v>
      </c>
      <c r="E213" t="s">
        <v>87</v>
      </c>
      <c r="F213" t="str">
        <f t="shared" si="0"/>
        <v xml:space="preserve"> Entre 50 y 100 SMLMV </v>
      </c>
    </row>
    <row r="214" spans="1:8" ht="21" x14ac:dyDescent="0.35">
      <c r="A214" s="55"/>
      <c r="B214" s="24" t="s">
        <v>83</v>
      </c>
      <c r="C214" s="24" t="s">
        <v>89</v>
      </c>
      <c r="E214" t="s">
        <v>88</v>
      </c>
      <c r="F214" t="str">
        <f t="shared" si="0"/>
        <v xml:space="preserve"> Entre 100 y 500 SMLMV </v>
      </c>
    </row>
    <row r="215" spans="1:8" ht="21" x14ac:dyDescent="0.35">
      <c r="A215" s="55"/>
      <c r="B215" s="24" t="s">
        <v>51</v>
      </c>
      <c r="C215" s="24" t="s">
        <v>90</v>
      </c>
      <c r="E215" t="s">
        <v>89</v>
      </c>
      <c r="F215" t="str">
        <f t="shared" si="0"/>
        <v xml:space="preserve"> Mayor a 500 SMLMV </v>
      </c>
    </row>
    <row r="216" spans="1:8" ht="21" x14ac:dyDescent="0.35">
      <c r="A216" s="55"/>
      <c r="B216" s="24" t="s">
        <v>51</v>
      </c>
      <c r="C216" s="24" t="s">
        <v>520</v>
      </c>
      <c r="D216" t="s">
        <v>51</v>
      </c>
      <c r="F216" t="str">
        <f t="shared" si="0"/>
        <v>Pérdida Reputacional</v>
      </c>
    </row>
    <row r="217" spans="1:8" ht="21" x14ac:dyDescent="0.35">
      <c r="A217" s="55"/>
      <c r="B217" s="24" t="s">
        <v>51</v>
      </c>
      <c r="C217" s="24" t="s">
        <v>91</v>
      </c>
      <c r="E217" t="s">
        <v>90</v>
      </c>
      <c r="F217" t="str">
        <f t="shared" si="0"/>
        <v xml:space="preserve"> El riesgo afecta la imagen de alguna área de la organización</v>
      </c>
    </row>
    <row r="218" spans="1:8" ht="21" x14ac:dyDescent="0.35">
      <c r="A218" s="55"/>
      <c r="B218" s="24" t="s">
        <v>51</v>
      </c>
      <c r="C218" s="24" t="s">
        <v>522</v>
      </c>
      <c r="E218" t="s">
        <v>520</v>
      </c>
      <c r="F218" t="str">
        <f t="shared" si="0"/>
        <v xml:space="preserve"> El riesgo afecta la imagen de la entidad internamente, de conocimiento general, nivel interno, de junta directiva y accionistas y/o de proveedores</v>
      </c>
    </row>
    <row r="219" spans="1:8" ht="21" x14ac:dyDescent="0.35">
      <c r="A219" s="55"/>
      <c r="B219" s="24" t="s">
        <v>51</v>
      </c>
      <c r="C219" s="24" t="s">
        <v>109</v>
      </c>
      <c r="E219" t="s">
        <v>91</v>
      </c>
      <c r="F219" t="str">
        <f t="shared" si="0"/>
        <v xml:space="preserve"> El riesgo afecta la imagen de la entidad con algunos usuarios de relevancia frente al logro de los objetivos</v>
      </c>
    </row>
    <row r="220" spans="1:8" x14ac:dyDescent="0.25">
      <c r="A220" s="55"/>
      <c r="B220" s="25"/>
      <c r="C220" s="25"/>
      <c r="E220" t="s">
        <v>522</v>
      </c>
      <c r="F220" t="str">
        <f t="shared" si="0"/>
        <v xml:space="preserve"> El riesgo afecta la imagen de la entidad con efecto publicitario sostenido a nivel de sector administrativo, nivel departamental o municipal</v>
      </c>
    </row>
    <row r="221" spans="1:8" x14ac:dyDescent="0.25">
      <c r="A221" s="55"/>
      <c r="B221" s="25" t="e" cm="1" vm="1">
        <f t="array" aca="1" ref="B221:B223" ca="1">_xlfn.UNIQUE(Tabla1[[#All],[Criterios]])</f>
        <v>#NAME?</v>
      </c>
      <c r="C221" s="25"/>
      <c r="E221" t="s">
        <v>109</v>
      </c>
      <c r="F221" t="str">
        <f t="shared" si="0"/>
        <v xml:space="preserve"> El riesgo afecta la imagen de la entidad a nivel nacional, con efecto publicitarios sostenible a nivel país</v>
      </c>
    </row>
    <row r="222" spans="1:8" x14ac:dyDescent="0.25">
      <c r="A222" s="55"/>
      <c r="B222" s="25" t="e" vm="1">
        <f ca="1"/>
        <v>#NAME?</v>
      </c>
      <c r="C222" s="25"/>
    </row>
    <row r="223" spans="1:8" x14ac:dyDescent="0.25">
      <c r="B223" s="25" t="e" vm="1">
        <f ca="1"/>
        <v>#NAME?</v>
      </c>
      <c r="C223" s="25"/>
      <c r="F223" s="28" t="s">
        <v>130</v>
      </c>
    </row>
    <row r="224" spans="1:8" x14ac:dyDescent="0.25">
      <c r="B224" s="17"/>
      <c r="C224" s="17"/>
      <c r="F224" s="28" t="s">
        <v>131</v>
      </c>
    </row>
    <row r="225" spans="2:4" x14ac:dyDescent="0.25">
      <c r="B225" s="17"/>
      <c r="C225" s="17"/>
    </row>
    <row r="226" spans="2:4" x14ac:dyDescent="0.25">
      <c r="B226" s="17"/>
      <c r="C226" s="17"/>
    </row>
    <row r="227" spans="2:4" x14ac:dyDescent="0.25">
      <c r="B227" s="17"/>
      <c r="C227" s="17"/>
      <c r="D227" s="17"/>
    </row>
    <row r="228" spans="2:4" x14ac:dyDescent="0.25">
      <c r="B228" s="17"/>
      <c r="C228" s="17"/>
      <c r="D228" s="17"/>
    </row>
    <row r="229" spans="2:4" x14ac:dyDescent="0.25">
      <c r="B229" s="17"/>
      <c r="C229" s="17"/>
      <c r="D229" s="17"/>
    </row>
    <row r="230" spans="2:4" x14ac:dyDescent="0.25">
      <c r="B230" s="17"/>
      <c r="C230" s="17"/>
      <c r="D230" s="17"/>
    </row>
    <row r="231" spans="2:4" x14ac:dyDescent="0.25">
      <c r="B231" s="17"/>
      <c r="C231" s="17"/>
      <c r="D231" s="17"/>
    </row>
    <row r="232" spans="2:4" x14ac:dyDescent="0.25">
      <c r="B232" s="17"/>
      <c r="C232" s="17"/>
      <c r="D232" s="17"/>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C7" sqref="C7:C8"/>
    </sheetView>
  </sheetViews>
  <sheetFormatPr baseColWidth="10" defaultColWidth="14.28515625" defaultRowHeight="12.75" x14ac:dyDescent="0.2"/>
  <cols>
    <col min="1" max="2" width="14.28515625" style="60"/>
    <col min="3" max="3" width="17" style="60" customWidth="1"/>
    <col min="4" max="4" width="14.28515625" style="60"/>
    <col min="5" max="5" width="46" style="60" customWidth="1"/>
    <col min="6" max="16384" width="14.28515625" style="60"/>
  </cols>
  <sheetData>
    <row r="1" spans="2:6" ht="24" customHeight="1" thickBot="1" x14ac:dyDescent="0.25">
      <c r="B1" s="572" t="s">
        <v>72</v>
      </c>
      <c r="C1" s="573"/>
      <c r="D1" s="573"/>
      <c r="E1" s="573"/>
      <c r="F1" s="574"/>
    </row>
    <row r="2" spans="2:6" ht="16.5" thickBot="1" x14ac:dyDescent="0.3">
      <c r="B2" s="61"/>
      <c r="C2" s="61"/>
      <c r="D2" s="61"/>
      <c r="E2" s="61"/>
      <c r="F2" s="61"/>
    </row>
    <row r="3" spans="2:6" ht="16.5" thickBot="1" x14ac:dyDescent="0.25">
      <c r="B3" s="576" t="s">
        <v>58</v>
      </c>
      <c r="C3" s="577"/>
      <c r="D3" s="577"/>
      <c r="E3" s="73" t="s">
        <v>59</v>
      </c>
      <c r="F3" s="74" t="s">
        <v>60</v>
      </c>
    </row>
    <row r="4" spans="2:6" ht="31.5" x14ac:dyDescent="0.2">
      <c r="B4" s="578" t="s">
        <v>61</v>
      </c>
      <c r="C4" s="580" t="s">
        <v>13</v>
      </c>
      <c r="D4" s="62" t="s">
        <v>14</v>
      </c>
      <c r="E4" s="63" t="s">
        <v>62</v>
      </c>
      <c r="F4" s="64">
        <v>0.25</v>
      </c>
    </row>
    <row r="5" spans="2:6" ht="47.25" x14ac:dyDescent="0.2">
      <c r="B5" s="579"/>
      <c r="C5" s="581"/>
      <c r="D5" s="65" t="s">
        <v>15</v>
      </c>
      <c r="E5" s="66" t="s">
        <v>63</v>
      </c>
      <c r="F5" s="67">
        <v>0.15</v>
      </c>
    </row>
    <row r="6" spans="2:6" ht="47.25" x14ac:dyDescent="0.2">
      <c r="B6" s="579"/>
      <c r="C6" s="581"/>
      <c r="D6" s="65" t="s">
        <v>16</v>
      </c>
      <c r="E6" s="66" t="s">
        <v>64</v>
      </c>
      <c r="F6" s="67">
        <v>0.1</v>
      </c>
    </row>
    <row r="7" spans="2:6" ht="63" x14ac:dyDescent="0.2">
      <c r="B7" s="579"/>
      <c r="C7" s="581" t="s">
        <v>17</v>
      </c>
      <c r="D7" s="65" t="s">
        <v>10</v>
      </c>
      <c r="E7" s="66" t="s">
        <v>65</v>
      </c>
      <c r="F7" s="67">
        <v>0.25</v>
      </c>
    </row>
    <row r="8" spans="2:6" ht="31.5" x14ac:dyDescent="0.2">
      <c r="B8" s="579"/>
      <c r="C8" s="581"/>
      <c r="D8" s="65" t="s">
        <v>9</v>
      </c>
      <c r="E8" s="66" t="s">
        <v>66</v>
      </c>
      <c r="F8" s="67">
        <v>0.15</v>
      </c>
    </row>
    <row r="9" spans="2:6" ht="47.25" x14ac:dyDescent="0.2">
      <c r="B9" s="579" t="s">
        <v>136</v>
      </c>
      <c r="C9" s="581" t="s">
        <v>18</v>
      </c>
      <c r="D9" s="65" t="s">
        <v>19</v>
      </c>
      <c r="E9" s="66" t="s">
        <v>67</v>
      </c>
      <c r="F9" s="68" t="s">
        <v>68</v>
      </c>
    </row>
    <row r="10" spans="2:6" ht="63" x14ac:dyDescent="0.2">
      <c r="B10" s="579"/>
      <c r="C10" s="581"/>
      <c r="D10" s="65" t="s">
        <v>20</v>
      </c>
      <c r="E10" s="66" t="s">
        <v>69</v>
      </c>
      <c r="F10" s="68" t="s">
        <v>68</v>
      </c>
    </row>
    <row r="11" spans="2:6" ht="47.25" x14ac:dyDescent="0.2">
      <c r="B11" s="579"/>
      <c r="C11" s="581" t="s">
        <v>21</v>
      </c>
      <c r="D11" s="65" t="s">
        <v>22</v>
      </c>
      <c r="E11" s="66" t="s">
        <v>70</v>
      </c>
      <c r="F11" s="68" t="s">
        <v>68</v>
      </c>
    </row>
    <row r="12" spans="2:6" ht="47.25" x14ac:dyDescent="0.2">
      <c r="B12" s="579"/>
      <c r="C12" s="581"/>
      <c r="D12" s="65" t="s">
        <v>23</v>
      </c>
      <c r="E12" s="66" t="s">
        <v>71</v>
      </c>
      <c r="F12" s="68" t="s">
        <v>68</v>
      </c>
    </row>
    <row r="13" spans="2:6" ht="31.5" x14ac:dyDescent="0.2">
      <c r="B13" s="579"/>
      <c r="C13" s="581" t="s">
        <v>24</v>
      </c>
      <c r="D13" s="65" t="s">
        <v>110</v>
      </c>
      <c r="E13" s="66" t="s">
        <v>113</v>
      </c>
      <c r="F13" s="68" t="s">
        <v>68</v>
      </c>
    </row>
    <row r="14" spans="2:6" ht="32.25" thickBot="1" x14ac:dyDescent="0.25">
      <c r="B14" s="582"/>
      <c r="C14" s="583"/>
      <c r="D14" s="69" t="s">
        <v>111</v>
      </c>
      <c r="E14" s="70" t="s">
        <v>112</v>
      </c>
      <c r="F14" s="71" t="s">
        <v>68</v>
      </c>
    </row>
    <row r="15" spans="2:6" ht="49.5" customHeight="1" x14ac:dyDescent="0.2">
      <c r="B15" s="575" t="s">
        <v>133</v>
      </c>
      <c r="C15" s="575"/>
      <c r="D15" s="575"/>
      <c r="E15" s="575"/>
      <c r="F15" s="575"/>
    </row>
    <row r="16" spans="2:6" ht="27" customHeight="1" x14ac:dyDescent="0.25">
      <c r="B16" s="72"/>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524</v>
      </c>
    </row>
    <row r="9" spans="2:5" x14ac:dyDescent="0.25">
      <c r="B9" t="s">
        <v>36</v>
      </c>
    </row>
    <row r="10" spans="2:5" x14ac:dyDescent="0.25">
      <c r="B10" t="s">
        <v>37</v>
      </c>
    </row>
    <row r="13" spans="2:5" x14ac:dyDescent="0.25">
      <c r="B13" t="s">
        <v>335</v>
      </c>
    </row>
    <row r="14" spans="2:5" x14ac:dyDescent="0.25">
      <c r="B14" t="s">
        <v>333</v>
      </c>
    </row>
    <row r="15" spans="2:5" x14ac:dyDescent="0.25">
      <c r="B15" t="s">
        <v>342</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4" customWidth="1"/>
    <col min="2" max="16384" width="11.42578125" style="4"/>
  </cols>
  <sheetData>
    <row r="3" spans="1:1" x14ac:dyDescent="0.2">
      <c r="A3" s="5" t="s">
        <v>14</v>
      </c>
    </row>
    <row r="4" spans="1:1" x14ac:dyDescent="0.2">
      <c r="A4" s="5" t="s">
        <v>15</v>
      </c>
    </row>
    <row r="5" spans="1:1" x14ac:dyDescent="0.2">
      <c r="A5" s="5" t="s">
        <v>16</v>
      </c>
    </row>
    <row r="6" spans="1:1" x14ac:dyDescent="0.2">
      <c r="A6" s="5" t="s">
        <v>10</v>
      </c>
    </row>
    <row r="7" spans="1:1" x14ac:dyDescent="0.2">
      <c r="A7" s="5" t="s">
        <v>9</v>
      </c>
    </row>
    <row r="8" spans="1:1" x14ac:dyDescent="0.2">
      <c r="A8" s="5" t="s">
        <v>19</v>
      </c>
    </row>
    <row r="9" spans="1:1" x14ac:dyDescent="0.2">
      <c r="A9" s="5" t="s">
        <v>20</v>
      </c>
    </row>
    <row r="10" spans="1:1" x14ac:dyDescent="0.2">
      <c r="A10" s="5" t="s">
        <v>22</v>
      </c>
    </row>
    <row r="11" spans="1:1" x14ac:dyDescent="0.2">
      <c r="A11" s="5" t="s">
        <v>23</v>
      </c>
    </row>
    <row r="12" spans="1:1" x14ac:dyDescent="0.2">
      <c r="A12" s="5" t="s">
        <v>25</v>
      </c>
    </row>
    <row r="13" spans="1:1" x14ac:dyDescent="0.2">
      <c r="A13" s="5" t="s">
        <v>26</v>
      </c>
    </row>
    <row r="14" spans="1:1" x14ac:dyDescent="0.2">
      <c r="A14" s="5" t="s">
        <v>27</v>
      </c>
    </row>
    <row r="16" spans="1:1" x14ac:dyDescent="0.2">
      <c r="A16" s="5" t="s">
        <v>30</v>
      </c>
    </row>
    <row r="17" spans="1:1" x14ac:dyDescent="0.2">
      <c r="A17" s="5" t="s">
        <v>31</v>
      </c>
    </row>
    <row r="18" spans="1:1" x14ac:dyDescent="0.2">
      <c r="A18" s="5" t="s">
        <v>32</v>
      </c>
    </row>
    <row r="20" spans="1:1" x14ac:dyDescent="0.2">
      <c r="A20" s="5" t="s">
        <v>36</v>
      </c>
    </row>
    <row r="21" spans="1:1" x14ac:dyDescent="0.2">
      <c r="A21" s="5"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2021-10-13T03:54:14Z</cp:lastPrinted>
  <dcterms:created xsi:type="dcterms:W3CDTF">2020-03-24T23:12:47Z</dcterms:created>
  <dcterms:modified xsi:type="dcterms:W3CDTF">2022-09-16T01:15:47Z</dcterms:modified>
</cp:coreProperties>
</file>