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hidePivotFieldList="1" defaultThemeVersion="124226"/>
  <mc:AlternateContent xmlns:mc="http://schemas.openxmlformats.org/markup-compatibility/2006">
    <mc:Choice Requires="x15">
      <x15ac:absPath xmlns:x15ac="http://schemas.microsoft.com/office/spreadsheetml/2010/11/ac" url="https://d.docs.live.net/c00fc60f02f207ca/Escritorio/Teletrabajo ERU/Riesgos/Mapas de riesgos 2021/Consolidado/"/>
    </mc:Choice>
  </mc:AlternateContent>
  <xr:revisionPtr revIDLastSave="0" documentId="8_{49A1BFF7-42BF-4ABF-8DEB-3D37F5438F28}" xr6:coauthVersionLast="47" xr6:coauthVersionMax="47" xr10:uidLastSave="{00000000-0000-0000-0000-000000000000}"/>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 r:id="rId11"/>
  </externalReferences>
  <calcPr calcId="191029"/>
  <pivotCaches>
    <pivotCache cacheId="10"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4" i="1" l="1"/>
  <c r="T24" i="1"/>
  <c r="AE24" i="1" s="1"/>
  <c r="AD24" i="1" s="1"/>
  <c r="W23" i="1"/>
  <c r="T23" i="1"/>
  <c r="AE23" i="1" s="1"/>
  <c r="AD23" i="1" s="1"/>
  <c r="W21" i="1"/>
  <c r="T21" i="1"/>
  <c r="AE21" i="1" s="1"/>
  <c r="AD21" i="1" s="1"/>
  <c r="W20" i="1"/>
  <c r="T20" i="1"/>
  <c r="AE20" i="1" s="1"/>
  <c r="AD20" i="1" s="1"/>
  <c r="X169" i="19"/>
  <c r="W169" i="19"/>
  <c r="X119" i="19"/>
  <c r="W119" i="19"/>
  <c r="X69" i="19"/>
  <c r="W69" i="19"/>
  <c r="X19" i="19"/>
  <c r="W19" i="19"/>
  <c r="U19" i="19"/>
  <c r="T19" i="19"/>
  <c r="U69" i="19"/>
  <c r="T69" i="19"/>
  <c r="U119" i="19"/>
  <c r="T119" i="19"/>
  <c r="U169" i="19"/>
  <c r="T169" i="19"/>
  <c r="R19" i="19"/>
  <c r="Q19" i="19"/>
  <c r="R69" i="19"/>
  <c r="Q69" i="19"/>
  <c r="R119" i="19"/>
  <c r="Q119" i="19"/>
  <c r="R169" i="19"/>
  <c r="Q169" i="19"/>
  <c r="O19" i="19"/>
  <c r="N19" i="19"/>
  <c r="O69" i="19"/>
  <c r="N69" i="19"/>
  <c r="O119" i="19"/>
  <c r="N119" i="19"/>
  <c r="O169" i="19"/>
  <c r="N169" i="19"/>
  <c r="X219" i="19"/>
  <c r="W219" i="19"/>
  <c r="U219" i="19"/>
  <c r="T219" i="19"/>
  <c r="R219" i="19"/>
  <c r="Q219" i="19"/>
  <c r="L169" i="19"/>
  <c r="K169" i="19"/>
  <c r="L119" i="19"/>
  <c r="K119" i="19"/>
  <c r="L69" i="19"/>
  <c r="K69" i="19"/>
  <c r="L19" i="19"/>
  <c r="K19" i="19"/>
  <c r="O219" i="19"/>
  <c r="N219" i="19"/>
  <c r="W153" i="1"/>
  <c r="T153" i="1"/>
  <c r="AE153" i="1" s="1"/>
  <c r="AD153" i="1" s="1"/>
  <c r="W152" i="1"/>
  <c r="T152" i="1"/>
  <c r="AE152" i="1" s="1"/>
  <c r="AD152" i="1" s="1"/>
  <c r="W151" i="1"/>
  <c r="T151" i="1"/>
  <c r="K151" i="1"/>
  <c r="W150" i="1"/>
  <c r="T150" i="1"/>
  <c r="AE150" i="1" s="1"/>
  <c r="AD150" i="1" s="1"/>
  <c r="W149" i="1"/>
  <c r="T149" i="1"/>
  <c r="AE149" i="1" s="1"/>
  <c r="AD149" i="1" s="1"/>
  <c r="W148" i="1"/>
  <c r="T148" i="1"/>
  <c r="K148" i="1"/>
  <c r="W147" i="1"/>
  <c r="T147" i="1"/>
  <c r="AE147" i="1" s="1"/>
  <c r="AD147" i="1" s="1"/>
  <c r="W146" i="1"/>
  <c r="T146" i="1"/>
  <c r="AE146" i="1" s="1"/>
  <c r="AD146" i="1" s="1"/>
  <c r="W145" i="1"/>
  <c r="T145" i="1"/>
  <c r="K145" i="1"/>
  <c r="W144" i="1"/>
  <c r="T144" i="1"/>
  <c r="AE144" i="1" s="1"/>
  <c r="AD144" i="1" s="1"/>
  <c r="W143" i="1"/>
  <c r="T143" i="1"/>
  <c r="AE143" i="1" s="1"/>
  <c r="AD143" i="1" s="1"/>
  <c r="W142" i="1"/>
  <c r="T142" i="1"/>
  <c r="K142" i="1"/>
  <c r="W141" i="1"/>
  <c r="T141" i="1"/>
  <c r="AE141" i="1" s="1"/>
  <c r="AD141" i="1" s="1"/>
  <c r="W140" i="1"/>
  <c r="T140" i="1"/>
  <c r="AE140" i="1" s="1"/>
  <c r="AD140" i="1" s="1"/>
  <c r="W139" i="1"/>
  <c r="T139" i="1"/>
  <c r="K139" i="1"/>
  <c r="W138" i="1"/>
  <c r="T138" i="1"/>
  <c r="AE138" i="1" s="1"/>
  <c r="AD138" i="1" s="1"/>
  <c r="W137" i="1"/>
  <c r="T137" i="1"/>
  <c r="AE137" i="1" s="1"/>
  <c r="AD137" i="1" s="1"/>
  <c r="W136" i="1"/>
  <c r="T136" i="1"/>
  <c r="K136" i="1"/>
  <c r="W135" i="1"/>
  <c r="T135" i="1"/>
  <c r="AE135" i="1" s="1"/>
  <c r="AD135" i="1" s="1"/>
  <c r="W134" i="1"/>
  <c r="T134" i="1"/>
  <c r="AE134" i="1" s="1"/>
  <c r="AD134" i="1" s="1"/>
  <c r="W133" i="1"/>
  <c r="T133" i="1"/>
  <c r="K133" i="1"/>
  <c r="W132" i="1"/>
  <c r="T132" i="1"/>
  <c r="AE132" i="1" s="1"/>
  <c r="AD132" i="1" s="1"/>
  <c r="W131" i="1"/>
  <c r="T131" i="1"/>
  <c r="AE131" i="1" s="1"/>
  <c r="AD131" i="1" s="1"/>
  <c r="W130" i="1"/>
  <c r="T130" i="1"/>
  <c r="K130" i="1"/>
  <c r="W129" i="1"/>
  <c r="T129" i="1"/>
  <c r="AE129" i="1" s="1"/>
  <c r="AD129" i="1" s="1"/>
  <c r="W128" i="1"/>
  <c r="T128" i="1"/>
  <c r="AE128" i="1" s="1"/>
  <c r="AD128" i="1" s="1"/>
  <c r="W127" i="1"/>
  <c r="T127" i="1"/>
  <c r="K127" i="1"/>
  <c r="W126" i="1"/>
  <c r="T126" i="1"/>
  <c r="AE126" i="1" s="1"/>
  <c r="AD126" i="1" s="1"/>
  <c r="W125" i="1"/>
  <c r="T125" i="1"/>
  <c r="AE125" i="1" s="1"/>
  <c r="AD125" i="1" s="1"/>
  <c r="W124" i="1"/>
  <c r="T124" i="1"/>
  <c r="K124" i="1"/>
  <c r="AA20" i="1" l="1"/>
  <c r="AB20" i="1" s="1"/>
  <c r="AE151" i="1"/>
  <c r="AD151" i="1" s="1"/>
  <c r="AE145" i="1"/>
  <c r="AD145" i="1" s="1"/>
  <c r="L148" i="1"/>
  <c r="AA148" i="1" s="1"/>
  <c r="AA24" i="1"/>
  <c r="AA23" i="1"/>
  <c r="AA21" i="1"/>
  <c r="AC20" i="1"/>
  <c r="AA152" i="1"/>
  <c r="AA153" i="1"/>
  <c r="L151" i="1"/>
  <c r="AA151" i="1" s="1"/>
  <c r="AA149" i="1"/>
  <c r="AA150" i="1"/>
  <c r="AA146" i="1"/>
  <c r="AA147" i="1"/>
  <c r="L145" i="1"/>
  <c r="AA145" i="1" s="1"/>
  <c r="AE142" i="1"/>
  <c r="AD142" i="1" s="1"/>
  <c r="AA143" i="1"/>
  <c r="AA144" i="1"/>
  <c r="L142" i="1"/>
  <c r="AA142" i="1" s="1"/>
  <c r="AE139" i="1"/>
  <c r="AD139" i="1" s="1"/>
  <c r="AA140" i="1"/>
  <c r="AA141" i="1"/>
  <c r="L139" i="1"/>
  <c r="AA139" i="1" s="1"/>
  <c r="AE136" i="1"/>
  <c r="AD136" i="1" s="1"/>
  <c r="AA137" i="1"/>
  <c r="AA138" i="1"/>
  <c r="L136" i="1"/>
  <c r="AA136" i="1" s="1"/>
  <c r="AA134" i="1"/>
  <c r="AA135" i="1"/>
  <c r="L133" i="1"/>
  <c r="AA133" i="1" s="1"/>
  <c r="AA131" i="1"/>
  <c r="AA132" i="1"/>
  <c r="L130" i="1"/>
  <c r="AA130" i="1" s="1"/>
  <c r="AA128" i="1"/>
  <c r="AA129" i="1"/>
  <c r="L127" i="1"/>
  <c r="AA127" i="1" s="1"/>
  <c r="AA125" i="1"/>
  <c r="AA126" i="1"/>
  <c r="L124" i="1"/>
  <c r="AA124" i="1" s="1"/>
  <c r="W120" i="1"/>
  <c r="T120" i="1"/>
  <c r="AE120" i="1" s="1"/>
  <c r="AD120" i="1" s="1"/>
  <c r="W119" i="1"/>
  <c r="T119" i="1"/>
  <c r="AE119" i="1" s="1"/>
  <c r="AD119" i="1" s="1"/>
  <c r="W118" i="1"/>
  <c r="T118" i="1"/>
  <c r="K118" i="1"/>
  <c r="W117" i="1"/>
  <c r="T117" i="1"/>
  <c r="AE117" i="1" s="1"/>
  <c r="AD117" i="1" s="1"/>
  <c r="W116" i="1"/>
  <c r="T116" i="1"/>
  <c r="AE116" i="1" s="1"/>
  <c r="AD116" i="1" s="1"/>
  <c r="W115" i="1"/>
  <c r="T115" i="1"/>
  <c r="K115" i="1"/>
  <c r="W114" i="1"/>
  <c r="T114" i="1"/>
  <c r="AE114" i="1" s="1"/>
  <c r="AD114" i="1" s="1"/>
  <c r="W113" i="1"/>
  <c r="T113" i="1"/>
  <c r="AE113" i="1" s="1"/>
  <c r="AD113" i="1" s="1"/>
  <c r="W112" i="1"/>
  <c r="T112" i="1"/>
  <c r="K112" i="1"/>
  <c r="W111" i="1"/>
  <c r="T111" i="1"/>
  <c r="AE111" i="1" s="1"/>
  <c r="AD111" i="1" s="1"/>
  <c r="W110" i="1"/>
  <c r="T110" i="1"/>
  <c r="AE110" i="1" s="1"/>
  <c r="AD110" i="1" s="1"/>
  <c r="W109" i="1"/>
  <c r="T109" i="1"/>
  <c r="K109" i="1"/>
  <c r="W108" i="1"/>
  <c r="T108" i="1"/>
  <c r="AE108" i="1" s="1"/>
  <c r="AD108" i="1" s="1"/>
  <c r="W107" i="1"/>
  <c r="T107" i="1"/>
  <c r="AE107" i="1" s="1"/>
  <c r="AD107" i="1" s="1"/>
  <c r="W106" i="1"/>
  <c r="T106" i="1"/>
  <c r="K106" i="1"/>
  <c r="K121" i="1"/>
  <c r="K103" i="1"/>
  <c r="K100" i="1"/>
  <c r="K97" i="1"/>
  <c r="K94" i="1"/>
  <c r="K91" i="1"/>
  <c r="K88" i="1"/>
  <c r="K85" i="1"/>
  <c r="K82" i="1"/>
  <c r="K79" i="1"/>
  <c r="K76" i="1"/>
  <c r="K73" i="1"/>
  <c r="K70" i="1"/>
  <c r="K67" i="1"/>
  <c r="K64" i="1"/>
  <c r="K61" i="1"/>
  <c r="K58" i="1"/>
  <c r="K55" i="1"/>
  <c r="K52" i="1"/>
  <c r="K49" i="1"/>
  <c r="K46" i="1"/>
  <c r="K43" i="1"/>
  <c r="K40" i="1"/>
  <c r="K37" i="1"/>
  <c r="K34" i="1"/>
  <c r="K31" i="1"/>
  <c r="K28" i="1"/>
  <c r="K25" i="1"/>
  <c r="K22" i="1"/>
  <c r="K19" i="1"/>
  <c r="K16" i="1"/>
  <c r="K13" i="1"/>
  <c r="K10" i="1"/>
  <c r="W123" i="1"/>
  <c r="T123" i="1"/>
  <c r="AE123" i="1" s="1"/>
  <c r="AD123" i="1" s="1"/>
  <c r="W122" i="1"/>
  <c r="T122" i="1"/>
  <c r="AE122" i="1" s="1"/>
  <c r="AD122" i="1" s="1"/>
  <c r="W121" i="1"/>
  <c r="T121" i="1"/>
  <c r="W105" i="1"/>
  <c r="T105" i="1"/>
  <c r="AE105" i="1" s="1"/>
  <c r="AD105" i="1" s="1"/>
  <c r="W104" i="1"/>
  <c r="T104" i="1"/>
  <c r="AE104" i="1" s="1"/>
  <c r="AD104" i="1" s="1"/>
  <c r="W102" i="1"/>
  <c r="T102" i="1"/>
  <c r="AE102" i="1" s="1"/>
  <c r="AD102" i="1" s="1"/>
  <c r="W101" i="1"/>
  <c r="T101" i="1"/>
  <c r="AE101" i="1" s="1"/>
  <c r="AD101" i="1" s="1"/>
  <c r="W99" i="1"/>
  <c r="T99" i="1"/>
  <c r="AE99" i="1" s="1"/>
  <c r="AD99" i="1" s="1"/>
  <c r="W98" i="1"/>
  <c r="T98" i="1"/>
  <c r="AE98" i="1" s="1"/>
  <c r="AD98" i="1" s="1"/>
  <c r="W100" i="1"/>
  <c r="T100" i="1"/>
  <c r="W97" i="1"/>
  <c r="T97" i="1"/>
  <c r="W96" i="1"/>
  <c r="T96" i="1"/>
  <c r="AE96" i="1" s="1"/>
  <c r="AD96" i="1" s="1"/>
  <c r="W95" i="1"/>
  <c r="T95" i="1"/>
  <c r="AE95" i="1" s="1"/>
  <c r="AD95" i="1" s="1"/>
  <c r="W93" i="1"/>
  <c r="T93" i="1"/>
  <c r="AE93" i="1" s="1"/>
  <c r="AD93" i="1" s="1"/>
  <c r="W92" i="1"/>
  <c r="T92" i="1"/>
  <c r="AE92" i="1" s="1"/>
  <c r="AD92" i="1" s="1"/>
  <c r="W90" i="1"/>
  <c r="T90" i="1"/>
  <c r="AE90" i="1" s="1"/>
  <c r="AD90" i="1" s="1"/>
  <c r="W91" i="1"/>
  <c r="T91" i="1"/>
  <c r="W89" i="1"/>
  <c r="T89" i="1"/>
  <c r="W87" i="1"/>
  <c r="T87" i="1"/>
  <c r="AE87" i="1" s="1"/>
  <c r="AD87" i="1" s="1"/>
  <c r="W86" i="1"/>
  <c r="T86" i="1"/>
  <c r="AE86" i="1" s="1"/>
  <c r="AD86" i="1" s="1"/>
  <c r="W84" i="1"/>
  <c r="T84" i="1"/>
  <c r="AE84" i="1" s="1"/>
  <c r="AD84" i="1" s="1"/>
  <c r="W83" i="1"/>
  <c r="T83" i="1"/>
  <c r="AE83" i="1" s="1"/>
  <c r="AD83" i="1" s="1"/>
  <c r="W81" i="1"/>
  <c r="T81" i="1"/>
  <c r="AE81" i="1" s="1"/>
  <c r="AD81" i="1" s="1"/>
  <c r="W80" i="1"/>
  <c r="T80" i="1"/>
  <c r="AE80" i="1" s="1"/>
  <c r="AD80" i="1" s="1"/>
  <c r="W78" i="1"/>
  <c r="T78" i="1"/>
  <c r="AE78" i="1" s="1"/>
  <c r="AD78" i="1" s="1"/>
  <c r="W76" i="1"/>
  <c r="T76" i="1"/>
  <c r="W77" i="1"/>
  <c r="T77" i="1"/>
  <c r="AE77" i="1" s="1"/>
  <c r="AD77" i="1" s="1"/>
  <c r="W75" i="1"/>
  <c r="T75" i="1"/>
  <c r="AE75" i="1" s="1"/>
  <c r="AD75" i="1" s="1"/>
  <c r="W74" i="1"/>
  <c r="T74" i="1"/>
  <c r="AE74" i="1" s="1"/>
  <c r="AD74" i="1" s="1"/>
  <c r="W73" i="1"/>
  <c r="T73" i="1"/>
  <c r="W72" i="1"/>
  <c r="T72" i="1"/>
  <c r="AE72" i="1" s="1"/>
  <c r="AD72" i="1" s="1"/>
  <c r="W71" i="1"/>
  <c r="T71" i="1"/>
  <c r="AE71" i="1" s="1"/>
  <c r="AD71" i="1" s="1"/>
  <c r="W69" i="1"/>
  <c r="T69" i="1"/>
  <c r="AE69" i="1" s="1"/>
  <c r="AD69" i="1" s="1"/>
  <c r="W68" i="1"/>
  <c r="T68" i="1"/>
  <c r="AE68" i="1" s="1"/>
  <c r="AD68" i="1" s="1"/>
  <c r="W66" i="1"/>
  <c r="T66" i="1"/>
  <c r="AE66" i="1" s="1"/>
  <c r="AD66" i="1" s="1"/>
  <c r="W65" i="1"/>
  <c r="T65" i="1"/>
  <c r="AE65" i="1" s="1"/>
  <c r="AD65" i="1" s="1"/>
  <c r="W63" i="1"/>
  <c r="T63" i="1"/>
  <c r="AE63" i="1" s="1"/>
  <c r="AD63" i="1" s="1"/>
  <c r="W62" i="1"/>
  <c r="T62" i="1"/>
  <c r="AE62" i="1" s="1"/>
  <c r="AD62" i="1" s="1"/>
  <c r="W60" i="1"/>
  <c r="T60" i="1"/>
  <c r="AE60" i="1" s="1"/>
  <c r="AD60" i="1" s="1"/>
  <c r="W59" i="1"/>
  <c r="T59" i="1"/>
  <c r="AE59" i="1" s="1"/>
  <c r="AD59" i="1" s="1"/>
  <c r="W57" i="1"/>
  <c r="T57" i="1"/>
  <c r="AE57" i="1" s="1"/>
  <c r="AD57" i="1" s="1"/>
  <c r="W56" i="1"/>
  <c r="T56" i="1"/>
  <c r="AE56" i="1" s="1"/>
  <c r="AD56" i="1" s="1"/>
  <c r="W54" i="1"/>
  <c r="T54" i="1"/>
  <c r="AE54" i="1" s="1"/>
  <c r="AD54" i="1" s="1"/>
  <c r="W55" i="1"/>
  <c r="T55" i="1"/>
  <c r="W53" i="1"/>
  <c r="T53" i="1"/>
  <c r="AE53" i="1" s="1"/>
  <c r="AD53" i="1" s="1"/>
  <c r="W51" i="1"/>
  <c r="T51" i="1"/>
  <c r="AE51" i="1" s="1"/>
  <c r="AD51" i="1" s="1"/>
  <c r="W50" i="1"/>
  <c r="T50" i="1"/>
  <c r="AE50" i="1" s="1"/>
  <c r="AD50" i="1" s="1"/>
  <c r="W48" i="1"/>
  <c r="T48" i="1"/>
  <c r="AE48" i="1" s="1"/>
  <c r="AD48" i="1" s="1"/>
  <c r="W47" i="1"/>
  <c r="T47" i="1"/>
  <c r="W49" i="1"/>
  <c r="T49" i="1"/>
  <c r="W46" i="1"/>
  <c r="T46" i="1"/>
  <c r="W45" i="1"/>
  <c r="T45" i="1"/>
  <c r="AE45" i="1" s="1"/>
  <c r="AD45" i="1" s="1"/>
  <c r="W44" i="1"/>
  <c r="T44" i="1"/>
  <c r="AE44" i="1" s="1"/>
  <c r="AD44" i="1" s="1"/>
  <c r="W43" i="1"/>
  <c r="T43" i="1"/>
  <c r="W42" i="1"/>
  <c r="T42" i="1"/>
  <c r="AE42" i="1" s="1"/>
  <c r="AD42" i="1" s="1"/>
  <c r="W41" i="1"/>
  <c r="T41" i="1"/>
  <c r="AE41" i="1" s="1"/>
  <c r="AD41" i="1" s="1"/>
  <c r="W40" i="1"/>
  <c r="T40" i="1"/>
  <c r="W39" i="1"/>
  <c r="T39" i="1"/>
  <c r="AE39" i="1" s="1"/>
  <c r="AD39" i="1" s="1"/>
  <c r="W38" i="1"/>
  <c r="T38" i="1"/>
  <c r="AE38" i="1" s="1"/>
  <c r="AD38" i="1" s="1"/>
  <c r="W37" i="1"/>
  <c r="T37" i="1"/>
  <c r="W36" i="1"/>
  <c r="T36" i="1"/>
  <c r="AE36" i="1" s="1"/>
  <c r="AD36" i="1" s="1"/>
  <c r="W35" i="1"/>
  <c r="T35" i="1"/>
  <c r="AE35" i="1" s="1"/>
  <c r="AD35" i="1" s="1"/>
  <c r="W34" i="1"/>
  <c r="T34" i="1"/>
  <c r="W33" i="1"/>
  <c r="T33" i="1"/>
  <c r="AE33" i="1" s="1"/>
  <c r="AD33" i="1" s="1"/>
  <c r="W32" i="1"/>
  <c r="T32" i="1"/>
  <c r="AE32" i="1" s="1"/>
  <c r="AD32" i="1" s="1"/>
  <c r="W31" i="1"/>
  <c r="T31" i="1"/>
  <c r="W30" i="1"/>
  <c r="T30" i="1"/>
  <c r="AE30" i="1" s="1"/>
  <c r="AD30" i="1" s="1"/>
  <c r="W29" i="1"/>
  <c r="T29" i="1"/>
  <c r="AE29" i="1" s="1"/>
  <c r="AD29" i="1" s="1"/>
  <c r="W28" i="1"/>
  <c r="T28" i="1"/>
  <c r="W27" i="1"/>
  <c r="T27" i="1"/>
  <c r="AE27" i="1" s="1"/>
  <c r="AD27" i="1" s="1"/>
  <c r="W26" i="1"/>
  <c r="T26" i="1"/>
  <c r="AE26" i="1" s="1"/>
  <c r="AD26" i="1" s="1"/>
  <c r="AE89" i="1" l="1"/>
  <c r="AD89" i="1" s="1"/>
  <c r="AA89" i="1"/>
  <c r="AE47" i="1"/>
  <c r="AD47" i="1" s="1"/>
  <c r="AA47" i="1"/>
  <c r="AB24" i="1"/>
  <c r="AC24" i="1"/>
  <c r="AB23" i="1"/>
  <c r="AC23" i="1"/>
  <c r="AB21" i="1"/>
  <c r="AC21" i="1"/>
  <c r="AF20" i="1"/>
  <c r="T60" i="19"/>
  <c r="W110" i="19"/>
  <c r="W10" i="19"/>
  <c r="T110" i="19"/>
  <c r="Q10" i="19"/>
  <c r="Q110" i="19"/>
  <c r="W160" i="19"/>
  <c r="W60" i="19"/>
  <c r="T10" i="19"/>
  <c r="K160" i="19"/>
  <c r="K60" i="19"/>
  <c r="N10" i="19"/>
  <c r="N110" i="19"/>
  <c r="W210" i="19"/>
  <c r="Q210" i="19"/>
  <c r="K110" i="19"/>
  <c r="K10" i="19"/>
  <c r="K210" i="19"/>
  <c r="T160" i="19"/>
  <c r="Q60" i="19"/>
  <c r="Q160" i="19"/>
  <c r="N60" i="19"/>
  <c r="N160" i="19"/>
  <c r="T210" i="19"/>
  <c r="N210" i="19"/>
  <c r="AB151" i="1"/>
  <c r="AC151" i="1"/>
  <c r="AB153" i="1"/>
  <c r="AC153" i="1"/>
  <c r="AB152" i="1"/>
  <c r="AC152" i="1"/>
  <c r="AB148" i="1"/>
  <c r="AC148" i="1"/>
  <c r="AB150" i="1"/>
  <c r="AC150" i="1"/>
  <c r="AB149" i="1"/>
  <c r="AC149" i="1"/>
  <c r="AB146" i="1"/>
  <c r="AC146" i="1"/>
  <c r="AB145" i="1"/>
  <c r="AC145" i="1"/>
  <c r="AB147" i="1"/>
  <c r="AC147" i="1"/>
  <c r="AB142" i="1"/>
  <c r="AC142" i="1"/>
  <c r="AB143" i="1"/>
  <c r="AC143" i="1"/>
  <c r="AB144" i="1"/>
  <c r="AC144" i="1"/>
  <c r="AB139" i="1"/>
  <c r="AC139" i="1"/>
  <c r="AB140" i="1"/>
  <c r="AC140" i="1"/>
  <c r="AB141" i="1"/>
  <c r="AC141" i="1"/>
  <c r="AB136" i="1"/>
  <c r="J150" i="19" s="1"/>
  <c r="AC136" i="1"/>
  <c r="AB138" i="1"/>
  <c r="AC138" i="1"/>
  <c r="AB137" i="1"/>
  <c r="AC137" i="1"/>
  <c r="AB133" i="1"/>
  <c r="AC133" i="1"/>
  <c r="AB135" i="1"/>
  <c r="AC135" i="1"/>
  <c r="AB134" i="1"/>
  <c r="AC134" i="1"/>
  <c r="AB130" i="1"/>
  <c r="AC130" i="1"/>
  <c r="AB132" i="1"/>
  <c r="AC132" i="1"/>
  <c r="AB131" i="1"/>
  <c r="AC131" i="1"/>
  <c r="AB127" i="1"/>
  <c r="AC127" i="1"/>
  <c r="AB129" i="1"/>
  <c r="AC129" i="1"/>
  <c r="AB128" i="1"/>
  <c r="AC128" i="1"/>
  <c r="AB124" i="1"/>
  <c r="AC124" i="1"/>
  <c r="AB126" i="1"/>
  <c r="AC126" i="1"/>
  <c r="AB125" i="1"/>
  <c r="AC125" i="1"/>
  <c r="AA26" i="1"/>
  <c r="AC26" i="1" s="1"/>
  <c r="AA119" i="1"/>
  <c r="AA120" i="1"/>
  <c r="L118" i="1"/>
  <c r="AA118" i="1" s="1"/>
  <c r="AA116" i="1"/>
  <c r="AA117" i="1"/>
  <c r="L115" i="1"/>
  <c r="AA115" i="1" s="1"/>
  <c r="AA113" i="1"/>
  <c r="AA114" i="1"/>
  <c r="L112" i="1"/>
  <c r="AA112" i="1" s="1"/>
  <c r="AA110" i="1"/>
  <c r="AA111" i="1"/>
  <c r="L109" i="1"/>
  <c r="AA109" i="1" s="1"/>
  <c r="AA107" i="1"/>
  <c r="AA108" i="1"/>
  <c r="L106" i="1"/>
  <c r="AA106" i="1" s="1"/>
  <c r="L121" i="1"/>
  <c r="AA121" i="1" s="1"/>
  <c r="L103" i="1"/>
  <c r="L100" i="1"/>
  <c r="AA100" i="1" s="1"/>
  <c r="L97" i="1"/>
  <c r="AA97" i="1" s="1"/>
  <c r="L94" i="1"/>
  <c r="L91" i="1"/>
  <c r="AA91" i="1" s="1"/>
  <c r="L88" i="1"/>
  <c r="L85" i="1"/>
  <c r="L82" i="1"/>
  <c r="L79" i="1"/>
  <c r="L76" i="1"/>
  <c r="AA76" i="1" s="1"/>
  <c r="L73" i="1"/>
  <c r="AA73" i="1" s="1"/>
  <c r="L70" i="1"/>
  <c r="L67" i="1"/>
  <c r="L64" i="1"/>
  <c r="L61" i="1"/>
  <c r="L58" i="1"/>
  <c r="L55" i="1"/>
  <c r="AA55" i="1" s="1"/>
  <c r="L52" i="1"/>
  <c r="L49" i="1"/>
  <c r="AA49" i="1" s="1"/>
  <c r="L46" i="1"/>
  <c r="AA46" i="1" s="1"/>
  <c r="L43" i="1"/>
  <c r="AA43" i="1" s="1"/>
  <c r="L40" i="1"/>
  <c r="AA40" i="1" s="1"/>
  <c r="L37" i="1"/>
  <c r="AA37" i="1" s="1"/>
  <c r="L34" i="1"/>
  <c r="AA34" i="1" s="1"/>
  <c r="L31" i="1"/>
  <c r="AA31" i="1" s="1"/>
  <c r="L28" i="1"/>
  <c r="AA28" i="1" s="1"/>
  <c r="L25" i="1"/>
  <c r="L22" i="1"/>
  <c r="L19" i="1"/>
  <c r="L16" i="1"/>
  <c r="L13" i="1"/>
  <c r="L10" i="1"/>
  <c r="AA123" i="1"/>
  <c r="AA122" i="1"/>
  <c r="AA105" i="1"/>
  <c r="AA104" i="1"/>
  <c r="AA102" i="1"/>
  <c r="AA101" i="1"/>
  <c r="AA99" i="1"/>
  <c r="AA98" i="1"/>
  <c r="AA96" i="1"/>
  <c r="AA95" i="1"/>
  <c r="AA93" i="1"/>
  <c r="AA92" i="1"/>
  <c r="AA90" i="1"/>
  <c r="AA87" i="1"/>
  <c r="AA86" i="1"/>
  <c r="AA84" i="1"/>
  <c r="AA83" i="1"/>
  <c r="AA81" i="1"/>
  <c r="AA80" i="1"/>
  <c r="AA78" i="1"/>
  <c r="AA77" i="1"/>
  <c r="AA75" i="1"/>
  <c r="AA74" i="1"/>
  <c r="AA72" i="1"/>
  <c r="AA71" i="1"/>
  <c r="AA69" i="1"/>
  <c r="AA68" i="1"/>
  <c r="AA66" i="1"/>
  <c r="AA65" i="1"/>
  <c r="AA63" i="1"/>
  <c r="AA62" i="1"/>
  <c r="AA60" i="1"/>
  <c r="AA59" i="1"/>
  <c r="AA57" i="1"/>
  <c r="AA56" i="1"/>
  <c r="AA54" i="1"/>
  <c r="AA53" i="1"/>
  <c r="AA51" i="1"/>
  <c r="AA50" i="1"/>
  <c r="AA48" i="1"/>
  <c r="AA45" i="1"/>
  <c r="AA44" i="1"/>
  <c r="AA42" i="1"/>
  <c r="AA41" i="1"/>
  <c r="AA39" i="1"/>
  <c r="AA38" i="1"/>
  <c r="AA36" i="1"/>
  <c r="AA35" i="1"/>
  <c r="AA33" i="1"/>
  <c r="AA32" i="1"/>
  <c r="AA30" i="1"/>
  <c r="AA29" i="1"/>
  <c r="AA27" i="1"/>
  <c r="T17" i="1"/>
  <c r="W17" i="1"/>
  <c r="T18" i="1"/>
  <c r="W18" i="1"/>
  <c r="T19" i="1"/>
  <c r="W19" i="1"/>
  <c r="T22" i="1"/>
  <c r="W22" i="1"/>
  <c r="T25" i="1"/>
  <c r="W25" i="1"/>
  <c r="T52" i="1"/>
  <c r="W52" i="1"/>
  <c r="T58" i="1"/>
  <c r="W58" i="1"/>
  <c r="T61" i="1"/>
  <c r="W61" i="1"/>
  <c r="T64" i="1"/>
  <c r="W64" i="1"/>
  <c r="T67" i="1"/>
  <c r="W67" i="1"/>
  <c r="T70" i="1"/>
  <c r="W70" i="1"/>
  <c r="T79" i="1"/>
  <c r="W79" i="1"/>
  <c r="T82" i="1"/>
  <c r="W82" i="1"/>
  <c r="T85" i="1"/>
  <c r="W85" i="1"/>
  <c r="T88" i="1"/>
  <c r="W88" i="1"/>
  <c r="T94" i="1"/>
  <c r="W94" i="1"/>
  <c r="T103" i="1"/>
  <c r="W103" i="1"/>
  <c r="T14" i="1"/>
  <c r="W14" i="1"/>
  <c r="T15" i="1"/>
  <c r="W15" i="1"/>
  <c r="T11" i="1"/>
  <c r="W11" i="1"/>
  <c r="T12" i="1"/>
  <c r="W12" i="1"/>
  <c r="AA88" i="1" l="1"/>
  <c r="AF131" i="1"/>
  <c r="W98" i="19"/>
  <c r="T148" i="19"/>
  <c r="Q148" i="19"/>
  <c r="N148" i="19"/>
  <c r="Q248" i="19"/>
  <c r="K48" i="19"/>
  <c r="W48" i="19"/>
  <c r="T198" i="19"/>
  <c r="Q198" i="19"/>
  <c r="N198" i="19"/>
  <c r="K198" i="19"/>
  <c r="N248" i="19"/>
  <c r="W198" i="19"/>
  <c r="T48" i="19"/>
  <c r="Q48" i="19"/>
  <c r="N48" i="19"/>
  <c r="W248" i="19"/>
  <c r="K148" i="19"/>
  <c r="K248" i="19"/>
  <c r="W148" i="19"/>
  <c r="T98" i="19"/>
  <c r="Q98" i="19"/>
  <c r="N98" i="19"/>
  <c r="T248" i="19"/>
  <c r="K98" i="19"/>
  <c r="AF135" i="1"/>
  <c r="X199" i="19"/>
  <c r="U49" i="19"/>
  <c r="R49" i="19"/>
  <c r="O49" i="19"/>
  <c r="X249" i="19"/>
  <c r="L149" i="19"/>
  <c r="L249" i="19"/>
  <c r="X149" i="19"/>
  <c r="U99" i="19"/>
  <c r="R99" i="19"/>
  <c r="O99" i="19"/>
  <c r="U249" i="19"/>
  <c r="L99" i="19"/>
  <c r="X99" i="19"/>
  <c r="U149" i="19"/>
  <c r="R149" i="19"/>
  <c r="O149" i="19"/>
  <c r="R249" i="19"/>
  <c r="L49" i="19"/>
  <c r="X49" i="19"/>
  <c r="U199" i="19"/>
  <c r="R199" i="19"/>
  <c r="O199" i="19"/>
  <c r="L199" i="19"/>
  <c r="O249" i="19"/>
  <c r="AF134" i="1"/>
  <c r="W49" i="19"/>
  <c r="T199" i="19"/>
  <c r="Q199" i="19"/>
  <c r="N199" i="19"/>
  <c r="K199" i="19"/>
  <c r="N249" i="19"/>
  <c r="W199" i="19"/>
  <c r="T49" i="19"/>
  <c r="Q49" i="19"/>
  <c r="N49" i="19"/>
  <c r="W249" i="19"/>
  <c r="K149" i="19"/>
  <c r="K249" i="19"/>
  <c r="W149" i="19"/>
  <c r="T99" i="19"/>
  <c r="Q99" i="19"/>
  <c r="N99" i="19"/>
  <c r="T249" i="19"/>
  <c r="K99" i="19"/>
  <c r="W99" i="19"/>
  <c r="T149" i="19"/>
  <c r="Q149" i="19"/>
  <c r="N149" i="19"/>
  <c r="Q249" i="19"/>
  <c r="K49" i="19"/>
  <c r="AF153" i="1"/>
  <c r="X205" i="19"/>
  <c r="X105" i="19"/>
  <c r="U55" i="19"/>
  <c r="U155" i="19"/>
  <c r="R55" i="19"/>
  <c r="R155" i="19"/>
  <c r="O55" i="19"/>
  <c r="O155" i="19"/>
  <c r="X255" i="19"/>
  <c r="R255" i="19"/>
  <c r="L155" i="19"/>
  <c r="L55" i="19"/>
  <c r="L255" i="19"/>
  <c r="X155" i="19"/>
  <c r="X55" i="19"/>
  <c r="U105" i="19"/>
  <c r="U205" i="19"/>
  <c r="R105" i="19"/>
  <c r="R205" i="19"/>
  <c r="O105" i="19"/>
  <c r="O205" i="19"/>
  <c r="U255" i="19"/>
  <c r="L205" i="19"/>
  <c r="L105" i="19"/>
  <c r="O255" i="19"/>
  <c r="AF152" i="1"/>
  <c r="K105" i="19"/>
  <c r="N255" i="19"/>
  <c r="W205" i="19"/>
  <c r="W105" i="19"/>
  <c r="T55" i="19"/>
  <c r="T155" i="19"/>
  <c r="Q55" i="19"/>
  <c r="Q155" i="19"/>
  <c r="N55" i="19"/>
  <c r="N155" i="19"/>
  <c r="W255" i="19"/>
  <c r="Q255" i="19"/>
  <c r="K155" i="19"/>
  <c r="K55" i="19"/>
  <c r="K255" i="19"/>
  <c r="W155" i="19"/>
  <c r="W55" i="19"/>
  <c r="T105" i="19"/>
  <c r="T205" i="19"/>
  <c r="Q105" i="19"/>
  <c r="Q205" i="19"/>
  <c r="N105" i="19"/>
  <c r="N205" i="19"/>
  <c r="T255" i="19"/>
  <c r="K205" i="19"/>
  <c r="AF151" i="1"/>
  <c r="V155" i="19"/>
  <c r="V55" i="19"/>
  <c r="S105" i="19"/>
  <c r="S205" i="19"/>
  <c r="P105" i="19"/>
  <c r="P205" i="19"/>
  <c r="M105" i="19"/>
  <c r="M205" i="19"/>
  <c r="S255" i="19"/>
  <c r="J205" i="19"/>
  <c r="J105" i="19"/>
  <c r="M255" i="19"/>
  <c r="V205" i="19"/>
  <c r="V105" i="19"/>
  <c r="S55" i="19"/>
  <c r="S155" i="19"/>
  <c r="P55" i="19"/>
  <c r="P155" i="19"/>
  <c r="M55" i="19"/>
  <c r="M155" i="19"/>
  <c r="V255" i="19"/>
  <c r="P255" i="19"/>
  <c r="J155" i="19"/>
  <c r="J55" i="19"/>
  <c r="J255" i="19"/>
  <c r="AF149" i="1"/>
  <c r="W204" i="19"/>
  <c r="W154" i="19"/>
  <c r="W104" i="19"/>
  <c r="W54" i="19"/>
  <c r="T54" i="19"/>
  <c r="T104" i="19"/>
  <c r="T154" i="19"/>
  <c r="T204" i="19"/>
  <c r="Q54" i="19"/>
  <c r="Q104" i="19"/>
  <c r="Q154" i="19"/>
  <c r="Q204" i="19"/>
  <c r="N54" i="19"/>
  <c r="N104" i="19"/>
  <c r="N154" i="19"/>
  <c r="N204" i="19"/>
  <c r="W254" i="19"/>
  <c r="T254" i="19"/>
  <c r="Q254" i="19"/>
  <c r="K204" i="19"/>
  <c r="K154" i="19"/>
  <c r="K104" i="19"/>
  <c r="K54" i="19"/>
  <c r="N254" i="19"/>
  <c r="K254" i="19"/>
  <c r="AF150" i="1"/>
  <c r="X154" i="19"/>
  <c r="X104" i="19"/>
  <c r="U54" i="19"/>
  <c r="U154" i="19"/>
  <c r="R154" i="19"/>
  <c r="R204" i="19"/>
  <c r="O104" i="19"/>
  <c r="O154" i="19"/>
  <c r="X254" i="19"/>
  <c r="R254" i="19"/>
  <c r="L154" i="19"/>
  <c r="L54" i="19"/>
  <c r="X204" i="19"/>
  <c r="X54" i="19"/>
  <c r="U104" i="19"/>
  <c r="U204" i="19"/>
  <c r="R54" i="19"/>
  <c r="R104" i="19"/>
  <c r="O54" i="19"/>
  <c r="O204" i="19"/>
  <c r="U254" i="19"/>
  <c r="L204" i="19"/>
  <c r="L104" i="19"/>
  <c r="O254" i="19"/>
  <c r="L254" i="19"/>
  <c r="AF145" i="1"/>
  <c r="V53" i="19"/>
  <c r="S203" i="19"/>
  <c r="P203" i="19"/>
  <c r="M203" i="19"/>
  <c r="J203" i="19"/>
  <c r="M253" i="19"/>
  <c r="V103" i="19"/>
  <c r="S153" i="19"/>
  <c r="P153" i="19"/>
  <c r="M153" i="19"/>
  <c r="P253" i="19"/>
  <c r="J53" i="19"/>
  <c r="V153" i="19"/>
  <c r="S103" i="19"/>
  <c r="P103" i="19"/>
  <c r="M103" i="19"/>
  <c r="S253" i="19"/>
  <c r="J103" i="19"/>
  <c r="V203" i="19"/>
  <c r="S53" i="19"/>
  <c r="P53" i="19"/>
  <c r="M53" i="19"/>
  <c r="V253" i="19"/>
  <c r="J153" i="19"/>
  <c r="J253" i="19"/>
  <c r="AF147" i="1"/>
  <c r="X153" i="19"/>
  <c r="U103" i="19"/>
  <c r="R103" i="19"/>
  <c r="O103" i="19"/>
  <c r="U253" i="19"/>
  <c r="L103" i="19"/>
  <c r="X203" i="19"/>
  <c r="U53" i="19"/>
  <c r="R53" i="19"/>
  <c r="O53" i="19"/>
  <c r="X253" i="19"/>
  <c r="L153" i="19"/>
  <c r="L253" i="19"/>
  <c r="X53" i="19"/>
  <c r="U203" i="19"/>
  <c r="R203" i="19"/>
  <c r="O203" i="19"/>
  <c r="L203" i="19"/>
  <c r="O253" i="19"/>
  <c r="X103" i="19"/>
  <c r="U153" i="19"/>
  <c r="R153" i="19"/>
  <c r="O153" i="19"/>
  <c r="R253" i="19"/>
  <c r="L53" i="19"/>
  <c r="AF146" i="1"/>
  <c r="W103" i="19"/>
  <c r="T153" i="19"/>
  <c r="Q153" i="19"/>
  <c r="N153" i="19"/>
  <c r="Q253" i="19"/>
  <c r="K53" i="19"/>
  <c r="W153" i="19"/>
  <c r="T103" i="19"/>
  <c r="Q103" i="19"/>
  <c r="N103" i="19"/>
  <c r="T253" i="19"/>
  <c r="K103" i="19"/>
  <c r="W203" i="19"/>
  <c r="T53" i="19"/>
  <c r="Q53" i="19"/>
  <c r="N53" i="19"/>
  <c r="W253" i="19"/>
  <c r="K153" i="19"/>
  <c r="K253" i="19"/>
  <c r="W53" i="19"/>
  <c r="T203" i="19"/>
  <c r="Q203" i="19"/>
  <c r="N203" i="19"/>
  <c r="K203" i="19"/>
  <c r="N253" i="19"/>
  <c r="AF142" i="1"/>
  <c r="V152" i="19"/>
  <c r="V52" i="19"/>
  <c r="S102" i="19"/>
  <c r="S202" i="19"/>
  <c r="P102" i="19"/>
  <c r="P202" i="19"/>
  <c r="M102" i="19"/>
  <c r="M202" i="19"/>
  <c r="S252" i="19"/>
  <c r="J202" i="19"/>
  <c r="J102" i="19"/>
  <c r="M252" i="19"/>
  <c r="V202" i="19"/>
  <c r="V102" i="19"/>
  <c r="S52" i="19"/>
  <c r="S152" i="19"/>
  <c r="P52" i="19"/>
  <c r="P152" i="19"/>
  <c r="M52" i="19"/>
  <c r="M152" i="19"/>
  <c r="V252" i="19"/>
  <c r="P252" i="19"/>
  <c r="J152" i="19"/>
  <c r="J52" i="19"/>
  <c r="J252" i="19"/>
  <c r="AF144" i="1"/>
  <c r="X202" i="19"/>
  <c r="X102" i="19"/>
  <c r="U52" i="19"/>
  <c r="U152" i="19"/>
  <c r="R52" i="19"/>
  <c r="R152" i="19"/>
  <c r="O52" i="19"/>
  <c r="O152" i="19"/>
  <c r="X252" i="19"/>
  <c r="R252" i="19"/>
  <c r="L152" i="19"/>
  <c r="L52" i="19"/>
  <c r="L252" i="19"/>
  <c r="X152" i="19"/>
  <c r="X52" i="19"/>
  <c r="U102" i="19"/>
  <c r="U202" i="19"/>
  <c r="R102" i="19"/>
  <c r="R202" i="19"/>
  <c r="O102" i="19"/>
  <c r="O202" i="19"/>
  <c r="U252" i="19"/>
  <c r="L202" i="19"/>
  <c r="L102" i="19"/>
  <c r="O252" i="19"/>
  <c r="AF143" i="1"/>
  <c r="W202" i="19"/>
  <c r="W102" i="19"/>
  <c r="T52" i="19"/>
  <c r="T152" i="19"/>
  <c r="Q52" i="19"/>
  <c r="Q152" i="19"/>
  <c r="N52" i="19"/>
  <c r="N152" i="19"/>
  <c r="W252" i="19"/>
  <c r="Q252" i="19"/>
  <c r="K152" i="19"/>
  <c r="K52" i="19"/>
  <c r="K252" i="19"/>
  <c r="W152" i="19"/>
  <c r="W52" i="19"/>
  <c r="T102" i="19"/>
  <c r="T202" i="19"/>
  <c r="Q102" i="19"/>
  <c r="Q202" i="19"/>
  <c r="N102" i="19"/>
  <c r="N202" i="19"/>
  <c r="T252" i="19"/>
  <c r="K202" i="19"/>
  <c r="K102" i="19"/>
  <c r="N252" i="19"/>
  <c r="AF140" i="1"/>
  <c r="W201" i="19"/>
  <c r="T51" i="19"/>
  <c r="Q51" i="19"/>
  <c r="N51" i="19"/>
  <c r="W251" i="19"/>
  <c r="K151" i="19"/>
  <c r="K251" i="19"/>
  <c r="W151" i="19"/>
  <c r="T101" i="19"/>
  <c r="Q101" i="19"/>
  <c r="N101" i="19"/>
  <c r="T251" i="19"/>
  <c r="K101" i="19"/>
  <c r="W101" i="19"/>
  <c r="T151" i="19"/>
  <c r="Q151" i="19"/>
  <c r="N151" i="19"/>
  <c r="Q251" i="19"/>
  <c r="K51" i="19"/>
  <c r="W51" i="19"/>
  <c r="T201" i="19"/>
  <c r="Q201" i="19"/>
  <c r="N201" i="19"/>
  <c r="K201" i="19"/>
  <c r="N251" i="19"/>
  <c r="AF141" i="1"/>
  <c r="X151" i="19"/>
  <c r="U101" i="19"/>
  <c r="R101" i="19"/>
  <c r="O101" i="19"/>
  <c r="U251" i="19"/>
  <c r="L101" i="19"/>
  <c r="X101" i="19"/>
  <c r="U151" i="19"/>
  <c r="R151" i="19"/>
  <c r="O151" i="19"/>
  <c r="R251" i="19"/>
  <c r="L51" i="19"/>
  <c r="X51" i="19"/>
  <c r="U201" i="19"/>
  <c r="R201" i="19"/>
  <c r="O201" i="19"/>
  <c r="L201" i="19"/>
  <c r="O251" i="19"/>
  <c r="X201" i="19"/>
  <c r="U51" i="19"/>
  <c r="R51" i="19"/>
  <c r="O51" i="19"/>
  <c r="X251" i="19"/>
  <c r="L151" i="19"/>
  <c r="L251" i="19"/>
  <c r="AF139" i="1"/>
  <c r="V51" i="19"/>
  <c r="S201" i="19"/>
  <c r="P201" i="19"/>
  <c r="M201" i="19"/>
  <c r="J201" i="19"/>
  <c r="M251" i="19"/>
  <c r="V201" i="19"/>
  <c r="S51" i="19"/>
  <c r="P51" i="19"/>
  <c r="M51" i="19"/>
  <c r="V251" i="19"/>
  <c r="J151" i="19"/>
  <c r="J251" i="19"/>
  <c r="V151" i="19"/>
  <c r="S101" i="19"/>
  <c r="P101" i="19"/>
  <c r="M101" i="19"/>
  <c r="S251" i="19"/>
  <c r="J101" i="19"/>
  <c r="V101" i="19"/>
  <c r="S151" i="19"/>
  <c r="P151" i="19"/>
  <c r="M151" i="19"/>
  <c r="P251" i="19"/>
  <c r="J51" i="19"/>
  <c r="AF137" i="1"/>
  <c r="W100" i="19"/>
  <c r="T150" i="19"/>
  <c r="Q150" i="19"/>
  <c r="N150" i="19"/>
  <c r="Q250" i="19"/>
  <c r="K50" i="19"/>
  <c r="W150" i="19"/>
  <c r="T100" i="19"/>
  <c r="Q100" i="19"/>
  <c r="N100" i="19"/>
  <c r="T250" i="19"/>
  <c r="K100" i="19"/>
  <c r="W200" i="19"/>
  <c r="T50" i="19"/>
  <c r="Q50" i="19"/>
  <c r="N50" i="19"/>
  <c r="W250" i="19"/>
  <c r="K150" i="19"/>
  <c r="K250" i="19"/>
  <c r="W50" i="19"/>
  <c r="T200" i="19"/>
  <c r="Q200" i="19"/>
  <c r="N200" i="19"/>
  <c r="K200" i="19"/>
  <c r="N250" i="19"/>
  <c r="AF138" i="1"/>
  <c r="X100" i="19"/>
  <c r="X150" i="19"/>
  <c r="U100" i="19"/>
  <c r="R100" i="19"/>
  <c r="O100" i="19"/>
  <c r="U250" i="19"/>
  <c r="L100" i="19"/>
  <c r="X200" i="19"/>
  <c r="U50" i="19"/>
  <c r="R50" i="19"/>
  <c r="O50" i="19"/>
  <c r="X250" i="19"/>
  <c r="L150" i="19"/>
  <c r="L250" i="19"/>
  <c r="X50" i="19"/>
  <c r="U200" i="19"/>
  <c r="R200" i="19"/>
  <c r="O200" i="19"/>
  <c r="L200" i="19"/>
  <c r="O250" i="19"/>
  <c r="U150" i="19"/>
  <c r="R150" i="19"/>
  <c r="O150" i="19"/>
  <c r="R250" i="19"/>
  <c r="L50" i="19"/>
  <c r="AF129" i="1"/>
  <c r="X197" i="19"/>
  <c r="X147" i="19"/>
  <c r="X97" i="19"/>
  <c r="X47" i="19"/>
  <c r="U47" i="19"/>
  <c r="U97" i="19"/>
  <c r="U147" i="19"/>
  <c r="U197" i="19"/>
  <c r="R47" i="19"/>
  <c r="R97" i="19"/>
  <c r="R147" i="19"/>
  <c r="R197" i="19"/>
  <c r="O47" i="19"/>
  <c r="O97" i="19"/>
  <c r="O147" i="19"/>
  <c r="O197" i="19"/>
  <c r="X247" i="19"/>
  <c r="U247" i="19"/>
  <c r="R247" i="19"/>
  <c r="L197" i="19"/>
  <c r="L147" i="19"/>
  <c r="L97" i="19"/>
  <c r="L47" i="19"/>
  <c r="O247" i="19"/>
  <c r="L247" i="19"/>
  <c r="AF128" i="1"/>
  <c r="W197" i="19"/>
  <c r="T47" i="19"/>
  <c r="Q47" i="19"/>
  <c r="N47" i="19"/>
  <c r="W247" i="19"/>
  <c r="K147" i="19"/>
  <c r="K247" i="19"/>
  <c r="W147" i="19"/>
  <c r="T97" i="19"/>
  <c r="Q97" i="19"/>
  <c r="N97" i="19"/>
  <c r="T247" i="19"/>
  <c r="K97" i="19"/>
  <c r="W47" i="19"/>
  <c r="T197" i="19"/>
  <c r="K197" i="19"/>
  <c r="N247" i="19"/>
  <c r="W97" i="19"/>
  <c r="T147" i="19"/>
  <c r="Q147" i="19"/>
  <c r="N147" i="19"/>
  <c r="Q247" i="19"/>
  <c r="K47" i="19"/>
  <c r="Q197" i="19"/>
  <c r="N197" i="19"/>
  <c r="AF125" i="1"/>
  <c r="W196" i="19"/>
  <c r="W146" i="19"/>
  <c r="W96" i="19"/>
  <c r="W46" i="19"/>
  <c r="T46" i="19"/>
  <c r="T96" i="19"/>
  <c r="T146" i="19"/>
  <c r="T196" i="19"/>
  <c r="Q46" i="19"/>
  <c r="Q96" i="19"/>
  <c r="Q146" i="19"/>
  <c r="Q196" i="19"/>
  <c r="N46" i="19"/>
  <c r="N96" i="19"/>
  <c r="N146" i="19"/>
  <c r="N196" i="19"/>
  <c r="W246" i="19"/>
  <c r="T246" i="19"/>
  <c r="Q246" i="19"/>
  <c r="K196" i="19"/>
  <c r="K146" i="19"/>
  <c r="K96" i="19"/>
  <c r="K46" i="19"/>
  <c r="N246" i="19"/>
  <c r="K246" i="19"/>
  <c r="AF126" i="1"/>
  <c r="X196" i="19"/>
  <c r="X146" i="19"/>
  <c r="X96" i="19"/>
  <c r="X46" i="19"/>
  <c r="U46" i="19"/>
  <c r="U96" i="19"/>
  <c r="U146" i="19"/>
  <c r="U196" i="19"/>
  <c r="R46" i="19"/>
  <c r="R96" i="19"/>
  <c r="R146" i="19"/>
  <c r="R196" i="19"/>
  <c r="O46" i="19"/>
  <c r="O96" i="19"/>
  <c r="O146" i="19"/>
  <c r="O196" i="19"/>
  <c r="X246" i="19"/>
  <c r="U246" i="19"/>
  <c r="R246" i="19"/>
  <c r="L196" i="19"/>
  <c r="L146" i="19"/>
  <c r="L96" i="19"/>
  <c r="L46" i="19"/>
  <c r="O246" i="19"/>
  <c r="L246" i="19"/>
  <c r="AF136" i="1"/>
  <c r="V200" i="19"/>
  <c r="V150" i="19"/>
  <c r="V100" i="19"/>
  <c r="V50" i="19"/>
  <c r="S50" i="19"/>
  <c r="S100" i="19"/>
  <c r="S150" i="19"/>
  <c r="S200" i="19"/>
  <c r="P50" i="19"/>
  <c r="P100" i="19"/>
  <c r="P150" i="19"/>
  <c r="P200" i="19"/>
  <c r="M50" i="19"/>
  <c r="M100" i="19"/>
  <c r="M150" i="19"/>
  <c r="M200" i="19"/>
  <c r="V250" i="19"/>
  <c r="S250" i="19"/>
  <c r="P250" i="19"/>
  <c r="J200" i="19"/>
  <c r="J100" i="19"/>
  <c r="J50" i="19"/>
  <c r="M250" i="19"/>
  <c r="J250" i="19"/>
  <c r="AF132" i="1"/>
  <c r="X198" i="19"/>
  <c r="X98" i="19"/>
  <c r="U48" i="19"/>
  <c r="U148" i="19"/>
  <c r="R48" i="19"/>
  <c r="R148" i="19"/>
  <c r="O48" i="19"/>
  <c r="O148" i="19"/>
  <c r="X248" i="19"/>
  <c r="R248" i="19"/>
  <c r="L148" i="19"/>
  <c r="L48" i="19"/>
  <c r="L248" i="19"/>
  <c r="X148" i="19"/>
  <c r="X48" i="19"/>
  <c r="U98" i="19"/>
  <c r="U198" i="19"/>
  <c r="R98" i="19"/>
  <c r="R198" i="19"/>
  <c r="O98" i="19"/>
  <c r="O198" i="19"/>
  <c r="U248" i="19"/>
  <c r="L198" i="19"/>
  <c r="L98" i="19"/>
  <c r="O248" i="19"/>
  <c r="AF24" i="1"/>
  <c r="X61" i="19"/>
  <c r="U111" i="19"/>
  <c r="R111" i="19"/>
  <c r="O111" i="19"/>
  <c r="R211" i="19"/>
  <c r="L11" i="19"/>
  <c r="L111" i="19"/>
  <c r="O211" i="19"/>
  <c r="L211" i="19"/>
  <c r="X111" i="19"/>
  <c r="U61" i="19"/>
  <c r="R61" i="19"/>
  <c r="O61" i="19"/>
  <c r="U211" i="19"/>
  <c r="L61" i="19"/>
  <c r="X11" i="19"/>
  <c r="U161" i="19"/>
  <c r="R161" i="19"/>
  <c r="O161" i="19"/>
  <c r="L161" i="19"/>
  <c r="X161" i="19"/>
  <c r="U11" i="19"/>
  <c r="R11" i="19"/>
  <c r="O11" i="19"/>
  <c r="X211" i="19"/>
  <c r="AF23" i="1"/>
  <c r="W161" i="19"/>
  <c r="W111" i="19"/>
  <c r="W61" i="19"/>
  <c r="W11" i="19"/>
  <c r="T11" i="19"/>
  <c r="T61" i="19"/>
  <c r="T111" i="19"/>
  <c r="T161" i="19"/>
  <c r="Q11" i="19"/>
  <c r="Q61" i="19"/>
  <c r="Q111" i="19"/>
  <c r="Q161" i="19"/>
  <c r="N11" i="19"/>
  <c r="N61" i="19"/>
  <c r="N111" i="19"/>
  <c r="N161" i="19"/>
  <c r="W211" i="19"/>
  <c r="T211" i="19"/>
  <c r="Q211" i="19"/>
  <c r="K161" i="19"/>
  <c r="K111" i="19"/>
  <c r="K61" i="19"/>
  <c r="K11" i="19"/>
  <c r="N211" i="19"/>
  <c r="K211" i="19"/>
  <c r="AF21" i="1"/>
  <c r="X60" i="19"/>
  <c r="U160" i="19"/>
  <c r="R160" i="19"/>
  <c r="O160" i="19"/>
  <c r="L160" i="19"/>
  <c r="O210" i="19"/>
  <c r="X10" i="19"/>
  <c r="R10" i="19"/>
  <c r="O10" i="19"/>
  <c r="X210" i="19"/>
  <c r="L110" i="19"/>
  <c r="L210" i="19"/>
  <c r="U110" i="19"/>
  <c r="R110" i="19"/>
  <c r="R210" i="19"/>
  <c r="U60" i="19"/>
  <c r="X160" i="19"/>
  <c r="U10" i="19"/>
  <c r="R60" i="19"/>
  <c r="O60" i="19"/>
  <c r="U210" i="19"/>
  <c r="L60" i="19"/>
  <c r="X110" i="19"/>
  <c r="O110" i="19"/>
  <c r="L10" i="19"/>
  <c r="AB26" i="1"/>
  <c r="AB118" i="1"/>
  <c r="AC118" i="1"/>
  <c r="AB120" i="1"/>
  <c r="AC120" i="1"/>
  <c r="AB119" i="1"/>
  <c r="AC119" i="1"/>
  <c r="AB116" i="1"/>
  <c r="AC116" i="1"/>
  <c r="AB115" i="1"/>
  <c r="AC115" i="1"/>
  <c r="AB117" i="1"/>
  <c r="AC117" i="1"/>
  <c r="AB112" i="1"/>
  <c r="AC112" i="1"/>
  <c r="AB113" i="1"/>
  <c r="AC113" i="1"/>
  <c r="AB114" i="1"/>
  <c r="AC114" i="1"/>
  <c r="AB109" i="1"/>
  <c r="AC109" i="1"/>
  <c r="AB110" i="1"/>
  <c r="AC110" i="1"/>
  <c r="AB111" i="1"/>
  <c r="AC111" i="1"/>
  <c r="AB106" i="1"/>
  <c r="AC106" i="1"/>
  <c r="AB107" i="1"/>
  <c r="AC107" i="1"/>
  <c r="AB108" i="1"/>
  <c r="AC108" i="1"/>
  <c r="AB123" i="1"/>
  <c r="AC123" i="1"/>
  <c r="AB122" i="1"/>
  <c r="AC122" i="1"/>
  <c r="AB121" i="1"/>
  <c r="AC121" i="1"/>
  <c r="AB105" i="1"/>
  <c r="AC105" i="1"/>
  <c r="AB104" i="1"/>
  <c r="AC104" i="1"/>
  <c r="AB102" i="1"/>
  <c r="AC102" i="1"/>
  <c r="AB101" i="1"/>
  <c r="AC101" i="1"/>
  <c r="AB99" i="1"/>
  <c r="AC99" i="1"/>
  <c r="AB98" i="1"/>
  <c r="AC98" i="1"/>
  <c r="AB100" i="1"/>
  <c r="AC100" i="1"/>
  <c r="AB97" i="1"/>
  <c r="AC97" i="1"/>
  <c r="AB96" i="1"/>
  <c r="AC96" i="1"/>
  <c r="AB95" i="1"/>
  <c r="AC95" i="1"/>
  <c r="AB93" i="1"/>
  <c r="AC93" i="1"/>
  <c r="AB92" i="1"/>
  <c r="AC92" i="1"/>
  <c r="AB90" i="1"/>
  <c r="AC90" i="1"/>
  <c r="AB91" i="1"/>
  <c r="AC91" i="1"/>
  <c r="AB89" i="1"/>
  <c r="AC89" i="1"/>
  <c r="AB87" i="1"/>
  <c r="AC87" i="1"/>
  <c r="AB86" i="1"/>
  <c r="AC86" i="1"/>
  <c r="AB84" i="1"/>
  <c r="AC84" i="1"/>
  <c r="AB83" i="1"/>
  <c r="AC83" i="1"/>
  <c r="AB81" i="1"/>
  <c r="AC81" i="1"/>
  <c r="AB80" i="1"/>
  <c r="AC80" i="1"/>
  <c r="AB78" i="1"/>
  <c r="AC78" i="1"/>
  <c r="AB76" i="1"/>
  <c r="AC76" i="1"/>
  <c r="AB77" i="1"/>
  <c r="AC77" i="1"/>
  <c r="AB75" i="1"/>
  <c r="AC75" i="1"/>
  <c r="AB74" i="1"/>
  <c r="AC74" i="1"/>
  <c r="AB73" i="1"/>
  <c r="AC73" i="1"/>
  <c r="AB72" i="1"/>
  <c r="AC72" i="1"/>
  <c r="AB71" i="1"/>
  <c r="AC71" i="1"/>
  <c r="AB69" i="1"/>
  <c r="AC69" i="1"/>
  <c r="AB68" i="1"/>
  <c r="AC68" i="1"/>
  <c r="AB66" i="1"/>
  <c r="AC66" i="1"/>
  <c r="AB65" i="1"/>
  <c r="AC65" i="1"/>
  <c r="AB63" i="1"/>
  <c r="AC63" i="1"/>
  <c r="AB62" i="1"/>
  <c r="AC62" i="1"/>
  <c r="AB60" i="1"/>
  <c r="AC60" i="1"/>
  <c r="AB59" i="1"/>
  <c r="AC59" i="1"/>
  <c r="AB57" i="1"/>
  <c r="AC57" i="1"/>
  <c r="AB56" i="1"/>
  <c r="AC56" i="1"/>
  <c r="AB54" i="1"/>
  <c r="AC54" i="1"/>
  <c r="AB55" i="1"/>
  <c r="AC55" i="1"/>
  <c r="AB53" i="1"/>
  <c r="AC53" i="1"/>
  <c r="AB51" i="1"/>
  <c r="AC51" i="1"/>
  <c r="AB50" i="1"/>
  <c r="AC50" i="1"/>
  <c r="AB48" i="1"/>
  <c r="AC48" i="1"/>
  <c r="AB47" i="1"/>
  <c r="AC47" i="1"/>
  <c r="AB49" i="1"/>
  <c r="AC49" i="1"/>
  <c r="AB46" i="1"/>
  <c r="AC46" i="1"/>
  <c r="AB45" i="1"/>
  <c r="AC45" i="1"/>
  <c r="AB44" i="1"/>
  <c r="AC44" i="1"/>
  <c r="AB43" i="1"/>
  <c r="AC43" i="1"/>
  <c r="AB42" i="1"/>
  <c r="AC42" i="1"/>
  <c r="AB41" i="1"/>
  <c r="AC41" i="1"/>
  <c r="AB40" i="1"/>
  <c r="AC40" i="1"/>
  <c r="AB39" i="1"/>
  <c r="AC39" i="1"/>
  <c r="AB38" i="1"/>
  <c r="AC38" i="1"/>
  <c r="AB37" i="1"/>
  <c r="AC37" i="1"/>
  <c r="AB36" i="1"/>
  <c r="AC36" i="1"/>
  <c r="AB35" i="1"/>
  <c r="AC35" i="1"/>
  <c r="AB34" i="1"/>
  <c r="AC34" i="1"/>
  <c r="AB33" i="1"/>
  <c r="AC33" i="1"/>
  <c r="AB32" i="1"/>
  <c r="AC32" i="1"/>
  <c r="AB31" i="1"/>
  <c r="AC31" i="1"/>
  <c r="AB30" i="1"/>
  <c r="AC30" i="1"/>
  <c r="AB29" i="1"/>
  <c r="AC29" i="1"/>
  <c r="AB28" i="1"/>
  <c r="AC28" i="1"/>
  <c r="AB27" i="1"/>
  <c r="AC27" i="1"/>
  <c r="T8" i="1"/>
  <c r="W8" i="1"/>
  <c r="T9" i="1"/>
  <c r="W9" i="1"/>
  <c r="T7" i="1"/>
  <c r="T10" i="1"/>
  <c r="T13" i="1"/>
  <c r="T16" i="1"/>
  <c r="X165" i="19" l="1"/>
  <c r="X65" i="19"/>
  <c r="X115" i="19"/>
  <c r="X15" i="19"/>
  <c r="U15" i="19"/>
  <c r="U115" i="19"/>
  <c r="R65" i="19"/>
  <c r="R165" i="19"/>
  <c r="U65" i="19"/>
  <c r="U165" i="19"/>
  <c r="O115" i="19"/>
  <c r="X215" i="19"/>
  <c r="R215" i="19"/>
  <c r="R15" i="19"/>
  <c r="R115" i="19"/>
  <c r="O65" i="19"/>
  <c r="O165" i="19"/>
  <c r="U215" i="19"/>
  <c r="L165" i="19"/>
  <c r="L65" i="19"/>
  <c r="O215" i="19"/>
  <c r="O15" i="19"/>
  <c r="L115" i="19"/>
  <c r="L15" i="19"/>
  <c r="X122" i="19"/>
  <c r="X22" i="19"/>
  <c r="U72" i="19"/>
  <c r="U172" i="19"/>
  <c r="R72" i="19"/>
  <c r="R172" i="19"/>
  <c r="X172" i="19"/>
  <c r="X72" i="19"/>
  <c r="U22" i="19"/>
  <c r="U122" i="19"/>
  <c r="R22" i="19"/>
  <c r="R122" i="19"/>
  <c r="O22" i="19"/>
  <c r="O72" i="19"/>
  <c r="O172" i="19"/>
  <c r="U222" i="19"/>
  <c r="L172" i="19"/>
  <c r="L72" i="19"/>
  <c r="O222" i="19"/>
  <c r="O122" i="19"/>
  <c r="X222" i="19"/>
  <c r="R222" i="19"/>
  <c r="L122" i="19"/>
  <c r="L22" i="19"/>
  <c r="X126" i="19"/>
  <c r="X26" i="19"/>
  <c r="U76" i="19"/>
  <c r="U176" i="19"/>
  <c r="R76" i="19"/>
  <c r="R176" i="19"/>
  <c r="R126" i="19"/>
  <c r="O26" i="19"/>
  <c r="X176" i="19"/>
  <c r="X76" i="19"/>
  <c r="U26" i="19"/>
  <c r="U126" i="19"/>
  <c r="R26" i="19"/>
  <c r="O76" i="19"/>
  <c r="O176" i="19"/>
  <c r="U226" i="19"/>
  <c r="L176" i="19"/>
  <c r="L76" i="19"/>
  <c r="O226" i="19"/>
  <c r="L126" i="19"/>
  <c r="L26" i="19"/>
  <c r="O126" i="19"/>
  <c r="X226" i="19"/>
  <c r="R226" i="19"/>
  <c r="X178" i="19"/>
  <c r="X78" i="19"/>
  <c r="U28" i="19"/>
  <c r="X128" i="19"/>
  <c r="X28" i="19"/>
  <c r="U78" i="19"/>
  <c r="U128" i="19"/>
  <c r="U178" i="19"/>
  <c r="R28" i="19"/>
  <c r="R78" i="19"/>
  <c r="R178" i="19"/>
  <c r="O128" i="19"/>
  <c r="X228" i="19"/>
  <c r="R228" i="19"/>
  <c r="O78" i="19"/>
  <c r="O178" i="19"/>
  <c r="U228" i="19"/>
  <c r="L178" i="19"/>
  <c r="L78" i="19"/>
  <c r="O228" i="19"/>
  <c r="R128" i="19"/>
  <c r="O28" i="19"/>
  <c r="L128" i="19"/>
  <c r="L28" i="19"/>
  <c r="W130" i="19"/>
  <c r="W30" i="19"/>
  <c r="T80" i="19"/>
  <c r="T180" i="19"/>
  <c r="T130" i="19"/>
  <c r="Q30" i="19"/>
  <c r="Q80" i="19"/>
  <c r="Q180" i="19"/>
  <c r="W180" i="19"/>
  <c r="W80" i="19"/>
  <c r="T30" i="19"/>
  <c r="Q130" i="19"/>
  <c r="N30" i="19"/>
  <c r="N80" i="19"/>
  <c r="N180" i="19"/>
  <c r="T230" i="19"/>
  <c r="K180" i="19"/>
  <c r="K80" i="19"/>
  <c r="N230" i="19"/>
  <c r="N130" i="19"/>
  <c r="W230" i="19"/>
  <c r="Q230" i="19"/>
  <c r="K130" i="19"/>
  <c r="K30" i="19"/>
  <c r="X182" i="19"/>
  <c r="X82" i="19"/>
  <c r="U32" i="19"/>
  <c r="X132" i="19"/>
  <c r="X32" i="19"/>
  <c r="U82" i="19"/>
  <c r="R82" i="19"/>
  <c r="R182" i="19"/>
  <c r="U132" i="19"/>
  <c r="U182" i="19"/>
  <c r="R32" i="19"/>
  <c r="O132" i="19"/>
  <c r="X232" i="19"/>
  <c r="R232" i="19"/>
  <c r="R132" i="19"/>
  <c r="O32" i="19"/>
  <c r="O82" i="19"/>
  <c r="O182" i="19"/>
  <c r="U232" i="19"/>
  <c r="L182" i="19"/>
  <c r="L82" i="19"/>
  <c r="O232" i="19"/>
  <c r="L132" i="19"/>
  <c r="L32" i="19"/>
  <c r="X133" i="19"/>
  <c r="X33" i="19"/>
  <c r="X183" i="19"/>
  <c r="X83" i="19"/>
  <c r="U33" i="19"/>
  <c r="U133" i="19"/>
  <c r="R33" i="19"/>
  <c r="U183" i="19"/>
  <c r="R133" i="19"/>
  <c r="O33" i="19"/>
  <c r="U83" i="19"/>
  <c r="O83" i="19"/>
  <c r="O183" i="19"/>
  <c r="U233" i="19"/>
  <c r="L183" i="19"/>
  <c r="R83" i="19"/>
  <c r="R183" i="19"/>
  <c r="O133" i="19"/>
  <c r="X233" i="19"/>
  <c r="R233" i="19"/>
  <c r="L133" i="19"/>
  <c r="L33" i="19"/>
  <c r="L83" i="19"/>
  <c r="O233" i="19"/>
  <c r="X116" i="19"/>
  <c r="X16" i="19"/>
  <c r="X166" i="19"/>
  <c r="X66" i="19"/>
  <c r="U16" i="19"/>
  <c r="R16" i="19"/>
  <c r="R116" i="19"/>
  <c r="O16" i="19"/>
  <c r="U66" i="19"/>
  <c r="U116" i="19"/>
  <c r="U166" i="19"/>
  <c r="O66" i="19"/>
  <c r="O166" i="19"/>
  <c r="U216" i="19"/>
  <c r="R66" i="19"/>
  <c r="R166" i="19"/>
  <c r="O116" i="19"/>
  <c r="X216" i="19"/>
  <c r="R216" i="19"/>
  <c r="L166" i="19"/>
  <c r="L116" i="19"/>
  <c r="L16" i="19"/>
  <c r="L66" i="19"/>
  <c r="O216" i="19"/>
  <c r="X118" i="19"/>
  <c r="X18" i="19"/>
  <c r="X168" i="19"/>
  <c r="X68" i="19"/>
  <c r="U18" i="19"/>
  <c r="R18" i="19"/>
  <c r="R118" i="19"/>
  <c r="O18" i="19"/>
  <c r="O68" i="19"/>
  <c r="O168" i="19"/>
  <c r="U218" i="19"/>
  <c r="U118" i="19"/>
  <c r="R68" i="19"/>
  <c r="R168" i="19"/>
  <c r="O118" i="19"/>
  <c r="X218" i="19"/>
  <c r="R218" i="19"/>
  <c r="L118" i="19"/>
  <c r="L18" i="19"/>
  <c r="U68" i="19"/>
  <c r="U168" i="19"/>
  <c r="L168" i="19"/>
  <c r="L68" i="19"/>
  <c r="O218" i="19"/>
  <c r="X120" i="19"/>
  <c r="X20" i="19"/>
  <c r="U70" i="19"/>
  <c r="U170" i="19"/>
  <c r="U120" i="19"/>
  <c r="R70" i="19"/>
  <c r="R170" i="19"/>
  <c r="X170" i="19"/>
  <c r="X70" i="19"/>
  <c r="U20" i="19"/>
  <c r="R20" i="19"/>
  <c r="R120" i="19"/>
  <c r="O20" i="19"/>
  <c r="O70" i="19"/>
  <c r="O170" i="19"/>
  <c r="U220" i="19"/>
  <c r="L170" i="19"/>
  <c r="L70" i="19"/>
  <c r="O220" i="19"/>
  <c r="O120" i="19"/>
  <c r="X220" i="19"/>
  <c r="R220" i="19"/>
  <c r="L120" i="19"/>
  <c r="L20" i="19"/>
  <c r="W125" i="19"/>
  <c r="W25" i="19"/>
  <c r="W175" i="19"/>
  <c r="W75" i="19"/>
  <c r="T25" i="19"/>
  <c r="T125" i="19"/>
  <c r="Q25" i="19"/>
  <c r="Q125" i="19"/>
  <c r="N25" i="19"/>
  <c r="T75" i="19"/>
  <c r="T175" i="19"/>
  <c r="Q75" i="19"/>
  <c r="Q175" i="19"/>
  <c r="N75" i="19"/>
  <c r="N175" i="19"/>
  <c r="T225" i="19"/>
  <c r="N125" i="19"/>
  <c r="W225" i="19"/>
  <c r="Q225" i="19"/>
  <c r="K125" i="19"/>
  <c r="K25" i="19"/>
  <c r="K175" i="19"/>
  <c r="K75" i="19"/>
  <c r="N225" i="19"/>
  <c r="W181" i="19"/>
  <c r="W81" i="19"/>
  <c r="T31" i="19"/>
  <c r="T131" i="19"/>
  <c r="Q31" i="19"/>
  <c r="Q131" i="19"/>
  <c r="N31" i="19"/>
  <c r="W131" i="19"/>
  <c r="W31" i="19"/>
  <c r="Q81" i="19"/>
  <c r="Q181" i="19"/>
  <c r="T81" i="19"/>
  <c r="T181" i="19"/>
  <c r="N131" i="19"/>
  <c r="W231" i="19"/>
  <c r="Q231" i="19"/>
  <c r="K131" i="19"/>
  <c r="K31" i="19"/>
  <c r="N81" i="19"/>
  <c r="N181" i="19"/>
  <c r="T231" i="19"/>
  <c r="K181" i="19"/>
  <c r="K81" i="19"/>
  <c r="N231" i="19"/>
  <c r="W133" i="19"/>
  <c r="W33" i="19"/>
  <c r="T83" i="19"/>
  <c r="T183" i="19"/>
  <c r="Q83" i="19"/>
  <c r="Q183" i="19"/>
  <c r="W183" i="19"/>
  <c r="W83" i="19"/>
  <c r="T33" i="19"/>
  <c r="T133" i="19"/>
  <c r="Q33" i="19"/>
  <c r="Q133" i="19"/>
  <c r="N33" i="19"/>
  <c r="N83" i="19"/>
  <c r="N183" i="19"/>
  <c r="T233" i="19"/>
  <c r="K183" i="19"/>
  <c r="K83" i="19"/>
  <c r="N233" i="19"/>
  <c r="N133" i="19"/>
  <c r="W233" i="19"/>
  <c r="Q233" i="19"/>
  <c r="K133" i="19"/>
  <c r="K33" i="19"/>
  <c r="X184" i="19"/>
  <c r="X84" i="19"/>
  <c r="U34" i="19"/>
  <c r="U134" i="19"/>
  <c r="R34" i="19"/>
  <c r="U184" i="19"/>
  <c r="R134" i="19"/>
  <c r="O34" i="19"/>
  <c r="X134" i="19"/>
  <c r="X34" i="19"/>
  <c r="U84" i="19"/>
  <c r="R84" i="19"/>
  <c r="R184" i="19"/>
  <c r="O134" i="19"/>
  <c r="X234" i="19"/>
  <c r="R234" i="19"/>
  <c r="L134" i="19"/>
  <c r="L34" i="19"/>
  <c r="O84" i="19"/>
  <c r="O184" i="19"/>
  <c r="U234" i="19"/>
  <c r="L184" i="19"/>
  <c r="L84" i="19"/>
  <c r="O234" i="19"/>
  <c r="X188" i="19"/>
  <c r="X88" i="19"/>
  <c r="U38" i="19"/>
  <c r="U138" i="19"/>
  <c r="R38" i="19"/>
  <c r="X138" i="19"/>
  <c r="X38" i="19"/>
  <c r="R138" i="19"/>
  <c r="O38" i="19"/>
  <c r="U188" i="19"/>
  <c r="R88" i="19"/>
  <c r="R188" i="19"/>
  <c r="U88" i="19"/>
  <c r="O138" i="19"/>
  <c r="X238" i="19"/>
  <c r="R238" i="19"/>
  <c r="L138" i="19"/>
  <c r="O88" i="19"/>
  <c r="O188" i="19"/>
  <c r="U238" i="19"/>
  <c r="L188" i="19"/>
  <c r="L38" i="19"/>
  <c r="L88" i="19"/>
  <c r="O238" i="19"/>
  <c r="X113" i="19"/>
  <c r="X13" i="19"/>
  <c r="X163" i="19"/>
  <c r="X63" i="19"/>
  <c r="U13" i="19"/>
  <c r="U63" i="19"/>
  <c r="U113" i="19"/>
  <c r="U163" i="19"/>
  <c r="R13" i="19"/>
  <c r="R113" i="19"/>
  <c r="O13" i="19"/>
  <c r="O63" i="19"/>
  <c r="O163" i="19"/>
  <c r="U213" i="19"/>
  <c r="O113" i="19"/>
  <c r="X213" i="19"/>
  <c r="R213" i="19"/>
  <c r="L113" i="19"/>
  <c r="L13" i="19"/>
  <c r="R63" i="19"/>
  <c r="R163" i="19"/>
  <c r="L163" i="19"/>
  <c r="L63" i="19"/>
  <c r="O213" i="19"/>
  <c r="W116" i="19"/>
  <c r="W16" i="19"/>
  <c r="T66" i="19"/>
  <c r="T166" i="19"/>
  <c r="Q66" i="19"/>
  <c r="Q166" i="19"/>
  <c r="W166" i="19"/>
  <c r="W66" i="19"/>
  <c r="Q16" i="19"/>
  <c r="Q116" i="19"/>
  <c r="N16" i="19"/>
  <c r="N66" i="19"/>
  <c r="N166" i="19"/>
  <c r="T216" i="19"/>
  <c r="K166" i="19"/>
  <c r="T116" i="19"/>
  <c r="K66" i="19"/>
  <c r="N216" i="19"/>
  <c r="T16" i="19"/>
  <c r="N116" i="19"/>
  <c r="W216" i="19"/>
  <c r="Q216" i="19"/>
  <c r="K116" i="19"/>
  <c r="K16" i="19"/>
  <c r="W118" i="19"/>
  <c r="W18" i="19"/>
  <c r="T68" i="19"/>
  <c r="T168" i="19"/>
  <c r="T118" i="19"/>
  <c r="Q68" i="19"/>
  <c r="Q168" i="19"/>
  <c r="W168" i="19"/>
  <c r="W68" i="19"/>
  <c r="T18" i="19"/>
  <c r="Q18" i="19"/>
  <c r="Q118" i="19"/>
  <c r="N18" i="19"/>
  <c r="N68" i="19"/>
  <c r="N168" i="19"/>
  <c r="T218" i="19"/>
  <c r="K168" i="19"/>
  <c r="K68" i="19"/>
  <c r="N218" i="19"/>
  <c r="N118" i="19"/>
  <c r="W218" i="19"/>
  <c r="Q218" i="19"/>
  <c r="K118" i="19"/>
  <c r="K18" i="19"/>
  <c r="W121" i="19"/>
  <c r="W21" i="19"/>
  <c r="W171" i="19"/>
  <c r="W71" i="19"/>
  <c r="T21" i="19"/>
  <c r="T71" i="19"/>
  <c r="T171" i="19"/>
  <c r="Q21" i="19"/>
  <c r="Q121" i="19"/>
  <c r="N21" i="19"/>
  <c r="N71" i="19"/>
  <c r="N171" i="19"/>
  <c r="T221" i="19"/>
  <c r="T121" i="19"/>
  <c r="Q71" i="19"/>
  <c r="Q171" i="19"/>
  <c r="N121" i="19"/>
  <c r="W221" i="19"/>
  <c r="Q221" i="19"/>
  <c r="K121" i="19"/>
  <c r="K21" i="19"/>
  <c r="K171" i="19"/>
  <c r="K71" i="19"/>
  <c r="N221" i="19"/>
  <c r="W172" i="19"/>
  <c r="W72" i="19"/>
  <c r="T22" i="19"/>
  <c r="W122" i="19"/>
  <c r="W22" i="19"/>
  <c r="Q72" i="19"/>
  <c r="Q172" i="19"/>
  <c r="T72" i="19"/>
  <c r="T122" i="19"/>
  <c r="T172" i="19"/>
  <c r="N122" i="19"/>
  <c r="W222" i="19"/>
  <c r="Q222" i="19"/>
  <c r="N22" i="19"/>
  <c r="Q22" i="19"/>
  <c r="Q122" i="19"/>
  <c r="N72" i="19"/>
  <c r="N172" i="19"/>
  <c r="T222" i="19"/>
  <c r="K172" i="19"/>
  <c r="K72" i="19"/>
  <c r="N222" i="19"/>
  <c r="K122" i="19"/>
  <c r="K22" i="19"/>
  <c r="X173" i="19"/>
  <c r="X73" i="19"/>
  <c r="U23" i="19"/>
  <c r="U123" i="19"/>
  <c r="U73" i="19"/>
  <c r="U173" i="19"/>
  <c r="R23" i="19"/>
  <c r="R123" i="19"/>
  <c r="X123" i="19"/>
  <c r="X23" i="19"/>
  <c r="R73" i="19"/>
  <c r="R173" i="19"/>
  <c r="O23" i="19"/>
  <c r="O123" i="19"/>
  <c r="X223" i="19"/>
  <c r="R223" i="19"/>
  <c r="L173" i="19"/>
  <c r="L123" i="19"/>
  <c r="L23" i="19"/>
  <c r="O73" i="19"/>
  <c r="O173" i="19"/>
  <c r="U223" i="19"/>
  <c r="L73" i="19"/>
  <c r="O223" i="19"/>
  <c r="X175" i="19"/>
  <c r="X75" i="19"/>
  <c r="U25" i="19"/>
  <c r="U125" i="19"/>
  <c r="R25" i="19"/>
  <c r="X125" i="19"/>
  <c r="X25" i="19"/>
  <c r="R125" i="19"/>
  <c r="U75" i="19"/>
  <c r="U175" i="19"/>
  <c r="R75" i="19"/>
  <c r="R175" i="19"/>
  <c r="O125" i="19"/>
  <c r="X225" i="19"/>
  <c r="R225" i="19"/>
  <c r="O25" i="19"/>
  <c r="O75" i="19"/>
  <c r="O175" i="19"/>
  <c r="U225" i="19"/>
  <c r="L125" i="19"/>
  <c r="L25" i="19"/>
  <c r="L175" i="19"/>
  <c r="L75" i="19"/>
  <c r="O225" i="19"/>
  <c r="X127" i="19"/>
  <c r="X27" i="19"/>
  <c r="X177" i="19"/>
  <c r="X77" i="19"/>
  <c r="U27" i="19"/>
  <c r="R127" i="19"/>
  <c r="O27" i="19"/>
  <c r="U127" i="19"/>
  <c r="R27" i="19"/>
  <c r="O77" i="19"/>
  <c r="O177" i="19"/>
  <c r="U227" i="19"/>
  <c r="U77" i="19"/>
  <c r="U177" i="19"/>
  <c r="O127" i="19"/>
  <c r="X227" i="19"/>
  <c r="R227" i="19"/>
  <c r="L177" i="19"/>
  <c r="L127" i="19"/>
  <c r="L27" i="19"/>
  <c r="R77" i="19"/>
  <c r="R177" i="19"/>
  <c r="L77" i="19"/>
  <c r="O227" i="19"/>
  <c r="X130" i="19"/>
  <c r="X30" i="19"/>
  <c r="X180" i="19"/>
  <c r="X80" i="19"/>
  <c r="U30" i="19"/>
  <c r="U80" i="19"/>
  <c r="U180" i="19"/>
  <c r="R130" i="19"/>
  <c r="O30" i="19"/>
  <c r="O80" i="19"/>
  <c r="O180" i="19"/>
  <c r="U230" i="19"/>
  <c r="R80" i="19"/>
  <c r="R180" i="19"/>
  <c r="O130" i="19"/>
  <c r="X230" i="19"/>
  <c r="R230" i="19"/>
  <c r="L130" i="19"/>
  <c r="L30" i="19"/>
  <c r="U130" i="19"/>
  <c r="R30" i="19"/>
  <c r="L180" i="19"/>
  <c r="L80" i="19"/>
  <c r="O230" i="19"/>
  <c r="X162" i="19"/>
  <c r="X62" i="19"/>
  <c r="X112" i="19"/>
  <c r="X12" i="19"/>
  <c r="R62" i="19"/>
  <c r="R162" i="19"/>
  <c r="U12" i="19"/>
  <c r="U62" i="19"/>
  <c r="U162" i="19"/>
  <c r="O112" i="19"/>
  <c r="X212" i="19"/>
  <c r="R212" i="19"/>
  <c r="O12" i="19"/>
  <c r="O62" i="19"/>
  <c r="O162" i="19"/>
  <c r="U212" i="19"/>
  <c r="L162" i="19"/>
  <c r="L62" i="19"/>
  <c r="O212" i="19"/>
  <c r="U112" i="19"/>
  <c r="R12" i="19"/>
  <c r="R112" i="19"/>
  <c r="L112" i="19"/>
  <c r="L12" i="19"/>
  <c r="W113" i="19"/>
  <c r="W13" i="19"/>
  <c r="T63" i="19"/>
  <c r="T163" i="19"/>
  <c r="Q63" i="19"/>
  <c r="Q163" i="19"/>
  <c r="T13" i="19"/>
  <c r="T113" i="19"/>
  <c r="Q13" i="19"/>
  <c r="Q113" i="19"/>
  <c r="N13" i="19"/>
  <c r="N63" i="19"/>
  <c r="N163" i="19"/>
  <c r="T213" i="19"/>
  <c r="K163" i="19"/>
  <c r="W63" i="19"/>
  <c r="K63" i="19"/>
  <c r="N213" i="19"/>
  <c r="W163" i="19"/>
  <c r="K113" i="19"/>
  <c r="K13" i="19"/>
  <c r="N113" i="19"/>
  <c r="W213" i="19"/>
  <c r="Q213" i="19"/>
  <c r="X164" i="19"/>
  <c r="X64" i="19"/>
  <c r="U14" i="19"/>
  <c r="U114" i="19"/>
  <c r="U64" i="19"/>
  <c r="U164" i="19"/>
  <c r="R14" i="19"/>
  <c r="R114" i="19"/>
  <c r="X114" i="19"/>
  <c r="X14" i="19"/>
  <c r="R64" i="19"/>
  <c r="R164" i="19"/>
  <c r="O14" i="19"/>
  <c r="O114" i="19"/>
  <c r="X214" i="19"/>
  <c r="R214" i="19"/>
  <c r="L114" i="19"/>
  <c r="L14" i="19"/>
  <c r="L164" i="19"/>
  <c r="O64" i="19"/>
  <c r="O164" i="19"/>
  <c r="U214" i="19"/>
  <c r="L64" i="19"/>
  <c r="O214" i="19"/>
  <c r="W167" i="19"/>
  <c r="W67" i="19"/>
  <c r="T17" i="19"/>
  <c r="T117" i="19"/>
  <c r="Q17" i="19"/>
  <c r="Q117" i="19"/>
  <c r="W117" i="19"/>
  <c r="W17" i="19"/>
  <c r="T67" i="19"/>
  <c r="T167" i="19"/>
  <c r="Q67" i="19"/>
  <c r="Q167" i="19"/>
  <c r="N117" i="19"/>
  <c r="W217" i="19"/>
  <c r="Q217" i="19"/>
  <c r="N17" i="19"/>
  <c r="K117" i="19"/>
  <c r="K17" i="19"/>
  <c r="N67" i="19"/>
  <c r="N167" i="19"/>
  <c r="T217" i="19"/>
  <c r="K67" i="19"/>
  <c r="N217" i="19"/>
  <c r="K167" i="19"/>
  <c r="X171" i="19"/>
  <c r="X71" i="19"/>
  <c r="U21" i="19"/>
  <c r="U121" i="19"/>
  <c r="R21" i="19"/>
  <c r="R121" i="19"/>
  <c r="X121" i="19"/>
  <c r="X21" i="19"/>
  <c r="R71" i="19"/>
  <c r="R171" i="19"/>
  <c r="U71" i="19"/>
  <c r="U171" i="19"/>
  <c r="O121" i="19"/>
  <c r="X221" i="19"/>
  <c r="R221" i="19"/>
  <c r="O21" i="19"/>
  <c r="L121" i="19"/>
  <c r="L21" i="19"/>
  <c r="O71" i="19"/>
  <c r="O171" i="19"/>
  <c r="U221" i="19"/>
  <c r="L171" i="19"/>
  <c r="L71" i="19"/>
  <c r="O221" i="19"/>
  <c r="W123" i="19"/>
  <c r="W23" i="19"/>
  <c r="W173" i="19"/>
  <c r="W73" i="19"/>
  <c r="T23" i="19"/>
  <c r="T123" i="19"/>
  <c r="T73" i="19"/>
  <c r="T173" i="19"/>
  <c r="Q23" i="19"/>
  <c r="Q123" i="19"/>
  <c r="N23" i="19"/>
  <c r="N73" i="19"/>
  <c r="N173" i="19"/>
  <c r="T223" i="19"/>
  <c r="Q73" i="19"/>
  <c r="Q173" i="19"/>
  <c r="N123" i="19"/>
  <c r="W223" i="19"/>
  <c r="Q223" i="19"/>
  <c r="K173" i="19"/>
  <c r="K123" i="19"/>
  <c r="K23" i="19"/>
  <c r="K73" i="19"/>
  <c r="N223" i="19"/>
  <c r="W174" i="19"/>
  <c r="W74" i="19"/>
  <c r="T24" i="19"/>
  <c r="W124" i="19"/>
  <c r="W24" i="19"/>
  <c r="Q74" i="19"/>
  <c r="Q174" i="19"/>
  <c r="N124" i="19"/>
  <c r="W224" i="19"/>
  <c r="Q224" i="19"/>
  <c r="T124" i="19"/>
  <c r="Q24" i="19"/>
  <c r="Q124" i="19"/>
  <c r="N74" i="19"/>
  <c r="N174" i="19"/>
  <c r="T224" i="19"/>
  <c r="K174" i="19"/>
  <c r="N24" i="19"/>
  <c r="K74" i="19"/>
  <c r="N224" i="19"/>
  <c r="T74" i="19"/>
  <c r="T174" i="19"/>
  <c r="K124" i="19"/>
  <c r="K24" i="19"/>
  <c r="W176" i="19"/>
  <c r="W76" i="19"/>
  <c r="T26" i="19"/>
  <c r="W126" i="19"/>
  <c r="W26" i="19"/>
  <c r="T76" i="19"/>
  <c r="T126" i="19"/>
  <c r="T176" i="19"/>
  <c r="Q26" i="19"/>
  <c r="Q76" i="19"/>
  <c r="Q176" i="19"/>
  <c r="Q126" i="19"/>
  <c r="N126" i="19"/>
  <c r="W226" i="19"/>
  <c r="Q226" i="19"/>
  <c r="N26" i="19"/>
  <c r="N76" i="19"/>
  <c r="N176" i="19"/>
  <c r="T226" i="19"/>
  <c r="K176" i="19"/>
  <c r="K76" i="19"/>
  <c r="N226" i="19"/>
  <c r="K126" i="19"/>
  <c r="K26" i="19"/>
  <c r="W178" i="19"/>
  <c r="W78" i="19"/>
  <c r="T28" i="19"/>
  <c r="T128" i="19"/>
  <c r="Q28" i="19"/>
  <c r="Q128" i="19"/>
  <c r="T78" i="19"/>
  <c r="T178" i="19"/>
  <c r="Q78" i="19"/>
  <c r="Q178" i="19"/>
  <c r="W128" i="19"/>
  <c r="W28" i="19"/>
  <c r="N28" i="19"/>
  <c r="N128" i="19"/>
  <c r="W228" i="19"/>
  <c r="Q228" i="19"/>
  <c r="K178" i="19"/>
  <c r="K128" i="19"/>
  <c r="K28" i="19"/>
  <c r="K78" i="19"/>
  <c r="N228" i="19"/>
  <c r="N78" i="19"/>
  <c r="N178" i="19"/>
  <c r="T228" i="19"/>
  <c r="X185" i="19"/>
  <c r="X85" i="19"/>
  <c r="U35" i="19"/>
  <c r="X135" i="19"/>
  <c r="X35" i="19"/>
  <c r="U85" i="19"/>
  <c r="R85" i="19"/>
  <c r="R185" i="19"/>
  <c r="U185" i="19"/>
  <c r="O135" i="19"/>
  <c r="X235" i="19"/>
  <c r="R235" i="19"/>
  <c r="R135" i="19"/>
  <c r="O35" i="19"/>
  <c r="U135" i="19"/>
  <c r="R35" i="19"/>
  <c r="O85" i="19"/>
  <c r="O185" i="19"/>
  <c r="U235" i="19"/>
  <c r="L185" i="19"/>
  <c r="L85" i="19"/>
  <c r="O235" i="19"/>
  <c r="L135" i="19"/>
  <c r="L35" i="19"/>
  <c r="X136" i="19"/>
  <c r="X36" i="19"/>
  <c r="U86" i="19"/>
  <c r="U186" i="19"/>
  <c r="X186" i="19"/>
  <c r="X86" i="19"/>
  <c r="U36" i="19"/>
  <c r="R86" i="19"/>
  <c r="R186" i="19"/>
  <c r="U136" i="19"/>
  <c r="R36" i="19"/>
  <c r="R136" i="19"/>
  <c r="O36" i="19"/>
  <c r="O86" i="19"/>
  <c r="O186" i="19"/>
  <c r="U236" i="19"/>
  <c r="L186" i="19"/>
  <c r="O136" i="19"/>
  <c r="X236" i="19"/>
  <c r="R236" i="19"/>
  <c r="L86" i="19"/>
  <c r="O236" i="19"/>
  <c r="L136" i="19"/>
  <c r="L36" i="19"/>
  <c r="X137" i="19"/>
  <c r="X37" i="19"/>
  <c r="X187" i="19"/>
  <c r="X87" i="19"/>
  <c r="U37" i="19"/>
  <c r="U87" i="19"/>
  <c r="U137" i="19"/>
  <c r="R37" i="19"/>
  <c r="R137" i="19"/>
  <c r="O37" i="19"/>
  <c r="U187" i="19"/>
  <c r="R87" i="19"/>
  <c r="R187" i="19"/>
  <c r="O87" i="19"/>
  <c r="O187" i="19"/>
  <c r="U237" i="19"/>
  <c r="L187" i="19"/>
  <c r="O137" i="19"/>
  <c r="X237" i="19"/>
  <c r="R237" i="19"/>
  <c r="L137" i="19"/>
  <c r="L37" i="19"/>
  <c r="L87" i="19"/>
  <c r="O237" i="19"/>
  <c r="X189" i="19"/>
  <c r="X89" i="19"/>
  <c r="U39" i="19"/>
  <c r="X139" i="19"/>
  <c r="X39" i="19"/>
  <c r="U89" i="19"/>
  <c r="U139" i="19"/>
  <c r="U189" i="19"/>
  <c r="R39" i="19"/>
  <c r="R89" i="19"/>
  <c r="R189" i="19"/>
  <c r="O89" i="19"/>
  <c r="R139" i="19"/>
  <c r="O39" i="19"/>
  <c r="O139" i="19"/>
  <c r="X239" i="19"/>
  <c r="R239" i="19"/>
  <c r="O189" i="19"/>
  <c r="U239" i="19"/>
  <c r="L189" i="19"/>
  <c r="L139" i="19"/>
  <c r="L89" i="19"/>
  <c r="O239" i="19"/>
  <c r="L39" i="19"/>
  <c r="AF26" i="1"/>
  <c r="W162" i="19"/>
  <c r="W62" i="19"/>
  <c r="T12" i="19"/>
  <c r="T112" i="19"/>
  <c r="Q12" i="19"/>
  <c r="Q112" i="19"/>
  <c r="Q62" i="19"/>
  <c r="Q162" i="19"/>
  <c r="T62" i="19"/>
  <c r="T162" i="19"/>
  <c r="N112" i="19"/>
  <c r="W212" i="19"/>
  <c r="Q212" i="19"/>
  <c r="N12" i="19"/>
  <c r="K112" i="19"/>
  <c r="K12" i="19"/>
  <c r="W112" i="19"/>
  <c r="K62" i="19"/>
  <c r="N212" i="19"/>
  <c r="W12" i="19"/>
  <c r="N62" i="19"/>
  <c r="N162" i="19"/>
  <c r="T212" i="19"/>
  <c r="K162" i="19"/>
  <c r="X167" i="19"/>
  <c r="X67" i="19"/>
  <c r="X117" i="19"/>
  <c r="X17" i="19"/>
  <c r="U67" i="19"/>
  <c r="U167" i="19"/>
  <c r="U117" i="19"/>
  <c r="R67" i="19"/>
  <c r="R167" i="19"/>
  <c r="U17" i="19"/>
  <c r="O117" i="19"/>
  <c r="X217" i="19"/>
  <c r="R217" i="19"/>
  <c r="R17" i="19"/>
  <c r="R117" i="19"/>
  <c r="O17" i="19"/>
  <c r="O67" i="19"/>
  <c r="O167" i="19"/>
  <c r="U217" i="19"/>
  <c r="L167" i="19"/>
  <c r="L67" i="19"/>
  <c r="O217" i="19"/>
  <c r="L117" i="19"/>
  <c r="L17" i="19"/>
  <c r="X124" i="19"/>
  <c r="X24" i="19"/>
  <c r="U74" i="19"/>
  <c r="U174" i="19"/>
  <c r="X174" i="19"/>
  <c r="X74" i="19"/>
  <c r="U24" i="19"/>
  <c r="R74" i="19"/>
  <c r="R174" i="19"/>
  <c r="U124" i="19"/>
  <c r="R24" i="19"/>
  <c r="R124" i="19"/>
  <c r="O24" i="19"/>
  <c r="O74" i="19"/>
  <c r="O174" i="19"/>
  <c r="U224" i="19"/>
  <c r="L174" i="19"/>
  <c r="O124" i="19"/>
  <c r="X224" i="19"/>
  <c r="R224" i="19"/>
  <c r="L74" i="19"/>
  <c r="O224" i="19"/>
  <c r="L124" i="19"/>
  <c r="L24" i="19"/>
  <c r="X140" i="19"/>
  <c r="X40" i="19"/>
  <c r="U90" i="19"/>
  <c r="U190" i="19"/>
  <c r="R90" i="19"/>
  <c r="R190" i="19"/>
  <c r="O90" i="19"/>
  <c r="O190" i="19"/>
  <c r="U240" i="19"/>
  <c r="L190" i="19"/>
  <c r="L90" i="19"/>
  <c r="O240" i="19"/>
  <c r="X190" i="19"/>
  <c r="X90" i="19"/>
  <c r="U40" i="19"/>
  <c r="U140" i="19"/>
  <c r="R40" i="19"/>
  <c r="R140" i="19"/>
  <c r="O40" i="19"/>
  <c r="O140" i="19"/>
  <c r="X240" i="19"/>
  <c r="R240" i="19"/>
  <c r="L140" i="19"/>
  <c r="L40" i="19"/>
  <c r="W84" i="19"/>
  <c r="W134" i="19"/>
  <c r="W184" i="19"/>
  <c r="T34" i="19"/>
  <c r="Q34" i="19"/>
  <c r="N34" i="19"/>
  <c r="W234" i="19"/>
  <c r="K134" i="19"/>
  <c r="W34" i="19"/>
  <c r="T184" i="19"/>
  <c r="Q184" i="19"/>
  <c r="N184" i="19"/>
  <c r="K184" i="19"/>
  <c r="N234" i="19"/>
  <c r="T134" i="19"/>
  <c r="Q134" i="19"/>
  <c r="N134" i="19"/>
  <c r="Q234" i="19"/>
  <c r="K34" i="19"/>
  <c r="T84" i="19"/>
  <c r="Q84" i="19"/>
  <c r="N84" i="19"/>
  <c r="T234" i="19"/>
  <c r="K84" i="19"/>
  <c r="X195" i="19"/>
  <c r="U45" i="19"/>
  <c r="R45" i="19"/>
  <c r="O45" i="19"/>
  <c r="X245" i="19"/>
  <c r="L145" i="19"/>
  <c r="L245" i="19"/>
  <c r="X45" i="19"/>
  <c r="U195" i="19"/>
  <c r="R195" i="19"/>
  <c r="O195" i="19"/>
  <c r="L195" i="19"/>
  <c r="O245" i="19"/>
  <c r="X95" i="19"/>
  <c r="U145" i="19"/>
  <c r="R145" i="19"/>
  <c r="O145" i="19"/>
  <c r="R245" i="19"/>
  <c r="L45" i="19"/>
  <c r="X145" i="19"/>
  <c r="U95" i="19"/>
  <c r="R95" i="19"/>
  <c r="O95" i="19"/>
  <c r="U245" i="19"/>
  <c r="L95" i="19"/>
  <c r="W145" i="19"/>
  <c r="T95" i="19"/>
  <c r="Q95" i="19"/>
  <c r="N95" i="19"/>
  <c r="T245" i="19"/>
  <c r="K95" i="19"/>
  <c r="W195" i="19"/>
  <c r="T45" i="19"/>
  <c r="Q45" i="19"/>
  <c r="N45" i="19"/>
  <c r="W245" i="19"/>
  <c r="K145" i="19"/>
  <c r="K245" i="19"/>
  <c r="W45" i="19"/>
  <c r="T195" i="19"/>
  <c r="Q195" i="19"/>
  <c r="N195" i="19"/>
  <c r="K195" i="19"/>
  <c r="N245" i="19"/>
  <c r="W95" i="19"/>
  <c r="T145" i="19"/>
  <c r="Q145" i="19"/>
  <c r="N145" i="19"/>
  <c r="Q245" i="19"/>
  <c r="K45" i="19"/>
  <c r="U144" i="19"/>
  <c r="R44" i="19"/>
  <c r="O44" i="19"/>
  <c r="L144" i="19"/>
  <c r="L44" i="19"/>
  <c r="X144" i="19"/>
  <c r="X44" i="19"/>
  <c r="U94" i="19"/>
  <c r="U194" i="19"/>
  <c r="R94" i="19"/>
  <c r="R194" i="19"/>
  <c r="O94" i="19"/>
  <c r="O194" i="19"/>
  <c r="U244" i="19"/>
  <c r="L194" i="19"/>
  <c r="L94" i="19"/>
  <c r="O244" i="19"/>
  <c r="X194" i="19"/>
  <c r="X94" i="19"/>
  <c r="U44" i="19"/>
  <c r="R144" i="19"/>
  <c r="O144" i="19"/>
  <c r="X244" i="19"/>
  <c r="R244" i="19"/>
  <c r="W194" i="19"/>
  <c r="W94" i="19"/>
  <c r="T44" i="19"/>
  <c r="T144" i="19"/>
  <c r="Q44" i="19"/>
  <c r="Q144" i="19"/>
  <c r="N44" i="19"/>
  <c r="N144" i="19"/>
  <c r="W244" i="19"/>
  <c r="Q244" i="19"/>
  <c r="K144" i="19"/>
  <c r="K44" i="19"/>
  <c r="K194" i="19"/>
  <c r="N244" i="19"/>
  <c r="K94" i="19"/>
  <c r="W144" i="19"/>
  <c r="W44" i="19"/>
  <c r="T94" i="19"/>
  <c r="T194" i="19"/>
  <c r="Q94" i="19"/>
  <c r="Q194" i="19"/>
  <c r="N94" i="19"/>
  <c r="N194" i="19"/>
  <c r="T244" i="19"/>
  <c r="X93" i="19"/>
  <c r="U143" i="19"/>
  <c r="R143" i="19"/>
  <c r="O143" i="19"/>
  <c r="R243" i="19"/>
  <c r="L43" i="19"/>
  <c r="X43" i="19"/>
  <c r="U193" i="19"/>
  <c r="R193" i="19"/>
  <c r="O193" i="19"/>
  <c r="L193" i="19"/>
  <c r="O243" i="19"/>
  <c r="X143" i="19"/>
  <c r="U93" i="19"/>
  <c r="X193" i="19"/>
  <c r="U43" i="19"/>
  <c r="R43" i="19"/>
  <c r="O43" i="19"/>
  <c r="X243" i="19"/>
  <c r="L143" i="19"/>
  <c r="R93" i="19"/>
  <c r="O93" i="19"/>
  <c r="U243" i="19"/>
  <c r="L93" i="19"/>
  <c r="W143" i="19"/>
  <c r="T93" i="19"/>
  <c r="Q93" i="19"/>
  <c r="N93" i="19"/>
  <c r="T243" i="19"/>
  <c r="K93" i="19"/>
  <c r="W93" i="19"/>
  <c r="T143" i="19"/>
  <c r="Q143" i="19"/>
  <c r="N143" i="19"/>
  <c r="Q243" i="19"/>
  <c r="K43" i="19"/>
  <c r="W193" i="19"/>
  <c r="T43" i="19"/>
  <c r="Q43" i="19"/>
  <c r="W243" i="19"/>
  <c r="W43" i="19"/>
  <c r="T193" i="19"/>
  <c r="Q193" i="19"/>
  <c r="N193" i="19"/>
  <c r="K193" i="19"/>
  <c r="N243" i="19"/>
  <c r="N43" i="19"/>
  <c r="K143" i="19"/>
  <c r="W142" i="19"/>
  <c r="T42" i="19"/>
  <c r="T192" i="19"/>
  <c r="Q142" i="19"/>
  <c r="W242" i="19"/>
  <c r="Q242" i="19"/>
  <c r="W192" i="19"/>
  <c r="W92" i="19"/>
  <c r="W42" i="19"/>
  <c r="T92" i="19"/>
  <c r="T142" i="19"/>
  <c r="Q42" i="19"/>
  <c r="Q92" i="19"/>
  <c r="Q192" i="19"/>
  <c r="N42" i="19"/>
  <c r="N92" i="19"/>
  <c r="N142" i="19"/>
  <c r="N192" i="19"/>
  <c r="T242" i="19"/>
  <c r="K192" i="19"/>
  <c r="K142" i="19"/>
  <c r="K92" i="19"/>
  <c r="K42" i="19"/>
  <c r="N242" i="19"/>
  <c r="X192" i="19"/>
  <c r="X142" i="19"/>
  <c r="X92" i="19"/>
  <c r="X42" i="19"/>
  <c r="U42" i="19"/>
  <c r="U92" i="19"/>
  <c r="U142" i="19"/>
  <c r="U192" i="19"/>
  <c r="R42" i="19"/>
  <c r="R92" i="19"/>
  <c r="R142" i="19"/>
  <c r="R192" i="19"/>
  <c r="O42" i="19"/>
  <c r="O92" i="19"/>
  <c r="O142" i="19"/>
  <c r="O192" i="19"/>
  <c r="X242" i="19"/>
  <c r="U242" i="19"/>
  <c r="R242" i="19"/>
  <c r="L192" i="19"/>
  <c r="L142" i="19"/>
  <c r="L92" i="19"/>
  <c r="L42" i="19"/>
  <c r="O242" i="19"/>
  <c r="W141" i="19"/>
  <c r="T91" i="19"/>
  <c r="Q91" i="19"/>
  <c r="N91" i="19"/>
  <c r="T241" i="19"/>
  <c r="K91" i="19"/>
  <c r="W41" i="19"/>
  <c r="T191" i="19"/>
  <c r="Q191" i="19"/>
  <c r="K191" i="19"/>
  <c r="W91" i="19"/>
  <c r="N141" i="19"/>
  <c r="Q241" i="19"/>
  <c r="W191" i="19"/>
  <c r="T41" i="19"/>
  <c r="Q41" i="19"/>
  <c r="N41" i="19"/>
  <c r="W241" i="19"/>
  <c r="K141" i="19"/>
  <c r="N191" i="19"/>
  <c r="N241" i="19"/>
  <c r="T141" i="19"/>
  <c r="Q141" i="19"/>
  <c r="K41" i="19"/>
  <c r="X191" i="19"/>
  <c r="U41" i="19"/>
  <c r="R41" i="19"/>
  <c r="O41" i="19"/>
  <c r="X241" i="19"/>
  <c r="L141" i="19"/>
  <c r="X91" i="19"/>
  <c r="L41" i="19"/>
  <c r="U91" i="19"/>
  <c r="R91" i="19"/>
  <c r="U241" i="19"/>
  <c r="L91" i="19"/>
  <c r="X41" i="19"/>
  <c r="U191" i="19"/>
  <c r="R191" i="19"/>
  <c r="O191" i="19"/>
  <c r="L191" i="19"/>
  <c r="O241" i="19"/>
  <c r="U141" i="19"/>
  <c r="R141" i="19"/>
  <c r="O141" i="19"/>
  <c r="R241" i="19"/>
  <c r="X141" i="19"/>
  <c r="O91" i="19"/>
  <c r="W190" i="19"/>
  <c r="W140" i="19"/>
  <c r="W90" i="19"/>
  <c r="W40" i="19"/>
  <c r="T40" i="19"/>
  <c r="T90" i="19"/>
  <c r="T140" i="19"/>
  <c r="T190" i="19"/>
  <c r="Q40" i="19"/>
  <c r="Q90" i="19"/>
  <c r="Q140" i="19"/>
  <c r="Q190" i="19"/>
  <c r="N40" i="19"/>
  <c r="N90" i="19"/>
  <c r="N140" i="19"/>
  <c r="N190" i="19"/>
  <c r="W240" i="19"/>
  <c r="T240" i="19"/>
  <c r="Q240" i="19"/>
  <c r="K190" i="19"/>
  <c r="K140" i="19"/>
  <c r="K90" i="19"/>
  <c r="K40" i="19"/>
  <c r="N240" i="19"/>
  <c r="W189" i="19"/>
  <c r="T39" i="19"/>
  <c r="T139" i="19"/>
  <c r="Q139" i="19"/>
  <c r="N139" i="19"/>
  <c r="W239" i="19"/>
  <c r="Q239" i="19"/>
  <c r="K139" i="19"/>
  <c r="W139" i="19"/>
  <c r="W39" i="19"/>
  <c r="T89" i="19"/>
  <c r="T189" i="19"/>
  <c r="Q89" i="19"/>
  <c r="Q189" i="19"/>
  <c r="N89" i="19"/>
  <c r="N189" i="19"/>
  <c r="T239" i="19"/>
  <c r="K189" i="19"/>
  <c r="K89" i="19"/>
  <c r="N239" i="19"/>
  <c r="W89" i="19"/>
  <c r="Q39" i="19"/>
  <c r="N39" i="19"/>
  <c r="K39" i="19"/>
  <c r="W138" i="19"/>
  <c r="W188" i="19"/>
  <c r="W88" i="19"/>
  <c r="W38" i="19"/>
  <c r="T38" i="19"/>
  <c r="T88" i="19"/>
  <c r="T138" i="19"/>
  <c r="T188" i="19"/>
  <c r="Q38" i="19"/>
  <c r="Q88" i="19"/>
  <c r="Q138" i="19"/>
  <c r="Q188" i="19"/>
  <c r="N38" i="19"/>
  <c r="N88" i="19"/>
  <c r="N138" i="19"/>
  <c r="N188" i="19"/>
  <c r="W238" i="19"/>
  <c r="T238" i="19"/>
  <c r="Q238" i="19"/>
  <c r="K188" i="19"/>
  <c r="K138" i="19"/>
  <c r="K88" i="19"/>
  <c r="K38" i="19"/>
  <c r="N238" i="19"/>
  <c r="W137" i="19"/>
  <c r="T187" i="19"/>
  <c r="Q187" i="19"/>
  <c r="N187" i="19"/>
  <c r="K187" i="19"/>
  <c r="K87" i="19"/>
  <c r="W187" i="19"/>
  <c r="W87" i="19"/>
  <c r="T37" i="19"/>
  <c r="T137" i="19"/>
  <c r="Q37" i="19"/>
  <c r="Q137" i="19"/>
  <c r="N37" i="19"/>
  <c r="N137" i="19"/>
  <c r="W237" i="19"/>
  <c r="Q237" i="19"/>
  <c r="K137" i="19"/>
  <c r="K37" i="19"/>
  <c r="W37" i="19"/>
  <c r="T87" i="19"/>
  <c r="Q87" i="19"/>
  <c r="N87" i="19"/>
  <c r="T237" i="19"/>
  <c r="N237" i="19"/>
  <c r="W186" i="19"/>
  <c r="W136" i="19"/>
  <c r="W86" i="19"/>
  <c r="W36" i="19"/>
  <c r="T36" i="19"/>
  <c r="T86" i="19"/>
  <c r="T136" i="19"/>
  <c r="T186" i="19"/>
  <c r="Q36" i="19"/>
  <c r="Q86" i="19"/>
  <c r="Q136" i="19"/>
  <c r="Q186" i="19"/>
  <c r="N36" i="19"/>
  <c r="N86" i="19"/>
  <c r="N136" i="19"/>
  <c r="N186" i="19"/>
  <c r="W236" i="19"/>
  <c r="T236" i="19"/>
  <c r="Q236" i="19"/>
  <c r="K186" i="19"/>
  <c r="K136" i="19"/>
  <c r="K86" i="19"/>
  <c r="K36" i="19"/>
  <c r="N236" i="19"/>
  <c r="W185" i="19"/>
  <c r="Q35" i="19"/>
  <c r="Q235" i="19"/>
  <c r="K35" i="19"/>
  <c r="W135" i="19"/>
  <c r="W35" i="19"/>
  <c r="T85" i="19"/>
  <c r="T185" i="19"/>
  <c r="Q85" i="19"/>
  <c r="Q185" i="19"/>
  <c r="N85" i="19"/>
  <c r="N185" i="19"/>
  <c r="T235" i="19"/>
  <c r="K185" i="19"/>
  <c r="K85" i="19"/>
  <c r="N235" i="19"/>
  <c r="W85" i="19"/>
  <c r="T35" i="19"/>
  <c r="T135" i="19"/>
  <c r="Q135" i="19"/>
  <c r="N35" i="19"/>
  <c r="N135" i="19"/>
  <c r="W235" i="19"/>
  <c r="K135" i="19"/>
  <c r="W182" i="19"/>
  <c r="W82" i="19"/>
  <c r="T32" i="19"/>
  <c r="T132" i="19"/>
  <c r="Q32" i="19"/>
  <c r="Q132" i="19"/>
  <c r="N32" i="19"/>
  <c r="N132" i="19"/>
  <c r="W232" i="19"/>
  <c r="Q232" i="19"/>
  <c r="K132" i="19"/>
  <c r="K32" i="19"/>
  <c r="W132" i="19"/>
  <c r="W32" i="19"/>
  <c r="T182" i="19"/>
  <c r="Q82" i="19"/>
  <c r="Q182" i="19"/>
  <c r="N82" i="19"/>
  <c r="N182" i="19"/>
  <c r="T232" i="19"/>
  <c r="K182" i="19"/>
  <c r="K82" i="19"/>
  <c r="N232" i="19"/>
  <c r="T82" i="19"/>
  <c r="X131" i="19"/>
  <c r="U81" i="19"/>
  <c r="R81" i="19"/>
  <c r="O81" i="19"/>
  <c r="U231" i="19"/>
  <c r="L81" i="19"/>
  <c r="X181" i="19"/>
  <c r="U31" i="19"/>
  <c r="R31" i="19"/>
  <c r="O31" i="19"/>
  <c r="X231" i="19"/>
  <c r="L131" i="19"/>
  <c r="X31" i="19"/>
  <c r="U181" i="19"/>
  <c r="R181" i="19"/>
  <c r="O181" i="19"/>
  <c r="L181" i="19"/>
  <c r="O231" i="19"/>
  <c r="X81" i="19"/>
  <c r="U131" i="19"/>
  <c r="R131" i="19"/>
  <c r="O131" i="19"/>
  <c r="R231" i="19"/>
  <c r="L31" i="19"/>
  <c r="X179" i="19"/>
  <c r="U29" i="19"/>
  <c r="R29" i="19"/>
  <c r="O29" i="19"/>
  <c r="X229" i="19"/>
  <c r="L129" i="19"/>
  <c r="X79" i="19"/>
  <c r="U129" i="19"/>
  <c r="R129" i="19"/>
  <c r="X129" i="19"/>
  <c r="U79" i="19"/>
  <c r="L79" i="19"/>
  <c r="X29" i="19"/>
  <c r="U179" i="19"/>
  <c r="R179" i="19"/>
  <c r="O179" i="19"/>
  <c r="L179" i="19"/>
  <c r="O229" i="19"/>
  <c r="O129" i="19"/>
  <c r="R229" i="19"/>
  <c r="L29" i="19"/>
  <c r="R79" i="19"/>
  <c r="O79" i="19"/>
  <c r="U229" i="19"/>
  <c r="W179" i="19"/>
  <c r="W129" i="19"/>
  <c r="W79" i="19"/>
  <c r="W29" i="19"/>
  <c r="T29" i="19"/>
  <c r="T79" i="19"/>
  <c r="T129" i="19"/>
  <c r="T179" i="19"/>
  <c r="Q29" i="19"/>
  <c r="Q79" i="19"/>
  <c r="Q129" i="19"/>
  <c r="Q179" i="19"/>
  <c r="N29" i="19"/>
  <c r="N79" i="19"/>
  <c r="N129" i="19"/>
  <c r="N179" i="19"/>
  <c r="W229" i="19"/>
  <c r="T229" i="19"/>
  <c r="Q229" i="19"/>
  <c r="K179" i="19"/>
  <c r="K129" i="19"/>
  <c r="K79" i="19"/>
  <c r="K29" i="19"/>
  <c r="N229" i="19"/>
  <c r="W27" i="19"/>
  <c r="T177" i="19"/>
  <c r="Q177" i="19"/>
  <c r="N177" i="19"/>
  <c r="K177" i="19"/>
  <c r="N227" i="19"/>
  <c r="W77" i="19"/>
  <c r="T127" i="19"/>
  <c r="Q127" i="19"/>
  <c r="N127" i="19"/>
  <c r="Q227" i="19"/>
  <c r="K27" i="19"/>
  <c r="W127" i="19"/>
  <c r="T77" i="19"/>
  <c r="Q77" i="19"/>
  <c r="N77" i="19"/>
  <c r="T227" i="19"/>
  <c r="K77" i="19"/>
  <c r="T27" i="19"/>
  <c r="Q27" i="19"/>
  <c r="N27" i="19"/>
  <c r="W177" i="19"/>
  <c r="W227" i="19"/>
  <c r="K127" i="19"/>
  <c r="W170" i="19"/>
  <c r="W20" i="19"/>
  <c r="W70" i="19"/>
  <c r="T120" i="19"/>
  <c r="Q120" i="19"/>
  <c r="N120" i="19"/>
  <c r="Q220" i="19"/>
  <c r="K20" i="19"/>
  <c r="K120" i="19"/>
  <c r="Q170" i="19"/>
  <c r="W120" i="19"/>
  <c r="T70" i="19"/>
  <c r="Q70" i="19"/>
  <c r="N70" i="19"/>
  <c r="T220" i="19"/>
  <c r="K70" i="19"/>
  <c r="T20" i="19"/>
  <c r="Q20" i="19"/>
  <c r="N20" i="19"/>
  <c r="W220" i="19"/>
  <c r="T170" i="19"/>
  <c r="N170" i="19"/>
  <c r="K170" i="19"/>
  <c r="N220" i="19"/>
  <c r="W115" i="19"/>
  <c r="T65" i="19"/>
  <c r="Q65" i="19"/>
  <c r="N65" i="19"/>
  <c r="T215" i="19"/>
  <c r="K65" i="19"/>
  <c r="W65" i="19"/>
  <c r="T115" i="19"/>
  <c r="Q115" i="19"/>
  <c r="N115" i="19"/>
  <c r="Q215" i="19"/>
  <c r="K15" i="19"/>
  <c r="W15" i="19"/>
  <c r="T165" i="19"/>
  <c r="Q165" i="19"/>
  <c r="N165" i="19"/>
  <c r="K165" i="19"/>
  <c r="N215" i="19"/>
  <c r="W165" i="19"/>
  <c r="T15" i="19"/>
  <c r="Q15" i="19"/>
  <c r="N15" i="19"/>
  <c r="W215" i="19"/>
  <c r="K115" i="19"/>
  <c r="W64" i="19"/>
  <c r="T114" i="19"/>
  <c r="Q114" i="19"/>
  <c r="N114" i="19"/>
  <c r="Q214" i="19"/>
  <c r="K14" i="19"/>
  <c r="W114" i="19"/>
  <c r="T64" i="19"/>
  <c r="Q64" i="19"/>
  <c r="N64" i="19"/>
  <c r="T214" i="19"/>
  <c r="K64" i="19"/>
  <c r="N164" i="19"/>
  <c r="K164" i="19"/>
  <c r="W164" i="19"/>
  <c r="T14" i="19"/>
  <c r="Q14" i="19"/>
  <c r="N14" i="19"/>
  <c r="W214" i="19"/>
  <c r="K114" i="19"/>
  <c r="W14" i="19"/>
  <c r="T164" i="19"/>
  <c r="Q164" i="19"/>
  <c r="N214" i="19"/>
  <c r="K212" i="19"/>
  <c r="L219" i="19"/>
  <c r="AF32" i="1"/>
  <c r="K214" i="19"/>
  <c r="L220" i="19"/>
  <c r="AF71" i="1"/>
  <c r="K228" i="19"/>
  <c r="AF90" i="1"/>
  <c r="L234" i="19"/>
  <c r="AF110" i="1"/>
  <c r="K241" i="19"/>
  <c r="AF29" i="1"/>
  <c r="K213" i="19"/>
  <c r="AF41" i="1"/>
  <c r="K217" i="19"/>
  <c r="AF45" i="1"/>
  <c r="L218" i="19"/>
  <c r="AF50" i="1"/>
  <c r="K221" i="19"/>
  <c r="AF54" i="1"/>
  <c r="L222" i="19"/>
  <c r="AF60" i="1"/>
  <c r="L224" i="19"/>
  <c r="AF66" i="1"/>
  <c r="L226" i="19"/>
  <c r="AF72" i="1"/>
  <c r="L228" i="19"/>
  <c r="AF77" i="1"/>
  <c r="K230" i="19"/>
  <c r="AF81" i="1"/>
  <c r="L231" i="19"/>
  <c r="AF87" i="1"/>
  <c r="L233" i="19"/>
  <c r="AF92" i="1"/>
  <c r="K235" i="19"/>
  <c r="AF101" i="1"/>
  <c r="K238" i="19"/>
  <c r="AF107" i="1"/>
  <c r="K240" i="19"/>
  <c r="AF117" i="1"/>
  <c r="L243" i="19"/>
  <c r="AF120" i="1"/>
  <c r="L244" i="19"/>
  <c r="AF36" i="1"/>
  <c r="L215" i="19"/>
  <c r="AF59" i="1"/>
  <c r="K224" i="19"/>
  <c r="AF86" i="1"/>
  <c r="K233" i="19"/>
  <c r="AF105" i="1"/>
  <c r="L239" i="19"/>
  <c r="AF33" i="1"/>
  <c r="L214" i="19"/>
  <c r="AF96" i="1"/>
  <c r="L236" i="19"/>
  <c r="AF62" i="1"/>
  <c r="K225" i="19"/>
  <c r="AF89" i="1"/>
  <c r="K234" i="19"/>
  <c r="AF93" i="1"/>
  <c r="L235" i="19"/>
  <c r="AF102" i="1"/>
  <c r="L238" i="19"/>
  <c r="AF114" i="1"/>
  <c r="L242" i="19"/>
  <c r="AF44" i="1"/>
  <c r="K218" i="19"/>
  <c r="AF75" i="1"/>
  <c r="L229" i="19"/>
  <c r="AF108" i="1"/>
  <c r="L240" i="19"/>
  <c r="AF38" i="1"/>
  <c r="K216" i="19"/>
  <c r="AF42" i="1"/>
  <c r="L217" i="19"/>
  <c r="AF51" i="1"/>
  <c r="L221" i="19"/>
  <c r="AF56" i="1"/>
  <c r="K223" i="19"/>
  <c r="AF68" i="1"/>
  <c r="K227" i="19"/>
  <c r="AF83" i="1"/>
  <c r="K232" i="19"/>
  <c r="AF122" i="1"/>
  <c r="AF65" i="1"/>
  <c r="K226" i="19"/>
  <c r="AF80" i="1"/>
  <c r="K231" i="19"/>
  <c r="AF99" i="1"/>
  <c r="L237" i="19"/>
  <c r="AF119" i="1"/>
  <c r="K244" i="19"/>
  <c r="AF30" i="1"/>
  <c r="L213" i="19"/>
  <c r="AF27" i="1"/>
  <c r="L212" i="19"/>
  <c r="AF35" i="1"/>
  <c r="K215" i="19"/>
  <c r="AF39" i="1"/>
  <c r="L216" i="19"/>
  <c r="K219" i="19"/>
  <c r="AF47" i="1"/>
  <c r="K220" i="19"/>
  <c r="AF53" i="1"/>
  <c r="K222" i="19"/>
  <c r="AF57" i="1"/>
  <c r="L223" i="19"/>
  <c r="AF63" i="1"/>
  <c r="L225" i="19"/>
  <c r="AF69" i="1"/>
  <c r="L227" i="19"/>
  <c r="AF74" i="1"/>
  <c r="K229" i="19"/>
  <c r="AF78" i="1"/>
  <c r="L230" i="19"/>
  <c r="AF84" i="1"/>
  <c r="L232" i="19"/>
  <c r="AF95" i="1"/>
  <c r="K236" i="19"/>
  <c r="AF98" i="1"/>
  <c r="K237" i="19"/>
  <c r="AF104" i="1"/>
  <c r="K239" i="19"/>
  <c r="AF123" i="1"/>
  <c r="AF111" i="1"/>
  <c r="L241" i="19"/>
  <c r="AF113" i="1"/>
  <c r="K242" i="19"/>
  <c r="AF116" i="1"/>
  <c r="K243" i="19"/>
  <c r="AF48" i="1"/>
  <c r="AA52" i="1"/>
  <c r="AA61" i="1"/>
  <c r="AA64" i="1"/>
  <c r="AA67" i="1"/>
  <c r="AA70" i="1"/>
  <c r="AA79" i="1"/>
  <c r="AA82" i="1"/>
  <c r="AA85" i="1"/>
  <c r="AA103" i="1"/>
  <c r="AC85" i="1" l="1"/>
  <c r="AB85" i="1"/>
  <c r="AC61" i="1"/>
  <c r="AB61" i="1"/>
  <c r="AC64" i="1"/>
  <c r="AB64" i="1"/>
  <c r="AC82" i="1"/>
  <c r="AB82" i="1"/>
  <c r="AC70" i="1"/>
  <c r="AB70" i="1"/>
  <c r="AC88" i="1"/>
  <c r="AB88" i="1"/>
  <c r="AC52" i="1"/>
  <c r="AB52" i="1"/>
  <c r="AC103" i="1"/>
  <c r="AB103" i="1"/>
  <c r="AC79" i="1"/>
  <c r="AB79" i="1"/>
  <c r="AC67" i="1"/>
  <c r="AB67" i="1"/>
  <c r="AA94" i="1"/>
  <c r="AA58" i="1"/>
  <c r="AA22" i="1"/>
  <c r="AA19" i="1"/>
  <c r="W7" i="1"/>
  <c r="K7" i="1"/>
  <c r="AA17" i="1" l="1"/>
  <c r="AA18" i="1"/>
  <c r="AC22" i="1"/>
  <c r="AB22" i="1"/>
  <c r="AC58" i="1"/>
  <c r="AB58" i="1"/>
  <c r="AC19" i="1"/>
  <c r="AB19" i="1"/>
  <c r="AA12" i="1"/>
  <c r="AA11" i="1"/>
  <c r="AC94" i="1"/>
  <c r="AB94" i="1"/>
  <c r="L7" i="1"/>
  <c r="AA25" i="1"/>
  <c r="F221" i="13"/>
  <c r="F211" i="13"/>
  <c r="F212" i="13"/>
  <c r="F213" i="13"/>
  <c r="F214" i="13"/>
  <c r="F215" i="13"/>
  <c r="F216" i="13"/>
  <c r="F217" i="13"/>
  <c r="F218" i="13"/>
  <c r="F219" i="13"/>
  <c r="F220" i="13"/>
  <c r="F210" i="13"/>
  <c r="B221" i="13" a="1"/>
  <c r="AA14" i="1" l="1"/>
  <c r="AA15" i="1"/>
  <c r="AC25" i="1"/>
  <c r="AB25" i="1"/>
  <c r="AB11" i="1"/>
  <c r="AC11" i="1"/>
  <c r="AB18" i="1"/>
  <c r="AC18" i="1"/>
  <c r="AB12" i="1"/>
  <c r="AC12" i="1"/>
  <c r="AB17" i="1"/>
  <c r="AC17" i="1"/>
  <c r="AA8" i="1"/>
  <c r="AA9" i="1"/>
  <c r="AA7" i="1"/>
  <c r="B221" i="13"/>
  <c r="N148" i="1" l="1"/>
  <c r="O148" i="1" s="1"/>
  <c r="N136" i="1"/>
  <c r="O136" i="1" s="1"/>
  <c r="N124" i="1"/>
  <c r="O124" i="1" s="1"/>
  <c r="N145" i="1"/>
  <c r="O145" i="1" s="1"/>
  <c r="N139" i="1"/>
  <c r="O139" i="1" s="1"/>
  <c r="N133" i="1"/>
  <c r="O133" i="1" s="1"/>
  <c r="N130" i="1"/>
  <c r="O130" i="1" s="1"/>
  <c r="N127" i="1"/>
  <c r="O127" i="1" s="1"/>
  <c r="N151" i="1"/>
  <c r="O151" i="1" s="1"/>
  <c r="N142" i="1"/>
  <c r="O142" i="1" s="1"/>
  <c r="N91" i="1"/>
  <c r="O91" i="1" s="1"/>
  <c r="N79" i="1"/>
  <c r="O79" i="1" s="1"/>
  <c r="N67" i="1"/>
  <c r="O67" i="1" s="1"/>
  <c r="N55" i="1"/>
  <c r="O55" i="1" s="1"/>
  <c r="N34" i="1"/>
  <c r="O34" i="1" s="1"/>
  <c r="N22" i="1"/>
  <c r="O22" i="1" s="1"/>
  <c r="N10" i="1"/>
  <c r="O10" i="1" s="1"/>
  <c r="N103" i="1"/>
  <c r="O103" i="1" s="1"/>
  <c r="N19" i="1"/>
  <c r="O19" i="1" s="1"/>
  <c r="N100" i="1"/>
  <c r="O100" i="1" s="1"/>
  <c r="N88" i="1"/>
  <c r="O88" i="1" s="1"/>
  <c r="N76" i="1"/>
  <c r="O76" i="1" s="1"/>
  <c r="N64" i="1"/>
  <c r="O64" i="1" s="1"/>
  <c r="N52" i="1"/>
  <c r="O52" i="1" s="1"/>
  <c r="N43" i="1"/>
  <c r="O43" i="1" s="1"/>
  <c r="N31" i="1"/>
  <c r="O31" i="1" s="1"/>
  <c r="N118" i="1"/>
  <c r="O118" i="1" s="1"/>
  <c r="N115" i="1"/>
  <c r="O115" i="1" s="1"/>
  <c r="N112" i="1"/>
  <c r="O112" i="1" s="1"/>
  <c r="N109" i="1"/>
  <c r="O109" i="1" s="1"/>
  <c r="N106" i="1"/>
  <c r="O106" i="1" s="1"/>
  <c r="N97" i="1"/>
  <c r="O97" i="1" s="1"/>
  <c r="N85" i="1"/>
  <c r="O85" i="1" s="1"/>
  <c r="N73" i="1"/>
  <c r="O73" i="1" s="1"/>
  <c r="N61" i="1"/>
  <c r="O61" i="1" s="1"/>
  <c r="N49" i="1"/>
  <c r="O49" i="1" s="1"/>
  <c r="N40" i="1"/>
  <c r="O40" i="1" s="1"/>
  <c r="N28" i="1"/>
  <c r="O28" i="1" s="1"/>
  <c r="N16" i="1"/>
  <c r="O16" i="1" s="1"/>
  <c r="N58" i="1"/>
  <c r="O58" i="1" s="1"/>
  <c r="N94" i="1"/>
  <c r="O94" i="1" s="1"/>
  <c r="N37" i="1"/>
  <c r="O37" i="1" s="1"/>
  <c r="N70" i="1"/>
  <c r="O70" i="1" s="1"/>
  <c r="N121" i="1"/>
  <c r="O121" i="1" s="1"/>
  <c r="N13" i="1"/>
  <c r="O13" i="1" s="1"/>
  <c r="N46" i="1"/>
  <c r="O46" i="1" s="1"/>
  <c r="N82" i="1"/>
  <c r="O82" i="1" s="1"/>
  <c r="N25" i="1"/>
  <c r="O25" i="1" s="1"/>
  <c r="AB15" i="1"/>
  <c r="AC15" i="1"/>
  <c r="AC14" i="1"/>
  <c r="AB14" i="1"/>
  <c r="AB9" i="1"/>
  <c r="AC9" i="1"/>
  <c r="AC8" i="1"/>
  <c r="AB8" i="1"/>
  <c r="H210" i="13"/>
  <c r="P127" i="1" l="1"/>
  <c r="AE127" i="1" s="1"/>
  <c r="AD127" i="1" s="1"/>
  <c r="AF42" i="18"/>
  <c r="V102" i="18"/>
  <c r="AP22" i="18"/>
  <c r="AZ42" i="18"/>
  <c r="L102" i="18"/>
  <c r="AP62" i="18"/>
  <c r="L42" i="18"/>
  <c r="V22" i="18"/>
  <c r="AZ62" i="18"/>
  <c r="V42" i="18"/>
  <c r="AP82" i="18"/>
  <c r="AF62" i="18"/>
  <c r="AF22" i="18"/>
  <c r="L22" i="18"/>
  <c r="AZ82" i="18"/>
  <c r="V62" i="18"/>
  <c r="AP102" i="18"/>
  <c r="AF82" i="18"/>
  <c r="L62" i="18"/>
  <c r="Q127" i="1"/>
  <c r="AP42" i="18"/>
  <c r="AZ102" i="18"/>
  <c r="V82" i="18"/>
  <c r="AZ22" i="18"/>
  <c r="AF102" i="18"/>
  <c r="L82" i="18"/>
  <c r="P145" i="1"/>
  <c r="N24" i="18"/>
  <c r="X104" i="18"/>
  <c r="AR84" i="18"/>
  <c r="N84" i="18"/>
  <c r="AH64" i="18"/>
  <c r="BB24" i="18"/>
  <c r="X44" i="18"/>
  <c r="N64" i="18"/>
  <c r="AR104" i="18"/>
  <c r="N104" i="18"/>
  <c r="BB84" i="18"/>
  <c r="AR24" i="18"/>
  <c r="X64" i="18"/>
  <c r="AR44" i="18"/>
  <c r="N44" i="18"/>
  <c r="BB104" i="18"/>
  <c r="AH84" i="18"/>
  <c r="AR64" i="18"/>
  <c r="Q145" i="1"/>
  <c r="BB44" i="18"/>
  <c r="AH104" i="18"/>
  <c r="X24" i="18"/>
  <c r="X84" i="18"/>
  <c r="BB64" i="18"/>
  <c r="AH24" i="18"/>
  <c r="AH44" i="18"/>
  <c r="P130" i="1"/>
  <c r="AE130" i="1" s="1"/>
  <c r="AD130" i="1" s="1"/>
  <c r="AR22" i="18"/>
  <c r="AR62" i="18"/>
  <c r="BB62" i="18"/>
  <c r="AH62" i="18"/>
  <c r="X62" i="18"/>
  <c r="N62" i="18"/>
  <c r="Q130" i="1"/>
  <c r="AH22" i="18"/>
  <c r="BB22" i="18"/>
  <c r="AR42" i="18"/>
  <c r="BB42" i="18"/>
  <c r="AH42" i="18"/>
  <c r="X42" i="18"/>
  <c r="N42" i="18"/>
  <c r="N22" i="18"/>
  <c r="AR102" i="18"/>
  <c r="BB102" i="18"/>
  <c r="AH102" i="18"/>
  <c r="X102" i="18"/>
  <c r="N102" i="18"/>
  <c r="X22" i="18"/>
  <c r="AR82" i="18"/>
  <c r="BB82" i="18"/>
  <c r="AH82" i="18"/>
  <c r="X82" i="18"/>
  <c r="N82" i="18"/>
  <c r="P124" i="1"/>
  <c r="AE124" i="1" s="1"/>
  <c r="AD124" i="1" s="1"/>
  <c r="AD22" i="18"/>
  <c r="AX22" i="18"/>
  <c r="AN42" i="18"/>
  <c r="AX42" i="18"/>
  <c r="AD42" i="18"/>
  <c r="T42" i="18"/>
  <c r="J22" i="18"/>
  <c r="AN102" i="18"/>
  <c r="AX102" i="18"/>
  <c r="AD102" i="18"/>
  <c r="T102" i="18"/>
  <c r="J102" i="18"/>
  <c r="Q124" i="1"/>
  <c r="J42" i="18"/>
  <c r="T22" i="18"/>
  <c r="AN82" i="18"/>
  <c r="AX82" i="18"/>
  <c r="AD82" i="18"/>
  <c r="T82" i="18"/>
  <c r="J82" i="18"/>
  <c r="AN22" i="18"/>
  <c r="AN62" i="18"/>
  <c r="AX62" i="18"/>
  <c r="AD62" i="18"/>
  <c r="T62" i="18"/>
  <c r="J62" i="18"/>
  <c r="P142" i="1"/>
  <c r="L44" i="18"/>
  <c r="AP104" i="18"/>
  <c r="AF104" i="18"/>
  <c r="L104" i="18"/>
  <c r="AZ24" i="18"/>
  <c r="AZ44" i="18"/>
  <c r="V44" i="18"/>
  <c r="AP64" i="18"/>
  <c r="AF64" i="18"/>
  <c r="L64" i="18"/>
  <c r="AP84" i="18"/>
  <c r="AF84" i="18"/>
  <c r="L84" i="18"/>
  <c r="L24" i="18"/>
  <c r="AZ104" i="18"/>
  <c r="V104" i="18"/>
  <c r="AF24" i="18"/>
  <c r="AP44" i="18"/>
  <c r="AF44" i="18"/>
  <c r="AP24" i="18"/>
  <c r="AZ64" i="18"/>
  <c r="V64" i="18"/>
  <c r="V24" i="18"/>
  <c r="AZ84" i="18"/>
  <c r="V84" i="18"/>
  <c r="Q142" i="1"/>
  <c r="P133" i="1"/>
  <c r="AE133" i="1" s="1"/>
  <c r="AD133" i="1" s="1"/>
  <c r="AJ102" i="18"/>
  <c r="BD22" i="18"/>
  <c r="Z42" i="18"/>
  <c r="BD62" i="18"/>
  <c r="Z22" i="18"/>
  <c r="Z82" i="18"/>
  <c r="P22" i="18"/>
  <c r="Z102" i="18"/>
  <c r="AT42" i="18"/>
  <c r="P42" i="18"/>
  <c r="AJ62" i="18"/>
  <c r="AT82" i="18"/>
  <c r="AT102" i="18"/>
  <c r="P102" i="18"/>
  <c r="BD42" i="18"/>
  <c r="AT22" i="18"/>
  <c r="Z62" i="18"/>
  <c r="BD82" i="18"/>
  <c r="Q133" i="1"/>
  <c r="P82" i="18"/>
  <c r="BD102" i="18"/>
  <c r="AJ22" i="18"/>
  <c r="AJ42" i="18"/>
  <c r="AT62" i="18"/>
  <c r="P62" i="18"/>
  <c r="AJ82" i="18"/>
  <c r="P136" i="1"/>
  <c r="R42" i="18"/>
  <c r="AV102" i="18"/>
  <c r="AV22" i="18"/>
  <c r="R102" i="18"/>
  <c r="AV82" i="18"/>
  <c r="AL82" i="18"/>
  <c r="R82" i="18"/>
  <c r="AB102" i="18"/>
  <c r="AV62" i="18"/>
  <c r="BF102" i="18"/>
  <c r="AL22" i="18"/>
  <c r="AV42" i="18"/>
  <c r="AL42" i="18"/>
  <c r="Q136" i="1"/>
  <c r="R62" i="18"/>
  <c r="BF62" i="18"/>
  <c r="AL102" i="18"/>
  <c r="AB22" i="18"/>
  <c r="BF82" i="18"/>
  <c r="AB82" i="18"/>
  <c r="R22" i="18"/>
  <c r="AB62" i="18"/>
  <c r="AL62" i="18"/>
  <c r="BF22" i="18"/>
  <c r="BF42" i="18"/>
  <c r="AB42" i="18"/>
  <c r="P151" i="1"/>
  <c r="Q151" i="1"/>
  <c r="AV24" i="18"/>
  <c r="AV64" i="18"/>
  <c r="BF64" i="18"/>
  <c r="AL64" i="18"/>
  <c r="AB64" i="18"/>
  <c r="R64" i="18"/>
  <c r="AL24" i="18"/>
  <c r="BF24" i="18"/>
  <c r="AV44" i="18"/>
  <c r="BF44" i="18"/>
  <c r="AL44" i="18"/>
  <c r="AB44" i="18"/>
  <c r="R44" i="18"/>
  <c r="R24" i="18"/>
  <c r="AV104" i="18"/>
  <c r="BF104" i="18"/>
  <c r="AL104" i="18"/>
  <c r="AB104" i="18"/>
  <c r="R104" i="18"/>
  <c r="AB24" i="18"/>
  <c r="AV84" i="18"/>
  <c r="BF84" i="18"/>
  <c r="AL84" i="18"/>
  <c r="AB84" i="18"/>
  <c r="R84" i="18"/>
  <c r="P139" i="1"/>
  <c r="AX64" i="18"/>
  <c r="T24" i="18"/>
  <c r="T84" i="18"/>
  <c r="AX104" i="18"/>
  <c r="AD24" i="18"/>
  <c r="AD44" i="18"/>
  <c r="Q139" i="1"/>
  <c r="AD64" i="18"/>
  <c r="AN84" i="18"/>
  <c r="J84" i="18"/>
  <c r="AD104" i="18"/>
  <c r="AX24" i="18"/>
  <c r="T44" i="18"/>
  <c r="AN24" i="18"/>
  <c r="T64" i="18"/>
  <c r="AX84" i="18"/>
  <c r="J24" i="18"/>
  <c r="T104" i="18"/>
  <c r="AN44" i="18"/>
  <c r="J44" i="18"/>
  <c r="AN64" i="18"/>
  <c r="J64" i="18"/>
  <c r="AD84" i="18"/>
  <c r="AN104" i="18"/>
  <c r="J104" i="18"/>
  <c r="AX44" i="18"/>
  <c r="AT104" i="18"/>
  <c r="AJ84" i="18"/>
  <c r="AT64" i="18"/>
  <c r="P64" i="18"/>
  <c r="BD44" i="18"/>
  <c r="Q148" i="1"/>
  <c r="BD104" i="18"/>
  <c r="Z24" i="18"/>
  <c r="Z84" i="18"/>
  <c r="BD64" i="18"/>
  <c r="AJ24" i="18"/>
  <c r="AJ44" i="18"/>
  <c r="P148" i="1"/>
  <c r="AE148" i="1" s="1"/>
  <c r="AD148" i="1" s="1"/>
  <c r="AJ104" i="18"/>
  <c r="AT84" i="18"/>
  <c r="P84" i="18"/>
  <c r="AJ64" i="18"/>
  <c r="BD24" i="18"/>
  <c r="Z44" i="18"/>
  <c r="P104" i="18"/>
  <c r="P24" i="18"/>
  <c r="Z104" i="18"/>
  <c r="BD84" i="18"/>
  <c r="AT24" i="18"/>
  <c r="Z64" i="18"/>
  <c r="AT44" i="18"/>
  <c r="P44" i="18"/>
  <c r="N26" i="18"/>
  <c r="AH26" i="18"/>
  <c r="AR26" i="18"/>
  <c r="N86" i="18"/>
  <c r="AH46" i="18"/>
  <c r="N66" i="18"/>
  <c r="AH66" i="18"/>
  <c r="AR66" i="18"/>
  <c r="X46" i="18"/>
  <c r="AR6" i="18"/>
  <c r="AH86" i="18"/>
  <c r="X26" i="18"/>
  <c r="BB26" i="18"/>
  <c r="BB6" i="18"/>
  <c r="X86" i="18"/>
  <c r="N6" i="18"/>
  <c r="BB46" i="18"/>
  <c r="X66" i="18"/>
  <c r="BB66" i="18"/>
  <c r="X6" i="18"/>
  <c r="AR46" i="18"/>
  <c r="N46" i="18"/>
  <c r="BB86" i="18"/>
  <c r="AR86" i="18"/>
  <c r="L70" i="18"/>
  <c r="V70" i="18"/>
  <c r="AF70" i="18"/>
  <c r="AZ70" i="18"/>
  <c r="AP70" i="18"/>
  <c r="V10" i="18"/>
  <c r="L50" i="18"/>
  <c r="V50" i="18"/>
  <c r="AF50" i="18"/>
  <c r="AZ50" i="18"/>
  <c r="AP50" i="18"/>
  <c r="AP10" i="18"/>
  <c r="L30" i="18"/>
  <c r="V30" i="18"/>
  <c r="AF30" i="18"/>
  <c r="AZ30" i="18"/>
  <c r="AP30" i="18"/>
  <c r="AZ10" i="18"/>
  <c r="L90" i="18"/>
  <c r="V90" i="18"/>
  <c r="AF90" i="18"/>
  <c r="AZ90" i="18"/>
  <c r="AP90" i="18"/>
  <c r="L10" i="18"/>
  <c r="N50" i="18"/>
  <c r="X50" i="18"/>
  <c r="AH50" i="18"/>
  <c r="BB50" i="18"/>
  <c r="AR50" i="18"/>
  <c r="AR10" i="18"/>
  <c r="X30" i="18"/>
  <c r="AH30" i="18"/>
  <c r="BB30" i="18"/>
  <c r="AR30" i="18"/>
  <c r="BB10" i="18"/>
  <c r="N30" i="18"/>
  <c r="N90" i="18"/>
  <c r="X90" i="18"/>
  <c r="AH90" i="18"/>
  <c r="BB90" i="18"/>
  <c r="AR90" i="18"/>
  <c r="N10" i="18"/>
  <c r="N70" i="18"/>
  <c r="X70" i="18"/>
  <c r="AH70" i="18"/>
  <c r="BB70" i="18"/>
  <c r="AR70" i="18"/>
  <c r="X10" i="18"/>
  <c r="L86" i="18"/>
  <c r="AP86" i="18"/>
  <c r="V86" i="18"/>
  <c r="L6" i="18"/>
  <c r="AZ66" i="18"/>
  <c r="AF86" i="18"/>
  <c r="L66" i="18"/>
  <c r="AP66" i="18"/>
  <c r="AF46" i="18"/>
  <c r="L26" i="18"/>
  <c r="AP26" i="18"/>
  <c r="AZ86" i="18"/>
  <c r="V66" i="18"/>
  <c r="V6" i="18"/>
  <c r="AZ46" i="18"/>
  <c r="V26" i="18"/>
  <c r="AZ6" i="18"/>
  <c r="V46" i="18"/>
  <c r="AZ26" i="18"/>
  <c r="AP6" i="18"/>
  <c r="AF26" i="18"/>
  <c r="AP46" i="18"/>
  <c r="AF66" i="18"/>
  <c r="L46" i="18"/>
  <c r="P32" i="18"/>
  <c r="AT32" i="18"/>
  <c r="AJ72" i="18"/>
  <c r="P92" i="18"/>
  <c r="AT92" i="18"/>
  <c r="AJ52" i="18"/>
  <c r="Z32" i="18"/>
  <c r="BD12" i="18"/>
  <c r="BD72" i="18"/>
  <c r="Z92" i="18"/>
  <c r="P12" i="18"/>
  <c r="BD52" i="18"/>
  <c r="AJ32" i="18"/>
  <c r="P72" i="18"/>
  <c r="AT72" i="18"/>
  <c r="AJ92" i="18"/>
  <c r="P52" i="18"/>
  <c r="AT52" i="18"/>
  <c r="BD32" i="18"/>
  <c r="Z72" i="18"/>
  <c r="Z12" i="18"/>
  <c r="BD92" i="18"/>
  <c r="Z52" i="18"/>
  <c r="AT12" i="18"/>
  <c r="J32" i="18"/>
  <c r="T32" i="18"/>
  <c r="AD32" i="18"/>
  <c r="AX32" i="18"/>
  <c r="AN32" i="18"/>
  <c r="AX12" i="18"/>
  <c r="J52" i="18"/>
  <c r="T52" i="18"/>
  <c r="AD52" i="18"/>
  <c r="AX52" i="18"/>
  <c r="AN52" i="18"/>
  <c r="AN12" i="18"/>
  <c r="J72" i="18"/>
  <c r="T72" i="18"/>
  <c r="AD72" i="18"/>
  <c r="AX72" i="18"/>
  <c r="AN72" i="18"/>
  <c r="T12" i="18"/>
  <c r="J92" i="18"/>
  <c r="T92" i="18"/>
  <c r="AD92" i="18"/>
  <c r="AX92" i="18"/>
  <c r="AN92" i="18"/>
  <c r="J12" i="18"/>
  <c r="L38" i="18"/>
  <c r="AZ78" i="18"/>
  <c r="V38" i="18"/>
  <c r="AZ58" i="18"/>
  <c r="V18" i="18"/>
  <c r="AZ38" i="18"/>
  <c r="V58" i="18"/>
  <c r="AZ18" i="18"/>
  <c r="V78" i="18"/>
  <c r="AP38" i="18"/>
  <c r="L58" i="18"/>
  <c r="AZ98" i="18"/>
  <c r="AF58" i="18"/>
  <c r="L18" i="18"/>
  <c r="V98" i="18"/>
  <c r="AP58" i="18"/>
  <c r="L98" i="18"/>
  <c r="AP98" i="18"/>
  <c r="AF98" i="18"/>
  <c r="L78" i="18"/>
  <c r="AF78" i="18"/>
  <c r="AP78" i="18"/>
  <c r="AF38" i="18"/>
  <c r="AP18" i="18"/>
  <c r="N78" i="18"/>
  <c r="AR78" i="18"/>
  <c r="AH58" i="18"/>
  <c r="AH38" i="18"/>
  <c r="X98" i="18"/>
  <c r="N18" i="18"/>
  <c r="X78" i="18"/>
  <c r="X18" i="18"/>
  <c r="BB58" i="18"/>
  <c r="AR38" i="18"/>
  <c r="AH98" i="18"/>
  <c r="N38" i="18"/>
  <c r="AH78" i="18"/>
  <c r="N58" i="18"/>
  <c r="AR58" i="18"/>
  <c r="BB18" i="18"/>
  <c r="BB98" i="18"/>
  <c r="X38" i="18"/>
  <c r="BB78" i="18"/>
  <c r="X58" i="18"/>
  <c r="AR18" i="18"/>
  <c r="N98" i="18"/>
  <c r="AR98" i="18"/>
  <c r="BB38" i="18"/>
  <c r="J48" i="18"/>
  <c r="AN48" i="18"/>
  <c r="AD88" i="18"/>
  <c r="J68" i="18"/>
  <c r="AN68" i="18"/>
  <c r="AD28" i="18"/>
  <c r="T48" i="18"/>
  <c r="AN8" i="18"/>
  <c r="AX88" i="18"/>
  <c r="T68" i="18"/>
  <c r="T8" i="18"/>
  <c r="AX28" i="18"/>
  <c r="AD48" i="18"/>
  <c r="J88" i="18"/>
  <c r="AN88" i="18"/>
  <c r="AD68" i="18"/>
  <c r="J28" i="18"/>
  <c r="AN28" i="18"/>
  <c r="AX48" i="18"/>
  <c r="T88" i="18"/>
  <c r="J8" i="18"/>
  <c r="AX68" i="18"/>
  <c r="T28" i="18"/>
  <c r="AX8" i="18"/>
  <c r="R52" i="18"/>
  <c r="AB52" i="18"/>
  <c r="AL52" i="18"/>
  <c r="BF52" i="18"/>
  <c r="AV52" i="18"/>
  <c r="AV12" i="18"/>
  <c r="R72" i="18"/>
  <c r="AB72" i="18"/>
  <c r="AL72" i="18"/>
  <c r="BF72" i="18"/>
  <c r="AV72" i="18"/>
  <c r="AB12" i="18"/>
  <c r="R92" i="18"/>
  <c r="AB92" i="18"/>
  <c r="AL92" i="18"/>
  <c r="BF92" i="18"/>
  <c r="AV92" i="18"/>
  <c r="R12" i="18"/>
  <c r="AB32" i="18"/>
  <c r="AL32" i="18"/>
  <c r="BF32" i="18"/>
  <c r="AV32" i="18"/>
  <c r="BF12" i="18"/>
  <c r="R32" i="18"/>
  <c r="R48" i="18"/>
  <c r="R28" i="18"/>
  <c r="AV28" i="18"/>
  <c r="R88" i="18"/>
  <c r="R68" i="18"/>
  <c r="AV68" i="18"/>
  <c r="AL48" i="18"/>
  <c r="AB28" i="18"/>
  <c r="BF8" i="18"/>
  <c r="AL88" i="18"/>
  <c r="AB68" i="18"/>
  <c r="AB8" i="18"/>
  <c r="BF48" i="18"/>
  <c r="AL28" i="18"/>
  <c r="AB88" i="18"/>
  <c r="BF88" i="18"/>
  <c r="AL68" i="18"/>
  <c r="AB48" i="18"/>
  <c r="AV8" i="18"/>
  <c r="BF28" i="18"/>
  <c r="R8" i="18"/>
  <c r="AV88" i="18"/>
  <c r="BF68" i="18"/>
  <c r="AV48" i="18"/>
  <c r="J36" i="18"/>
  <c r="AX76" i="18"/>
  <c r="J76" i="18"/>
  <c r="AN76" i="18"/>
  <c r="T56" i="18"/>
  <c r="AX56" i="18"/>
  <c r="T36" i="18"/>
  <c r="T16" i="18"/>
  <c r="T76" i="18"/>
  <c r="AX16" i="18"/>
  <c r="T96" i="18"/>
  <c r="AX96" i="18"/>
  <c r="AD36" i="18"/>
  <c r="AN56" i="18"/>
  <c r="AX36" i="18"/>
  <c r="J56" i="18"/>
  <c r="AD56" i="18"/>
  <c r="AN96" i="18"/>
  <c r="AD76" i="18"/>
  <c r="J16" i="18"/>
  <c r="AN36" i="18"/>
  <c r="J96" i="18"/>
  <c r="AD96" i="18"/>
  <c r="AN16" i="18"/>
  <c r="R30" i="18"/>
  <c r="AV30" i="18"/>
  <c r="AB70" i="18"/>
  <c r="R90" i="18"/>
  <c r="AV90" i="18"/>
  <c r="BF50" i="18"/>
  <c r="AB30" i="18"/>
  <c r="BF10" i="18"/>
  <c r="BF70" i="18"/>
  <c r="AB90" i="18"/>
  <c r="R10" i="18"/>
  <c r="AV50" i="18"/>
  <c r="AL30" i="18"/>
  <c r="R50" i="18"/>
  <c r="AV70" i="18"/>
  <c r="AL90" i="18"/>
  <c r="AB50" i="18"/>
  <c r="AL70" i="18"/>
  <c r="BF30" i="18"/>
  <c r="AV10" i="18"/>
  <c r="R70" i="18"/>
  <c r="BF90" i="18"/>
  <c r="AL50" i="18"/>
  <c r="AB10" i="18"/>
  <c r="N48" i="18"/>
  <c r="AR48" i="18"/>
  <c r="AH68" i="18"/>
  <c r="N88" i="18"/>
  <c r="AR88" i="18"/>
  <c r="AH28" i="18"/>
  <c r="X48" i="18"/>
  <c r="AR8" i="18"/>
  <c r="BB68" i="18"/>
  <c r="X88" i="18"/>
  <c r="N8" i="18"/>
  <c r="BB28" i="18"/>
  <c r="AH48" i="18"/>
  <c r="N68" i="18"/>
  <c r="AR68" i="18"/>
  <c r="AH88" i="18"/>
  <c r="N28" i="18"/>
  <c r="AR28" i="18"/>
  <c r="BB48" i="18"/>
  <c r="X68" i="18"/>
  <c r="X8" i="18"/>
  <c r="BB88" i="18"/>
  <c r="X28" i="18"/>
  <c r="BB8" i="18"/>
  <c r="R74" i="18"/>
  <c r="AV74" i="18"/>
  <c r="AL54" i="18"/>
  <c r="AV34" i="18"/>
  <c r="BF34" i="18"/>
  <c r="BF94" i="18"/>
  <c r="AB74" i="18"/>
  <c r="AB14" i="18"/>
  <c r="BF54" i="18"/>
  <c r="R34" i="18"/>
  <c r="R94" i="18"/>
  <c r="AV94" i="18"/>
  <c r="AL74" i="18"/>
  <c r="R54" i="18"/>
  <c r="AV54" i="18"/>
  <c r="AB34" i="18"/>
  <c r="AB94" i="18"/>
  <c r="R14" i="18"/>
  <c r="BF74" i="18"/>
  <c r="AB54" i="18"/>
  <c r="AV14" i="18"/>
  <c r="AL34" i="18"/>
  <c r="AL94" i="18"/>
  <c r="BF14" i="18"/>
  <c r="P58" i="18"/>
  <c r="AJ98" i="18"/>
  <c r="P78" i="18"/>
  <c r="AJ78" i="18"/>
  <c r="AT78" i="18"/>
  <c r="BD58" i="18"/>
  <c r="P98" i="18"/>
  <c r="AT58" i="18"/>
  <c r="Z38" i="18"/>
  <c r="BD38" i="18"/>
  <c r="BD18" i="18"/>
  <c r="BD98" i="18"/>
  <c r="Z58" i="18"/>
  <c r="P18" i="18"/>
  <c r="Z78" i="18"/>
  <c r="BD78" i="18"/>
  <c r="Z18" i="18"/>
  <c r="AT98" i="18"/>
  <c r="AJ58" i="18"/>
  <c r="P38" i="18"/>
  <c r="AJ38" i="18"/>
  <c r="AT38" i="18"/>
  <c r="Z98" i="18"/>
  <c r="AT18" i="18"/>
  <c r="P30" i="18"/>
  <c r="Z30" i="18"/>
  <c r="AJ30" i="18"/>
  <c r="BD30" i="18"/>
  <c r="AT30" i="18"/>
  <c r="BD10" i="18"/>
  <c r="P90" i="18"/>
  <c r="Z90" i="18"/>
  <c r="AJ90" i="18"/>
  <c r="BD90" i="18"/>
  <c r="AT90" i="18"/>
  <c r="P10" i="18"/>
  <c r="P70" i="18"/>
  <c r="Z70" i="18"/>
  <c r="AJ70" i="18"/>
  <c r="BD70" i="18"/>
  <c r="AT70" i="18"/>
  <c r="Z10" i="18"/>
  <c r="P50" i="18"/>
  <c r="Z50" i="18"/>
  <c r="AJ50" i="18"/>
  <c r="BD50" i="18"/>
  <c r="AT50" i="18"/>
  <c r="AT10" i="18"/>
  <c r="J38" i="18"/>
  <c r="AN38" i="18"/>
  <c r="AD58" i="18"/>
  <c r="J78" i="18"/>
  <c r="AN78" i="18"/>
  <c r="AD98" i="18"/>
  <c r="T38" i="18"/>
  <c r="AX18" i="18"/>
  <c r="AX58" i="18"/>
  <c r="T78" i="18"/>
  <c r="T18" i="18"/>
  <c r="AX98" i="18"/>
  <c r="AD38" i="18"/>
  <c r="J58" i="18"/>
  <c r="AN58" i="18"/>
  <c r="AD78" i="18"/>
  <c r="J98" i="18"/>
  <c r="AN98" i="18"/>
  <c r="AX38" i="18"/>
  <c r="T58" i="18"/>
  <c r="AN18" i="18"/>
  <c r="AX78" i="18"/>
  <c r="T98" i="18"/>
  <c r="J18" i="18"/>
  <c r="AB40" i="18"/>
  <c r="BF20" i="18"/>
  <c r="AL60" i="18"/>
  <c r="R80" i="18"/>
  <c r="AV80" i="18"/>
  <c r="AL100" i="18"/>
  <c r="R40" i="18"/>
  <c r="AV40" i="18"/>
  <c r="AB60" i="18"/>
  <c r="AV20" i="18"/>
  <c r="AB100" i="18"/>
  <c r="R20" i="18"/>
  <c r="AL40" i="18"/>
  <c r="AL20" i="18"/>
  <c r="BF60" i="18"/>
  <c r="AB80" i="18"/>
  <c r="AB20" i="18"/>
  <c r="BF100" i="18"/>
  <c r="BF40" i="18"/>
  <c r="R60" i="18"/>
  <c r="AV60" i="18"/>
  <c r="AL80" i="18"/>
  <c r="R100" i="18"/>
  <c r="AV100" i="18"/>
  <c r="BF80" i="18"/>
  <c r="P100" i="18"/>
  <c r="AT100" i="18"/>
  <c r="Z80" i="18"/>
  <c r="BD80" i="18"/>
  <c r="Z20" i="18"/>
  <c r="Z100" i="18"/>
  <c r="P20" i="18"/>
  <c r="AJ60" i="18"/>
  <c r="P40" i="18"/>
  <c r="AJ40" i="18"/>
  <c r="AT40" i="18"/>
  <c r="AJ20" i="18"/>
  <c r="AJ100" i="18"/>
  <c r="BD100" i="18"/>
  <c r="Z40" i="18"/>
  <c r="BD40" i="18"/>
  <c r="BD20" i="18"/>
  <c r="Z60" i="18"/>
  <c r="AT20" i="18"/>
  <c r="BD60" i="18"/>
  <c r="P80" i="18"/>
  <c r="AJ80" i="18"/>
  <c r="AT80" i="18"/>
  <c r="P60" i="18"/>
  <c r="AT60" i="18"/>
  <c r="N80" i="18"/>
  <c r="AR80" i="18"/>
  <c r="AH60" i="18"/>
  <c r="N100" i="18"/>
  <c r="X40" i="18"/>
  <c r="BB20" i="18"/>
  <c r="N20" i="18"/>
  <c r="BB80" i="18"/>
  <c r="X60" i="18"/>
  <c r="AR40" i="18"/>
  <c r="BB100" i="18"/>
  <c r="X80" i="18"/>
  <c r="X20" i="18"/>
  <c r="BB60" i="18"/>
  <c r="AH100" i="18"/>
  <c r="AH40" i="18"/>
  <c r="AH20" i="18"/>
  <c r="N40" i="18"/>
  <c r="AH80" i="18"/>
  <c r="N60" i="18"/>
  <c r="AR60" i="18"/>
  <c r="AR100" i="18"/>
  <c r="BB40" i="18"/>
  <c r="X100" i="18"/>
  <c r="AR20" i="18"/>
  <c r="L60" i="18"/>
  <c r="V60" i="18"/>
  <c r="AF60" i="18"/>
  <c r="AZ60" i="18"/>
  <c r="AP80" i="18"/>
  <c r="AP20" i="18"/>
  <c r="L80" i="18"/>
  <c r="V80" i="18"/>
  <c r="AF80" i="18"/>
  <c r="AZ100" i="18"/>
  <c r="AP100" i="18"/>
  <c r="V20" i="18"/>
  <c r="AZ80" i="18"/>
  <c r="L100" i="18"/>
  <c r="V100" i="18"/>
  <c r="AF100" i="18"/>
  <c r="AP40" i="18"/>
  <c r="AZ20" i="18"/>
  <c r="AF20" i="18"/>
  <c r="L40" i="18"/>
  <c r="V40" i="18"/>
  <c r="AF40" i="18"/>
  <c r="AZ40" i="18"/>
  <c r="AP60" i="18"/>
  <c r="L20" i="18"/>
  <c r="J40" i="18"/>
  <c r="AN40" i="18"/>
  <c r="AX80" i="18"/>
  <c r="AX100" i="18"/>
  <c r="AX60" i="18"/>
  <c r="AD80" i="18"/>
  <c r="J20" i="18"/>
  <c r="T40" i="18"/>
  <c r="AX20" i="18"/>
  <c r="AN80" i="18"/>
  <c r="J60" i="18"/>
  <c r="AN60" i="18"/>
  <c r="T20" i="18"/>
  <c r="AD40" i="18"/>
  <c r="AD20" i="18"/>
  <c r="T100" i="18"/>
  <c r="T60" i="18"/>
  <c r="AN20" i="18"/>
  <c r="J100" i="18"/>
  <c r="AX40" i="18"/>
  <c r="J80" i="18"/>
  <c r="AD100" i="18"/>
  <c r="AD60" i="18"/>
  <c r="T80" i="18"/>
  <c r="AN100" i="18"/>
  <c r="R38" i="18"/>
  <c r="AV38" i="18"/>
  <c r="R98" i="18"/>
  <c r="R58" i="18"/>
  <c r="AV58" i="18"/>
  <c r="AL78" i="18"/>
  <c r="AB78" i="18"/>
  <c r="AB38" i="18"/>
  <c r="BF18" i="18"/>
  <c r="AL98" i="18"/>
  <c r="AB58" i="18"/>
  <c r="AV18" i="18"/>
  <c r="AB18" i="18"/>
  <c r="AV78" i="18"/>
  <c r="R18" i="18"/>
  <c r="AV98" i="18"/>
  <c r="AL38" i="18"/>
  <c r="BF78" i="18"/>
  <c r="BF98" i="18"/>
  <c r="AL58" i="18"/>
  <c r="R78" i="18"/>
  <c r="AB98" i="18"/>
  <c r="BF38" i="18"/>
  <c r="BF58" i="18"/>
  <c r="R36" i="18"/>
  <c r="AL36" i="18"/>
  <c r="AV36" i="18"/>
  <c r="R56" i="18"/>
  <c r="AL56" i="18"/>
  <c r="AV56" i="18"/>
  <c r="R76" i="18"/>
  <c r="AL76" i="18"/>
  <c r="AV76" i="18"/>
  <c r="R96" i="18"/>
  <c r="AL96" i="18"/>
  <c r="AV96" i="18"/>
  <c r="AB36" i="18"/>
  <c r="BF36" i="18"/>
  <c r="BF16" i="18"/>
  <c r="AB56" i="18"/>
  <c r="BF56" i="18"/>
  <c r="AV16" i="18"/>
  <c r="AB76" i="18"/>
  <c r="BF76" i="18"/>
  <c r="AB16" i="18"/>
  <c r="AB96" i="18"/>
  <c r="BF96" i="18"/>
  <c r="R16" i="18"/>
  <c r="P76" i="18"/>
  <c r="AT76" i="18"/>
  <c r="AJ36" i="18"/>
  <c r="AJ96" i="18"/>
  <c r="Z76" i="18"/>
  <c r="Z16" i="18"/>
  <c r="BD36" i="18"/>
  <c r="AT96" i="18"/>
  <c r="AJ76" i="18"/>
  <c r="P36" i="18"/>
  <c r="AT36" i="18"/>
  <c r="P56" i="18"/>
  <c r="AT56" i="18"/>
  <c r="BD96" i="18"/>
  <c r="P96" i="18"/>
  <c r="BD56" i="18"/>
  <c r="BD76" i="18"/>
  <c r="Z36" i="18"/>
  <c r="BD16" i="18"/>
  <c r="Z56" i="18"/>
  <c r="AT16" i="18"/>
  <c r="P16" i="18"/>
  <c r="AJ56" i="18"/>
  <c r="Z96" i="18"/>
  <c r="AH36" i="18"/>
  <c r="X16" i="18"/>
  <c r="AH56" i="18"/>
  <c r="N76" i="18"/>
  <c r="BB76" i="18"/>
  <c r="AR76" i="18"/>
  <c r="N56" i="18"/>
  <c r="N16" i="18"/>
  <c r="AH96" i="18"/>
  <c r="N96" i="18"/>
  <c r="BB96" i="18"/>
  <c r="AR96" i="18"/>
  <c r="X36" i="18"/>
  <c r="X76" i="18"/>
  <c r="BB36" i="18"/>
  <c r="AH76" i="18"/>
  <c r="AR36" i="18"/>
  <c r="BB16" i="18"/>
  <c r="X56" i="18"/>
  <c r="X96" i="18"/>
  <c r="N36" i="18"/>
  <c r="BB56" i="18"/>
  <c r="AR56" i="18"/>
  <c r="AR16" i="18"/>
  <c r="L36" i="18"/>
  <c r="AZ76" i="18"/>
  <c r="AF96" i="18"/>
  <c r="V36" i="18"/>
  <c r="AZ16" i="18"/>
  <c r="AZ56" i="18"/>
  <c r="L76" i="18"/>
  <c r="AP76" i="18"/>
  <c r="AZ96" i="18"/>
  <c r="AF36" i="18"/>
  <c r="L56" i="18"/>
  <c r="AP56" i="18"/>
  <c r="V76" i="18"/>
  <c r="V16" i="18"/>
  <c r="AP96" i="18"/>
  <c r="AZ36" i="18"/>
  <c r="V56" i="18"/>
  <c r="AP16" i="18"/>
  <c r="AF76" i="18"/>
  <c r="V96" i="18"/>
  <c r="L16" i="18"/>
  <c r="AP36" i="18"/>
  <c r="AF56" i="18"/>
  <c r="L96" i="18"/>
  <c r="P34" i="18"/>
  <c r="Z34" i="18"/>
  <c r="AJ34" i="18"/>
  <c r="BD34" i="18"/>
  <c r="AT34" i="18"/>
  <c r="BD14" i="18"/>
  <c r="Z54" i="18"/>
  <c r="BD54" i="18"/>
  <c r="AT14" i="18"/>
  <c r="P54" i="18"/>
  <c r="P74" i="18"/>
  <c r="Z74" i="18"/>
  <c r="AJ74" i="18"/>
  <c r="BD74" i="18"/>
  <c r="AT74" i="18"/>
  <c r="Z14" i="18"/>
  <c r="Z94" i="18"/>
  <c r="AJ94" i="18"/>
  <c r="BD94" i="18"/>
  <c r="AT94" i="18"/>
  <c r="P14" i="18"/>
  <c r="AJ54" i="18"/>
  <c r="AT54" i="18"/>
  <c r="P94" i="18"/>
  <c r="N34" i="18"/>
  <c r="AR34" i="18"/>
  <c r="AH54" i="18"/>
  <c r="AH74" i="18"/>
  <c r="N94" i="18"/>
  <c r="AR94" i="18"/>
  <c r="BB14" i="18"/>
  <c r="BB54" i="18"/>
  <c r="AR74" i="18"/>
  <c r="X94" i="18"/>
  <c r="N14" i="18"/>
  <c r="AH94" i="18"/>
  <c r="X54" i="18"/>
  <c r="N74" i="18"/>
  <c r="BB74" i="18"/>
  <c r="X34" i="18"/>
  <c r="AH34" i="18"/>
  <c r="N54" i="18"/>
  <c r="AR54" i="18"/>
  <c r="X14" i="18"/>
  <c r="X74" i="18"/>
  <c r="AR14" i="18"/>
  <c r="BB94" i="18"/>
  <c r="BB34" i="18"/>
  <c r="L34" i="18"/>
  <c r="L74" i="18"/>
  <c r="V34" i="18"/>
  <c r="AZ34" i="18"/>
  <c r="AZ14" i="18"/>
  <c r="AF54" i="18"/>
  <c r="AP54" i="18"/>
  <c r="L94" i="18"/>
  <c r="V74" i="18"/>
  <c r="AZ74" i="18"/>
  <c r="V14" i="18"/>
  <c r="AF94" i="18"/>
  <c r="AP94" i="18"/>
  <c r="L54" i="18"/>
  <c r="AF34" i="18"/>
  <c r="AP34" i="18"/>
  <c r="V54" i="18"/>
  <c r="AZ54" i="18"/>
  <c r="AP14" i="18"/>
  <c r="AF74" i="18"/>
  <c r="AP74" i="18"/>
  <c r="V94" i="18"/>
  <c r="AZ94" i="18"/>
  <c r="L14" i="18"/>
  <c r="J74" i="18"/>
  <c r="AN74" i="18"/>
  <c r="T54" i="18"/>
  <c r="AD34" i="18"/>
  <c r="AX54" i="18"/>
  <c r="AD94" i="18"/>
  <c r="AD54" i="18"/>
  <c r="J34" i="18"/>
  <c r="J94" i="18"/>
  <c r="J54" i="18"/>
  <c r="T34" i="18"/>
  <c r="T94" i="18"/>
  <c r="T74" i="18"/>
  <c r="T14" i="18"/>
  <c r="AN14" i="18"/>
  <c r="AX34" i="18"/>
  <c r="AN54" i="18"/>
  <c r="AX94" i="18"/>
  <c r="AD74" i="18"/>
  <c r="AN34" i="18"/>
  <c r="AN94" i="18"/>
  <c r="AX74" i="18"/>
  <c r="AX14" i="18"/>
  <c r="J14" i="18"/>
  <c r="N92" i="18"/>
  <c r="AR92" i="18"/>
  <c r="X32" i="18"/>
  <c r="BB32" i="18"/>
  <c r="BB12" i="18"/>
  <c r="AH52" i="18"/>
  <c r="N32" i="18"/>
  <c r="AH32" i="18"/>
  <c r="N52" i="18"/>
  <c r="N72" i="18"/>
  <c r="AH72" i="18"/>
  <c r="X92" i="18"/>
  <c r="X52" i="18"/>
  <c r="N12" i="18"/>
  <c r="X72" i="18"/>
  <c r="BB72" i="18"/>
  <c r="X12" i="18"/>
  <c r="BB52" i="18"/>
  <c r="AH92" i="18"/>
  <c r="AR32" i="18"/>
  <c r="AR52" i="18"/>
  <c r="BB92" i="18"/>
  <c r="AR72" i="18"/>
  <c r="AR12" i="18"/>
  <c r="L52" i="18"/>
  <c r="AP52" i="18"/>
  <c r="V72" i="18"/>
  <c r="AF32" i="18"/>
  <c r="L92" i="18"/>
  <c r="L72" i="18"/>
  <c r="V92" i="18"/>
  <c r="AP32" i="18"/>
  <c r="AP72" i="18"/>
  <c r="AZ52" i="18"/>
  <c r="V32" i="18"/>
  <c r="L12" i="18"/>
  <c r="V52" i="18"/>
  <c r="AP12" i="18"/>
  <c r="AZ72" i="18"/>
  <c r="AZ32" i="18"/>
  <c r="AF92" i="18"/>
  <c r="AF72" i="18"/>
  <c r="AF52" i="18"/>
  <c r="L32" i="18"/>
  <c r="AP92" i="18"/>
  <c r="AZ92" i="18"/>
  <c r="AZ12" i="18"/>
  <c r="V12" i="18"/>
  <c r="J30" i="18"/>
  <c r="T70" i="18"/>
  <c r="AD70" i="18"/>
  <c r="AN30" i="18"/>
  <c r="T10" i="18"/>
  <c r="J50" i="18"/>
  <c r="J90" i="18"/>
  <c r="T50" i="18"/>
  <c r="T90" i="18"/>
  <c r="AD50" i="18"/>
  <c r="AD90" i="18"/>
  <c r="AX50" i="18"/>
  <c r="AX90" i="18"/>
  <c r="AN50" i="18"/>
  <c r="AN90" i="18"/>
  <c r="AN10" i="18"/>
  <c r="J10" i="18"/>
  <c r="J70" i="18"/>
  <c r="T30" i="18"/>
  <c r="AD30" i="18"/>
  <c r="AX30" i="18"/>
  <c r="AX70" i="18"/>
  <c r="AN70" i="18"/>
  <c r="AX10" i="18"/>
  <c r="P28" i="18"/>
  <c r="Z28" i="18"/>
  <c r="AJ28" i="18"/>
  <c r="BD28" i="18"/>
  <c r="AT28" i="18"/>
  <c r="BD8" i="18"/>
  <c r="P48" i="18"/>
  <c r="Z48" i="18"/>
  <c r="AJ48" i="18"/>
  <c r="BD48" i="18"/>
  <c r="AT48" i="18"/>
  <c r="AT8" i="18"/>
  <c r="P68" i="18"/>
  <c r="Z68" i="18"/>
  <c r="AJ68" i="18"/>
  <c r="BD68" i="18"/>
  <c r="AT68" i="18"/>
  <c r="Z8" i="18"/>
  <c r="P88" i="18"/>
  <c r="Z88" i="18"/>
  <c r="AJ88" i="18"/>
  <c r="BD88" i="18"/>
  <c r="AT88" i="18"/>
  <c r="P8" i="18"/>
  <c r="L28" i="18"/>
  <c r="AF28" i="18"/>
  <c r="AP28" i="18"/>
  <c r="L48" i="18"/>
  <c r="AF88" i="18"/>
  <c r="AP8" i="18"/>
  <c r="V8" i="18"/>
  <c r="L8" i="18"/>
  <c r="L68" i="18"/>
  <c r="AF68" i="18"/>
  <c r="AP68" i="18"/>
  <c r="L88" i="18"/>
  <c r="AZ48" i="18"/>
  <c r="AF48" i="18"/>
  <c r="AZ68" i="18"/>
  <c r="V88" i="18"/>
  <c r="V28" i="18"/>
  <c r="AZ28" i="18"/>
  <c r="AZ8" i="18"/>
  <c r="V48" i="18"/>
  <c r="AZ88" i="18"/>
  <c r="AP48" i="18"/>
  <c r="V68" i="18"/>
  <c r="AP88" i="18"/>
  <c r="R26" i="18"/>
  <c r="AB26" i="18"/>
  <c r="AL26" i="18"/>
  <c r="BF26" i="18"/>
  <c r="AV26" i="18"/>
  <c r="BF6" i="18"/>
  <c r="R46" i="18"/>
  <c r="AB46" i="18"/>
  <c r="AL46" i="18"/>
  <c r="BF46" i="18"/>
  <c r="AV46" i="18"/>
  <c r="AV6" i="18"/>
  <c r="R66" i="18"/>
  <c r="AB66" i="18"/>
  <c r="AL66" i="18"/>
  <c r="BF66" i="18"/>
  <c r="AV66" i="18"/>
  <c r="AB6" i="18"/>
  <c r="R86" i="18"/>
  <c r="AB86" i="18"/>
  <c r="AL86" i="18"/>
  <c r="BF86" i="18"/>
  <c r="AV86" i="18"/>
  <c r="R6" i="18"/>
  <c r="P46" i="18"/>
  <c r="AT46" i="18"/>
  <c r="AJ66" i="18"/>
  <c r="P86" i="18"/>
  <c r="AT86" i="18"/>
  <c r="AJ26" i="18"/>
  <c r="Z46" i="18"/>
  <c r="AT6" i="18"/>
  <c r="BD66" i="18"/>
  <c r="Z86" i="18"/>
  <c r="P6" i="18"/>
  <c r="BD26" i="18"/>
  <c r="AJ46" i="18"/>
  <c r="P66" i="18"/>
  <c r="AT66" i="18"/>
  <c r="AJ86" i="18"/>
  <c r="P26" i="18"/>
  <c r="AT26" i="18"/>
  <c r="BD46" i="18"/>
  <c r="Z66" i="18"/>
  <c r="Z6" i="18"/>
  <c r="BD86" i="18"/>
  <c r="Z26" i="18"/>
  <c r="BD6" i="18"/>
  <c r="P25" i="1"/>
  <c r="Q25" i="1"/>
  <c r="P58" i="1"/>
  <c r="Q58" i="1"/>
  <c r="P97" i="1"/>
  <c r="AE97" i="1" s="1"/>
  <c r="AD97" i="1" s="1"/>
  <c r="AF18" i="18"/>
  <c r="Q97" i="1"/>
  <c r="P52" i="1"/>
  <c r="AE52" i="1" s="1"/>
  <c r="AD52" i="1" s="1"/>
  <c r="Q52" i="1"/>
  <c r="AF12" i="18"/>
  <c r="P22" i="1"/>
  <c r="AE22" i="1" s="1"/>
  <c r="AD22" i="1" s="1"/>
  <c r="Q22" i="1"/>
  <c r="AD8" i="18"/>
  <c r="P82" i="1"/>
  <c r="AE82" i="1" s="1"/>
  <c r="AD82" i="1" s="1"/>
  <c r="Q82" i="1"/>
  <c r="AF16" i="18"/>
  <c r="P16" i="1"/>
  <c r="AE16" i="1" s="1"/>
  <c r="AD16" i="1" s="1"/>
  <c r="Q16" i="1"/>
  <c r="AJ6" i="18"/>
  <c r="P106" i="1"/>
  <c r="AE106" i="1" s="1"/>
  <c r="AD106" i="1" s="1"/>
  <c r="Q106" i="1"/>
  <c r="AL18" i="18"/>
  <c r="P64" i="1"/>
  <c r="AE64" i="1" s="1"/>
  <c r="AD64" i="1" s="1"/>
  <c r="Q64" i="1"/>
  <c r="AD14" i="18"/>
  <c r="P34" i="1"/>
  <c r="AE34" i="1" s="1"/>
  <c r="AD34" i="1" s="1"/>
  <c r="Q34" i="1"/>
  <c r="AL8" i="18"/>
  <c r="P46" i="1"/>
  <c r="AE46" i="1" s="1"/>
  <c r="AD46" i="1" s="1"/>
  <c r="Q46" i="1"/>
  <c r="AL10" i="18"/>
  <c r="P28" i="1"/>
  <c r="AE28" i="1" s="1"/>
  <c r="AD28" i="1" s="1"/>
  <c r="Q28" i="1"/>
  <c r="AH8" i="18"/>
  <c r="P109" i="1"/>
  <c r="AE109" i="1" s="1"/>
  <c r="AD109" i="1" s="1"/>
  <c r="Q109" i="1"/>
  <c r="P76" i="1"/>
  <c r="AE76" i="1" s="1"/>
  <c r="AD76" i="1" s="1"/>
  <c r="Q76" i="1"/>
  <c r="AJ10" i="18"/>
  <c r="P40" i="1"/>
  <c r="AE40" i="1" s="1"/>
  <c r="AD40" i="1" s="1"/>
  <c r="Q40" i="1"/>
  <c r="AF10" i="18"/>
  <c r="P112" i="1"/>
  <c r="AE112" i="1" s="1"/>
  <c r="AD112" i="1" s="1"/>
  <c r="Q112" i="1"/>
  <c r="P88" i="1"/>
  <c r="AE88" i="1" s="1"/>
  <c r="AD88" i="1" s="1"/>
  <c r="Q88" i="1"/>
  <c r="AJ16" i="18"/>
  <c r="P55" i="1"/>
  <c r="AE55" i="1" s="1"/>
  <c r="AD55" i="1" s="1"/>
  <c r="Q55" i="1"/>
  <c r="AH12" i="18"/>
  <c r="P13" i="1"/>
  <c r="Q13" i="1"/>
  <c r="AH6" i="18"/>
  <c r="P121" i="1"/>
  <c r="AE121" i="1" s="1"/>
  <c r="AD121" i="1" s="1"/>
  <c r="Q121" i="1"/>
  <c r="P49" i="1"/>
  <c r="AE49" i="1" s="1"/>
  <c r="AD49" i="1" s="1"/>
  <c r="Q49" i="1"/>
  <c r="AD12" i="18"/>
  <c r="P115" i="1"/>
  <c r="AE115" i="1" s="1"/>
  <c r="AD115" i="1" s="1"/>
  <c r="Q115" i="1"/>
  <c r="P100" i="1"/>
  <c r="AE100" i="1" s="1"/>
  <c r="AD100" i="1" s="1"/>
  <c r="AH18" i="18"/>
  <c r="Q100" i="1"/>
  <c r="P67" i="1"/>
  <c r="AE67" i="1" s="1"/>
  <c r="AD67" i="1" s="1"/>
  <c r="Q67" i="1"/>
  <c r="AF14" i="18"/>
  <c r="P70" i="1"/>
  <c r="AE70" i="1" s="1"/>
  <c r="AD70" i="1" s="1"/>
  <c r="Q70" i="1"/>
  <c r="AH14" i="18"/>
  <c r="P61" i="1"/>
  <c r="AE61" i="1" s="1"/>
  <c r="AD61" i="1" s="1"/>
  <c r="Q61" i="1"/>
  <c r="AL12" i="18"/>
  <c r="P118" i="1"/>
  <c r="AE118" i="1" s="1"/>
  <c r="AD118" i="1" s="1"/>
  <c r="Q118" i="1"/>
  <c r="P19" i="1"/>
  <c r="AE19" i="1" s="1"/>
  <c r="AD19" i="1" s="1"/>
  <c r="Q19" i="1"/>
  <c r="AL6" i="18"/>
  <c r="P79" i="1"/>
  <c r="AE79" i="1" s="1"/>
  <c r="AD79" i="1" s="1"/>
  <c r="Q79" i="1"/>
  <c r="AD16" i="18"/>
  <c r="P73" i="1"/>
  <c r="AE73" i="1" s="1"/>
  <c r="AD73" i="1" s="1"/>
  <c r="Q73" i="1"/>
  <c r="AJ14" i="18"/>
  <c r="P31" i="1"/>
  <c r="AE31" i="1" s="1"/>
  <c r="AD31" i="1" s="1"/>
  <c r="Q31" i="1"/>
  <c r="AJ8" i="18"/>
  <c r="P103" i="1"/>
  <c r="AE103" i="1" s="1"/>
  <c r="AD103" i="1" s="1"/>
  <c r="AJ18" i="18"/>
  <c r="Q103" i="1"/>
  <c r="P91" i="1"/>
  <c r="AE91" i="1" s="1"/>
  <c r="AD91" i="1" s="1"/>
  <c r="Q91" i="1"/>
  <c r="AL16" i="18"/>
  <c r="P37" i="1"/>
  <c r="AE37" i="1" s="1"/>
  <c r="AD37" i="1" s="1"/>
  <c r="Q37" i="1"/>
  <c r="AD10" i="18"/>
  <c r="P94" i="1"/>
  <c r="Q94" i="1"/>
  <c r="AD18" i="18"/>
  <c r="P85" i="1"/>
  <c r="AE85" i="1" s="1"/>
  <c r="AD85" i="1" s="1"/>
  <c r="Q85" i="1"/>
  <c r="AH16" i="18"/>
  <c r="P43" i="1"/>
  <c r="AE43" i="1" s="1"/>
  <c r="AD43" i="1" s="1"/>
  <c r="Q43" i="1"/>
  <c r="P10" i="1"/>
  <c r="Q10" i="1"/>
  <c r="AF6" i="18"/>
  <c r="S154" i="19" l="1"/>
  <c r="J54" i="19"/>
  <c r="M204" i="19"/>
  <c r="V254" i="19"/>
  <c r="J254" i="19"/>
  <c r="P104" i="19"/>
  <c r="AF148" i="1"/>
  <c r="S204" i="19"/>
  <c r="S54" i="19"/>
  <c r="S254" i="19"/>
  <c r="P204" i="19"/>
  <c r="S104" i="19"/>
  <c r="P154" i="19"/>
  <c r="V54" i="19"/>
  <c r="J204" i="19"/>
  <c r="J154" i="19"/>
  <c r="V204" i="19"/>
  <c r="M104" i="19"/>
  <c r="M154" i="19"/>
  <c r="M254" i="19"/>
  <c r="V154" i="19"/>
  <c r="P254" i="19"/>
  <c r="P54" i="19"/>
  <c r="J104" i="19"/>
  <c r="V104" i="19"/>
  <c r="M54" i="19"/>
  <c r="S99" i="19"/>
  <c r="J99" i="19"/>
  <c r="M149" i="19"/>
  <c r="S199" i="19"/>
  <c r="M249" i="19"/>
  <c r="M49" i="19"/>
  <c r="AF133" i="1"/>
  <c r="M99" i="19"/>
  <c r="J49" i="19"/>
  <c r="S49" i="19"/>
  <c r="J149" i="19"/>
  <c r="V149" i="19"/>
  <c r="P149" i="19"/>
  <c r="J199" i="19"/>
  <c r="P99" i="19"/>
  <c r="V99" i="19"/>
  <c r="P249" i="19"/>
  <c r="P199" i="19"/>
  <c r="V199" i="19"/>
  <c r="V249" i="19"/>
  <c r="S149" i="19"/>
  <c r="M199" i="19"/>
  <c r="V49" i="19"/>
  <c r="P49" i="19"/>
  <c r="S249" i="19"/>
  <c r="J249" i="19"/>
  <c r="S148" i="19"/>
  <c r="J48" i="19"/>
  <c r="M98" i="19"/>
  <c r="S48" i="19"/>
  <c r="J148" i="19"/>
  <c r="P198" i="19"/>
  <c r="J98" i="19"/>
  <c r="V48" i="19"/>
  <c r="V98" i="19"/>
  <c r="S198" i="19"/>
  <c r="P148" i="19"/>
  <c r="V148" i="19"/>
  <c r="S248" i="19"/>
  <c r="P48" i="19"/>
  <c r="J248" i="19"/>
  <c r="M198" i="19"/>
  <c r="AF130" i="1"/>
  <c r="S98" i="19"/>
  <c r="M48" i="19"/>
  <c r="J198" i="19"/>
  <c r="P98" i="19"/>
  <c r="V248" i="19"/>
  <c r="M148" i="19"/>
  <c r="P248" i="19"/>
  <c r="V198" i="19"/>
  <c r="M248" i="19"/>
  <c r="S146" i="19"/>
  <c r="M96" i="19"/>
  <c r="J146" i="19"/>
  <c r="V196" i="19"/>
  <c r="P96" i="19"/>
  <c r="V246" i="19"/>
  <c r="P46" i="19"/>
  <c r="S246" i="19"/>
  <c r="M46" i="19"/>
  <c r="V46" i="19"/>
  <c r="P146" i="19"/>
  <c r="P246" i="19"/>
  <c r="S96" i="19"/>
  <c r="M146" i="19"/>
  <c r="AF124" i="1"/>
  <c r="S196" i="19"/>
  <c r="M196" i="19"/>
  <c r="J46" i="19"/>
  <c r="V96" i="19"/>
  <c r="P196" i="19"/>
  <c r="J196" i="19"/>
  <c r="V146" i="19"/>
  <c r="M246" i="19"/>
  <c r="S46" i="19"/>
  <c r="J96" i="19"/>
  <c r="J246" i="19"/>
  <c r="AF127" i="1"/>
  <c r="V197" i="19"/>
  <c r="V147" i="19"/>
  <c r="P147" i="19"/>
  <c r="J197" i="19"/>
  <c r="S97" i="19"/>
  <c r="M147" i="19"/>
  <c r="M197" i="19"/>
  <c r="S247" i="19"/>
  <c r="M47" i="19"/>
  <c r="J247" i="19"/>
  <c r="S147" i="19"/>
  <c r="S197" i="19"/>
  <c r="P47" i="19"/>
  <c r="P97" i="19"/>
  <c r="P247" i="19"/>
  <c r="S47" i="19"/>
  <c r="M97" i="19"/>
  <c r="J47" i="19"/>
  <c r="V247" i="19"/>
  <c r="V47" i="19"/>
  <c r="J97" i="19"/>
  <c r="M247" i="19"/>
  <c r="V97" i="19"/>
  <c r="J147" i="19"/>
  <c r="P197" i="19"/>
  <c r="P88" i="19"/>
  <c r="V88" i="19"/>
  <c r="P238" i="19"/>
  <c r="M238" i="19"/>
  <c r="P38" i="19"/>
  <c r="P188" i="19"/>
  <c r="M88" i="19"/>
  <c r="S138" i="19"/>
  <c r="J38" i="19"/>
  <c r="V38" i="19"/>
  <c r="M38" i="19"/>
  <c r="M188" i="19"/>
  <c r="V138" i="19"/>
  <c r="S238" i="19"/>
  <c r="P138" i="19"/>
  <c r="S188" i="19"/>
  <c r="V188" i="19"/>
  <c r="V238" i="19"/>
  <c r="S88" i="19"/>
  <c r="J88" i="19"/>
  <c r="M138" i="19"/>
  <c r="J188" i="19"/>
  <c r="S38" i="19"/>
  <c r="J138" i="19"/>
  <c r="V125" i="19"/>
  <c r="P75" i="19"/>
  <c r="S225" i="19"/>
  <c r="V175" i="19"/>
  <c r="P25" i="19"/>
  <c r="V225" i="19"/>
  <c r="V25" i="19"/>
  <c r="P175" i="19"/>
  <c r="J175" i="19"/>
  <c r="V75" i="19"/>
  <c r="P125" i="19"/>
  <c r="P225" i="19"/>
  <c r="S75" i="19"/>
  <c r="M75" i="19"/>
  <c r="J75" i="19"/>
  <c r="S25" i="19"/>
  <c r="M25" i="19"/>
  <c r="J125" i="19"/>
  <c r="S175" i="19"/>
  <c r="M175" i="19"/>
  <c r="M225" i="19"/>
  <c r="S125" i="19"/>
  <c r="M125" i="19"/>
  <c r="J25" i="19"/>
  <c r="V95" i="19"/>
  <c r="P245" i="19"/>
  <c r="P95" i="19"/>
  <c r="V195" i="19"/>
  <c r="V245" i="19"/>
  <c r="S195" i="19"/>
  <c r="M245" i="19"/>
  <c r="J95" i="19"/>
  <c r="S145" i="19"/>
  <c r="J45" i="19"/>
  <c r="M95" i="19"/>
  <c r="S45" i="19"/>
  <c r="J145" i="19"/>
  <c r="P195" i="19"/>
  <c r="S95" i="19"/>
  <c r="M45" i="19"/>
  <c r="P145" i="19"/>
  <c r="V145" i="19"/>
  <c r="S245" i="19"/>
  <c r="P45" i="19"/>
  <c r="J245" i="19"/>
  <c r="M195" i="19"/>
  <c r="M145" i="19"/>
  <c r="V45" i="19"/>
  <c r="J195" i="19"/>
  <c r="V144" i="19"/>
  <c r="M94" i="19"/>
  <c r="V194" i="19"/>
  <c r="P44" i="19"/>
  <c r="V244" i="19"/>
  <c r="S194" i="19"/>
  <c r="J94" i="19"/>
  <c r="M144" i="19"/>
  <c r="M244" i="19"/>
  <c r="V44" i="19"/>
  <c r="M194" i="19"/>
  <c r="V94" i="19"/>
  <c r="P144" i="19"/>
  <c r="P244" i="19"/>
  <c r="P194" i="19"/>
  <c r="S94" i="19"/>
  <c r="J194" i="19"/>
  <c r="S44" i="19"/>
  <c r="M44" i="19"/>
  <c r="J144" i="19"/>
  <c r="S244" i="19"/>
  <c r="P94" i="19"/>
  <c r="S144" i="19"/>
  <c r="J44" i="19"/>
  <c r="V193" i="19"/>
  <c r="V243" i="19"/>
  <c r="P93" i="19"/>
  <c r="P193" i="19"/>
  <c r="P143" i="19"/>
  <c r="V43" i="19"/>
  <c r="M43" i="19"/>
  <c r="S143" i="19"/>
  <c r="J43" i="19"/>
  <c r="J193" i="19"/>
  <c r="S43" i="19"/>
  <c r="J143" i="19"/>
  <c r="M93" i="19"/>
  <c r="M243" i="19"/>
  <c r="M143" i="19"/>
  <c r="S193" i="19"/>
  <c r="J93" i="19"/>
  <c r="P43" i="19"/>
  <c r="V143" i="19"/>
  <c r="S243" i="19"/>
  <c r="V93" i="19"/>
  <c r="P243" i="19"/>
  <c r="M193" i="19"/>
  <c r="S93" i="19"/>
  <c r="V192" i="19"/>
  <c r="S42" i="19"/>
  <c r="P42" i="19"/>
  <c r="M42" i="19"/>
  <c r="V242" i="19"/>
  <c r="J142" i="19"/>
  <c r="V142" i="19"/>
  <c r="S92" i="19"/>
  <c r="P92" i="19"/>
  <c r="M92" i="19"/>
  <c r="S242" i="19"/>
  <c r="J92" i="19"/>
  <c r="V92" i="19"/>
  <c r="S142" i="19"/>
  <c r="P142" i="19"/>
  <c r="M142" i="19"/>
  <c r="P242" i="19"/>
  <c r="J42" i="19"/>
  <c r="V42" i="19"/>
  <c r="S192" i="19"/>
  <c r="P192" i="19"/>
  <c r="M192" i="19"/>
  <c r="J192" i="19"/>
  <c r="M242" i="19"/>
  <c r="V91" i="19"/>
  <c r="P241" i="19"/>
  <c r="S191" i="19"/>
  <c r="P91" i="19"/>
  <c r="S41" i="19"/>
  <c r="V41" i="19"/>
  <c r="S141" i="19"/>
  <c r="J41" i="19"/>
  <c r="M241" i="19"/>
  <c r="M91" i="19"/>
  <c r="P41" i="19"/>
  <c r="P191" i="19"/>
  <c r="M141" i="19"/>
  <c r="S91" i="19"/>
  <c r="J91" i="19"/>
  <c r="J191" i="19"/>
  <c r="P141" i="19"/>
  <c r="V191" i="19"/>
  <c r="V141" i="19"/>
  <c r="S241" i="19"/>
  <c r="M41" i="19"/>
  <c r="M191" i="19"/>
  <c r="V241" i="19"/>
  <c r="J141" i="19"/>
  <c r="V40" i="19"/>
  <c r="J190" i="19"/>
  <c r="J90" i="19"/>
  <c r="V190" i="19"/>
  <c r="V240" i="19"/>
  <c r="S240" i="19"/>
  <c r="S190" i="19"/>
  <c r="M240" i="19"/>
  <c r="V90" i="19"/>
  <c r="S40" i="19"/>
  <c r="J140" i="19"/>
  <c r="P140" i="19"/>
  <c r="M90" i="19"/>
  <c r="M40" i="19"/>
  <c r="P90" i="19"/>
  <c r="P190" i="19"/>
  <c r="S90" i="19"/>
  <c r="S140" i="19"/>
  <c r="P40" i="19"/>
  <c r="V140" i="19"/>
  <c r="P240" i="19"/>
  <c r="M190" i="19"/>
  <c r="M140" i="19"/>
  <c r="J40" i="19"/>
  <c r="V189" i="19"/>
  <c r="V239" i="19"/>
  <c r="M139" i="19"/>
  <c r="S239" i="19"/>
  <c r="M189" i="19"/>
  <c r="P239" i="19"/>
  <c r="J139" i="19"/>
  <c r="V39" i="19"/>
  <c r="P89" i="19"/>
  <c r="V139" i="19"/>
  <c r="S189" i="19"/>
  <c r="M89" i="19"/>
  <c r="S39" i="19"/>
  <c r="P39" i="19"/>
  <c r="M39" i="19"/>
  <c r="P139" i="19"/>
  <c r="S89" i="19"/>
  <c r="P189" i="19"/>
  <c r="S139" i="19"/>
  <c r="J89" i="19"/>
  <c r="J39" i="19"/>
  <c r="J189" i="19"/>
  <c r="V89" i="19"/>
  <c r="M239" i="19"/>
  <c r="P137" i="19"/>
  <c r="M187" i="19"/>
  <c r="M87" i="19"/>
  <c r="M237" i="19"/>
  <c r="M37" i="19"/>
  <c r="S187" i="19"/>
  <c r="M137" i="19"/>
  <c r="V137" i="19"/>
  <c r="S237" i="19"/>
  <c r="V187" i="19"/>
  <c r="V237" i="19"/>
  <c r="J187" i="19"/>
  <c r="V87" i="19"/>
  <c r="P237" i="19"/>
  <c r="S87" i="19"/>
  <c r="J87" i="19"/>
  <c r="S37" i="19"/>
  <c r="J137" i="19"/>
  <c r="S137" i="19"/>
  <c r="J37" i="19"/>
  <c r="P87" i="19"/>
  <c r="P187" i="19"/>
  <c r="P37" i="19"/>
  <c r="V37" i="19"/>
  <c r="V185" i="19"/>
  <c r="V235" i="19"/>
  <c r="P185" i="19"/>
  <c r="V85" i="19"/>
  <c r="P235" i="19"/>
  <c r="P85" i="19"/>
  <c r="S35" i="19"/>
  <c r="J135" i="19"/>
  <c r="M185" i="19"/>
  <c r="S135" i="19"/>
  <c r="J35" i="19"/>
  <c r="M85" i="19"/>
  <c r="P35" i="19"/>
  <c r="V35" i="19"/>
  <c r="J185" i="19"/>
  <c r="P135" i="19"/>
  <c r="V135" i="19"/>
  <c r="S235" i="19"/>
  <c r="M35" i="19"/>
  <c r="S185" i="19"/>
  <c r="M235" i="19"/>
  <c r="M135" i="19"/>
  <c r="S85" i="19"/>
  <c r="J85" i="19"/>
  <c r="V184" i="19"/>
  <c r="S84" i="19"/>
  <c r="M84" i="19"/>
  <c r="S34" i="19"/>
  <c r="M34" i="19"/>
  <c r="P234" i="19"/>
  <c r="V134" i="19"/>
  <c r="S134" i="19"/>
  <c r="M134" i="19"/>
  <c r="S184" i="19"/>
  <c r="M184" i="19"/>
  <c r="J184" i="19"/>
  <c r="V84" i="19"/>
  <c r="P134" i="19"/>
  <c r="J134" i="19"/>
  <c r="P34" i="19"/>
  <c r="V234" i="19"/>
  <c r="J84" i="19"/>
  <c r="J34" i="19"/>
  <c r="V34" i="19"/>
  <c r="P184" i="19"/>
  <c r="M234" i="19"/>
  <c r="P84" i="19"/>
  <c r="S234" i="19"/>
  <c r="V83" i="19"/>
  <c r="P233" i="19"/>
  <c r="J183" i="19"/>
  <c r="V183" i="19"/>
  <c r="V233" i="19"/>
  <c r="S233" i="19"/>
  <c r="S133" i="19"/>
  <c r="J33" i="19"/>
  <c r="M233" i="19"/>
  <c r="S33" i="19"/>
  <c r="J133" i="19"/>
  <c r="V133" i="19"/>
  <c r="P133" i="19"/>
  <c r="S183" i="19"/>
  <c r="V33" i="19"/>
  <c r="P33" i="19"/>
  <c r="P83" i="19"/>
  <c r="S83" i="19"/>
  <c r="J83" i="19"/>
  <c r="M133" i="19"/>
  <c r="M183" i="19"/>
  <c r="P183" i="19"/>
  <c r="M33" i="19"/>
  <c r="M83" i="19"/>
  <c r="V182" i="19"/>
  <c r="S32" i="19"/>
  <c r="P32" i="19"/>
  <c r="M32" i="19"/>
  <c r="V232" i="19"/>
  <c r="J132" i="19"/>
  <c r="V132" i="19"/>
  <c r="M82" i="19"/>
  <c r="J82" i="19"/>
  <c r="S132" i="19"/>
  <c r="M132" i="19"/>
  <c r="P232" i="19"/>
  <c r="V32" i="19"/>
  <c r="S182" i="19"/>
  <c r="P182" i="19"/>
  <c r="M182" i="19"/>
  <c r="J182" i="19"/>
  <c r="M232" i="19"/>
  <c r="S82" i="19"/>
  <c r="P82" i="19"/>
  <c r="S232" i="19"/>
  <c r="V82" i="19"/>
  <c r="P132" i="19"/>
  <c r="J32" i="19"/>
  <c r="V181" i="19"/>
  <c r="S31" i="19"/>
  <c r="P31" i="19"/>
  <c r="S81" i="19"/>
  <c r="V81" i="19"/>
  <c r="P231" i="19"/>
  <c r="V31" i="19"/>
  <c r="J181" i="19"/>
  <c r="M81" i="19"/>
  <c r="P131" i="19"/>
  <c r="P181" i="19"/>
  <c r="J131" i="19"/>
  <c r="M131" i="19"/>
  <c r="M181" i="19"/>
  <c r="M31" i="19"/>
  <c r="P81" i="19"/>
  <c r="S131" i="19"/>
  <c r="J31" i="19"/>
  <c r="S181" i="19"/>
  <c r="M231" i="19"/>
  <c r="V231" i="19"/>
  <c r="S231" i="19"/>
  <c r="V131" i="19"/>
  <c r="J81" i="19"/>
  <c r="V130" i="19"/>
  <c r="V30" i="19"/>
  <c r="S80" i="19"/>
  <c r="M80" i="19"/>
  <c r="J80" i="19"/>
  <c r="S30" i="19"/>
  <c r="M30" i="19"/>
  <c r="J130" i="19"/>
  <c r="M180" i="19"/>
  <c r="M230" i="19"/>
  <c r="S130" i="19"/>
  <c r="M130" i="19"/>
  <c r="J30" i="19"/>
  <c r="P80" i="19"/>
  <c r="S230" i="19"/>
  <c r="V180" i="19"/>
  <c r="P30" i="19"/>
  <c r="V230" i="19"/>
  <c r="P180" i="19"/>
  <c r="J180" i="19"/>
  <c r="V80" i="19"/>
  <c r="P130" i="19"/>
  <c r="P230" i="19"/>
  <c r="S180" i="19"/>
  <c r="V79" i="19"/>
  <c r="P229" i="19"/>
  <c r="P179" i="19"/>
  <c r="V179" i="19"/>
  <c r="V229" i="19"/>
  <c r="P79" i="19"/>
  <c r="S129" i="19"/>
  <c r="J29" i="19"/>
  <c r="M179" i="19"/>
  <c r="S29" i="19"/>
  <c r="J129" i="19"/>
  <c r="M79" i="19"/>
  <c r="P129" i="19"/>
  <c r="V29" i="19"/>
  <c r="J179" i="19"/>
  <c r="P29" i="19"/>
  <c r="V129" i="19"/>
  <c r="S229" i="19"/>
  <c r="M129" i="19"/>
  <c r="S179" i="19"/>
  <c r="M229" i="19"/>
  <c r="M29" i="19"/>
  <c r="S79" i="19"/>
  <c r="J79" i="19"/>
  <c r="S128" i="19"/>
  <c r="M128" i="19"/>
  <c r="J28" i="19"/>
  <c r="S78" i="19"/>
  <c r="M78" i="19"/>
  <c r="J78" i="19"/>
  <c r="P128" i="19"/>
  <c r="P228" i="19"/>
  <c r="P78" i="19"/>
  <c r="M28" i="19"/>
  <c r="V28" i="19"/>
  <c r="J178" i="19"/>
  <c r="P28" i="19"/>
  <c r="V228" i="19"/>
  <c r="V178" i="19"/>
  <c r="S178" i="19"/>
  <c r="M178" i="19"/>
  <c r="M228" i="19"/>
  <c r="V78" i="19"/>
  <c r="V128" i="19"/>
  <c r="S228" i="19"/>
  <c r="S28" i="19"/>
  <c r="J128" i="19"/>
  <c r="P178" i="19"/>
  <c r="V127" i="19"/>
  <c r="S77" i="19"/>
  <c r="P77" i="19"/>
  <c r="M77" i="19"/>
  <c r="S227" i="19"/>
  <c r="J77" i="19"/>
  <c r="V77" i="19"/>
  <c r="S127" i="19"/>
  <c r="P127" i="19"/>
  <c r="M127" i="19"/>
  <c r="P227" i="19"/>
  <c r="J27" i="19"/>
  <c r="V27" i="19"/>
  <c r="S177" i="19"/>
  <c r="P177" i="19"/>
  <c r="M177" i="19"/>
  <c r="J177" i="19"/>
  <c r="M227" i="19"/>
  <c r="V177" i="19"/>
  <c r="S27" i="19"/>
  <c r="P27" i="19"/>
  <c r="M27" i="19"/>
  <c r="V227" i="19"/>
  <c r="J127" i="19"/>
  <c r="V126" i="19"/>
  <c r="S226" i="19"/>
  <c r="P126" i="19"/>
  <c r="V26" i="19"/>
  <c r="J176" i="19"/>
  <c r="P26" i="19"/>
  <c r="V76" i="19"/>
  <c r="P176" i="19"/>
  <c r="V226" i="19"/>
  <c r="S126" i="19"/>
  <c r="M176" i="19"/>
  <c r="J126" i="19"/>
  <c r="S76" i="19"/>
  <c r="J76" i="19"/>
  <c r="M126" i="19"/>
  <c r="S176" i="19"/>
  <c r="M226" i="19"/>
  <c r="M26" i="19"/>
  <c r="P76" i="19"/>
  <c r="P226" i="19"/>
  <c r="V176" i="19"/>
  <c r="M76" i="19"/>
  <c r="J26" i="19"/>
  <c r="S26" i="19"/>
  <c r="V173" i="19"/>
  <c r="S23" i="19"/>
  <c r="P23" i="19"/>
  <c r="M23" i="19"/>
  <c r="V223" i="19"/>
  <c r="J123" i="19"/>
  <c r="S123" i="19"/>
  <c r="P123" i="19"/>
  <c r="J23" i="19"/>
  <c r="S173" i="19"/>
  <c r="M173" i="19"/>
  <c r="M223" i="19"/>
  <c r="V123" i="19"/>
  <c r="S73" i="19"/>
  <c r="P73" i="19"/>
  <c r="M73" i="19"/>
  <c r="S223" i="19"/>
  <c r="J73" i="19"/>
  <c r="V73" i="19"/>
  <c r="M123" i="19"/>
  <c r="P223" i="19"/>
  <c r="V23" i="19"/>
  <c r="P173" i="19"/>
  <c r="J173" i="19"/>
  <c r="V122" i="19"/>
  <c r="M122" i="19"/>
  <c r="V222" i="19"/>
  <c r="V22" i="19"/>
  <c r="J172" i="19"/>
  <c r="P72" i="19"/>
  <c r="J22" i="19"/>
  <c r="P172" i="19"/>
  <c r="J72" i="19"/>
  <c r="P22" i="19"/>
  <c r="M172" i="19"/>
  <c r="V172" i="19"/>
  <c r="V72" i="19"/>
  <c r="P222" i="19"/>
  <c r="J122" i="19"/>
  <c r="S172" i="19"/>
  <c r="M222" i="19"/>
  <c r="M72" i="19"/>
  <c r="S122" i="19"/>
  <c r="S72" i="19"/>
  <c r="S22" i="19"/>
  <c r="P122" i="19"/>
  <c r="S222" i="19"/>
  <c r="M22" i="19"/>
  <c r="V121" i="19"/>
  <c r="P71" i="19"/>
  <c r="S221" i="19"/>
  <c r="V171" i="19"/>
  <c r="P21" i="19"/>
  <c r="V221" i="19"/>
  <c r="J171" i="19"/>
  <c r="P221" i="19"/>
  <c r="S71" i="19"/>
  <c r="J71" i="19"/>
  <c r="M21" i="19"/>
  <c r="S171" i="19"/>
  <c r="S121" i="19"/>
  <c r="J21" i="19"/>
  <c r="V21" i="19"/>
  <c r="P171" i="19"/>
  <c r="V71" i="19"/>
  <c r="P121" i="19"/>
  <c r="M71" i="19"/>
  <c r="S21" i="19"/>
  <c r="J121" i="19"/>
  <c r="M171" i="19"/>
  <c r="M221" i="19"/>
  <c r="M121" i="19"/>
  <c r="V20" i="19"/>
  <c r="P170" i="19"/>
  <c r="S220" i="19"/>
  <c r="V70" i="19"/>
  <c r="P70" i="19"/>
  <c r="J170" i="19"/>
  <c r="S70" i="19"/>
  <c r="M70" i="19"/>
  <c r="J120" i="19"/>
  <c r="S20" i="19"/>
  <c r="M20" i="19"/>
  <c r="J70" i="19"/>
  <c r="S170" i="19"/>
  <c r="M170" i="19"/>
  <c r="V170" i="19"/>
  <c r="S120" i="19"/>
  <c r="M120" i="19"/>
  <c r="J20" i="19"/>
  <c r="P120" i="19"/>
  <c r="V220" i="19"/>
  <c r="V120" i="19"/>
  <c r="P20" i="19"/>
  <c r="P220" i="19"/>
  <c r="M220" i="19"/>
  <c r="V169" i="19"/>
  <c r="V219" i="19"/>
  <c r="P69" i="19"/>
  <c r="V69" i="19"/>
  <c r="P219" i="19"/>
  <c r="P169" i="19"/>
  <c r="S19" i="19"/>
  <c r="J119" i="19"/>
  <c r="M69" i="19"/>
  <c r="S119" i="19"/>
  <c r="J19" i="19"/>
  <c r="M169" i="19"/>
  <c r="P19" i="19"/>
  <c r="V119" i="19"/>
  <c r="S219" i="19"/>
  <c r="P119" i="19"/>
  <c r="V19" i="19"/>
  <c r="J169" i="19"/>
  <c r="M19" i="19"/>
  <c r="S69" i="19"/>
  <c r="J69" i="19"/>
  <c r="M119" i="19"/>
  <c r="S169" i="19"/>
  <c r="M219" i="19"/>
  <c r="S68" i="19"/>
  <c r="M68" i="19"/>
  <c r="J68" i="19"/>
  <c r="S18" i="19"/>
  <c r="M18" i="19"/>
  <c r="J118" i="19"/>
  <c r="P68" i="19"/>
  <c r="S218" i="19"/>
  <c r="P18" i="19"/>
  <c r="P168" i="19"/>
  <c r="J168" i="19"/>
  <c r="P118" i="19"/>
  <c r="S168" i="19"/>
  <c r="M168" i="19"/>
  <c r="M218" i="19"/>
  <c r="S118" i="19"/>
  <c r="M118" i="19"/>
  <c r="J18" i="19"/>
  <c r="V118" i="19"/>
  <c r="V168" i="19"/>
  <c r="V218" i="19"/>
  <c r="V18" i="19"/>
  <c r="V68" i="19"/>
  <c r="P218" i="19"/>
  <c r="S117" i="19"/>
  <c r="J17" i="19"/>
  <c r="M67" i="19"/>
  <c r="P167" i="19"/>
  <c r="S17" i="19"/>
  <c r="J117" i="19"/>
  <c r="P117" i="19"/>
  <c r="V117" i="19"/>
  <c r="S217" i="19"/>
  <c r="J167" i="19"/>
  <c r="P17" i="19"/>
  <c r="V17" i="19"/>
  <c r="M117" i="19"/>
  <c r="S67" i="19"/>
  <c r="J67" i="19"/>
  <c r="M217" i="19"/>
  <c r="M17" i="19"/>
  <c r="M167" i="19"/>
  <c r="V67" i="19"/>
  <c r="P217" i="19"/>
  <c r="P67" i="19"/>
  <c r="S167" i="19"/>
  <c r="V167" i="19"/>
  <c r="V217" i="19"/>
  <c r="V166" i="19"/>
  <c r="V116" i="19"/>
  <c r="V66" i="19"/>
  <c r="V16" i="19"/>
  <c r="S16" i="19"/>
  <c r="S66" i="19"/>
  <c r="S116" i="19"/>
  <c r="S166" i="19"/>
  <c r="P16" i="19"/>
  <c r="P66" i="19"/>
  <c r="P116" i="19"/>
  <c r="P166" i="19"/>
  <c r="M16" i="19"/>
  <c r="M66" i="19"/>
  <c r="M116" i="19"/>
  <c r="M166" i="19"/>
  <c r="V216" i="19"/>
  <c r="S216" i="19"/>
  <c r="P216" i="19"/>
  <c r="J166" i="19"/>
  <c r="J116" i="19"/>
  <c r="J66" i="19"/>
  <c r="J16" i="19"/>
  <c r="M216" i="19"/>
  <c r="V165" i="19"/>
  <c r="M15" i="19"/>
  <c r="J15" i="19"/>
  <c r="S165" i="19"/>
  <c r="M165" i="19"/>
  <c r="M215" i="19"/>
  <c r="J115" i="19"/>
  <c r="J65" i="19"/>
  <c r="V65" i="19"/>
  <c r="M115" i="19"/>
  <c r="V115" i="19"/>
  <c r="P65" i="19"/>
  <c r="S215" i="19"/>
  <c r="P15" i="19"/>
  <c r="S65" i="19"/>
  <c r="S15" i="19"/>
  <c r="V215" i="19"/>
  <c r="V15" i="19"/>
  <c r="P165" i="19"/>
  <c r="J165" i="19"/>
  <c r="P115" i="19"/>
  <c r="S115" i="19"/>
  <c r="M65" i="19"/>
  <c r="P215" i="19"/>
  <c r="J14" i="19"/>
  <c r="V114" i="19"/>
  <c r="S64" i="19"/>
  <c r="P64" i="19"/>
  <c r="M64" i="19"/>
  <c r="S214" i="19"/>
  <c r="J64" i="19"/>
  <c r="V64" i="19"/>
  <c r="S114" i="19"/>
  <c r="P114" i="19"/>
  <c r="M114" i="19"/>
  <c r="P214" i="19"/>
  <c r="M214" i="19"/>
  <c r="V14" i="19"/>
  <c r="S164" i="19"/>
  <c r="P164" i="19"/>
  <c r="M164" i="19"/>
  <c r="J164" i="19"/>
  <c r="V164" i="19"/>
  <c r="S14" i="19"/>
  <c r="P14" i="19"/>
  <c r="M14" i="19"/>
  <c r="V214" i="19"/>
  <c r="J114" i="19"/>
  <c r="V63" i="19"/>
  <c r="P213" i="19"/>
  <c r="M163" i="19"/>
  <c r="V163" i="19"/>
  <c r="V213" i="19"/>
  <c r="S63" i="19"/>
  <c r="V13" i="19"/>
  <c r="S113" i="19"/>
  <c r="J13" i="19"/>
  <c r="J163" i="19"/>
  <c r="S13" i="19"/>
  <c r="J113" i="19"/>
  <c r="P63" i="19"/>
  <c r="P163" i="19"/>
  <c r="M13" i="19"/>
  <c r="V113" i="19"/>
  <c r="P113" i="19"/>
  <c r="S163" i="19"/>
  <c r="M213" i="19"/>
  <c r="P13" i="19"/>
  <c r="J63" i="19"/>
  <c r="M63" i="19"/>
  <c r="M113" i="19"/>
  <c r="S213" i="19"/>
  <c r="P111" i="19"/>
  <c r="M111" i="19"/>
  <c r="M11" i="19"/>
  <c r="S161" i="19"/>
  <c r="M211" i="19"/>
  <c r="M61" i="19"/>
  <c r="S11" i="19"/>
  <c r="V61" i="19"/>
  <c r="P211" i="19"/>
  <c r="V211" i="19"/>
  <c r="P161" i="19"/>
  <c r="V111" i="19"/>
  <c r="S211" i="19"/>
  <c r="S111" i="19"/>
  <c r="J11" i="19"/>
  <c r="J111" i="19"/>
  <c r="M161" i="19"/>
  <c r="S61" i="19"/>
  <c r="J61" i="19"/>
  <c r="P11" i="19"/>
  <c r="V11" i="19"/>
  <c r="J161" i="19"/>
  <c r="P61" i="19"/>
  <c r="V161" i="19"/>
  <c r="V160" i="19"/>
  <c r="S10" i="19"/>
  <c r="P10" i="19"/>
  <c r="M10" i="19"/>
  <c r="V210" i="19"/>
  <c r="J110" i="19"/>
  <c r="V110" i="19"/>
  <c r="S60" i="19"/>
  <c r="P60" i="19"/>
  <c r="M60" i="19"/>
  <c r="S210" i="19"/>
  <c r="J60" i="19"/>
  <c r="V60" i="19"/>
  <c r="S110" i="19"/>
  <c r="P110" i="19"/>
  <c r="M110" i="19"/>
  <c r="P210" i="19"/>
  <c r="J10" i="19"/>
  <c r="V10" i="19"/>
  <c r="S160" i="19"/>
  <c r="P160" i="19"/>
  <c r="M160" i="19"/>
  <c r="J160" i="19"/>
  <c r="M210" i="19"/>
  <c r="J216" i="19"/>
  <c r="AF37" i="1"/>
  <c r="J225" i="19"/>
  <c r="AF61" i="1"/>
  <c r="J239" i="19"/>
  <c r="AF103" i="1"/>
  <c r="AE15" i="1"/>
  <c r="AD15" i="1" s="1"/>
  <c r="AE14" i="1"/>
  <c r="AD14" i="1" s="1"/>
  <c r="AE13" i="1"/>
  <c r="AD13" i="1" s="1"/>
  <c r="J213" i="19"/>
  <c r="AF28" i="1"/>
  <c r="J232" i="19"/>
  <c r="AF82" i="1"/>
  <c r="J215" i="19"/>
  <c r="AF34" i="1"/>
  <c r="J217" i="19"/>
  <c r="AF40" i="1"/>
  <c r="AF91" i="1"/>
  <c r="J235" i="19"/>
  <c r="J228" i="19"/>
  <c r="AF70" i="1"/>
  <c r="J226" i="19"/>
  <c r="AF64" i="1"/>
  <c r="AF106" i="1"/>
  <c r="J240" i="19"/>
  <c r="J214" i="19"/>
  <c r="AF31" i="1"/>
  <c r="AF100" i="1"/>
  <c r="J238" i="19"/>
  <c r="J243" i="19"/>
  <c r="AF115" i="1"/>
  <c r="AF55" i="1"/>
  <c r="J223" i="19"/>
  <c r="J220" i="19"/>
  <c r="AF46" i="1"/>
  <c r="J211" i="19"/>
  <c r="AF22" i="1"/>
  <c r="J233" i="19"/>
  <c r="AF85" i="1"/>
  <c r="J231" i="19"/>
  <c r="AF79" i="1"/>
  <c r="AE12" i="1"/>
  <c r="AD12" i="1" s="1"/>
  <c r="AE11" i="1"/>
  <c r="AD11" i="1" s="1"/>
  <c r="AE10" i="1"/>
  <c r="AD10" i="1" s="1"/>
  <c r="J218" i="19"/>
  <c r="AF43" i="1"/>
  <c r="J210" i="19"/>
  <c r="AF19" i="1"/>
  <c r="J244" i="19"/>
  <c r="AF118" i="1"/>
  <c r="AF121" i="1"/>
  <c r="J219" i="19"/>
  <c r="AF97" i="1"/>
  <c r="J237" i="19"/>
  <c r="J227" i="19"/>
  <c r="AF67" i="1"/>
  <c r="AF76" i="1"/>
  <c r="J230" i="19"/>
  <c r="J241" i="19"/>
  <c r="AF109" i="1"/>
  <c r="AE17" i="1"/>
  <c r="AD17" i="1" s="1"/>
  <c r="AE18" i="1"/>
  <c r="AD18" i="1" s="1"/>
  <c r="AF73" i="1"/>
  <c r="J229" i="19"/>
  <c r="AF49" i="1"/>
  <c r="J221" i="19"/>
  <c r="J234" i="19"/>
  <c r="AF88" i="1"/>
  <c r="J242" i="19"/>
  <c r="AF112" i="1"/>
  <c r="J222" i="19"/>
  <c r="AF52" i="1"/>
  <c r="W10" i="1"/>
  <c r="AA10" i="1" s="1"/>
  <c r="W13" i="1"/>
  <c r="AA13" i="1" s="1"/>
  <c r="W16" i="1"/>
  <c r="AA16" i="1" s="1"/>
  <c r="W7" i="19" l="1"/>
  <c r="K157" i="19"/>
  <c r="Q7" i="19"/>
  <c r="W107" i="19"/>
  <c r="T207" i="19"/>
  <c r="Q107" i="19"/>
  <c r="T157" i="19"/>
  <c r="N207" i="19"/>
  <c r="N7" i="19"/>
  <c r="T57" i="19"/>
  <c r="K57" i="19"/>
  <c r="N107" i="19"/>
  <c r="Q157" i="19"/>
  <c r="W157" i="19"/>
  <c r="W207" i="19"/>
  <c r="Q57" i="19"/>
  <c r="W57" i="19"/>
  <c r="Q207" i="19"/>
  <c r="N157" i="19"/>
  <c r="T7" i="19"/>
  <c r="K107" i="19"/>
  <c r="N57" i="19"/>
  <c r="T107" i="19"/>
  <c r="K7" i="19"/>
  <c r="U158" i="19"/>
  <c r="O158" i="19"/>
  <c r="X158" i="19"/>
  <c r="R8" i="19"/>
  <c r="X208" i="19"/>
  <c r="O208" i="19"/>
  <c r="X108" i="19"/>
  <c r="R58" i="19"/>
  <c r="U208" i="19"/>
  <c r="X58" i="19"/>
  <c r="R108" i="19"/>
  <c r="R208" i="19"/>
  <c r="X8" i="19"/>
  <c r="R158" i="19"/>
  <c r="L158" i="19"/>
  <c r="U8" i="19"/>
  <c r="O8" i="19"/>
  <c r="L108" i="19"/>
  <c r="U58" i="19"/>
  <c r="O58" i="19"/>
  <c r="L58" i="19"/>
  <c r="U108" i="19"/>
  <c r="O108" i="19"/>
  <c r="L8" i="19"/>
  <c r="X157" i="19"/>
  <c r="X207" i="19"/>
  <c r="R57" i="19"/>
  <c r="X57" i="19"/>
  <c r="R207" i="19"/>
  <c r="R157" i="19"/>
  <c r="U7" i="19"/>
  <c r="L107" i="19"/>
  <c r="O57" i="19"/>
  <c r="U107" i="19"/>
  <c r="L7" i="19"/>
  <c r="O157" i="19"/>
  <c r="R7" i="19"/>
  <c r="X107" i="19"/>
  <c r="U207" i="19"/>
  <c r="R107" i="19"/>
  <c r="X7" i="19"/>
  <c r="L157" i="19"/>
  <c r="O7" i="19"/>
  <c r="U57" i="19"/>
  <c r="L57" i="19"/>
  <c r="O107" i="19"/>
  <c r="U157" i="19"/>
  <c r="O207" i="19"/>
  <c r="T108" i="19"/>
  <c r="N108" i="19"/>
  <c r="K8" i="19"/>
  <c r="N58" i="19"/>
  <c r="T58" i="19"/>
  <c r="N208" i="19"/>
  <c r="W158" i="19"/>
  <c r="Q8" i="19"/>
  <c r="W208" i="19"/>
  <c r="W8" i="19"/>
  <c r="N158" i="19"/>
  <c r="Q158" i="19"/>
  <c r="W58" i="19"/>
  <c r="Q108" i="19"/>
  <c r="Q208" i="19"/>
  <c r="T158" i="19"/>
  <c r="K58" i="19"/>
  <c r="T208" i="19"/>
  <c r="T8" i="19"/>
  <c r="N8" i="19"/>
  <c r="K108" i="19"/>
  <c r="Q58" i="19"/>
  <c r="W108" i="19"/>
  <c r="K158" i="19"/>
  <c r="W109" i="19"/>
  <c r="T209" i="19"/>
  <c r="Q9" i="19"/>
  <c r="W9" i="19"/>
  <c r="K159" i="19"/>
  <c r="Q109" i="19"/>
  <c r="T59" i="19"/>
  <c r="K59" i="19"/>
  <c r="N9" i="19"/>
  <c r="T159" i="19"/>
  <c r="N209" i="19"/>
  <c r="N109" i="19"/>
  <c r="Q59" i="19"/>
  <c r="W159" i="19"/>
  <c r="W209" i="19"/>
  <c r="Q159" i="19"/>
  <c r="W59" i="19"/>
  <c r="Q209" i="19"/>
  <c r="N59" i="19"/>
  <c r="T9" i="19"/>
  <c r="K109" i="19"/>
  <c r="N159" i="19"/>
  <c r="T109" i="19"/>
  <c r="K9" i="19"/>
  <c r="X159" i="19"/>
  <c r="X209" i="19"/>
  <c r="R159" i="19"/>
  <c r="X59" i="19"/>
  <c r="U9" i="19"/>
  <c r="L109" i="19"/>
  <c r="O159" i="19"/>
  <c r="U109" i="19"/>
  <c r="L9" i="19"/>
  <c r="O59" i="19"/>
  <c r="R9" i="19"/>
  <c r="X9" i="19"/>
  <c r="L159" i="19"/>
  <c r="R109" i="19"/>
  <c r="X109" i="19"/>
  <c r="U209" i="19"/>
  <c r="R59" i="19"/>
  <c r="O9" i="19"/>
  <c r="U159" i="19"/>
  <c r="O209" i="19"/>
  <c r="O109" i="19"/>
  <c r="U59" i="19"/>
  <c r="L59" i="19"/>
  <c r="R209" i="19"/>
  <c r="AF14" i="1"/>
  <c r="K208" i="19"/>
  <c r="L208" i="19"/>
  <c r="AF15" i="1"/>
  <c r="K209" i="19"/>
  <c r="AF17" i="1"/>
  <c r="L209" i="19"/>
  <c r="AF18" i="1"/>
  <c r="AF11" i="1"/>
  <c r="K207" i="19"/>
  <c r="AF12" i="1"/>
  <c r="L207" i="19"/>
  <c r="AB7" i="1"/>
  <c r="AC7" i="1" l="1"/>
  <c r="AB10" i="1" l="1"/>
  <c r="V57" i="19" l="1"/>
  <c r="S107" i="19"/>
  <c r="P107" i="19"/>
  <c r="M107" i="19"/>
  <c r="P207" i="19"/>
  <c r="J7" i="19"/>
  <c r="V7" i="19"/>
  <c r="S157" i="19"/>
  <c r="P157" i="19"/>
  <c r="M157" i="19"/>
  <c r="J157" i="19"/>
  <c r="M207" i="19"/>
  <c r="V157" i="19"/>
  <c r="S7" i="19"/>
  <c r="P7" i="19"/>
  <c r="M7" i="19"/>
  <c r="V207" i="19"/>
  <c r="J107" i="19"/>
  <c r="V107" i="19"/>
  <c r="S57" i="19"/>
  <c r="P57" i="19"/>
  <c r="M57" i="19"/>
  <c r="S207" i="19"/>
  <c r="J57" i="19"/>
  <c r="J207" i="19"/>
  <c r="AF10" i="1"/>
  <c r="AC10" i="1"/>
  <c r="AB13" i="1" s="1"/>
  <c r="V58" i="19" l="1"/>
  <c r="S8" i="19"/>
  <c r="S108" i="19"/>
  <c r="P8" i="19"/>
  <c r="P108" i="19"/>
  <c r="M8" i="19"/>
  <c r="M108" i="19"/>
  <c r="V208" i="19"/>
  <c r="P208" i="19"/>
  <c r="J108" i="19"/>
  <c r="J8" i="19"/>
  <c r="V158" i="19"/>
  <c r="V108" i="19"/>
  <c r="V8" i="19"/>
  <c r="S58" i="19"/>
  <c r="S158" i="19"/>
  <c r="P58" i="19"/>
  <c r="P158" i="19"/>
  <c r="M58" i="19"/>
  <c r="M158" i="19"/>
  <c r="S208" i="19"/>
  <c r="J158" i="19"/>
  <c r="J58" i="19"/>
  <c r="M208" i="19"/>
  <c r="J208" i="19"/>
  <c r="AF13" i="1"/>
  <c r="AC13" i="1"/>
  <c r="AC16" i="1" l="1"/>
  <c r="AB16" i="1" l="1"/>
  <c r="V59" i="19" l="1"/>
  <c r="S109" i="19"/>
  <c r="P109" i="19"/>
  <c r="M109" i="19"/>
  <c r="P209" i="19"/>
  <c r="J9" i="19"/>
  <c r="V109" i="19"/>
  <c r="S59" i="19"/>
  <c r="P59" i="19"/>
  <c r="M59" i="19"/>
  <c r="S209" i="19"/>
  <c r="J59" i="19"/>
  <c r="V159" i="19"/>
  <c r="S9" i="19"/>
  <c r="P9" i="19"/>
  <c r="M9" i="19"/>
  <c r="V209" i="19"/>
  <c r="J109" i="19"/>
  <c r="V9" i="19"/>
  <c r="S159" i="19"/>
  <c r="P159" i="19"/>
  <c r="M159" i="19"/>
  <c r="J159" i="19"/>
  <c r="M209" i="19"/>
  <c r="J209" i="19"/>
  <c r="AF16" i="1"/>
  <c r="N7" i="1"/>
  <c r="O7" i="1" s="1"/>
  <c r="J26" i="18" l="1"/>
  <c r="AX26" i="18"/>
  <c r="J46" i="18"/>
  <c r="T46" i="18"/>
  <c r="AD46" i="18"/>
  <c r="AX46" i="18"/>
  <c r="J66" i="18"/>
  <c r="T66" i="18"/>
  <c r="AD66" i="18"/>
  <c r="AX66" i="18"/>
  <c r="AN66" i="18"/>
  <c r="AN6" i="18"/>
  <c r="AD26" i="18"/>
  <c r="J6" i="18"/>
  <c r="AN46" i="18"/>
  <c r="J86" i="18"/>
  <c r="T86" i="18"/>
  <c r="AD86" i="18"/>
  <c r="AX86" i="18"/>
  <c r="AX6" i="18"/>
  <c r="T6" i="18"/>
  <c r="T26" i="18"/>
  <c r="AN26" i="18"/>
  <c r="AN86" i="18"/>
  <c r="AH10" i="18"/>
  <c r="AF8" i="18"/>
  <c r="AL14" i="18"/>
  <c r="AJ12" i="18"/>
  <c r="AD6" i="18"/>
  <c r="AE58" i="1"/>
  <c r="AD58" i="1" s="1"/>
  <c r="AE94" i="1"/>
  <c r="AD94" i="1" s="1"/>
  <c r="AE25" i="1"/>
  <c r="AD25" i="1" s="1"/>
  <c r="P7" i="1"/>
  <c r="Q7" i="1"/>
  <c r="V124" i="19" l="1"/>
  <c r="S224" i="19"/>
  <c r="P174" i="19"/>
  <c r="V74" i="19"/>
  <c r="P224" i="19"/>
  <c r="P24" i="19"/>
  <c r="J24" i="19"/>
  <c r="V224" i="19"/>
  <c r="M124" i="19"/>
  <c r="S74" i="19"/>
  <c r="J74" i="19"/>
  <c r="M174" i="19"/>
  <c r="S124" i="19"/>
  <c r="M24" i="19"/>
  <c r="P74" i="19"/>
  <c r="V24" i="19"/>
  <c r="J174" i="19"/>
  <c r="P124" i="19"/>
  <c r="V174" i="19"/>
  <c r="M224" i="19"/>
  <c r="J124" i="19"/>
  <c r="M74" i="19"/>
  <c r="S174" i="19"/>
  <c r="S24" i="19"/>
  <c r="V36" i="19"/>
  <c r="S186" i="19"/>
  <c r="M236" i="19"/>
  <c r="M36" i="19"/>
  <c r="S86" i="19"/>
  <c r="J86" i="19"/>
  <c r="M136" i="19"/>
  <c r="S36" i="19"/>
  <c r="J136" i="19"/>
  <c r="S136" i="19"/>
  <c r="P36" i="19"/>
  <c r="V136" i="19"/>
  <c r="P136" i="19"/>
  <c r="P186" i="19"/>
  <c r="V186" i="19"/>
  <c r="V236" i="19"/>
  <c r="P86" i="19"/>
  <c r="V86" i="19"/>
  <c r="P236" i="19"/>
  <c r="M186" i="19"/>
  <c r="M86" i="19"/>
  <c r="J36" i="19"/>
  <c r="J186" i="19"/>
  <c r="S236" i="19"/>
  <c r="V112" i="19"/>
  <c r="J62" i="19"/>
  <c r="S12" i="19"/>
  <c r="M12" i="19"/>
  <c r="J112" i="19"/>
  <c r="P162" i="19"/>
  <c r="P112" i="19"/>
  <c r="J162" i="19"/>
  <c r="S162" i="19"/>
  <c r="M212" i="19"/>
  <c r="S112" i="19"/>
  <c r="M112" i="19"/>
  <c r="J12" i="19"/>
  <c r="M62" i="19"/>
  <c r="S212" i="19"/>
  <c r="V62" i="19"/>
  <c r="P212" i="19"/>
  <c r="S62" i="19"/>
  <c r="P62" i="19"/>
  <c r="V162" i="19"/>
  <c r="P12" i="19"/>
  <c r="V212" i="19"/>
  <c r="V12" i="19"/>
  <c r="M162" i="19"/>
  <c r="J212" i="19"/>
  <c r="J224" i="19"/>
  <c r="J236" i="19"/>
  <c r="AF94" i="1"/>
  <c r="AF25" i="1"/>
  <c r="AF58" i="1"/>
  <c r="AE7" i="1"/>
  <c r="AD7" i="1" s="1"/>
  <c r="AE9" i="1"/>
  <c r="AD9" i="1" s="1"/>
  <c r="AE8" i="1"/>
  <c r="AD8" i="1" s="1"/>
  <c r="W6" i="19" l="1"/>
  <c r="T156" i="19"/>
  <c r="Q156" i="19"/>
  <c r="N156" i="19"/>
  <c r="K156" i="19"/>
  <c r="N206" i="19"/>
  <c r="W156" i="19"/>
  <c r="T6" i="19"/>
  <c r="Q6" i="19"/>
  <c r="N6" i="19"/>
  <c r="W206" i="19"/>
  <c r="K106" i="19"/>
  <c r="W106" i="19"/>
  <c r="T56" i="19"/>
  <c r="Q56" i="19"/>
  <c r="N56" i="19"/>
  <c r="T206" i="19"/>
  <c r="K56" i="19"/>
  <c r="W56" i="19"/>
  <c r="T106" i="19"/>
  <c r="Q106" i="19"/>
  <c r="N106" i="19"/>
  <c r="Q206" i="19"/>
  <c r="K6" i="19"/>
  <c r="X56" i="19"/>
  <c r="U106" i="19"/>
  <c r="R106" i="19"/>
  <c r="O106" i="19"/>
  <c r="L156" i="19"/>
  <c r="O206" i="19"/>
  <c r="X206" i="19"/>
  <c r="X6" i="19"/>
  <c r="U156" i="19"/>
  <c r="R156" i="19"/>
  <c r="O156" i="19"/>
  <c r="L106" i="19"/>
  <c r="X156" i="19"/>
  <c r="U6" i="19"/>
  <c r="R6" i="19"/>
  <c r="O6" i="19"/>
  <c r="U206" i="19"/>
  <c r="L56" i="19"/>
  <c r="X106" i="19"/>
  <c r="U56" i="19"/>
  <c r="R56" i="19"/>
  <c r="O56" i="19"/>
  <c r="R206" i="19"/>
  <c r="L6" i="19"/>
  <c r="V56" i="19"/>
  <c r="S106" i="19"/>
  <c r="P106" i="19"/>
  <c r="M106" i="19"/>
  <c r="P206" i="19"/>
  <c r="J6" i="19"/>
  <c r="V156" i="19"/>
  <c r="M6" i="19"/>
  <c r="J106" i="19"/>
  <c r="V106" i="19"/>
  <c r="P56" i="19"/>
  <c r="S206" i="19"/>
  <c r="V6" i="19"/>
  <c r="S156" i="19"/>
  <c r="P156" i="19"/>
  <c r="M156" i="19"/>
  <c r="J156" i="19"/>
  <c r="M206" i="19"/>
  <c r="S6" i="19"/>
  <c r="P6" i="19"/>
  <c r="V206" i="19"/>
  <c r="S56" i="19"/>
  <c r="M56" i="19"/>
  <c r="J56" i="19"/>
  <c r="L206" i="19"/>
  <c r="K206" i="19"/>
  <c r="J206" i="19"/>
  <c r="AF9" i="1"/>
  <c r="AF8" i="1"/>
  <c r="AF7"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<sst xmlns="http://schemas.openxmlformats.org/spreadsheetml/2006/main" count="1698" uniqueCount="573">
  <si>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</si>
  <si>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</si>
  <si>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</si>
  <si>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</si>
  <si>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</si>
  <si>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</si>
  <si>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</si>
  <si>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</si>
  <si>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</si>
  <si>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</si>
  <si>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</si>
  <si>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</si>
  <si>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</si>
  <si>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</si>
  <si>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</si>
  <si>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</si>
  <si>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</si>
  <si>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</si>
  <si>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</si>
  <si>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</si>
  <si>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</si>
  <si>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</si>
  <si>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</si>
  <si>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</si>
  <si>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</si>
  <si>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</si>
  <si>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</si>
  <si>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</si>
  <si>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</si>
  <si>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</si>
  <si>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</si>
  <si>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</si>
  <si>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</si>
  <si>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</si>
  <si>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</si>
  <si>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</si>
  <si>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</si>
  <si>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</si>
  <si>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</si>
  <si>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</si>
  <si>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</si>
  <si>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</si>
  <si>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</si>
  <si>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</si>
  <si>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</si>
  <si>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</si>
  <si>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</si>
  <si>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</si>
  <si>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</si>
  <si>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</si>
  <si>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</si>
  <si>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</si>
  <si>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</si>
  <si>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</si>
  <si>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</si>
  <si>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</si>
  <si>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</si>
  <si>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</si>
  <si>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</si>
  <si>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</si>
  <si>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</si>
  <si>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</si>
  <si>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</si>
  <si>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</si>
  <si>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</si>
  <si>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</si>
  <si>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</si>
  <si>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</si>
  <si>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</si>
  <si>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</si>
  <si>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</si>
  <si>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</si>
  <si>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</si>
  <si>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</si>
  <si>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</si>
  <si>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</si>
  <si>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</si>
  <si>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</si>
  <si>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</si>
  <si>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</si>
  <si>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</si>
  <si>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</si>
  <si>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</si>
  <si>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</si>
  <si>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</si>
  <si>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</si>
  <si>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</si>
  <si>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</si>
  <si>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</si>
  <si>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</si>
  <si>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</si>
  <si>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</si>
  <si>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</si>
  <si>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</si>
  <si>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</si>
  <si>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</si>
  <si>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</si>
  <si>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</si>
  <si>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</si>
  <si>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</si>
  <si>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</si>
  <si>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</si>
  <si>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</si>
  <si>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</si>
  <si>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</si>
  <si>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</si>
  <si>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</si>
  <si>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</si>
  <si>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</si>
  <si>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</si>
  <si>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</si>
  <si>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</si>
  <si>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</si>
  <si>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</si>
  <si>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</si>
  <si>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</si>
  <si>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</si>
  <si>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</si>
  <si>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</si>
  <si>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</si>
  <si>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</si>
  <si>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</si>
  <si>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</si>
  <si>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</si>
  <si>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</si>
  <si>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</si>
  <si>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</si>
  <si>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</si>
  <si>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</si>
  <si>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</si>
  <si>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</si>
  <si>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</si>
  <si>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</si>
  <si>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</si>
  <si>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</si>
  <si>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</si>
  <si>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</si>
  <si>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</si>
  <si>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</si>
  <si>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</si>
  <si>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</si>
  <si>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</si>
  <si>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</si>
  <si>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</si>
  <si>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</si>
  <si>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</si>
  <si>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</si>
  <si>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</si>
  <si>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</si>
  <si>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</si>
  <si>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</si>
  <si>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</si>
  <si>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</si>
  <si>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</si>
  <si>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</si>
  <si>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</si>
  <si>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</si>
  <si>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</si>
  <si>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</si>
  <si>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</si>
  <si>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</si>
  <si>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</si>
  <si>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</si>
  <si>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</si>
  <si>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</si>
  <si>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</si>
  <si>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</si>
  <si>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</si>
  <si>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</si>
  <si>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</si>
  <si>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</si>
  <si>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</si>
  <si>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</si>
  <si>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</si>
  <si>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</si>
  <si>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</si>
  <si>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</si>
  <si>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</si>
  <si>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</si>
  <si>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</si>
  <si>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</si>
  <si>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</si>
  <si>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</si>
  <si>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</si>
  <si>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</si>
  <si>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</si>
  <si>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</si>
  <si>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</si>
  <si>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</si>
  <si>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</si>
  <si>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</si>
  <si>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</si>
  <si>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</si>
  <si>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</si>
  <si>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</si>
  <si>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</si>
  <si>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</si>
  <si>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</si>
  <si>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</si>
  <si>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</si>
  <si>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</si>
  <si>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</si>
  <si>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</si>
  <si>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</si>
  <si>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</si>
  <si>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Posibilidad de priorización de planes, programas o proyectos de inversión o de toma de decisiones para favorecer intereses particulares.</t>
  </si>
  <si>
    <t xml:space="preserve">Proceso </t>
  </si>
  <si>
    <t xml:space="preserve">Objetivo </t>
  </si>
  <si>
    <t>Acción de tratamiento</t>
  </si>
  <si>
    <t>Acción de Contingencia Ante posible materialización</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</si>
  <si>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</si>
  <si>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</si>
  <si>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 xml:space="preserve"> concentración de poder,</t>
  </si>
  <si>
    <t xml:space="preserve"> excesiva discrecionalidad</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</si>
  <si>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</si>
  <si>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El Comité Institucional de Gestión y Desempeño es la instancia máxima de coordinación y toma de decisiones de la Empresa, por lo cual todas las formulaciones y seguimientos de los planes, programas o proyectos que desarrolla la empresa, se presentan periódicamente en las diferentes sesiones que se realizan según se requiera y se presentan los avances y alertas correspondientes.</t>
  </si>
  <si>
    <t>Informar a los entes internos y externos de control que corresponda</t>
  </si>
  <si>
    <t>Fecha Inicio</t>
  </si>
  <si>
    <t>Fecha fin</t>
  </si>
  <si>
    <t xml:space="preserve">Aplica para cada vigencia </t>
  </si>
  <si>
    <t>Generación de alertas de manera inoportuna</t>
  </si>
  <si>
    <t xml:space="preserve">
Posibilidad de afectación reputacional por la generación de alertas de manera inoportuna debido a un inadecuado seguimiento a la planeación Institucional</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</si>
  <si>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</si>
  <si>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Presentar alertas al líder del proceso cuando la información reportada no sea consistente con el fin de tomar las acciones que corresponda</t>
  </si>
  <si>
    <t>Trimestral</t>
  </si>
  <si>
    <t>Permanente</t>
  </si>
  <si>
    <t>El líder del proceso solicitará la modificación al Plan
de acción debidamente
justificada, al Subgerente de
Planeación y Administración de
Proyectos para posterior aprobación del Comité Institucional de Gestión y Desempeño</t>
  </si>
  <si>
    <t>Gestión de Grupos de Interés</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</si>
  <si>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</si>
  <si>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Divulgación de información confusa e inoportuna</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</si>
  <si>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</si>
  <si>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</si>
  <si>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Divulgación del procedimiento para solicitudes de Comunicaciones</t>
  </si>
  <si>
    <t>Anual</t>
  </si>
  <si>
    <t>Periodicidad de Seguimiento</t>
  </si>
  <si>
    <t>Inicia con la inclusión de proyectos misionales al listado maestro, comprende la administración del instrumento de
seguimiento, generación de alertas, custodia a la información y finaliza con la gestión de informes para toma de
decisiones</t>
  </si>
  <si>
    <t>Entrega de información desactualizada e inexacta del avance de los proyectos</t>
  </si>
  <si>
    <t>Desarticulación de la información reportada por las áreas .</t>
  </si>
  <si>
    <t>Posibilidad de afectación reputacional por entrega de información desactualizada e inexacta del avance de los proyectos debido a desarticulación de la información reportada por las áreas .</t>
  </si>
  <si>
    <t>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realizan el ajuste y el cargue de la información, la cual queda dispuesta para consultas y reportes que se requieran por parte de los grupos de interés.</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</si>
  <si>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</si>
  <si>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Realizar reuniones de seguimiento
al avance de los proyectos, para
revisión y definición de
compromisos y tareas.</t>
  </si>
  <si>
    <t xml:space="preserve">Mensual
</t>
  </si>
  <si>
    <t>Informar a la Gerencia General para que se tomen las medidas correspondientes</t>
  </si>
  <si>
    <t xml:space="preserve">Posibilidad de afectación reputacional por la generación de alertas inoportunas debido a un inadecuado seguimiento a los proyectos urbanos </t>
  </si>
  <si>
    <t>generación de alertas inoportunas</t>
  </si>
  <si>
    <t>inadecuado seguimiento a los proyectos urbanos</t>
  </si>
  <si>
    <t>Los profesionales de la Subgerencia de Planeación y Administración de Proyectos, a través de la Base General de Proyectos, herramienta en la cual se incorporan todos los proyectos urbanos gestionados por la Empresa, realizan un seguimiento mensual a los avances reportados por los líderes de proyectos, identificando el cumplimiento de los hitos principales de los proyectos, los cuellos de botellas y riesgos detectados entre otros, esta actividad permite generar y presentar en instancias de reuniones de seguimiento, alertas para la toma de decisiones y una oportuna revisión de los objetivos establecidos durante la planificación y la ejecución del proyecto.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</si>
  <si>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</si>
  <si>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</si>
  <si>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</si>
  <si>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</si>
  <si>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</si>
  <si>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Posibilidad de favorecimiento a terceros en los procesos de comercialización.</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</si>
  <si>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</si>
  <si>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</si>
  <si>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</si>
  <si>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</si>
  <si>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</si>
  <si>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</si>
  <si>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</si>
  <si>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</si>
  <si>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</si>
  <si>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</si>
  <si>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</si>
  <si>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</si>
  <si>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</si>
  <si>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Uso indebido de información privilegiada para favorecimiento de un interés particular</t>
  </si>
  <si>
    <t>La Dirección de contratos estipula una cláusula de confidencialidad en cada contrato de prestación de servicios con el fin de dar un manejo adecuado de la información por parte de los contratistas.
Así mismo Talento Humano en los contratos laborales de los trabajadores oficiales, cuenta con una cláusula de confidencialidad de la información que por manejo indebido pueda afectar a la organización.
Si se encuentran inconsistencias se reportan las alarmas a Control Interno.
Mensualmente el Supervisor del contrato en la revisión de informes de actividades, verifica el cumplimiento de las cláusulas del contrato y si encuentra inconsistencias se reportan las alarmas a los organismos de Control Interno, de Gestión y/o Disciplinarios.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de Gestión y/o disciplinarios.</t>
  </si>
  <si>
    <t>Capacitar al personal en las directrices y el adecuado tratamiento de datos e información confidencial anualmente.</t>
  </si>
  <si>
    <t>Si se encuentran inconsistencias se reportan las alarmas al supervisor del contrato y se informa la situación a los organismos de control interno de gestión y disciplinario.</t>
  </si>
  <si>
    <t>Formulación de Instrumentos</t>
  </si>
  <si>
    <t>Retrasos en la formulación de instrumentos de planeamiento.</t>
  </si>
  <si>
    <t>Dificultades en la contratación de estudios , demora en la emisión de respuestas o conceptos por parte de las entidades distritales.</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</si>
  <si>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</si>
  <si>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</si>
  <si>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</si>
  <si>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</si>
  <si>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</si>
  <si>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</si>
  <si>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Uso de información desactualizada, de estudios y diseños del proyecto.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</si>
  <si>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</si>
  <si>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</si>
  <si>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</si>
  <si>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</si>
  <si>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</si>
  <si>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El líder de la formulación del instrumento y Líder SGI </t>
  </si>
  <si>
    <t xml:space="preserve"> Ejecución de Proyectos</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</si>
  <si>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</si>
  <si>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recibir o solicitar dádivas para estructurar documentos técnicos preliminares orientados a un interés particular</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</si>
  <si>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</si>
  <si>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</si>
  <si>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</si>
  <si>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</si>
  <si>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</si>
  <si>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</si>
  <si>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Generación de errores en los informes reportados por las Fiduciarias.</t>
  </si>
  <si>
    <t>Debilidades en los lineamientos establecidos para la revisión de la información consolidada, previo a su envío.</t>
  </si>
  <si>
    <t>Posibilidad de afectación económica y reputacional por generación de errores en los informes reportados por las Fiducias debido a 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</si>
  <si>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</si>
  <si>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</si>
  <si>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</si>
  <si>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</si>
  <si>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</si>
  <si>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</si>
  <si>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</si>
  <si>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</si>
  <si>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</si>
  <si>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</si>
  <si>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</si>
  <si>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</si>
  <si>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</si>
  <si>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</si>
  <si>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a las asesorías brindadas, para determinar el servicio brindado y en caso de encontrar alguna situación, informar al jefe inmediato.</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</si>
  <si>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</si>
  <si>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</si>
  <si>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</si>
  <si>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La información generada en el instrumento de estructuración no está acorde a la realidad del proyecto</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</si>
  <si>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</si>
  <si>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</si>
  <si>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r>
      <t xml:space="preserve">Actualizar el procedimiento </t>
    </r>
    <r>
      <rPr>
        <i/>
        <sz val="11"/>
        <color theme="1"/>
        <rFont val="Arial Narrow"/>
        <family val="2"/>
      </rPr>
      <t>"Modelaciones Financieras de los Proyectos"</t>
    </r>
    <r>
      <rPr>
        <sz val="11"/>
        <color theme="1"/>
        <rFont val="Arial Narrow"/>
        <family val="2"/>
      </rPr>
      <t>, con el propósito de documentar los controles establecidos.</t>
    </r>
  </si>
  <si>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</si>
  <si>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</si>
  <si>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Demoras en la ejecución de proyectos de vivienda, suscritos a través de convenios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</si>
  <si>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</si>
  <si>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</si>
  <si>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</si>
  <si>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</si>
  <si>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</si>
  <si>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</si>
  <si>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</si>
  <si>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</si>
  <si>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</si>
  <si>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Sobrecosto en el proceso de adquisición</t>
  </si>
  <si>
    <t>Fallas en el seguimiento y control de las Instrucciones fiduciarias, notificaciones (Oferta y Expropiación), Insumos (Registros topográficos) y contestación en tiempo de recursos de reposición.</t>
  </si>
  <si>
    <t>Posibilidad de afectación económica y reputacional por el sobrecosto en el proceso de adquisición debido a fallas en el seguimiento y control de las Instrucciones fiduciarias, Insumos (Registros topográficos), notificaciones (Oferta y Expropiación)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</si>
  <si>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</si>
  <si>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Socializar y hacer seguimiento a la herramienta de seguimiento y control ante el equipo de trabajo de la Dirección de Predios</t>
  </si>
  <si>
    <t>Escalar a Gerencia, a los entes internos de control y a quien sea pertinente para dar solución a la corrección del pago.</t>
  </si>
  <si>
    <t>Posibilidad de uso indebido de información privilegiada para favorecimiento de un interés particular.</t>
  </si>
  <si>
    <t>Posibilidad de extracción de documentos durante el proceso de atención de interesados.</t>
  </si>
  <si>
    <t>Desconocimiento en el uso de información sensible.</t>
  </si>
  <si>
    <t xml:space="preserve">La Jefe de la Oficina de Gestión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</si>
  <si>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las cuales son objeto de verificación por parte del Supervisor mensualmente mediante el Certificado de Supervisión para el caso de contratistas, y por el Jefe Inmediato a través del informe mensual de actividades.</t>
  </si>
  <si>
    <t>Informar a la Gerencia de la Empresa, a los entes internos y externos de control y a quien sea pertinente para realizar las investigaciones disciplinarias correspondientes.</t>
  </si>
  <si>
    <t>Posibilidad de afectación económica y reputacional debido a siniestros ocasionado por terceros o casos fortuitos y debilidades en la asignación y actualización de inventarios de la empresa debido a la falta de control y seguimiento sobre los bienes de la empresa.</t>
  </si>
  <si>
    <t xml:space="preserve"> Gestión de Servicios Logísticos</t>
  </si>
  <si>
    <t>Inicia con la elaboración del Plan de Contratación, contempla la formulación del Plan de Acción, Plan de
mantenimiento de bienes, y finaliza con la ejecución de planes el manejo y control del inventario.</t>
  </si>
  <si>
    <t>Falta de control y seguimiento sobre los bienes de la empresa</t>
  </si>
  <si>
    <t xml:space="preserve">enero </t>
  </si>
  <si>
    <t>diciembre</t>
  </si>
  <si>
    <t>Hacer la reposición del bien Informar a las instancias de Control Interno</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</si>
  <si>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</si>
  <si>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</si>
  <si>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</si>
  <si>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El profesional de recursos físicos mensualmente realiza el seguimiento al plan de adquisiciones, plan de contratación del procesos de servicios logísticos para adelantar los procesos contractuales que se requieren conforme a las necesidades evidenciadas para el normal funcionamiento de la empresa, en este mismo sentido El/La Subgerente de Gestión Corporativa y/o el apoyo que se designe, realiza de manera permanente la supervisión técnica, jurídica y financiera, a los contratos suscritos para la adquisición de los bienes y servicios de la Empresa, dejando como evidencia los informes la ejecución del contrato, donde se detallan el cumplimiento de las obligaciones.</t>
  </si>
  <si>
    <t>Destinación de Recursos Públicos de forma indebida en favor de un privado o tercero.</t>
  </si>
  <si>
    <t>Realizar un seguimiento oportuno y veraz de los contratos a nivel técnico, administrativo y financiero de los procesos que se encuentren en el Plan de Adquisiciones de la Empresa, con el fin de garantizar su adecuada ejecución.</t>
  </si>
  <si>
    <t>mensual</t>
  </si>
  <si>
    <t>enero</t>
  </si>
  <si>
    <t xml:space="preserve">Informar al jefe del área, para tomar las medidas pertinentes con el fin de cubrir los bienes y servicios que no se encuentra al interior del PAA </t>
  </si>
  <si>
    <t>Fortalecer el seguimiento a las acciones de control de los Riesgos de Corrupción en
los procesos de Direccionamiento Estratégico y Tecnologías de la Información</t>
  </si>
  <si>
    <t>Gestión Documental</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</si>
  <si>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</si>
  <si>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Posibilidad de sustracción, inclusión y/o adulteración de documentos en los expedientes (misionales y de Gestión) en beneficio de terceros."</t>
  </si>
  <si>
    <t>Enero</t>
  </si>
  <si>
    <t>Diciembre</t>
  </si>
  <si>
    <t xml:space="preserve"> Aplicación del Procedimiento PD-40 Reconstrucción de Expedientes V2</t>
  </si>
  <si>
    <t xml:space="preserve">Informar en los tiempos establecidos a los colaboradores que tienen prestamos a su nombre, con el fin de solicitar la devolución o actualización de ser necesario. </t>
  </si>
  <si>
    <t>Degradación y deterioro parcial o total de la información o su soporte.</t>
  </si>
  <si>
    <t>Ausencia de medidas y acciones de conservación preventiva, que propendan la conservación de la memoria documental de la Empresa</t>
  </si>
  <si>
    <t>Posibilidad de afectación reputacional por degradación y deterioro parcial o total de la información o su soporte, debido a ausencia de medidas y acciones de conservación preventiva, que propendan la conservación de la memoria documental de la Empresa</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</si>
  <si>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estos</t>
  </si>
  <si>
    <t xml:space="preserve">Socializar el sistema Integrado de Conservación Documental </t>
  </si>
  <si>
    <t>Realizar la intervención de la documentación afectada por el deterioro.</t>
  </si>
  <si>
    <t>Posibilidad de afectación reputacional por pérdida de información debido a ausencia en la aplicación, actualización y seguimiento de la política, planes, programas e instrumentos que rigen la función archivística</t>
  </si>
  <si>
    <t>Pérdida de información por el incumplimiento de la normativa archivística</t>
  </si>
  <si>
    <t>Ausencia en la aplicación, actualización y seguimiento de la política, planes, programas e instrumentos que rigen la función archivística</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</si>
  <si>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</si>
  <si>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</si>
  <si>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</si>
  <si>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</si>
  <si>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</si>
  <si>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Posibilidad de manipulación indebida de procesos judiciales para favorecer un interés particular.</t>
  </si>
  <si>
    <t xml:space="preserve">cuatrimestral </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</si>
  <si>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</si>
  <si>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</si>
  <si>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</si>
  <si>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</si>
  <si>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 xml:space="preserve">
Manipulación indebida de documentos precontractuales. </t>
  </si>
  <si>
    <t>Posibilidad de recibir o solicitar cualquier dádiva o beneficio a nombre propio o de terceros con el fin de adjudicar un proceso de contratación para favorecer a personas o grupos determinados.</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</si>
  <si>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</si>
  <si>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 xml:space="preserve">Realizar seguimiento a Plan Anual de Adquisiciones y Plan de Inversión con el fin de evidenciar el cumplimiento de lo programado dentro de la vigencia estimada.
</t>
  </si>
  <si>
    <t>permanente</t>
  </si>
  <si>
    <t>Reportar a las dependencias internas y entes de control correspondientes, cuando se presente un presunto favorecimiento a proponentes en el proceso de Gestión Contractual.</t>
  </si>
  <si>
    <t>Desconocimiento de los procedimientos y políticas internas así como los tiempos establecidos por la entidad para llevar a cabo los tramites contractuales .</t>
  </si>
  <si>
    <t>Falta de la verificación de los requisitos para contratación por parte de los funcionarios o contratistas encargados de la Etapa Precontractual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</si>
  <si>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</si>
  <si>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Correo electrónico a las dependencias correspondientes (por evento cuando se presente)</t>
  </si>
  <si>
    <t>Gestión Ambiental</t>
  </si>
  <si>
    <t>Inicia con la identificación del objetivo general para la vigencia actual del Plan Institucional de Gestión Ambiental, la concertación y ejecución del Plan Institucional de Gestión Ambiental PIGA y el Plan Acción Cuatrienal Ambiental – PACA, y finaliza con el</t>
  </si>
  <si>
    <t>Incumplimiento de lineamientos, procedimientos y regulaciones ambientales.</t>
  </si>
  <si>
    <t>Falta de implementación de los planes de acción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</si>
  <si>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</si>
  <si>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</si>
  <si>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</si>
  <si>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</si>
  <si>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</si>
  <si>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</si>
  <si>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</si>
  <si>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Inicia con el ingreso de la solicitud o requerimiento del ciudadano a través cualquiera de los canales habilitados por la empresa
y finaliza con la respuesta en los términos y con los criterios dispuestos en la normatividad vigente</t>
  </si>
  <si>
    <t>Debilidad en la capacitación en materia de Atención al Ciudadano</t>
  </si>
  <si>
    <t>Falta de conocimiento frente a la norma la política y al manejo de las PQRS</t>
  </si>
  <si>
    <t>El Gestor Senior 1 de atención al ciudadano cada vez que ingresa un colaborador genera la inducción en las temáticas de Atención al ciudadano, resultado de esta reunión quedan las grabaciones y las listas de asistencia .</t>
  </si>
  <si>
    <t>Generar capacitaciones de lenguaje</t>
  </si>
  <si>
    <t>Posibilidad de afectación reputacional por un alcance inadecuado en la respuesta al peticionario debido a falta de información o entrega de esta</t>
  </si>
  <si>
    <t>alcance inadecuado en la respuesta al peticionario</t>
  </si>
  <si>
    <t>falta de información o entrega de esta</t>
  </si>
  <si>
    <t>Cuatrimestral</t>
  </si>
  <si>
    <t>Reinducción del manejo del sistema Bogotá te escucha.</t>
  </si>
  <si>
    <t>Demanda</t>
  </si>
  <si>
    <t>Gestión de TIC</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</si>
  <si>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</si>
  <si>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</si>
  <si>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 xml:space="preserve">Pérdida de la información institucional </t>
  </si>
  <si>
    <t>Posibilidad de afectación reputacional debido a tener una infraestructura de protección y contingencia desactualizada, así como debilidades en el proceso de realizar copias de seguridad, de manera que cause la pérdida de información institucional.</t>
  </si>
  <si>
    <t xml:space="preserve">
Realizar acompañamiento técnico a las áreas en la adquisición de productos y/o servicios de tecnología</t>
  </si>
  <si>
    <t>Realizar seguimiento a la contratación de los servicios de mantenimiento preventivo y correctivo del hardware de la Empresa a través del Plan de Adquisiciones.</t>
  </si>
  <si>
    <t>Mantenimiento correctivo</t>
  </si>
  <si>
    <t>Ausencia de confidencialidad de la claves de acceso a funcionarios y contratistas.
Debilidad en la actualización del hardware y software de la Entidad.</t>
  </si>
  <si>
    <t>“Inactivación del Acceso Lógico del usuario al evidenciar el uso no adecuado de los recursos tecnológicos o al momento de terminar la vinculación con la empresa.”</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</si>
  <si>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</si>
  <si>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</si>
  <si>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</si>
  <si>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Aplicar los ANS con el proveedor.
Y restablecer el servicio</t>
  </si>
  <si>
    <t>Gestión Financiera</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</si>
  <si>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</si>
  <si>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</si>
  <si>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</si>
  <si>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</si>
  <si>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</si>
  <si>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</si>
  <si>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</si>
  <si>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</si>
  <si>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 xml:space="preserve">1.Diseñar y Aplicar el formato para suscribir la declaración de impedimentos y conflictos de interés de los auditores.
</t>
  </si>
  <si>
    <t>30 de julio de 2021</t>
  </si>
  <si>
    <t>31 de diciembre de 2021</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</si>
  <si>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</si>
  <si>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</si>
  <si>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1. Actualizar la batería de indicadores para monitorear el desempeño del proceso y de la Empresa a partir de la ejecución del Plan Anual de Auditorías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</si>
  <si>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</si>
  <si>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 xml:space="preserve"> Inexistencia de lineamientos, controles y procedimientos documentados para el resguardo de la información insumo para los trabajos de auditoría y seguimiento</t>
  </si>
  <si>
    <t>Posibilidad de pérdida de la confidencialidad de la información obtenida para la ejecución de los trabajos de auditoría debido a debilidades en los mecanismos de control para su protección y resguardo.</t>
  </si>
  <si>
    <t>Cada vez que se ejecuta un trabajo de auditoria, el auditor líder compila la información insumo resultante del trabajo de auditoría en una carpeta electrónica y la entrega en un CD a la Jefe de la Oficina de Control Interno para su protección y resguardo.</t>
  </si>
  <si>
    <t xml:space="preserve">Uso indebido de la información adquirida durante el ejercicio de auditoría
</t>
  </si>
  <si>
    <t xml:space="preserve">Posibilidad pedir o aceptar dádivas, favores o beneficios particulares, con el fin de manipular indebidamente los resultados de los informes de evaluación y seguimiento u ocultar hechos irregulares conocidos por los auditores.
</t>
  </si>
  <si>
    <t>El auditor líder designado suscribe la declaración de no impedimento y conflicto de intereses y prepara el plan de trabajo de auditoría el cual es revisado por los auditores acompañantes y por la Jefe de la Oficina de Control Interno para asegurar que se cuente con toda la información necesaria para su ejecución. El Plan de Trabajo de Auditoría aprobado es remitido es líder del proceso y se solicita la información necesaria para la preparación de las pruebas de auditoria.</t>
  </si>
  <si>
    <t xml:space="preserve">La Jefe de la Oficina de Control Interno convoca y desarrolla la reunión de instalación y conjuntamente con el auditor líder presenta el plan de trabajo de auditoría al líder del proceso y su equipo de trabajo convocado, para recibir comentarios y ajustes, lo cual queda documentado en la correspondiente acta. </t>
  </si>
  <si>
    <t xml:space="preserve">1. Gestionar una auditoría externa de pares para evaluar el estado de desempeño del proceso de Evaluación y Seguimiento de la Empresa.
</t>
  </si>
  <si>
    <t>2. Realizar ejercicios de capacitación y referenciación para reconocer las tendencias y buenas prácticas en el ejercicio de la auditoria interna.</t>
  </si>
  <si>
    <t>3. Documentar dentro del estatuto de auditoría los lineamientos en materia de protección y uso no autorizado de la información obtenida durante el ejercicio de auditoría</t>
  </si>
  <si>
    <t>Direccionamiento Estratégico</t>
  </si>
  <si>
    <t>Ejecución y Administración de procesos</t>
  </si>
  <si>
    <t>Se informa internamente a la Gerencia General
Se informa Externamente a la Alcaldía Mayor
Se procede a dar un alcance (corrección o eliminación) a la información publicada</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</si>
  <si>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</si>
  <si>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</si>
  <si>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El profesional responsable del proceso de Gestión de Servicios Logísticos de acuerdo con las solicitudes generadas por las dependencias autoriza el retiro y la salida de los elementos a través del envío de un correo electrónico a la administración de edificio, si no se cuenta con el correo electrónico la administración del edificio no permite la salida de los elementos.</t>
  </si>
  <si>
    <t>Autorización de retiro de elementos a través de correo electrónico con la vigilancia del Edificio.</t>
  </si>
  <si>
    <t>No contar con los contratos que suministren bienes y servicios para el gestión y funcionamiento de la Empresa</t>
  </si>
  <si>
    <t>El apoyo a la supervisión realiza un seguimiento mensual a los contratos en lo referente a los aspectos administrativos, técnicos y financieros, teniendo como evidencia los informes de apoyo a la supervisión para el trámite de los pagos correspondientes.</t>
  </si>
  <si>
    <t xml:space="preserve">Apoyo Mensual, generando informes de apoyo a la supervisión </t>
  </si>
  <si>
    <t>Inicia con la articulación de los instrumentos estratégicos y comprende la planeación, producción, recepción, trámite, organización y custodia, culminando con la disposición final de la documentación e información de la
Empresa.</t>
  </si>
  <si>
    <t>Sustracción, alteración o inclusión de documentos en los expedientes documentales que se encuentran en custodia del proceso para beneficiar a terceros.</t>
  </si>
  <si>
    <t>El técnico del Centro Administrativo Documental - CAD, realiza la actualización diaria del Inventario Único Documental, identificando de manera exacta el contenido (cantidad de unidades de conservación y folios ).</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</si>
  <si>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</si>
  <si>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 xml:space="preserve">Realizar la actualización del procedimiento de defensa judicial incluyendo dentro de las políticas de operación el control </t>
  </si>
  <si>
    <t xml:space="preserve"> El abogado una vez se genera cualquier actuación judicial debe actualizar el Sistema de Información de Procesos Judiciales SIPROJ, adjuntando la respectiva actuación. En caso de encontrar desviaciones se informará a los entes de control internos y externos. </t>
  </si>
  <si>
    <t>Detective</t>
  </si>
  <si>
    <t>Generar campañas de socialización</t>
  </si>
  <si>
    <t xml:space="preserve">Documentar el control en el Procedimiento PD-29 Peticiones, Quejas, Reclamos y Soluciones </t>
  </si>
  <si>
    <t>El auxiliar administrativo de atención al ciudadano realiza el seguimiento trimestral de la oportunidad y la calidad en las repuestas de las PQRS este seguimiento se realiza tomando una muestra del total de las PQRS recibidas en el trimestre , resultado de la ejecución de este control queda el informe de satisfacción trimestral con los porcentajes de satisfacción, en caso de encontrase PQRS respondidas fuera de tiempo o que no cuenten con la calidad se genera una reinducción del manejo del sistema.</t>
  </si>
  <si>
    <t xml:space="preserve"> Vulnerabilidad de los sistemas de información y aplicaciones de la ERU</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</si>
  <si>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</si>
  <si>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</si>
  <si>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</si>
  <si>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</si>
  <si>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Gestión del Talento Humano</t>
  </si>
  <si>
    <t>Inoportunidad y/o deficiencia en el reporte de información financiera y tributaria</t>
  </si>
  <si>
    <t>Debilidad en la entrega de la información por parte de los procesos</t>
  </si>
  <si>
    <t>Posibilidad de afectación económica y reputacional debido a inoportunidad y/o deficiencia en el reporte de información financiera y tributaria por debilidad en la entrega de la información por parte de los procesos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</si>
  <si>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</si>
  <si>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Implementar socialización del cuadro de control de reportes al equipo de gestión financiera y realizar el seguimiento mensual sobre el cumplimiento de los entregables</t>
  </si>
  <si>
    <t>Posibilidad de afectación económica y reputacional debido a la no disponibilidad de recursos económicos por debilidad en la administración y seguimiento a la ejecución de recursos financieros.</t>
  </si>
  <si>
    <t>No disponibilidad de recursos económicos</t>
  </si>
  <si>
    <t>Debilidad en la administración y seguimiento a la ejecución de recursos financieros</t>
  </si>
  <si>
    <t>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</si>
  <si>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 xml:space="preserve">Planeación financiera a ejecutar en cada vigencia </t>
  </si>
  <si>
    <t>Generar informe de situación para Comité Financiero y de Inversiones</t>
  </si>
  <si>
    <t>La posibilidad de efectuar
operaciones de salida de
recursos o inversiones sin autorización,
para beneficio propio o de
terceros</t>
  </si>
  <si>
    <t>Alteración de la información financiera
Alteración de la información financiera</t>
  </si>
  <si>
    <t>Debilidad en la aplicación de controles a las operaciones financieras</t>
  </si>
  <si>
    <t>Posibilidad de afectación reputacional por Debilidad en la capacitación en materia de Atención al Ciudadano debido a Falta de conocimiento frente a la norma la política y al manejo de las PQRS</t>
  </si>
  <si>
    <t>Dirección, Gestión y Seguimiento de Proyectos</t>
  </si>
  <si>
    <t>Posibilidad de afectación reputacional por divulgación de información institucional, confusa e inoportuna debido a entrega de información incompleta por parte de los procesos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</si>
  <si>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</si>
  <si>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Siniestro ocasionado por terceros o casos fortuitos
Debilidades en la asignación y actualización de inventarios de la empresa </t>
  </si>
  <si>
    <t>El profesional responsable del inventario se hace cada cuatro (4) meses, donde se realizan las actividades descritas en el procedimiento PD-59 Administración de Inventarios, con el propósito de identificar verificar, y analizar del inventario de los bienes de propiedad o administrados por la Empresa., En caso de que se presenten inconsistencias, se verifica que el Informe preliminar
de conciliación, contenga las novedades encontradas. 
Evidencia: reportes de los inventarios actualizados.</t>
  </si>
  <si>
    <t>Realizar un muestreo cuatro (4) veces al año de los bienes incorporados en el inventario y registrado en el Sistema Administrativo y Financiero de la Empresa.</t>
  </si>
  <si>
    <t>Informar oportunamente a la Empresa de Vigilancia del Edificio</t>
  </si>
  <si>
    <t xml:space="preserve">Hacer efectivas las garantías contractuales especificadas en cada uno de los contratos </t>
  </si>
  <si>
    <t xml:space="preserve">Informar al jefe de la dependencia, y entes de control, para tomar las medidas pertinentes. </t>
  </si>
  <si>
    <t>Seguimiento inadecuado en el en los prestamos documentales y consultas en sala</t>
  </si>
  <si>
    <t xml:space="preserve">Los profesionales y técnicos del proceso de gestión documental programan anualmente capacitaciones con respecto al cumplimiento del procedimiento de préstamo y consulta documental. </t>
  </si>
  <si>
    <t xml:space="preserve">Capacitar a los colaboradores del proceso de Gestión Documental con respecto al cumplimiento del procedimiento de préstamo y consulta documental. </t>
  </si>
  <si>
    <t xml:space="preserve">Los colaboradores de Gestión Documental realizan préstamos documentales según requerimientos de las dependencias previa solicitud por correo electrónico, llevando el registro correspondiente en formato FT-111 Registro Préstamo de Documentos. </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</si>
  <si>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</si>
  <si>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Implementación del procedimiento PD-39 Administración del Centro de Administración Documental - CAD V1 y del formato FT-33 Formato Único de Inventario Documental V2</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</si>
  <si>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</si>
  <si>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Implementación del procedimiento PD-25 Creación de Expedientes Virtuales V2</t>
  </si>
  <si>
    <t>el Subgerente Jurídico Cada vez que conoce de un proceso judicial o extrajudicial en el que la ERU actúa como parte activa o pasiva, designa un abogado que lleva la defensa, el abogado -apoderado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</si>
  <si>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</si>
  <si>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Posibilidad de afectación reputacional debido a retrasos y/o vencimiento en los trámites contractuales por debilidad en la verificación de los requisitos para contratación por parte de los funcionarios o contratistas encargados de la Etapa Precontractual</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</si>
  <si>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V4),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</si>
  <si>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</si>
  <si>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Al inicio de cada vigencia el Gestor senior 1 y el delegado para la empresa de la Alcaldía Mayor establecen el cronograma de cualificación para los módulos estándar de acuerdo con la necesidad de la empresa, (temáticas fechas ) Cualificación el objetivo de la cualificación es generar esas habilidades comportamentales requeridas para el trato con el ciudadano , estas actividades de cualificación pueden generarse por un capacitador o por una aplicación, resultado de las mismas quedan los listados de asistencia y la presentación .</t>
  </si>
  <si>
    <t>El proceso de Atención al ciudadano da alcance a las respuestas que no fueron de fondo de acuerdo con el informe de seguimiento que emite la Alcaldía Mayor (INFORME CONSOLIDADO SOBRE LA CALIDAD Y OPORTUNIDAD DE LAS RESPUESTAS EMITIDAS EN EL SISTEMA DISTRITAL PARA LA GESTIÓN DE PETICIONES CIUDADANAS – BOGOTÁ TE ESCUCH).
En los casos que corresponda se emite un memorando a la dependencia en la que se presenta la situación con copia a Oficina de Control Interno reportando el hecho.</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</si>
  <si>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</si>
  <si>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Back up y restauración de información
Modificaciones al plan de adquisiciones.</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</si>
  <si>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</si>
  <si>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</si>
  <si>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Realizar seguimiento al contrato que soporta los servicios de TI, capacitar al personal del proceso de Gestión de TIC de acuerdo con la necesidad</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</si>
  <si>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</si>
  <si>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 xml:space="preserve">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
</t>
  </si>
  <si>
    <t>Bajos niveles de agregación de valor para mejorar las operaciones en los procesos de gobierno, riesgos y control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</si>
  <si>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</si>
  <si>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</si>
  <si>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 xml:space="preserve">
Inadecuada seguimiento a la planeación Institucional</t>
  </si>
  <si>
    <t xml:space="preserve">Verificar el adecuado diligenciamiento y actualización de los inventarios documentales </t>
  </si>
  <si>
    <t>El Servidor del punto de contacto envía al profesional de Atención al ciudadano al finalizar el mes el reporte de las quejas y reclamos , que servirá como insumo para el registro en la Matriz de seguimiento a quejas y reclamos de acuerdo con la magnitud de la queja o reclamo los mismos serán elevados al Comité Institucional de Gestión y Desempeño.</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</si>
  <si>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</si>
  <si>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</si>
  <si>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</si>
  <si>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</si>
  <si>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</si>
  <si>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</si>
  <si>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Administrar, gestionar y realizar seguimiento al desarrollo integral de los proyectos urbanos para garantizar su ejecución de acuerdo con sus objetivos y la misionalidad de la empresa.</t>
  </si>
  <si>
    <t>Gestionar la elaboración de los estudios, diseños técnicos y urbanísticos; ejecutar las obras de urbanismo y construcción necesarias para el desarrollo de los proyectos de la empresa y entregar las cesiones públicas a empresas de servicios públicos, IDU, IDRD y al DADEP.</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</si>
  <si>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</si>
  <si>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</si>
  <si>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</si>
  <si>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</si>
  <si>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</si>
  <si>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Generar el reporte a los entes internos y externos que corresponda</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</si>
  <si>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</si>
  <si>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</si>
  <si>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Elaborar un protocolo de seguridad de tesorería</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</si>
  <si>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 )</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</si>
  <si>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</si>
  <si>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Mapa Riesgos Institucional Empresa de Renovación y Desarrollo Urbano de Bogotá -  2021 V4</t>
  </si>
  <si>
    <r>
      <rPr>
        <b/>
        <sz val="11"/>
        <rFont val="Arial Narrow"/>
        <family val="2"/>
      </rPr>
      <t>RIESGO ASOCIADO A TRÁMITES:</t>
    </r>
    <r>
      <rPr>
        <sz val="11"/>
        <rFont val="Arial Narrow"/>
        <family val="2"/>
      </rPr>
      <t xml:space="preserve">
Posibilidad de afectación reputacional debido al cobro por parte de funcionarios públicos o contratistas a los ciudadanos para la asesoría del trámite "Cumplimiento de la obligación VIS-VIP a través de compensación económica", por la falta de información o claridad de los consultores en el inicio y fin del trámite que surte la empresa.</t>
    </r>
  </si>
  <si>
    <t>Presiones de grupos de interés.</t>
  </si>
  <si>
    <t>Debilidad en los controles establecidos.</t>
  </si>
  <si>
    <t>El Equipo de Estudios Previos, elabora los documentos técnicos (Estudios previos, Anexo técnico, Estudio de mercado y análisis del sector),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inicial previa al Comité de Contratación. El Subgerente de Desarrollo de Proyectos presenta el proyecto para aprobación al Comité de Contratación, se atienden las observaciones (cuando aplique) y finalmente el Subgerente de Desarrollo de Proyectos radica la solicitud de los procesos de selección y contratación a la Dirección de Gestión Contractual para la elaboración de los términos de referencia correspondiente. Si el proceso se debe adelantar con recursos de Fiducia, se presenta al Comité Fiduciario para aprobación. Una vez aprobado por este Comité se remite al área jurídica de la Fiducia para revisión de los términos de referencia.</t>
  </si>
  <si>
    <t>Realizar socializaciones sobre los valores de la Empresa al equipo de la SGDP.</t>
  </si>
  <si>
    <t>Informar a las instancias internas y externas de control que corresponda.</t>
  </si>
  <si>
    <t>Incumplimiento de los requisitos técnicos.</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</si>
  <si>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esta a su vez del cumplimiento de las obligaciones del consultor o constructor.</t>
  </si>
  <si>
    <t>Realizar visita técnica a la obra y/o registro fotográfico y/o Acta de reunión por parte del Supervisor.</t>
  </si>
  <si>
    <t>Incumplimiento de los requisitos exigidos por las Entidades competentes para la entrega de las obras urbanismo.</t>
  </si>
  <si>
    <t>Posibilidad de afectación económica y reputacional por multas, sanciones o demandas debido al incumplimiento de requisitos exigidos por las Entidades competentes para la entrega de las obras urbanismo.</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</si>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</sst>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dd/mm/yyyy"/>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i/>
      <sz val="11"/>
      <color theme="1"/>
      <name val="Arial Narrow"/>
      <family val="2"/>
    </font>
    <font>
      <sz val="11"/>
      <color rgb="FF000000"/>
      <name val="Arial Narrow"/>
      <family val="2"/>
      <charset val="1"/>
    </font>
    <font>
      <sz val="11"/>
      <name val="Arial Narrow"/>
      <family val="2"/>
      <charset val="1"/>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426">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Fill="1" applyAlignment="1">
      <alignment vertical="center"/>
    </xf>
    <xf numFmtId="0" fontId="28" fillId="0" borderId="0" xfId="0" applyFont="1" applyFill="1"/>
    <xf numFmtId="0" fontId="26" fillId="0" borderId="0" xfId="0" applyFont="1"/>
    <xf numFmtId="0" fontId="0" fillId="0" borderId="0" xfId="0" pivotButton="1"/>
    <xf numFmtId="0" fontId="12" fillId="0" borderId="0" xfId="0" applyFont="1" applyBorder="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1" borderId="0"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0"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0" fillId="3" borderId="0" xfId="0" applyFill="1"/>
    <xf numFmtId="0" fontId="48" fillId="3" borderId="51" xfId="2" applyFont="1" applyFill="1" applyBorder="1" applyProtection="1"/>
    <xf numFmtId="0" fontId="48" fillId="3" borderId="52" xfId="2" applyFont="1" applyFill="1" applyBorder="1" applyProtection="1"/>
    <xf numFmtId="0" fontId="48" fillId="3" borderId="53" xfId="2" applyFont="1" applyFill="1" applyBorder="1" applyProtection="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Border="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applyProtection="1"/>
    <xf numFmtId="0" fontId="53" fillId="3" borderId="0" xfId="0" applyFont="1" applyFill="1" applyBorder="1" applyAlignment="1" applyProtection="1">
      <alignment horizontal="left" vertical="center" wrapText="1"/>
    </xf>
    <xf numFmtId="0" fontId="54" fillId="3" borderId="0" xfId="0" applyFont="1" applyFill="1" applyBorder="1" applyAlignment="1" applyProtection="1">
      <alignment horizontal="left" vertical="top" wrapText="1"/>
    </xf>
    <xf numFmtId="0" fontId="48" fillId="3" borderId="0" xfId="2" applyFont="1" applyFill="1" applyBorder="1" applyProtection="1"/>
    <xf numFmtId="0" fontId="48" fillId="3" borderId="15" xfId="2" applyFont="1" applyFill="1" applyBorder="1" applyProtection="1"/>
    <xf numFmtId="0" fontId="48" fillId="3" borderId="16" xfId="2" applyFont="1" applyFill="1" applyBorder="1" applyProtection="1"/>
    <xf numFmtId="0" fontId="48" fillId="3" borderId="18" xfId="2" applyFont="1" applyFill="1" applyBorder="1" applyProtection="1"/>
    <xf numFmtId="0" fontId="48" fillId="3" borderId="17" xfId="2" applyFont="1" applyFill="1" applyBorder="1" applyProtection="1"/>
    <xf numFmtId="0" fontId="52" fillId="3" borderId="0" xfId="2" applyFont="1" applyFill="1" applyBorder="1" applyAlignment="1" applyProtection="1">
      <alignment horizontal="left" vertical="center" wrapText="1"/>
    </xf>
    <xf numFmtId="0" fontId="48" fillId="3" borderId="0" xfId="2" applyFont="1" applyFill="1" applyBorder="1" applyAlignment="1" applyProtection="1">
      <alignment horizontal="left" vertical="center" wrapText="1"/>
    </xf>
    <xf numFmtId="0" fontId="48" fillId="3" borderId="0" xfId="2" quotePrefix="1" applyFont="1" applyFill="1" applyBorder="1" applyAlignment="1" applyProtection="1">
      <alignment horizontal="left" vertical="center" wrapText="1"/>
    </xf>
    <xf numFmtId="0" fontId="48" fillId="3" borderId="15" xfId="2" applyFont="1" applyFill="1" applyBorder="1" applyAlignment="1" applyProtection="1"/>
    <xf numFmtId="0" fontId="50" fillId="3" borderId="14" xfId="2" quotePrefix="1" applyFont="1" applyFill="1" applyBorder="1" applyAlignment="1" applyProtection="1">
      <alignment horizontal="left" vertical="top" wrapText="1"/>
    </xf>
    <xf numFmtId="0" fontId="51" fillId="3" borderId="0" xfId="2" quotePrefix="1" applyFont="1" applyFill="1" applyBorder="1" applyAlignment="1" applyProtection="1">
      <alignment horizontal="left" vertical="top" wrapText="1"/>
    </xf>
    <xf numFmtId="0" fontId="51" fillId="3" borderId="15" xfId="2" quotePrefix="1" applyFont="1" applyFill="1" applyBorder="1" applyAlignment="1" applyProtection="1">
      <alignment horizontal="left" vertical="top" wrapText="1"/>
    </xf>
    <xf numFmtId="0" fontId="1" fillId="0" borderId="6" xfId="0" applyFont="1" applyBorder="1" applyAlignment="1">
      <alignment horizontal="center" vertical="center"/>
    </xf>
    <xf numFmtId="0" fontId="1" fillId="0" borderId="2" xfId="0" applyFont="1" applyBorder="1" applyAlignment="1" applyProtection="1">
      <alignment horizontal="center" vertical="center"/>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Fill="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9" fillId="12" borderId="13"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wrapText="1"/>
      <protection locked="0"/>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6" fillId="0" borderId="2" xfId="0" applyNumberFormat="1" applyFont="1" applyBorder="1" applyAlignment="1" applyProtection="1">
      <alignment horizontal="center" vertical="center"/>
      <protection locked="0"/>
    </xf>
    <xf numFmtId="0" fontId="1" fillId="0" borderId="84" xfId="0" applyFont="1" applyBorder="1" applyAlignment="1">
      <alignment horizontal="center" vertical="center" wrapText="1"/>
    </xf>
    <xf numFmtId="0" fontId="1" fillId="0" borderId="84" xfId="0" applyFont="1" applyBorder="1" applyAlignment="1">
      <alignment horizontal="center" vertical="center"/>
    </xf>
    <xf numFmtId="165" fontId="1" fillId="0" borderId="84" xfId="0" applyNumberFormat="1" applyFont="1" applyBorder="1" applyAlignment="1">
      <alignment horizontal="center" vertical="center"/>
    </xf>
    <xf numFmtId="164" fontId="1" fillId="3" borderId="2" xfId="1" applyNumberFormat="1" applyFont="1" applyFill="1" applyBorder="1" applyAlignment="1">
      <alignment horizontal="center" vertical="center"/>
    </xf>
    <xf numFmtId="0" fontId="2" fillId="0" borderId="2" xfId="0" applyFont="1" applyBorder="1" applyAlignment="1" applyProtection="1">
      <alignment horizontal="center" vertical="center"/>
      <protection locked="0"/>
    </xf>
    <xf numFmtId="14" fontId="2" fillId="0" borderId="2" xfId="0" applyNumberFormat="1" applyFont="1" applyBorder="1" applyAlignment="1" applyProtection="1">
      <alignment horizontal="center" vertical="center"/>
      <protection locked="0"/>
    </xf>
    <xf numFmtId="0" fontId="2" fillId="0" borderId="2" xfId="0" applyFont="1" applyBorder="1" applyAlignment="1" applyProtection="1">
      <alignment horizontal="justify" vertical="center" wrapText="1"/>
      <protection locked="0"/>
    </xf>
    <xf numFmtId="164" fontId="2" fillId="0" borderId="2" xfId="1" applyNumberFormat="1" applyFont="1" applyBorder="1" applyAlignment="1">
      <alignment horizontal="center" vertical="center"/>
    </xf>
    <xf numFmtId="0" fontId="58" fillId="0" borderId="85" xfId="0" applyFont="1" applyBorder="1" applyAlignment="1" applyProtection="1">
      <alignment horizontal="center" vertical="center"/>
      <protection locked="0"/>
    </xf>
    <xf numFmtId="166" fontId="58" fillId="0" borderId="85" xfId="0" applyNumberFormat="1" applyFont="1" applyBorder="1" applyAlignment="1" applyProtection="1">
      <alignment horizontal="center" vertical="center"/>
      <protection locked="0"/>
    </xf>
    <xf numFmtId="0" fontId="1" fillId="0" borderId="2" xfId="0" applyFont="1" applyBorder="1" applyAlignment="1" applyProtection="1">
      <alignment horizontal="justify" vertical="center" wrapText="1"/>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0" fontId="6" fillId="0" borderId="2" xfId="0" applyFont="1" applyFill="1" applyBorder="1" applyAlignment="1" applyProtection="1">
      <alignment horizontal="justify" vertical="center" wrapText="1"/>
      <protection locked="0"/>
    </xf>
    <xf numFmtId="0" fontId="1" fillId="0" borderId="84" xfId="0" applyFont="1" applyBorder="1" applyAlignment="1">
      <alignment horizontal="justify" vertical="center" wrapText="1"/>
    </xf>
    <xf numFmtId="0" fontId="1" fillId="0" borderId="2" xfId="0" quotePrefix="1" applyFont="1" applyBorder="1" applyAlignment="1" applyProtection="1">
      <alignment horizontal="justify" vertical="center" wrapText="1"/>
      <protection locked="0"/>
    </xf>
    <xf numFmtId="0" fontId="58" fillId="0" borderId="85" xfId="0" applyFont="1" applyBorder="1" applyAlignment="1" applyProtection="1">
      <alignment horizontal="justify" vertical="center" wrapText="1"/>
      <protection locked="0"/>
    </xf>
    <xf numFmtId="0" fontId="59" fillId="0" borderId="85" xfId="0" applyFont="1" applyBorder="1" applyAlignment="1" applyProtection="1">
      <alignment horizontal="justify" vertical="center" wrapText="1"/>
      <protection locked="0"/>
    </xf>
    <xf numFmtId="0" fontId="1" fillId="0" borderId="6"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84" xfId="0" applyFont="1" applyBorder="1" applyAlignment="1">
      <alignment horizontal="justify" vertical="center" wrapText="1"/>
    </xf>
    <xf numFmtId="0" fontId="48" fillId="0" borderId="2" xfId="0" applyFont="1" applyFill="1" applyBorder="1" applyAlignment="1" applyProtection="1">
      <alignment horizontal="center" vertical="center"/>
      <protection locked="0"/>
    </xf>
    <xf numFmtId="14" fontId="48" fillId="0" borderId="2" xfId="0" applyNumberFormat="1" applyFont="1" applyFill="1" applyBorder="1" applyAlignment="1" applyProtection="1">
      <alignment horizontal="center" vertical="center"/>
      <protection locked="0"/>
    </xf>
    <xf numFmtId="14" fontId="48" fillId="0" borderId="2" xfId="0" applyNumberFormat="1" applyFont="1" applyBorder="1" applyAlignment="1" applyProtection="1">
      <alignment horizontal="center" vertical="center"/>
      <protection locked="0"/>
    </xf>
    <xf numFmtId="0" fontId="54" fillId="3" borderId="64" xfId="2" applyFont="1" applyFill="1" applyBorder="1" applyAlignment="1" applyProtection="1">
      <alignment horizontal="justify" vertical="center" wrapText="1"/>
    </xf>
    <xf numFmtId="0" fontId="54" fillId="3" borderId="65" xfId="2" applyFont="1" applyFill="1" applyBorder="1" applyAlignment="1" applyProtection="1">
      <alignment horizontal="justify" vertical="center" wrapText="1"/>
    </xf>
    <xf numFmtId="0" fontId="53" fillId="3" borderId="71" xfId="0" applyFont="1" applyFill="1" applyBorder="1" applyAlignment="1" applyProtection="1">
      <alignment horizontal="left" vertical="center" wrapText="1"/>
    </xf>
    <xf numFmtId="0" fontId="53" fillId="3" borderId="72" xfId="0" applyFont="1" applyFill="1" applyBorder="1" applyAlignment="1" applyProtection="1">
      <alignment horizontal="left" vertical="center" wrapText="1"/>
    </xf>
    <xf numFmtId="0" fontId="53" fillId="3" borderId="58" xfId="3" applyFont="1" applyFill="1" applyBorder="1" applyAlignment="1" applyProtection="1">
      <alignment horizontal="left" vertical="top" wrapText="1" readingOrder="1"/>
    </xf>
    <xf numFmtId="0" fontId="53" fillId="3" borderId="59" xfId="3" applyFont="1" applyFill="1" applyBorder="1" applyAlignment="1" applyProtection="1">
      <alignment horizontal="left" vertical="top" wrapText="1" readingOrder="1"/>
    </xf>
    <xf numFmtId="0" fontId="54" fillId="3" borderId="60" xfId="2" applyFont="1" applyFill="1" applyBorder="1" applyAlignment="1" applyProtection="1">
      <alignment horizontal="justify" vertical="center" wrapText="1"/>
    </xf>
    <xf numFmtId="0" fontId="54" fillId="3" borderId="61" xfId="2" applyFont="1" applyFill="1" applyBorder="1" applyAlignment="1" applyProtection="1">
      <alignment horizontal="justify" vertical="center" wrapText="1"/>
    </xf>
    <xf numFmtId="0" fontId="53" fillId="3" borderId="62" xfId="0" applyFont="1" applyFill="1" applyBorder="1" applyAlignment="1" applyProtection="1">
      <alignment horizontal="left" vertical="center" wrapText="1"/>
    </xf>
    <xf numFmtId="0" fontId="53" fillId="3" borderId="63" xfId="0" applyFont="1" applyFill="1" applyBorder="1" applyAlignment="1" applyProtection="1">
      <alignment horizontal="left" vertical="center" wrapText="1"/>
    </xf>
    <xf numFmtId="0" fontId="48" fillId="3" borderId="14" xfId="2" applyFont="1" applyFill="1" applyBorder="1" applyAlignment="1" applyProtection="1">
      <alignment horizontal="left" vertical="top" wrapText="1"/>
    </xf>
    <xf numFmtId="0" fontId="48" fillId="3" borderId="0" xfId="2" applyFont="1" applyFill="1" applyBorder="1" applyAlignment="1" applyProtection="1">
      <alignment horizontal="left" vertical="top" wrapText="1"/>
    </xf>
    <xf numFmtId="0" fontId="48" fillId="3" borderId="15" xfId="2" applyFont="1" applyFill="1" applyBorder="1" applyAlignment="1" applyProtection="1">
      <alignment horizontal="left" vertical="top" wrapText="1"/>
    </xf>
    <xf numFmtId="0" fontId="53" fillId="3" borderId="73" xfId="0" applyFont="1" applyFill="1" applyBorder="1" applyAlignment="1" applyProtection="1">
      <alignment horizontal="left" vertical="center" wrapText="1"/>
    </xf>
    <xf numFmtId="0" fontId="53" fillId="3" borderId="74" xfId="0" applyFont="1" applyFill="1" applyBorder="1" applyAlignment="1" applyProtection="1">
      <alignment horizontal="left" vertical="center" wrapText="1"/>
    </xf>
    <xf numFmtId="0" fontId="54" fillId="3" borderId="66" xfId="0" applyFont="1" applyFill="1" applyBorder="1" applyAlignment="1" applyProtection="1">
      <alignment horizontal="justify" vertical="center" wrapText="1"/>
    </xf>
    <xf numFmtId="0" fontId="54" fillId="3" borderId="67" xfId="0" applyFont="1" applyFill="1" applyBorder="1" applyAlignment="1" applyProtection="1">
      <alignment horizontal="justify" vertical="center" wrapText="1"/>
    </xf>
    <xf numFmtId="0" fontId="49" fillId="14" borderId="48" xfId="2" applyFont="1" applyFill="1" applyBorder="1" applyAlignment="1" applyProtection="1">
      <alignment horizontal="center" vertical="center" wrapText="1"/>
    </xf>
    <xf numFmtId="0" fontId="49" fillId="14" borderId="49" xfId="2" applyFont="1" applyFill="1" applyBorder="1" applyAlignment="1" applyProtection="1">
      <alignment horizontal="center" vertical="center" wrapText="1"/>
    </xf>
    <xf numFmtId="0" fontId="49" fillId="14" borderId="50" xfId="2" applyFont="1" applyFill="1" applyBorder="1" applyAlignment="1" applyProtection="1">
      <alignment horizontal="center" vertical="center" wrapText="1"/>
    </xf>
    <xf numFmtId="0" fontId="48" fillId="0" borderId="14" xfId="2" quotePrefix="1" applyFont="1" applyBorder="1" applyAlignment="1" applyProtection="1">
      <alignment horizontal="left" vertical="center" wrapText="1"/>
    </xf>
    <xf numFmtId="0" fontId="48" fillId="0" borderId="0" xfId="2" quotePrefix="1" applyFont="1" applyBorder="1" applyAlignment="1" applyProtection="1">
      <alignment horizontal="left" vertical="center" wrapText="1"/>
    </xf>
    <xf numFmtId="0" fontId="48" fillId="0" borderId="15" xfId="2" quotePrefix="1" applyFont="1" applyBorder="1" applyAlignment="1" applyProtection="1">
      <alignment horizontal="left" vertical="center" wrapText="1"/>
    </xf>
    <xf numFmtId="0" fontId="48" fillId="0" borderId="68" xfId="2" quotePrefix="1" applyFont="1" applyBorder="1" applyAlignment="1" applyProtection="1">
      <alignment horizontal="left" vertical="center" wrapText="1"/>
    </xf>
    <xf numFmtId="0" fontId="48" fillId="0" borderId="69" xfId="2" quotePrefix="1" applyFont="1" applyBorder="1" applyAlignment="1" applyProtection="1">
      <alignment horizontal="left" vertical="center" wrapText="1"/>
    </xf>
    <xf numFmtId="0" fontId="48" fillId="0" borderId="70" xfId="2" quotePrefix="1" applyFont="1" applyBorder="1" applyAlignment="1" applyProtection="1">
      <alignment horizontal="left" vertical="center" wrapText="1"/>
    </xf>
    <xf numFmtId="0" fontId="50" fillId="3" borderId="51" xfId="2" quotePrefix="1" applyFont="1" applyFill="1" applyBorder="1" applyAlignment="1" applyProtection="1">
      <alignment horizontal="left" vertical="top" wrapText="1"/>
    </xf>
    <xf numFmtId="0" fontId="51" fillId="3" borderId="52" xfId="2" quotePrefix="1" applyFont="1" applyFill="1" applyBorder="1" applyAlignment="1" applyProtection="1">
      <alignment horizontal="left" vertical="top" wrapText="1"/>
    </xf>
    <xf numFmtId="0" fontId="51" fillId="3" borderId="53" xfId="2" quotePrefix="1" applyFont="1" applyFill="1" applyBorder="1" applyAlignment="1" applyProtection="1">
      <alignment horizontal="left" vertical="top" wrapText="1"/>
    </xf>
    <xf numFmtId="0" fontId="48" fillId="0" borderId="14" xfId="2" quotePrefix="1" applyFont="1" applyBorder="1" applyAlignment="1" applyProtection="1">
      <alignment horizontal="left" vertical="top" wrapText="1"/>
    </xf>
    <xf numFmtId="0" fontId="48" fillId="0" borderId="0" xfId="2" quotePrefix="1" applyFont="1" applyBorder="1" applyAlignment="1" applyProtection="1">
      <alignment horizontal="left" vertical="top" wrapText="1"/>
    </xf>
    <xf numFmtId="0" fontId="48" fillId="0" borderId="15" xfId="2" quotePrefix="1" applyFont="1" applyBorder="1" applyAlignment="1" applyProtection="1">
      <alignment horizontal="left" vertical="top" wrapText="1"/>
    </xf>
    <xf numFmtId="0" fontId="53" fillId="14" borderId="54" xfId="3" applyFont="1" applyFill="1" applyBorder="1" applyAlignment="1" applyProtection="1">
      <alignment horizontal="center" vertical="center" wrapText="1"/>
    </xf>
    <xf numFmtId="0" fontId="53" fillId="14" borderId="55" xfId="3" applyFont="1" applyFill="1" applyBorder="1" applyAlignment="1" applyProtection="1">
      <alignment horizontal="center" vertical="center" wrapText="1"/>
    </xf>
    <xf numFmtId="0" fontId="53" fillId="14" borderId="56" xfId="2" applyFont="1" applyFill="1" applyBorder="1" applyAlignment="1" applyProtection="1">
      <alignment horizontal="center" vertical="center"/>
    </xf>
    <xf numFmtId="0" fontId="53"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4" fillId="0" borderId="4" xfId="0" applyFont="1" applyFill="1" applyBorder="1" applyAlignment="1" applyProtection="1">
      <alignment horizontal="center" vertical="center" wrapText="1"/>
      <protection hidden="1"/>
    </xf>
    <xf numFmtId="0" fontId="4" fillId="0" borderId="8" xfId="0" applyFont="1" applyFill="1" applyBorder="1" applyAlignment="1" applyProtection="1">
      <alignment horizontal="center" vertical="center" wrapText="1"/>
      <protection hidden="1"/>
    </xf>
    <xf numFmtId="0" fontId="4" fillId="0" borderId="5" xfId="0" applyFont="1" applyFill="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8" xfId="0" applyFont="1" applyBorder="1" applyAlignment="1" applyProtection="1">
      <alignment horizontal="center" vertical="center"/>
    </xf>
    <xf numFmtId="0" fontId="1" fillId="0" borderId="4"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4" xfId="0" applyFont="1" applyBorder="1" applyAlignment="1" applyProtection="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4" xfId="0" applyFont="1" applyBorder="1" applyAlignment="1" applyProtection="1">
      <alignment horizontal="justify" vertical="center" wrapText="1"/>
    </xf>
    <xf numFmtId="0" fontId="1" fillId="0" borderId="8" xfId="0" applyFont="1" applyBorder="1" applyAlignment="1" applyProtection="1">
      <alignment horizontal="justify" vertical="center" wrapText="1"/>
    </xf>
    <xf numFmtId="0" fontId="1" fillId="0" borderId="4" xfId="0" quotePrefix="1" applyFont="1" applyBorder="1" applyAlignment="1" applyProtection="1">
      <alignment horizontal="center" vertical="center" wrapText="1"/>
      <protection locked="0"/>
    </xf>
    <xf numFmtId="0" fontId="1" fillId="0" borderId="4" xfId="0" applyFont="1" applyBorder="1" applyAlignment="1" applyProtection="1">
      <alignment horizontal="justify" vertical="center"/>
    </xf>
    <xf numFmtId="0" fontId="1" fillId="0" borderId="8" xfId="0" applyFont="1" applyBorder="1" applyAlignment="1" applyProtection="1">
      <alignment horizontal="justify" vertical="center"/>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1" fillId="0" borderId="5" xfId="0" applyFont="1" applyBorder="1" applyAlignment="1" applyProtection="1">
      <alignment horizontal="justify" vertical="center" wrapText="1"/>
    </xf>
    <xf numFmtId="0" fontId="1" fillId="0" borderId="5" xfId="0" applyFont="1" applyBorder="1" applyAlignment="1" applyProtection="1">
      <alignment horizontal="center" vertical="center"/>
    </xf>
    <xf numFmtId="9" fontId="1" fillId="0" borderId="5" xfId="0" applyNumberFormat="1" applyFont="1" applyBorder="1" applyAlignment="1" applyProtection="1">
      <alignment horizontal="center" vertical="center" wrapText="1"/>
      <protection locked="0"/>
    </xf>
    <xf numFmtId="0" fontId="1" fillId="0" borderId="4" xfId="0" quotePrefix="1"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1"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79" xfId="0" applyFont="1" applyFill="1" applyBorder="1" applyAlignment="1" applyProtection="1">
      <alignment horizontal="center" wrapText="1" readingOrder="1"/>
      <protection hidden="1"/>
    </xf>
    <xf numFmtId="0" fontId="20" fillId="13" borderId="78" xfId="0" applyFont="1" applyFill="1" applyBorder="1" applyAlignment="1" applyProtection="1">
      <alignment horizont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78"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3" borderId="75" xfId="0" applyFont="1" applyFill="1" applyBorder="1" applyAlignment="1" applyProtection="1">
      <alignment horizontal="center" wrapText="1" readingOrder="1"/>
      <protection hidden="1"/>
    </xf>
    <xf numFmtId="0" fontId="20" fillId="13" borderId="76" xfId="0" applyFont="1" applyFill="1" applyBorder="1" applyAlignment="1" applyProtection="1">
      <alignment horizontal="center" wrapText="1" readingOrder="1"/>
      <protection hidden="1"/>
    </xf>
    <xf numFmtId="0" fontId="20" fillId="13" borderId="77" xfId="0" applyFont="1" applyFill="1" applyBorder="1" applyAlignment="1" applyProtection="1">
      <alignment horizontal="center" wrapText="1" readingOrder="1"/>
      <protection hidden="1"/>
    </xf>
    <xf numFmtId="0" fontId="20" fillId="13" borderId="80" xfId="0" applyFont="1" applyFill="1" applyBorder="1" applyAlignment="1" applyProtection="1">
      <alignment horizontal="center" wrapText="1" readingOrder="1"/>
      <protection hidden="1"/>
    </xf>
    <xf numFmtId="0" fontId="20" fillId="13" borderId="81" xfId="0" applyFont="1" applyFill="1" applyBorder="1" applyAlignment="1" applyProtection="1">
      <alignment horizontal="center" wrapText="1" readingOrder="1"/>
      <protection hidden="1"/>
    </xf>
    <xf numFmtId="0" fontId="20" fillId="13" borderId="83" xfId="0" applyFont="1" applyFill="1" applyBorder="1" applyAlignment="1" applyProtection="1">
      <alignment horizontal="center" wrapText="1" readingOrder="1"/>
      <protection hidden="1"/>
    </xf>
    <xf numFmtId="0" fontId="20" fillId="11" borderId="75" xfId="0" applyFont="1" applyFill="1" applyBorder="1" applyAlignment="1" applyProtection="1">
      <alignment horizontal="center" vertical="center" wrapText="1" readingOrder="1"/>
      <protection hidden="1"/>
    </xf>
    <xf numFmtId="0" fontId="20" fillId="11" borderId="76" xfId="0" applyFont="1" applyFill="1" applyBorder="1" applyAlignment="1" applyProtection="1">
      <alignment horizontal="center" vertical="center" wrapText="1" readingOrder="1"/>
      <protection hidden="1"/>
    </xf>
    <xf numFmtId="0" fontId="20" fillId="12" borderId="78" xfId="0" applyFont="1" applyFill="1" applyBorder="1" applyAlignment="1" applyProtection="1">
      <alignment horizontal="center" wrapText="1" readingOrder="1"/>
      <protection hidden="1"/>
    </xf>
    <xf numFmtId="0" fontId="20" fillId="12" borderId="79"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75" xfId="0" applyFont="1" applyFill="1" applyBorder="1" applyAlignment="1" applyProtection="1">
      <alignment horizontal="center" wrapText="1" readingOrder="1"/>
      <protection hidden="1"/>
    </xf>
    <xf numFmtId="0" fontId="20" fillId="12" borderId="76"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0"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wrapText="1"/>
    </xf>
    <xf numFmtId="0" fontId="17" fillId="0" borderId="0" xfId="0" applyFont="1" applyBorder="1" applyAlignment="1">
      <alignment horizontal="center" vertical="center" wrapText="1"/>
    </xf>
    <xf numFmtId="0" fontId="20" fillId="11" borderId="19"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77"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Border="1" applyAlignment="1">
      <alignment horizontal="center" vertical="center" wrapText="1" readingOrder="1"/>
    </xf>
    <xf numFmtId="0" fontId="41" fillId="11" borderId="24" xfId="0" applyFont="1" applyFill="1" applyBorder="1" applyAlignment="1">
      <alignment horizontal="center" vertical="center" wrapText="1" readingOrder="1"/>
    </xf>
    <xf numFmtId="0" fontId="41" fillId="11" borderId="25" xfId="0" applyFont="1" applyFill="1" applyBorder="1" applyAlignment="1">
      <alignment horizontal="center" vertical="center" wrapText="1" readingOrder="1"/>
    </xf>
    <xf numFmtId="0" fontId="41" fillId="11" borderId="26" xfId="0" applyFont="1" applyFill="1" applyBorder="1" applyAlignment="1">
      <alignment horizontal="center" vertical="center" wrapText="1" readingOrder="1"/>
    </xf>
    <xf numFmtId="0" fontId="41" fillId="11" borderId="27"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Border="1" applyAlignment="1">
      <alignment horizontal="center" vertical="center"/>
    </xf>
    <xf numFmtId="0" fontId="42" fillId="0" borderId="14" xfId="0" applyFont="1" applyBorder="1" applyAlignment="1">
      <alignment horizontal="center" vertical="center"/>
    </xf>
    <xf numFmtId="0" fontId="42" fillId="0" borderId="0" xfId="0" applyFont="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Border="1" applyAlignment="1">
      <alignment horizontal="center" vertical="center" wrapText="1" readingOrder="1"/>
    </xf>
    <xf numFmtId="0" fontId="41" fillId="12" borderId="24" xfId="0" applyFont="1" applyFill="1" applyBorder="1" applyAlignment="1">
      <alignment horizontal="center" vertical="center" wrapText="1" readingOrder="1"/>
    </xf>
    <xf numFmtId="0" fontId="41" fillId="12" borderId="25" xfId="0" applyFont="1" applyFill="1" applyBorder="1" applyAlignment="1">
      <alignment horizontal="center" vertical="center" wrapText="1" readingOrder="1"/>
    </xf>
    <xf numFmtId="0" fontId="41" fillId="12" borderId="26" xfId="0" applyFont="1" applyFill="1" applyBorder="1" applyAlignment="1">
      <alignment horizontal="center" vertical="center" wrapText="1" readingOrder="1"/>
    </xf>
    <xf numFmtId="0" fontId="41" fillId="12" borderId="27"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Border="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5" borderId="25" xfId="0" applyFont="1" applyFill="1" applyBorder="1" applyAlignment="1">
      <alignment horizontal="center" vertical="center" wrapText="1" readingOrder="1"/>
    </xf>
    <xf numFmtId="0" fontId="41" fillId="5" borderId="26" xfId="0" applyFont="1" applyFill="1" applyBorder="1" applyAlignment="1">
      <alignment horizontal="center" vertical="center" wrapText="1" readingOrder="1"/>
    </xf>
    <xf numFmtId="0" fontId="41" fillId="5" borderId="27"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Border="1" applyAlignment="1">
      <alignment horizontal="center" vertical="center" wrapText="1" readingOrder="1"/>
    </xf>
    <xf numFmtId="0" fontId="41" fillId="13" borderId="24" xfId="0" applyFont="1" applyFill="1" applyBorder="1" applyAlignment="1">
      <alignment horizontal="center" vertical="center" wrapText="1" readingOrder="1"/>
    </xf>
    <xf numFmtId="0" fontId="41" fillId="13" borderId="25" xfId="0" applyFont="1" applyFill="1" applyBorder="1" applyAlignment="1">
      <alignment horizontal="center" vertical="center" wrapText="1" readingOrder="1"/>
    </xf>
    <xf numFmtId="0" fontId="41" fillId="13" borderId="26" xfId="0" applyFont="1" applyFill="1" applyBorder="1" applyAlignment="1">
      <alignment horizontal="center" vertical="center" wrapText="1" readingOrder="1"/>
    </xf>
    <xf numFmtId="0" fontId="41" fillId="13" borderId="27" xfId="0" applyFont="1" applyFill="1" applyBorder="1" applyAlignment="1">
      <alignment horizontal="center" vertical="center" wrapText="1" readingOrder="1"/>
    </xf>
    <xf numFmtId="0" fontId="42" fillId="0" borderId="78" xfId="0" applyFont="1" applyBorder="1" applyAlignment="1">
      <alignment horizontal="center" vertical="center" wrapText="1"/>
    </xf>
    <xf numFmtId="0" fontId="42" fillId="0" borderId="78" xfId="0" applyFont="1" applyBorder="1" applyAlignment="1">
      <alignment horizontal="center" vertical="center"/>
    </xf>
    <xf numFmtId="0" fontId="42" fillId="0" borderId="80" xfId="0" applyFont="1" applyBorder="1" applyAlignment="1">
      <alignment horizontal="center" vertical="center"/>
    </xf>
    <xf numFmtId="0" fontId="42" fillId="0" borderId="81" xfId="0" applyFont="1" applyBorder="1" applyAlignment="1">
      <alignment horizontal="center" vertical="center"/>
    </xf>
    <xf numFmtId="0" fontId="42" fillId="0" borderId="82" xfId="0" applyFont="1" applyBorder="1" applyAlignment="1">
      <alignment horizontal="center" vertical="center"/>
    </xf>
    <xf numFmtId="0" fontId="42" fillId="0" borderId="0" xfId="0" applyFont="1" applyBorder="1" applyAlignment="1">
      <alignment horizontal="center" vertical="center" wrapText="1"/>
    </xf>
    <xf numFmtId="0" fontId="42" fillId="0" borderId="79" xfId="0" applyFont="1" applyBorder="1" applyAlignment="1">
      <alignment horizontal="center" vertical="center"/>
    </xf>
    <xf numFmtId="0" fontId="42" fillId="0" borderId="83" xfId="0" applyFont="1" applyBorder="1" applyAlignment="1">
      <alignment horizontal="center" vertical="center"/>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Border="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583">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apa%20de%20riesgos%20institucional%20-%20Consolidado%2012.1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P.DESKTOP-EGJVJ8T\Documents\EPQ%20130521\Documentos\EPQ\ERU\Mapas%20de%20riesgo\2021\Revision\MR%20Ejec%20Proy%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mpacto"/>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2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zoomScale="110" zoomScaleNormal="110" workbookViewId="0">
      <selection activeCell="C12" sqref="C12:F37"/>
    </sheetView>
  </sheetViews>
  <sheetFormatPr baseColWidth="10" defaultRowHeight="15" x14ac:dyDescent="0.25"/>
  <cols>
    <col min="1" max="1" width="2.85546875" style="58" customWidth="1"/>
    <col min="2" max="3" width="24.7109375" style="58" customWidth="1"/>
    <col min="4" max="4" width="16" style="58" customWidth="1"/>
    <col min="5" max="5" width="24.7109375" style="58" customWidth="1"/>
    <col min="6" max="6" width="27.7109375" style="58" customWidth="1"/>
    <col min="7" max="8" width="24.7109375" style="58" customWidth="1"/>
    <col min="9" max="16384" width="11.42578125" style="58"/>
  </cols>
  <sheetData>
    <row r="1" spans="2:8" ht="15.75" thickBot="1" x14ac:dyDescent="0.3"/>
    <row r="2" spans="2:8" ht="18" x14ac:dyDescent="0.25">
      <c r="B2" s="179" t="s">
        <v>157</v>
      </c>
      <c r="C2" s="180"/>
      <c r="D2" s="180"/>
      <c r="E2" s="180"/>
      <c r="F2" s="180"/>
      <c r="G2" s="180"/>
      <c r="H2" s="181"/>
    </row>
    <row r="3" spans="2:8" x14ac:dyDescent="0.25">
      <c r="B3" s="59"/>
      <c r="C3" s="60"/>
      <c r="D3" s="60"/>
      <c r="E3" s="60"/>
      <c r="F3" s="60"/>
      <c r="G3" s="60"/>
      <c r="H3" s="61"/>
    </row>
    <row r="4" spans="2:8" ht="63" customHeight="1" x14ac:dyDescent="0.25">
      <c r="B4" s="182" t="s">
        <v>200</v>
      </c>
      <c r="C4" s="183"/>
      <c r="D4" s="183"/>
      <c r="E4" s="183"/>
      <c r="F4" s="183"/>
      <c r="G4" s="183"/>
      <c r="H4" s="184"/>
    </row>
    <row r="5" spans="2:8" ht="63" customHeight="1" x14ac:dyDescent="0.25">
      <c r="B5" s="185"/>
      <c r="C5" s="186"/>
      <c r="D5" s="186"/>
      <c r="E5" s="186"/>
      <c r="F5" s="186"/>
      <c r="G5" s="186"/>
      <c r="H5" s="187"/>
    </row>
    <row r="6" spans="2:8" ht="16.5" x14ac:dyDescent="0.25">
      <c r="B6" s="188" t="s">
        <v>155</v>
      </c>
      <c r="C6" s="189"/>
      <c r="D6" s="189"/>
      <c r="E6" s="189"/>
      <c r="F6" s="189"/>
      <c r="G6" s="189"/>
      <c r="H6" s="190"/>
    </row>
    <row r="7" spans="2:8" ht="95.25" customHeight="1" x14ac:dyDescent="0.25">
      <c r="B7" s="198" t="s">
        <v>160</v>
      </c>
      <c r="C7" s="199"/>
      <c r="D7" s="199"/>
      <c r="E7" s="199"/>
      <c r="F7" s="199"/>
      <c r="G7" s="199"/>
      <c r="H7" s="200"/>
    </row>
    <row r="8" spans="2:8" ht="16.5" x14ac:dyDescent="0.25">
      <c r="B8" s="96"/>
      <c r="C8" s="97"/>
      <c r="D8" s="97"/>
      <c r="E8" s="97"/>
      <c r="F8" s="97"/>
      <c r="G8" s="97"/>
      <c r="H8" s="98"/>
    </row>
    <row r="9" spans="2:8" ht="16.5" customHeight="1" x14ac:dyDescent="0.25">
      <c r="B9" s="191" t="s">
        <v>193</v>
      </c>
      <c r="C9" s="192"/>
      <c r="D9" s="192"/>
      <c r="E9" s="192"/>
      <c r="F9" s="192"/>
      <c r="G9" s="192"/>
      <c r="H9" s="193"/>
    </row>
    <row r="10" spans="2:8" ht="44.25" customHeight="1" x14ac:dyDescent="0.25">
      <c r="B10" s="191"/>
      <c r="C10" s="192"/>
      <c r="D10" s="192"/>
      <c r="E10" s="192"/>
      <c r="F10" s="192"/>
      <c r="G10" s="192"/>
      <c r="H10" s="193"/>
    </row>
    <row r="11" spans="2:8" ht="15.75" thickBot="1" x14ac:dyDescent="0.3">
      <c r="B11" s="84"/>
      <c r="C11" s="87"/>
      <c r="D11" s="92"/>
      <c r="E11" s="93"/>
      <c r="F11" s="93"/>
      <c r="G11" s="94"/>
      <c r="H11" s="95"/>
    </row>
    <row r="12" spans="2:8" ht="15.75" thickTop="1" x14ac:dyDescent="0.25">
      <c r="B12" s="84"/>
      <c r="C12" s="194" t="s">
        <v>156</v>
      </c>
      <c r="D12" s="195"/>
      <c r="E12" s="196" t="s">
        <v>194</v>
      </c>
      <c r="F12" s="197"/>
      <c r="G12" s="87"/>
      <c r="H12" s="88"/>
    </row>
    <row r="13" spans="2:8" ht="35.25" customHeight="1" x14ac:dyDescent="0.25">
      <c r="B13" s="84"/>
      <c r="C13" s="166" t="s">
        <v>187</v>
      </c>
      <c r="D13" s="167"/>
      <c r="E13" s="168" t="s">
        <v>192</v>
      </c>
      <c r="F13" s="169"/>
      <c r="G13" s="87"/>
      <c r="H13" s="88"/>
    </row>
    <row r="14" spans="2:8" ht="17.25" customHeight="1" x14ac:dyDescent="0.25">
      <c r="B14" s="84"/>
      <c r="C14" s="166" t="s">
        <v>188</v>
      </c>
      <c r="D14" s="167"/>
      <c r="E14" s="168" t="s">
        <v>190</v>
      </c>
      <c r="F14" s="169"/>
      <c r="G14" s="87"/>
      <c r="H14" s="88"/>
    </row>
    <row r="15" spans="2:8" ht="19.5" customHeight="1" x14ac:dyDescent="0.25">
      <c r="B15" s="84"/>
      <c r="C15" s="166" t="s">
        <v>189</v>
      </c>
      <c r="D15" s="167"/>
      <c r="E15" s="168" t="s">
        <v>191</v>
      </c>
      <c r="F15" s="169"/>
      <c r="G15" s="87"/>
      <c r="H15" s="88"/>
    </row>
    <row r="16" spans="2:8" ht="69.75" customHeight="1" x14ac:dyDescent="0.25">
      <c r="B16" s="84"/>
      <c r="C16" s="166" t="s">
        <v>158</v>
      </c>
      <c r="D16" s="167"/>
      <c r="E16" s="168" t="s">
        <v>159</v>
      </c>
      <c r="F16" s="169"/>
      <c r="G16" s="87"/>
      <c r="H16" s="88"/>
    </row>
    <row r="17" spans="2:8" ht="34.5" customHeight="1" x14ac:dyDescent="0.25">
      <c r="B17" s="84"/>
      <c r="C17" s="170" t="s">
        <v>2</v>
      </c>
      <c r="D17" s="171"/>
      <c r="E17" s="162" t="s">
        <v>201</v>
      </c>
      <c r="F17" s="163"/>
      <c r="G17" s="87"/>
      <c r="H17" s="88"/>
    </row>
    <row r="18" spans="2:8" ht="27.75" customHeight="1" x14ac:dyDescent="0.25">
      <c r="B18" s="84"/>
      <c r="C18" s="170" t="s">
        <v>3</v>
      </c>
      <c r="D18" s="171"/>
      <c r="E18" s="162" t="s">
        <v>202</v>
      </c>
      <c r="F18" s="163"/>
      <c r="G18" s="87"/>
      <c r="H18" s="88"/>
    </row>
    <row r="19" spans="2:8" ht="28.5" customHeight="1" x14ac:dyDescent="0.25">
      <c r="B19" s="84"/>
      <c r="C19" s="170" t="s">
        <v>38</v>
      </c>
      <c r="D19" s="171"/>
      <c r="E19" s="162" t="s">
        <v>203</v>
      </c>
      <c r="F19" s="163"/>
      <c r="G19" s="87"/>
      <c r="H19" s="88"/>
    </row>
    <row r="20" spans="2:8" ht="72.75" customHeight="1" x14ac:dyDescent="0.25">
      <c r="B20" s="84"/>
      <c r="C20" s="170" t="s">
        <v>1</v>
      </c>
      <c r="D20" s="171"/>
      <c r="E20" s="162" t="s">
        <v>204</v>
      </c>
      <c r="F20" s="163"/>
      <c r="G20" s="87"/>
      <c r="H20" s="88"/>
    </row>
    <row r="21" spans="2:8" ht="64.5" customHeight="1" x14ac:dyDescent="0.25">
      <c r="B21" s="84"/>
      <c r="C21" s="170" t="s">
        <v>44</v>
      </c>
      <c r="D21" s="171"/>
      <c r="E21" s="162" t="s">
        <v>162</v>
      </c>
      <c r="F21" s="163"/>
      <c r="G21" s="87"/>
      <c r="H21" s="88"/>
    </row>
    <row r="22" spans="2:8" ht="71.25" customHeight="1" x14ac:dyDescent="0.25">
      <c r="B22" s="84"/>
      <c r="C22" s="170" t="s">
        <v>161</v>
      </c>
      <c r="D22" s="171"/>
      <c r="E22" s="162" t="s">
        <v>163</v>
      </c>
      <c r="F22" s="163"/>
      <c r="G22" s="87"/>
      <c r="H22" s="88"/>
    </row>
    <row r="23" spans="2:8" ht="55.5" customHeight="1" x14ac:dyDescent="0.25">
      <c r="B23" s="84"/>
      <c r="C23" s="164" t="s">
        <v>164</v>
      </c>
      <c r="D23" s="165"/>
      <c r="E23" s="162" t="s">
        <v>165</v>
      </c>
      <c r="F23" s="163"/>
      <c r="G23" s="87"/>
      <c r="H23" s="88"/>
    </row>
    <row r="24" spans="2:8" ht="42" customHeight="1" x14ac:dyDescent="0.25">
      <c r="B24" s="84"/>
      <c r="C24" s="164" t="s">
        <v>42</v>
      </c>
      <c r="D24" s="165"/>
      <c r="E24" s="162" t="s">
        <v>166</v>
      </c>
      <c r="F24" s="163"/>
      <c r="G24" s="87"/>
      <c r="H24" s="88"/>
    </row>
    <row r="25" spans="2:8" ht="59.25" customHeight="1" x14ac:dyDescent="0.25">
      <c r="B25" s="84"/>
      <c r="C25" s="164" t="s">
        <v>154</v>
      </c>
      <c r="D25" s="165"/>
      <c r="E25" s="162" t="s">
        <v>167</v>
      </c>
      <c r="F25" s="163"/>
      <c r="G25" s="87"/>
      <c r="H25" s="88"/>
    </row>
    <row r="26" spans="2:8" ht="23.25" customHeight="1" x14ac:dyDescent="0.25">
      <c r="B26" s="84"/>
      <c r="C26" s="164" t="s">
        <v>12</v>
      </c>
      <c r="D26" s="165"/>
      <c r="E26" s="162" t="s">
        <v>168</v>
      </c>
      <c r="F26" s="163"/>
      <c r="G26" s="87"/>
      <c r="H26" s="88"/>
    </row>
    <row r="27" spans="2:8" ht="30.75" customHeight="1" x14ac:dyDescent="0.25">
      <c r="B27" s="84"/>
      <c r="C27" s="164" t="s">
        <v>172</v>
      </c>
      <c r="D27" s="165"/>
      <c r="E27" s="162" t="s">
        <v>169</v>
      </c>
      <c r="F27" s="163"/>
      <c r="G27" s="87"/>
      <c r="H27" s="88"/>
    </row>
    <row r="28" spans="2:8" ht="35.25" customHeight="1" x14ac:dyDescent="0.25">
      <c r="B28" s="84"/>
      <c r="C28" s="164" t="s">
        <v>173</v>
      </c>
      <c r="D28" s="165"/>
      <c r="E28" s="162" t="s">
        <v>170</v>
      </c>
      <c r="F28" s="163"/>
      <c r="G28" s="87"/>
      <c r="H28" s="88"/>
    </row>
    <row r="29" spans="2:8" ht="33" customHeight="1" x14ac:dyDescent="0.25">
      <c r="B29" s="84"/>
      <c r="C29" s="164" t="s">
        <v>173</v>
      </c>
      <c r="D29" s="165"/>
      <c r="E29" s="162" t="s">
        <v>170</v>
      </c>
      <c r="F29" s="163"/>
      <c r="G29" s="87"/>
      <c r="H29" s="88"/>
    </row>
    <row r="30" spans="2:8" ht="30" customHeight="1" x14ac:dyDescent="0.25">
      <c r="B30" s="84"/>
      <c r="C30" s="164" t="s">
        <v>174</v>
      </c>
      <c r="D30" s="165"/>
      <c r="E30" s="162" t="s">
        <v>171</v>
      </c>
      <c r="F30" s="163"/>
      <c r="G30" s="87"/>
      <c r="H30" s="88"/>
    </row>
    <row r="31" spans="2:8" ht="35.25" customHeight="1" x14ac:dyDescent="0.25">
      <c r="B31" s="84"/>
      <c r="C31" s="164" t="s">
        <v>175</v>
      </c>
      <c r="D31" s="165"/>
      <c r="E31" s="162" t="s">
        <v>176</v>
      </c>
      <c r="F31" s="163"/>
      <c r="G31" s="87"/>
      <c r="H31" s="88"/>
    </row>
    <row r="32" spans="2:8" ht="31.5" customHeight="1" x14ac:dyDescent="0.25">
      <c r="B32" s="84"/>
      <c r="C32" s="164" t="s">
        <v>177</v>
      </c>
      <c r="D32" s="165"/>
      <c r="E32" s="162" t="s">
        <v>178</v>
      </c>
      <c r="F32" s="163"/>
      <c r="G32" s="87"/>
      <c r="H32" s="88"/>
    </row>
    <row r="33" spans="2:8" ht="35.25" customHeight="1" x14ac:dyDescent="0.25">
      <c r="B33" s="84"/>
      <c r="C33" s="164" t="s">
        <v>179</v>
      </c>
      <c r="D33" s="165"/>
      <c r="E33" s="162" t="s">
        <v>180</v>
      </c>
      <c r="F33" s="163"/>
      <c r="G33" s="87"/>
      <c r="H33" s="88"/>
    </row>
    <row r="34" spans="2:8" ht="59.25" customHeight="1" x14ac:dyDescent="0.25">
      <c r="B34" s="84"/>
      <c r="C34" s="164" t="s">
        <v>181</v>
      </c>
      <c r="D34" s="165"/>
      <c r="E34" s="162" t="s">
        <v>182</v>
      </c>
      <c r="F34" s="163"/>
      <c r="G34" s="87"/>
      <c r="H34" s="88"/>
    </row>
    <row r="35" spans="2:8" ht="29.25" customHeight="1" x14ac:dyDescent="0.25">
      <c r="B35" s="84"/>
      <c r="C35" s="164" t="s">
        <v>29</v>
      </c>
      <c r="D35" s="165"/>
      <c r="E35" s="162" t="s">
        <v>183</v>
      </c>
      <c r="F35" s="163"/>
      <c r="G35" s="87"/>
      <c r="H35" s="88"/>
    </row>
    <row r="36" spans="2:8" ht="82.5" customHeight="1" x14ac:dyDescent="0.25">
      <c r="B36" s="84"/>
      <c r="C36" s="164" t="s">
        <v>185</v>
      </c>
      <c r="D36" s="165"/>
      <c r="E36" s="162" t="s">
        <v>184</v>
      </c>
      <c r="F36" s="163"/>
      <c r="G36" s="87"/>
      <c r="H36" s="88"/>
    </row>
    <row r="37" spans="2:8" ht="46.5" customHeight="1" x14ac:dyDescent="0.25">
      <c r="B37" s="84"/>
      <c r="C37" s="164" t="s">
        <v>35</v>
      </c>
      <c r="D37" s="165"/>
      <c r="E37" s="162" t="s">
        <v>186</v>
      </c>
      <c r="F37" s="163"/>
      <c r="G37" s="87"/>
      <c r="H37" s="88"/>
    </row>
    <row r="38" spans="2:8" ht="6.75" customHeight="1" thickBot="1" x14ac:dyDescent="0.3">
      <c r="B38" s="84"/>
      <c r="C38" s="175"/>
      <c r="D38" s="176"/>
      <c r="E38" s="177"/>
      <c r="F38" s="178"/>
      <c r="G38" s="87"/>
      <c r="H38" s="88"/>
    </row>
    <row r="39" spans="2:8" ht="15.75" thickTop="1" x14ac:dyDescent="0.25">
      <c r="B39" s="84"/>
      <c r="C39" s="85"/>
      <c r="D39" s="85"/>
      <c r="E39" s="86"/>
      <c r="F39" s="86"/>
      <c r="G39" s="87"/>
      <c r="H39" s="88"/>
    </row>
    <row r="40" spans="2:8" ht="21" customHeight="1" x14ac:dyDescent="0.25">
      <c r="B40" s="172" t="s">
        <v>195</v>
      </c>
      <c r="C40" s="173"/>
      <c r="D40" s="173"/>
      <c r="E40" s="173"/>
      <c r="F40" s="173"/>
      <c r="G40" s="173"/>
      <c r="H40" s="174"/>
    </row>
    <row r="41" spans="2:8" ht="20.25" customHeight="1" x14ac:dyDescent="0.25">
      <c r="B41" s="172" t="s">
        <v>196</v>
      </c>
      <c r="C41" s="173"/>
      <c r="D41" s="173"/>
      <c r="E41" s="173"/>
      <c r="F41" s="173"/>
      <c r="G41" s="173"/>
      <c r="H41" s="174"/>
    </row>
    <row r="42" spans="2:8" ht="20.25" customHeight="1" x14ac:dyDescent="0.25">
      <c r="B42" s="172" t="s">
        <v>197</v>
      </c>
      <c r="C42" s="173"/>
      <c r="D42" s="173"/>
      <c r="E42" s="173"/>
      <c r="F42" s="173"/>
      <c r="G42" s="173"/>
      <c r="H42" s="174"/>
    </row>
    <row r="43" spans="2:8" ht="20.25" customHeight="1" x14ac:dyDescent="0.25">
      <c r="B43" s="172" t="s">
        <v>198</v>
      </c>
      <c r="C43" s="173"/>
      <c r="D43" s="173"/>
      <c r="E43" s="173"/>
      <c r="F43" s="173"/>
      <c r="G43" s="173"/>
      <c r="H43" s="174"/>
    </row>
    <row r="44" spans="2:8" x14ac:dyDescent="0.25">
      <c r="B44" s="172" t="s">
        <v>199</v>
      </c>
      <c r="C44" s="173"/>
      <c r="D44" s="173"/>
      <c r="E44" s="173"/>
      <c r="F44" s="173"/>
      <c r="G44" s="173"/>
      <c r="H44" s="174"/>
    </row>
    <row r="45" spans="2:8" ht="15.75" thickBot="1" x14ac:dyDescent="0.3">
      <c r="B45" s="89"/>
      <c r="C45" s="90"/>
      <c r="D45" s="90"/>
      <c r="E45" s="90"/>
      <c r="F45" s="90"/>
      <c r="G45" s="90"/>
      <c r="H45" s="91"/>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S156"/>
  <sheetViews>
    <sheetView tabSelected="1" topLeftCell="A5" zoomScale="60" zoomScaleNormal="60" workbookViewId="0">
      <pane ySplit="2" topLeftCell="A127" activePane="bottomLeft" state="frozen"/>
      <selection activeCell="A5" sqref="A5"/>
      <selection pane="bottomLeft" activeCell="B127" sqref="B127:B129"/>
    </sheetView>
  </sheetViews>
  <sheetFormatPr baseColWidth="10" defaultRowHeight="16.5" x14ac:dyDescent="0.25"/>
  <cols>
    <col min="1" max="1" width="4" style="1" bestFit="1" customWidth="1"/>
    <col min="2" max="2" width="21.7109375" style="1" customWidth="1"/>
    <col min="3" max="3" width="25.5703125" style="1" customWidth="1"/>
    <col min="4" max="4" width="20.5703125" style="1" customWidth="1"/>
    <col min="5" max="5" width="15.5703125" style="1" customWidth="1"/>
    <col min="6" max="6" width="24.42578125" style="1" customWidth="1"/>
    <col min="7" max="7" width="21.85546875" style="1" customWidth="1"/>
    <col min="8" max="8" width="32.42578125" style="2" customWidth="1"/>
    <col min="9" max="9" width="19" style="1" customWidth="1"/>
    <col min="10" max="10" width="17.85546875" style="1" customWidth="1"/>
    <col min="11" max="11" width="16.5703125" style="1" customWidth="1"/>
    <col min="12" max="12" width="6.28515625" style="1" bestFit="1" customWidth="1"/>
    <col min="13" max="13" width="33" style="1" customWidth="1"/>
    <col min="14" max="14" width="42" style="1" customWidth="1"/>
    <col min="15" max="15" width="13.28515625" style="1" bestFit="1" customWidth="1"/>
    <col min="16" max="16" width="6.28515625" style="1" bestFit="1" customWidth="1"/>
    <col min="17" max="17" width="16" style="1" customWidth="1"/>
    <col min="18" max="18" width="5.85546875" style="1" customWidth="1"/>
    <col min="19" max="19" width="45.140625" style="2" customWidth="1"/>
    <col min="20" max="20" width="15.140625" style="1" bestFit="1" customWidth="1"/>
    <col min="21" max="21" width="6.85546875" style="1" customWidth="1"/>
    <col min="22" max="22" width="5" style="1" customWidth="1"/>
    <col min="23" max="23" width="5.5703125" style="1" customWidth="1"/>
    <col min="24" max="24" width="7.140625" style="1" customWidth="1"/>
    <col min="25" max="25" width="6.7109375" style="1" customWidth="1"/>
    <col min="26" max="26" width="7.5703125" style="1" customWidth="1"/>
    <col min="27" max="27" width="10.5703125" style="1" customWidth="1"/>
    <col min="28" max="28" width="8.7109375" style="1" customWidth="1"/>
    <col min="29" max="29" width="5.5703125" style="1" bestFit="1" customWidth="1"/>
    <col min="30" max="30" width="9.28515625" style="1" customWidth="1"/>
    <col min="31" max="31" width="5.5703125" style="1" bestFit="1" customWidth="1"/>
    <col min="32" max="32" width="8.42578125" style="1" customWidth="1"/>
    <col min="33" max="33" width="7.28515625" style="1" customWidth="1"/>
    <col min="34" max="34" width="23" style="2" customWidth="1"/>
    <col min="35" max="35" width="18.85546875" style="1" customWidth="1"/>
    <col min="36" max="36" width="16.85546875" style="1" customWidth="1"/>
    <col min="37" max="37" width="14.85546875" style="1" customWidth="1"/>
    <col min="38" max="38" width="18.5703125" style="2" customWidth="1"/>
    <col min="39" max="39" width="21" style="2" hidden="1" customWidth="1"/>
    <col min="40" max="16384" width="11.42578125" style="2"/>
  </cols>
  <sheetData>
    <row r="1" spans="1:71" ht="16.5" customHeight="1" x14ac:dyDescent="0.25">
      <c r="A1" s="242" t="s">
        <v>558</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4"/>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24" customHeight="1" x14ac:dyDescent="0.25">
      <c r="A2" s="245"/>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7"/>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x14ac:dyDescent="0.25">
      <c r="A3" s="24"/>
      <c r="B3" s="24"/>
      <c r="C3" s="24"/>
      <c r="D3" s="24"/>
      <c r="E3" s="25"/>
      <c r="F3" s="24"/>
      <c r="G3" s="24"/>
      <c r="H3" s="23"/>
      <c r="I3" s="24"/>
      <c r="J3" s="24"/>
      <c r="K3" s="24"/>
      <c r="L3" s="24"/>
      <c r="M3" s="24"/>
      <c r="N3" s="24"/>
      <c r="O3" s="24"/>
      <c r="P3" s="24"/>
      <c r="Q3" s="24"/>
      <c r="R3" s="24"/>
      <c r="S3" s="23"/>
      <c r="T3" s="24"/>
      <c r="U3" s="24"/>
      <c r="V3" s="24"/>
      <c r="W3" s="24"/>
      <c r="X3" s="24"/>
      <c r="Y3" s="24"/>
      <c r="Z3" s="24"/>
      <c r="AA3" s="24"/>
      <c r="AB3" s="24"/>
      <c r="AC3" s="24"/>
      <c r="AD3" s="24"/>
      <c r="AE3" s="24"/>
      <c r="AF3" s="24"/>
      <c r="AG3" s="24"/>
      <c r="AH3" s="23"/>
      <c r="AI3" s="24"/>
      <c r="AJ3" s="24"/>
      <c r="AK3" s="24"/>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1:71" x14ac:dyDescent="0.25">
      <c r="A4" s="248" t="s">
        <v>132</v>
      </c>
      <c r="B4" s="249"/>
      <c r="C4" s="249"/>
      <c r="D4" s="249"/>
      <c r="E4" s="249"/>
      <c r="F4" s="249"/>
      <c r="G4" s="249"/>
      <c r="H4" s="249"/>
      <c r="I4" s="249"/>
      <c r="J4" s="250"/>
      <c r="K4" s="248" t="s">
        <v>133</v>
      </c>
      <c r="L4" s="249"/>
      <c r="M4" s="249"/>
      <c r="N4" s="249"/>
      <c r="O4" s="249"/>
      <c r="P4" s="249"/>
      <c r="Q4" s="250"/>
      <c r="R4" s="248" t="s">
        <v>134</v>
      </c>
      <c r="S4" s="249"/>
      <c r="T4" s="249"/>
      <c r="U4" s="249"/>
      <c r="V4" s="249"/>
      <c r="W4" s="249"/>
      <c r="X4" s="249"/>
      <c r="Y4" s="249"/>
      <c r="Z4" s="250"/>
      <c r="AA4" s="248" t="s">
        <v>135</v>
      </c>
      <c r="AB4" s="249"/>
      <c r="AC4" s="249"/>
      <c r="AD4" s="249"/>
      <c r="AE4" s="249"/>
      <c r="AF4" s="249"/>
      <c r="AG4" s="250"/>
      <c r="AH4" s="248" t="s">
        <v>34</v>
      </c>
      <c r="AI4" s="249"/>
      <c r="AJ4" s="249"/>
      <c r="AK4" s="249"/>
      <c r="AL4" s="249"/>
      <c r="AM4" s="250"/>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1:71" ht="16.5" customHeight="1" x14ac:dyDescent="0.25">
      <c r="A5" s="255" t="s">
        <v>0</v>
      </c>
      <c r="B5" s="258" t="s">
        <v>206</v>
      </c>
      <c r="C5" s="258" t="s">
        <v>207</v>
      </c>
      <c r="D5" s="258" t="s">
        <v>189</v>
      </c>
      <c r="E5" s="260" t="s">
        <v>2</v>
      </c>
      <c r="F5" s="258" t="s">
        <v>3</v>
      </c>
      <c r="G5" s="258" t="s">
        <v>38</v>
      </c>
      <c r="H5" s="259" t="s">
        <v>1</v>
      </c>
      <c r="I5" s="257" t="s">
        <v>44</v>
      </c>
      <c r="J5" s="258" t="s">
        <v>128</v>
      </c>
      <c r="K5" s="261" t="s">
        <v>33</v>
      </c>
      <c r="L5" s="262" t="s">
        <v>5</v>
      </c>
      <c r="M5" s="257" t="s">
        <v>81</v>
      </c>
      <c r="N5" s="257" t="s">
        <v>86</v>
      </c>
      <c r="O5" s="264" t="s">
        <v>39</v>
      </c>
      <c r="P5" s="262" t="s">
        <v>5</v>
      </c>
      <c r="Q5" s="258" t="s">
        <v>42</v>
      </c>
      <c r="R5" s="251" t="s">
        <v>11</v>
      </c>
      <c r="S5" s="254" t="s">
        <v>154</v>
      </c>
      <c r="T5" s="257" t="s">
        <v>12</v>
      </c>
      <c r="U5" s="254" t="s">
        <v>8</v>
      </c>
      <c r="V5" s="254"/>
      <c r="W5" s="254"/>
      <c r="X5" s="254"/>
      <c r="Y5" s="254"/>
      <c r="Z5" s="254"/>
      <c r="AA5" s="253" t="s">
        <v>131</v>
      </c>
      <c r="AB5" s="253" t="s">
        <v>40</v>
      </c>
      <c r="AC5" s="253" t="s">
        <v>5</v>
      </c>
      <c r="AD5" s="253" t="s">
        <v>41</v>
      </c>
      <c r="AE5" s="253" t="s">
        <v>5</v>
      </c>
      <c r="AF5" s="253" t="s">
        <v>43</v>
      </c>
      <c r="AG5" s="251" t="s">
        <v>29</v>
      </c>
      <c r="AH5" s="254" t="s">
        <v>208</v>
      </c>
      <c r="AI5" s="254" t="s">
        <v>234</v>
      </c>
      <c r="AJ5" s="254" t="s">
        <v>217</v>
      </c>
      <c r="AK5" s="254" t="s">
        <v>218</v>
      </c>
      <c r="AL5" s="254" t="s">
        <v>209</v>
      </c>
      <c r="AM5" s="254" t="s">
        <v>35</v>
      </c>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s="3" customFormat="1" ht="94.5" customHeight="1" x14ac:dyDescent="0.25">
      <c r="A6" s="256"/>
      <c r="B6" s="254"/>
      <c r="C6" s="254"/>
      <c r="D6" s="254"/>
      <c r="E6" s="260"/>
      <c r="F6" s="254"/>
      <c r="G6" s="254"/>
      <c r="H6" s="260"/>
      <c r="I6" s="258"/>
      <c r="J6" s="254"/>
      <c r="K6" s="258"/>
      <c r="L6" s="263"/>
      <c r="M6" s="258"/>
      <c r="N6" s="258"/>
      <c r="O6" s="263"/>
      <c r="P6" s="263"/>
      <c r="Q6" s="254"/>
      <c r="R6" s="252"/>
      <c r="S6" s="254"/>
      <c r="T6" s="258"/>
      <c r="U6" s="5" t="s">
        <v>13</v>
      </c>
      <c r="V6" s="5" t="s">
        <v>17</v>
      </c>
      <c r="W6" s="5" t="s">
        <v>28</v>
      </c>
      <c r="X6" s="5" t="s">
        <v>18</v>
      </c>
      <c r="Y6" s="5" t="s">
        <v>21</v>
      </c>
      <c r="Z6" s="5" t="s">
        <v>24</v>
      </c>
      <c r="AA6" s="253"/>
      <c r="AB6" s="253"/>
      <c r="AC6" s="253"/>
      <c r="AD6" s="253"/>
      <c r="AE6" s="253"/>
      <c r="AF6" s="253"/>
      <c r="AG6" s="252"/>
      <c r="AH6" s="254"/>
      <c r="AI6" s="254"/>
      <c r="AJ6" s="254"/>
      <c r="AK6" s="254"/>
      <c r="AL6" s="254"/>
      <c r="AM6" s="254"/>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row>
    <row r="7" spans="1:71" ht="167.25" customHeight="1" x14ac:dyDescent="0.25">
      <c r="A7" s="216">
        <v>1</v>
      </c>
      <c r="B7" s="213" t="s">
        <v>461</v>
      </c>
      <c r="C7" s="223" t="s">
        <v>210</v>
      </c>
      <c r="D7" s="223" t="s">
        <v>211</v>
      </c>
      <c r="E7" s="217" t="s">
        <v>125</v>
      </c>
      <c r="F7" s="217" t="s">
        <v>212</v>
      </c>
      <c r="G7" s="217" t="s">
        <v>213</v>
      </c>
      <c r="H7" s="219" t="s">
        <v>205</v>
      </c>
      <c r="I7" s="217" t="s">
        <v>119</v>
      </c>
      <c r="J7" s="221">
        <v>4</v>
      </c>
      <c r="K7" s="201" t="str">
        <f>IF(J7&lt;=0,"",IF(J7&lt;=2,"Muy Baja",IF(J7&lt;=24,"Baja",IF(J7&lt;=500,"Media",IF(J7&lt;=5000,"Alta","Muy Alta")))))</f>
        <v>Baja</v>
      </c>
      <c r="L7" s="204">
        <f>IF(K7="","",IF(K7="Muy Baja",0.2,IF(K7="Baja",0.4,IF(K7="Media",0.6,IF(K7="Alta",0.8,IF(K7="Muy Alta",1,))))))</f>
        <v>0.4</v>
      </c>
      <c r="M7" s="207" t="s">
        <v>146</v>
      </c>
      <c r="N7" s="149"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201" t="str">
        <f>IF(OR(N7='Tabla Impacto'!$C$11,N7='Tabla Impacto'!$D$11),"Leve",IF(OR(N7='Tabla Impacto'!$C$12,N7='Tabla Impacto'!$D$12),"Menor",IF(OR(N7='Tabla Impacto'!$C$13,N7='Tabla Impacto'!$D$13),"Moderado",IF(OR(N7='Tabla Impacto'!$C$14,N7='Tabla Impacto'!$D$14),"Mayor",IF(OR(N7='Tabla Impacto'!$C$15,N7='Tabla Impacto'!$D$15),"Catastrófico","")))))</f>
        <v>Moderado</v>
      </c>
      <c r="P7" s="204">
        <f>IF(O7="","",IF(O7="Leve",0.2,IF(O7="Menor",0.4,IF(O7="Moderado",0.6,IF(O7="Mayor",0.8,IF(O7="Catastrófico",1,))))))</f>
        <v>0.6</v>
      </c>
      <c r="Q7" s="209"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00">
        <v>1</v>
      </c>
      <c r="S7" s="101" t="s">
        <v>214</v>
      </c>
      <c r="T7" s="102" t="str">
        <f>IF(OR(U7="Preventivo",U7="Detectivo"),"Probabilidad",IF(U7="Correctivo","Impacto",""))</f>
        <v>Probabilidad</v>
      </c>
      <c r="U7" s="103" t="s">
        <v>14</v>
      </c>
      <c r="V7" s="103" t="s">
        <v>9</v>
      </c>
      <c r="W7" s="104" t="str">
        <f>IF(AND(U7="Preventivo",V7="Automático"),"50%",IF(AND(U7="Preventivo",V7="Manual"),"40%",IF(AND(U7="Detectivo",V7="Automático"),"40%",IF(AND(U7="Detectivo",V7="Manual"),"30%",IF(AND(U7="Correctivo",V7="Automático"),"35%",IF(AND(U7="Correctivo",V7="Manual"),"25%",""))))))</f>
        <v>40%</v>
      </c>
      <c r="X7" s="103" t="s">
        <v>19</v>
      </c>
      <c r="Y7" s="103" t="s">
        <v>22</v>
      </c>
      <c r="Z7" s="103" t="s">
        <v>113</v>
      </c>
      <c r="AA7" s="105">
        <f>IFERROR(IF(T7="Probabilidad",($L$7-(+$L$7*W7)),IF(T7="Impacto",$L$7,"")),"")</f>
        <v>0.24</v>
      </c>
      <c r="AB7" s="106" t="str">
        <f>IFERROR(IF(AA7="","",IF(AA7&lt;=0.2,"Muy Baja",IF(AA7&lt;=0.4,"Baja",IF(AA7&lt;=0.6,"Media",IF(AA7&lt;=0.8,"Alta","Muy Alta"))))),"")</f>
        <v>Baja</v>
      </c>
      <c r="AC7" s="107">
        <f>+AA7</f>
        <v>0.24</v>
      </c>
      <c r="AD7" s="106" t="str">
        <f>IFERROR(IF(AE7="","",IF(AE7&lt;=0.2,"Leve",IF(AE7&lt;=0.4,"Menor",IF(AE7&lt;=0.6,"Moderado",IF(AE7&lt;=0.8,"Mayor","Catastrófico"))))),"")</f>
        <v>Moderado</v>
      </c>
      <c r="AE7" s="107">
        <f>IFERROR(IF(T7="Impacto",($P$7-(+$P$7*W7)),IF(T7="Probabilidad",$P$7,"")),"")</f>
        <v>0.6</v>
      </c>
      <c r="AF7" s="108" t="str">
        <f>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09" t="s">
        <v>129</v>
      </c>
      <c r="AH7" s="144" t="s">
        <v>215</v>
      </c>
      <c r="AI7" s="111" t="s">
        <v>233</v>
      </c>
      <c r="AJ7" s="134" t="s">
        <v>219</v>
      </c>
      <c r="AK7" s="134" t="s">
        <v>219</v>
      </c>
      <c r="AL7" s="148" t="s">
        <v>216</v>
      </c>
      <c r="AM7" s="111"/>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67.25" customHeight="1" x14ac:dyDescent="0.25">
      <c r="A8" s="212"/>
      <c r="B8" s="214"/>
      <c r="C8" s="227"/>
      <c r="D8" s="224"/>
      <c r="E8" s="218"/>
      <c r="F8" s="218"/>
      <c r="G8" s="218"/>
      <c r="H8" s="220"/>
      <c r="I8" s="218"/>
      <c r="J8" s="222"/>
      <c r="K8" s="202"/>
      <c r="L8" s="205"/>
      <c r="M8" s="208"/>
      <c r="N8" s="150"/>
      <c r="O8" s="202"/>
      <c r="P8" s="205"/>
      <c r="Q8" s="210"/>
      <c r="R8" s="100">
        <v>2</v>
      </c>
      <c r="S8" s="101"/>
      <c r="T8" s="102" t="str">
        <f t="shared" ref="T8:T9" si="0">IF(OR(U8="Preventivo",U8="Detectivo"),"Probabilidad",IF(U8="Correctivo","Impacto",""))</f>
        <v>Impacto</v>
      </c>
      <c r="U8" s="103" t="s">
        <v>16</v>
      </c>
      <c r="V8" s="103" t="s">
        <v>9</v>
      </c>
      <c r="W8" s="104" t="str">
        <f t="shared" ref="W8:W9" si="1">IF(AND(U8="Preventivo",V8="Automático"),"50%",IF(AND(U8="Preventivo",V8="Manual"),"40%",IF(AND(U8="Detectivo",V8="Automático"),"40%",IF(AND(U8="Detectivo",V8="Manual"),"30%",IF(AND(U8="Correctivo",V8="Automático"),"35%",IF(AND(U8="Correctivo",V8="Manual"),"25%",""))))))</f>
        <v>25%</v>
      </c>
      <c r="X8" s="103" t="s">
        <v>20</v>
      </c>
      <c r="Y8" s="103" t="s">
        <v>23</v>
      </c>
      <c r="Z8" s="103" t="s">
        <v>113</v>
      </c>
      <c r="AA8" s="105">
        <f>IFERROR(IF(T8="Probabilidad",($L$7-(+$L$7*W8)),IF(T8="Impacto",$L$7,"")),"")</f>
        <v>0.4</v>
      </c>
      <c r="AB8" s="106" t="str">
        <f t="shared" ref="AB8:AB9" si="2">IFERROR(IF(AA8="","",IF(AA8&lt;=0.2,"Muy Baja",IF(AA8&lt;=0.4,"Baja",IF(AA8&lt;=0.6,"Media",IF(AA8&lt;=0.8,"Alta","Muy Alta"))))),"")</f>
        <v>Baja</v>
      </c>
      <c r="AC8" s="107">
        <f t="shared" ref="AC8:AC9" si="3">+AA8</f>
        <v>0.4</v>
      </c>
      <c r="AD8" s="106" t="str">
        <f t="shared" ref="AD8:AD9" si="4">IFERROR(IF(AE8="","",IF(AE8&lt;=0.2,"Leve",IF(AE8&lt;=0.4,"Menor",IF(AE8&lt;=0.6,"Moderado",IF(AE8&lt;=0.8,"Mayor","Catastrófico"))))),"")</f>
        <v>Moderado</v>
      </c>
      <c r="AE8" s="107">
        <f t="shared" ref="AE8:AE9" si="5">IFERROR(IF(T8="Impacto",($P$7-(+$P$7*W8)),IF(T8="Probabilidad",$P$7,"")),"")</f>
        <v>0.44999999999999996</v>
      </c>
      <c r="AF8" s="108"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Moderado</v>
      </c>
      <c r="AG8" s="109"/>
      <c r="AH8" s="148"/>
      <c r="AI8" s="111"/>
      <c r="AJ8" s="112"/>
      <c r="AK8" s="112"/>
      <c r="AL8" s="148"/>
      <c r="AM8" s="111"/>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67.25" customHeight="1" x14ac:dyDescent="0.25">
      <c r="A9" s="212"/>
      <c r="B9" s="215"/>
      <c r="C9" s="227"/>
      <c r="D9" s="224"/>
      <c r="E9" s="218"/>
      <c r="F9" s="218"/>
      <c r="G9" s="218"/>
      <c r="H9" s="220"/>
      <c r="I9" s="218"/>
      <c r="J9" s="222"/>
      <c r="K9" s="203"/>
      <c r="L9" s="206"/>
      <c r="M9" s="208"/>
      <c r="N9" s="150"/>
      <c r="O9" s="203"/>
      <c r="P9" s="206"/>
      <c r="Q9" s="211"/>
      <c r="R9" s="100">
        <v>3</v>
      </c>
      <c r="S9" s="101"/>
      <c r="T9" s="102" t="str">
        <f t="shared" si="0"/>
        <v>Probabilidad</v>
      </c>
      <c r="U9" s="103" t="s">
        <v>15</v>
      </c>
      <c r="V9" s="103" t="s">
        <v>9</v>
      </c>
      <c r="W9" s="104" t="str">
        <f t="shared" si="1"/>
        <v>30%</v>
      </c>
      <c r="X9" s="103" t="s">
        <v>19</v>
      </c>
      <c r="Y9" s="103" t="s">
        <v>23</v>
      </c>
      <c r="Z9" s="103" t="s">
        <v>114</v>
      </c>
      <c r="AA9" s="105">
        <f>IFERROR(IF(T9="Probabilidad",($L$7-(+$L$7*W9)),IF(T9="Impacto",$L$7,"")),"")</f>
        <v>0.28000000000000003</v>
      </c>
      <c r="AB9" s="106" t="str">
        <f t="shared" si="2"/>
        <v>Baja</v>
      </c>
      <c r="AC9" s="107">
        <f t="shared" si="3"/>
        <v>0.28000000000000003</v>
      </c>
      <c r="AD9" s="106" t="str">
        <f t="shared" si="4"/>
        <v>Moderado</v>
      </c>
      <c r="AE9" s="107">
        <f t="shared" si="5"/>
        <v>0.6</v>
      </c>
      <c r="AF9" s="108" t="str">
        <f t="shared" si="6"/>
        <v>Moderado</v>
      </c>
      <c r="AG9" s="109"/>
      <c r="AH9" s="148"/>
      <c r="AI9" s="111"/>
      <c r="AJ9" s="112"/>
      <c r="AK9" s="112"/>
      <c r="AL9" s="148"/>
      <c r="AM9" s="111"/>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1.5" customHeight="1" x14ac:dyDescent="0.25">
      <c r="A10" s="212">
        <v>2</v>
      </c>
      <c r="B10" s="213" t="s">
        <v>461</v>
      </c>
      <c r="C10" s="223" t="s">
        <v>210</v>
      </c>
      <c r="D10" s="223" t="s">
        <v>211</v>
      </c>
      <c r="E10" s="217" t="s">
        <v>127</v>
      </c>
      <c r="F10" s="225" t="s">
        <v>220</v>
      </c>
      <c r="G10" s="233" t="s">
        <v>536</v>
      </c>
      <c r="H10" s="235" t="s">
        <v>221</v>
      </c>
      <c r="I10" s="217" t="s">
        <v>462</v>
      </c>
      <c r="J10" s="221">
        <v>160</v>
      </c>
      <c r="K10" s="201" t="str">
        <f>IF(J10&lt;=0,"",IF(J10&lt;=2,"Muy Baja",IF(J10&lt;=24,"Baja",IF(J10&lt;=500,"Media",IF(J10&lt;=5000,"Alta","Muy Alta")))))</f>
        <v>Media</v>
      </c>
      <c r="L10" s="204">
        <f>IF(K10="","",IF(K10="Muy Baja",0.2,IF(K10="Baja",0.4,IF(K10="Media",0.6,IF(K10="Alta",0.8,IF(K10="Muy Alta",1,))))))</f>
        <v>0.6</v>
      </c>
      <c r="M10" s="207" t="s">
        <v>146</v>
      </c>
      <c r="N10" s="149"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201" t="str">
        <f>IF(OR(N10='Tabla Impacto'!$C$11,N10='Tabla Impacto'!$D$11),"Leve",IF(OR(N10='Tabla Impacto'!$C$12,N10='Tabla Impacto'!$D$12),"Menor",IF(OR(N10='Tabla Impacto'!$C$13,N10='Tabla Impacto'!$D$13),"Moderado",IF(OR(N10='Tabla Impacto'!$C$14,N10='Tabla Impacto'!$D$14),"Mayor",IF(OR(N10='Tabla Impacto'!$C$15,N10='Tabla Impacto'!$D$15),"Catastrófico","")))))</f>
        <v>Moderado</v>
      </c>
      <c r="P10" s="204">
        <f>IF(O10="","",IF(O10="Leve",0.2,IF(O10="Menor",0.4,IF(O10="Moderado",0.6,IF(O10="Mayor",0.8,IF(O10="Catastrófico",1,))))))</f>
        <v>0.6</v>
      </c>
      <c r="Q10" s="209"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00">
        <v>1</v>
      </c>
      <c r="S10" s="101" t="s">
        <v>222</v>
      </c>
      <c r="T10" s="102" t="str">
        <f t="shared" ref="T10:T16" si="7">IF(OR(U10="Preventivo",U10="Detectivo"),"Probabilidad",IF(U10="Correctivo","Impacto",""))</f>
        <v>Probabilidad</v>
      </c>
      <c r="U10" s="103" t="s">
        <v>14</v>
      </c>
      <c r="V10" s="103" t="s">
        <v>9</v>
      </c>
      <c r="W10" s="104" t="str">
        <f t="shared" ref="W10:W16" si="8">IF(AND(U10="Preventivo",V10="Automático"),"50%",IF(AND(U10="Preventivo",V10="Manual"),"40%",IF(AND(U10="Detectivo",V10="Automático"),"40%",IF(AND(U10="Detectivo",V10="Manual"),"30%",IF(AND(U10="Correctivo",V10="Automático"),"35%",IF(AND(U10="Correctivo",V10="Manual"),"25%",""))))))</f>
        <v>40%</v>
      </c>
      <c r="X10" s="103" t="s">
        <v>19</v>
      </c>
      <c r="Y10" s="103" t="s">
        <v>22</v>
      </c>
      <c r="Z10" s="103" t="s">
        <v>113</v>
      </c>
      <c r="AA10" s="105">
        <f t="shared" ref="AA10:AA16" si="9">IFERROR(IF(T10="Probabilidad",(L10-(+L10*W10)),IF(T10="Impacto",L10,"")),"")</f>
        <v>0.36</v>
      </c>
      <c r="AB10" s="106" t="str">
        <f t="shared" ref="AB10:AB16" si="10">IFERROR(IF(AA10="","",IF(AA10&lt;=0.2,"Muy Baja",IF(AA10&lt;=0.4,"Baja",IF(AA10&lt;=0.6,"Media",IF(AA10&lt;=0.8,"Alta","Muy Alta"))))),"")</f>
        <v>Baja</v>
      </c>
      <c r="AC10" s="107">
        <f t="shared" ref="AC10:AC16" si="11">+AA10</f>
        <v>0.36</v>
      </c>
      <c r="AD10" s="106" t="str">
        <f t="shared" ref="AD10:AD16" si="12">IFERROR(IF(AE10="","",IF(AE10&lt;=0.2,"Leve",IF(AE10&lt;=0.4,"Menor",IF(AE10&lt;=0.6,"Moderado",IF(AE10&lt;=0.8,"Mayor","Catastrófico"))))),"")</f>
        <v>Moderado</v>
      </c>
      <c r="AE10" s="107">
        <f t="shared" ref="AE10:AE16" si="13">IFERROR(IF(T10="Impacto",(P10-(+P10*W10)),IF(T10="Probabilidad",P10,"")),"")</f>
        <v>0.6</v>
      </c>
      <c r="AF10" s="108" t="str">
        <f t="shared" ref="AF10:AF16"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09" t="s">
        <v>129</v>
      </c>
      <c r="AH10" s="148" t="s">
        <v>223</v>
      </c>
      <c r="AI10" s="111" t="s">
        <v>224</v>
      </c>
      <c r="AJ10" s="112" t="s">
        <v>225</v>
      </c>
      <c r="AK10" s="112" t="s">
        <v>225</v>
      </c>
      <c r="AL10" s="148" t="s">
        <v>226</v>
      </c>
      <c r="AM10" s="111"/>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1.5" customHeight="1" x14ac:dyDescent="0.25">
      <c r="A11" s="212"/>
      <c r="B11" s="214"/>
      <c r="C11" s="227"/>
      <c r="D11" s="224"/>
      <c r="E11" s="218"/>
      <c r="F11" s="218"/>
      <c r="G11" s="234"/>
      <c r="H11" s="236"/>
      <c r="I11" s="218"/>
      <c r="J11" s="222"/>
      <c r="K11" s="202"/>
      <c r="L11" s="205"/>
      <c r="M11" s="208"/>
      <c r="N11" s="150"/>
      <c r="O11" s="202"/>
      <c r="P11" s="205"/>
      <c r="Q11" s="210"/>
      <c r="R11" s="100">
        <v>2</v>
      </c>
      <c r="S11" s="101"/>
      <c r="T11" s="102" t="str">
        <f t="shared" ref="T11:T12" si="15">IF(OR(U11="Preventivo",U11="Detectivo"),"Probabilidad",IF(U11="Correctivo","Impacto",""))</f>
        <v>Probabilidad</v>
      </c>
      <c r="U11" s="103" t="s">
        <v>15</v>
      </c>
      <c r="V11" s="103" t="s">
        <v>9</v>
      </c>
      <c r="W11" s="104" t="str">
        <f t="shared" ref="W11:W12" si="16">IF(AND(U11="Preventivo",V11="Automático"),"50%",IF(AND(U11="Preventivo",V11="Manual"),"40%",IF(AND(U11="Detectivo",V11="Automático"),"40%",IF(AND(U11="Detectivo",V11="Manual"),"30%",IF(AND(U11="Correctivo",V11="Automático"),"35%",IF(AND(U11="Correctivo",V11="Manual"),"25%",""))))))</f>
        <v>30%</v>
      </c>
      <c r="X11" s="103" t="s">
        <v>19</v>
      </c>
      <c r="Y11" s="103" t="s">
        <v>23</v>
      </c>
      <c r="Z11" s="103" t="s">
        <v>114</v>
      </c>
      <c r="AA11" s="105">
        <f>IFERROR(IF(T11="Probabilidad",(L10-(+L10*W11)),IF(T11="Impacto",L10,"")),"")</f>
        <v>0.42</v>
      </c>
      <c r="AB11" s="106" t="str">
        <f t="shared" ref="AB11:AB12" si="17">IFERROR(IF(AA11="","",IF(AA11&lt;=0.2,"Muy Baja",IF(AA11&lt;=0.4,"Baja",IF(AA11&lt;=0.6,"Media",IF(AA11&lt;=0.8,"Alta","Muy Alta"))))),"")</f>
        <v>Media</v>
      </c>
      <c r="AC11" s="107">
        <f t="shared" ref="AC11:AC12" si="18">+AA11</f>
        <v>0.42</v>
      </c>
      <c r="AD11" s="106" t="str">
        <f t="shared" ref="AD11:AD12" si="19">IFERROR(IF(AE11="","",IF(AE11&lt;=0.2,"Leve",IF(AE11&lt;=0.4,"Menor",IF(AE11&lt;=0.6,"Moderado",IF(AE11&lt;=0.8,"Mayor","Catastrófico"))))),"")</f>
        <v>Moderado</v>
      </c>
      <c r="AE11" s="107">
        <f>IFERROR(IF(T11="Impacto",(P10-(+P10*W11)),IF(T11="Probabilidad",P10,"")),"")</f>
        <v>0.6</v>
      </c>
      <c r="AF11" s="108" t="str">
        <f t="shared" ref="AF11:AF12" si="20">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Moderado</v>
      </c>
      <c r="AG11" s="109"/>
      <c r="AH11" s="148"/>
      <c r="AI11" s="111"/>
      <c r="AJ11" s="112"/>
      <c r="AK11" s="112"/>
      <c r="AL11" s="148"/>
      <c r="AM11" s="111"/>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1.5" customHeight="1" x14ac:dyDescent="0.25">
      <c r="A12" s="212"/>
      <c r="B12" s="215"/>
      <c r="C12" s="227"/>
      <c r="D12" s="224"/>
      <c r="E12" s="218"/>
      <c r="F12" s="218"/>
      <c r="G12" s="234"/>
      <c r="H12" s="236"/>
      <c r="I12" s="218"/>
      <c r="J12" s="222"/>
      <c r="K12" s="203"/>
      <c r="L12" s="206"/>
      <c r="M12" s="208"/>
      <c r="N12" s="150"/>
      <c r="O12" s="203"/>
      <c r="P12" s="206"/>
      <c r="Q12" s="211"/>
      <c r="R12" s="100">
        <v>3</v>
      </c>
      <c r="S12" s="101"/>
      <c r="T12" s="102" t="str">
        <f t="shared" si="15"/>
        <v>Probabilidad</v>
      </c>
      <c r="U12" s="103" t="s">
        <v>15</v>
      </c>
      <c r="V12" s="103" t="s">
        <v>9</v>
      </c>
      <c r="W12" s="104" t="str">
        <f t="shared" si="16"/>
        <v>30%</v>
      </c>
      <c r="X12" s="103" t="s">
        <v>19</v>
      </c>
      <c r="Y12" s="103" t="s">
        <v>23</v>
      </c>
      <c r="Z12" s="103" t="s">
        <v>114</v>
      </c>
      <c r="AA12" s="105">
        <f>IFERROR(IF(T12="Probabilidad",(L10-(+L10*W12)),IF(T12="Impacto",L10,"")),"")</f>
        <v>0.42</v>
      </c>
      <c r="AB12" s="106" t="str">
        <f t="shared" si="17"/>
        <v>Media</v>
      </c>
      <c r="AC12" s="107">
        <f t="shared" si="18"/>
        <v>0.42</v>
      </c>
      <c r="AD12" s="106" t="str">
        <f t="shared" si="19"/>
        <v>Moderado</v>
      </c>
      <c r="AE12" s="107">
        <f>IFERROR(IF(T12="Impacto",(P10-(+P10*W12)),IF(T12="Probabilidad",P10,"")),"")</f>
        <v>0.6</v>
      </c>
      <c r="AF12" s="108" t="str">
        <f t="shared" si="20"/>
        <v>Moderado</v>
      </c>
      <c r="AG12" s="109"/>
      <c r="AH12" s="148"/>
      <c r="AI12" s="111"/>
      <c r="AJ12" s="112"/>
      <c r="AK12" s="112"/>
      <c r="AL12" s="148"/>
      <c r="AM12" s="111"/>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s="1" customFormat="1" ht="151.5" customHeight="1" x14ac:dyDescent="0.25">
      <c r="A13" s="212">
        <v>3</v>
      </c>
      <c r="B13" s="213" t="s">
        <v>227</v>
      </c>
      <c r="C13" s="223" t="s">
        <v>544</v>
      </c>
      <c r="D13" s="223" t="s">
        <v>228</v>
      </c>
      <c r="E13" s="217" t="s">
        <v>125</v>
      </c>
      <c r="F13" s="217" t="s">
        <v>229</v>
      </c>
      <c r="G13" s="217" t="s">
        <v>230</v>
      </c>
      <c r="H13" s="219" t="s">
        <v>503</v>
      </c>
      <c r="I13" s="217" t="s">
        <v>462</v>
      </c>
      <c r="J13" s="221">
        <v>5000</v>
      </c>
      <c r="K13" s="201" t="str">
        <f>IF(J13&lt;=0,"",IF(J13&lt;=2,"Muy Baja",IF(J13&lt;=24,"Baja",IF(J13&lt;=500,"Media",IF(J13&lt;=5000,"Alta","Muy Alta")))))</f>
        <v>Alta</v>
      </c>
      <c r="L13" s="204">
        <f>IF(K13="","",IF(K13="Muy Baja",0.2,IF(K13="Baja",0.4,IF(K13="Media",0.6,IF(K13="Alta",0.8,IF(K13="Muy Alta",1,))))))</f>
        <v>0.8</v>
      </c>
      <c r="M13" s="207" t="s">
        <v>146</v>
      </c>
      <c r="N13" s="149"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201" t="str">
        <f>IF(OR(N13='Tabla Impacto'!$C$11,N13='Tabla Impacto'!$D$11),"Leve",IF(OR(N13='Tabla Impacto'!$C$12,N13='Tabla Impacto'!$D$12),"Menor",IF(OR(N13='Tabla Impacto'!$C$13,N13='Tabla Impacto'!$D$13),"Moderado",IF(OR(N13='Tabla Impacto'!$C$14,N13='Tabla Impacto'!$D$14),"Mayor",IF(OR(N13='Tabla Impacto'!$C$15,N13='Tabla Impacto'!$D$15),"Catastrófico","")))))</f>
        <v>Moderado</v>
      </c>
      <c r="P13" s="204">
        <f>IF(O13="","",IF(O13="Leve",0.2,IF(O13="Menor",0.4,IF(O13="Moderado",0.6,IF(O13="Mayor",0.8,IF(O13="Catastrófico",1,))))))</f>
        <v>0.6</v>
      </c>
      <c r="Q13" s="209"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00">
        <v>1</v>
      </c>
      <c r="S13" s="148" t="s">
        <v>231</v>
      </c>
      <c r="T13" s="102" t="str">
        <f t="shared" si="7"/>
        <v>Probabilidad</v>
      </c>
      <c r="U13" s="103" t="s">
        <v>14</v>
      </c>
      <c r="V13" s="103" t="s">
        <v>9</v>
      </c>
      <c r="W13" s="104" t="str">
        <f t="shared" si="8"/>
        <v>40%</v>
      </c>
      <c r="X13" s="103" t="s">
        <v>19</v>
      </c>
      <c r="Y13" s="103" t="s">
        <v>22</v>
      </c>
      <c r="Z13" s="103" t="s">
        <v>113</v>
      </c>
      <c r="AA13" s="105">
        <f t="shared" si="9"/>
        <v>0.48</v>
      </c>
      <c r="AB13" s="106" t="str">
        <f t="shared" si="10"/>
        <v>Media</v>
      </c>
      <c r="AC13" s="107">
        <f t="shared" si="11"/>
        <v>0.48</v>
      </c>
      <c r="AD13" s="106" t="str">
        <f t="shared" si="12"/>
        <v>Moderado</v>
      </c>
      <c r="AE13" s="107">
        <f t="shared" si="13"/>
        <v>0.6</v>
      </c>
      <c r="AF13" s="108" t="str">
        <f t="shared" si="14"/>
        <v>Moderado</v>
      </c>
      <c r="AG13" s="109" t="s">
        <v>129</v>
      </c>
      <c r="AH13" s="144" t="s">
        <v>232</v>
      </c>
      <c r="AI13" s="110" t="s">
        <v>233</v>
      </c>
      <c r="AJ13" s="112" t="s">
        <v>225</v>
      </c>
      <c r="AK13" s="112" t="s">
        <v>225</v>
      </c>
      <c r="AL13" s="148" t="s">
        <v>463</v>
      </c>
      <c r="AM13" s="111"/>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row>
    <row r="14" spans="1:71" s="1" customFormat="1" ht="151.5" customHeight="1" x14ac:dyDescent="0.25">
      <c r="A14" s="212"/>
      <c r="B14" s="214"/>
      <c r="C14" s="227"/>
      <c r="D14" s="227"/>
      <c r="E14" s="218"/>
      <c r="F14" s="218"/>
      <c r="G14" s="218"/>
      <c r="H14" s="220"/>
      <c r="I14" s="218"/>
      <c r="J14" s="222"/>
      <c r="K14" s="202"/>
      <c r="L14" s="205"/>
      <c r="M14" s="208"/>
      <c r="N14" s="150"/>
      <c r="O14" s="202"/>
      <c r="P14" s="205"/>
      <c r="Q14" s="210"/>
      <c r="R14" s="100">
        <v>2</v>
      </c>
      <c r="S14" s="157"/>
      <c r="T14" s="102" t="str">
        <f t="shared" ref="T14:T15" si="21">IF(OR(U14="Preventivo",U14="Detectivo"),"Probabilidad",IF(U14="Correctivo","Impacto",""))</f>
        <v>Probabilidad</v>
      </c>
      <c r="U14" s="103" t="s">
        <v>15</v>
      </c>
      <c r="V14" s="103" t="s">
        <v>9</v>
      </c>
      <c r="W14" s="104" t="str">
        <f t="shared" ref="W14:W15" si="22">IF(AND(U14="Preventivo",V14="Automático"),"50%",IF(AND(U14="Preventivo",V14="Manual"),"40%",IF(AND(U14="Detectivo",V14="Automático"),"40%",IF(AND(U14="Detectivo",V14="Manual"),"30%",IF(AND(U14="Correctivo",V14="Automático"),"35%",IF(AND(U14="Correctivo",V14="Manual"),"25%",""))))))</f>
        <v>30%</v>
      </c>
      <c r="X14" s="103" t="s">
        <v>19</v>
      </c>
      <c r="Y14" s="103" t="s">
        <v>22</v>
      </c>
      <c r="Z14" s="103" t="s">
        <v>113</v>
      </c>
      <c r="AA14" s="105">
        <f>IFERROR(IF(T14="Probabilidad",(L13-(+L13*W14)),IF(T14="Impacto",L13,"")),"")</f>
        <v>0.56000000000000005</v>
      </c>
      <c r="AB14" s="106" t="str">
        <f t="shared" ref="AB14:AB15" si="23">IFERROR(IF(AA14="","",IF(AA14&lt;=0.2,"Muy Baja",IF(AA14&lt;=0.4,"Baja",IF(AA14&lt;=0.6,"Media",IF(AA14&lt;=0.8,"Alta","Muy Alta"))))),"")</f>
        <v>Media</v>
      </c>
      <c r="AC14" s="107">
        <f t="shared" ref="AC14:AC15" si="24">+AA14</f>
        <v>0.56000000000000005</v>
      </c>
      <c r="AD14" s="106" t="str">
        <f t="shared" ref="AD14:AD15" si="25">IFERROR(IF(AE14="","",IF(AE14&lt;=0.2,"Leve",IF(AE14&lt;=0.4,"Menor",IF(AE14&lt;=0.6,"Moderado",IF(AE14&lt;=0.8,"Mayor","Catastrófico"))))),"")</f>
        <v>Moderado</v>
      </c>
      <c r="AE14" s="107">
        <f>IFERROR(IF(T14="Impacto",(P13-(+P13*W14)),IF(T14="Probabilidad",P13,"")),"")</f>
        <v>0.6</v>
      </c>
      <c r="AF14" s="108" t="str">
        <f t="shared" ref="AF14:AF15" si="26">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Moderado</v>
      </c>
      <c r="AG14" s="109"/>
      <c r="AH14" s="148"/>
      <c r="AI14" s="111"/>
      <c r="AJ14" s="112"/>
      <c r="AK14" s="112"/>
      <c r="AL14" s="148"/>
      <c r="AM14" s="111"/>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row>
    <row r="15" spans="1:71" s="1" customFormat="1" ht="151.5" customHeight="1" x14ac:dyDescent="0.25">
      <c r="A15" s="212"/>
      <c r="B15" s="215"/>
      <c r="C15" s="227"/>
      <c r="D15" s="227"/>
      <c r="E15" s="218"/>
      <c r="F15" s="237"/>
      <c r="G15" s="237"/>
      <c r="H15" s="238"/>
      <c r="I15" s="218"/>
      <c r="J15" s="222"/>
      <c r="K15" s="203"/>
      <c r="L15" s="206"/>
      <c r="M15" s="208"/>
      <c r="N15" s="150"/>
      <c r="O15" s="203"/>
      <c r="P15" s="206"/>
      <c r="Q15" s="211"/>
      <c r="R15" s="100">
        <v>3</v>
      </c>
      <c r="S15" s="157"/>
      <c r="T15" s="102" t="str">
        <f t="shared" si="21"/>
        <v>Probabilidad</v>
      </c>
      <c r="U15" s="103" t="s">
        <v>15</v>
      </c>
      <c r="V15" s="103" t="s">
        <v>9</v>
      </c>
      <c r="W15" s="104" t="str">
        <f t="shared" si="22"/>
        <v>30%</v>
      </c>
      <c r="X15" s="103" t="s">
        <v>19</v>
      </c>
      <c r="Y15" s="103" t="s">
        <v>23</v>
      </c>
      <c r="Z15" s="103" t="s">
        <v>114</v>
      </c>
      <c r="AA15" s="105">
        <f>IFERROR(IF(T15="Probabilidad",(L13-(+L13*W15)),IF(T15="Impacto",L13,"")),"")</f>
        <v>0.56000000000000005</v>
      </c>
      <c r="AB15" s="106" t="str">
        <f t="shared" si="23"/>
        <v>Media</v>
      </c>
      <c r="AC15" s="107">
        <f t="shared" si="24"/>
        <v>0.56000000000000005</v>
      </c>
      <c r="AD15" s="106" t="str">
        <f t="shared" si="25"/>
        <v>Moderado</v>
      </c>
      <c r="AE15" s="107">
        <f>IFERROR(IF(T15="Impacto",(P13-(+P13*W15)),IF(T15="Probabilidad",P13,"")),"")</f>
        <v>0.6</v>
      </c>
      <c r="AF15" s="108" t="str">
        <f t="shared" si="26"/>
        <v>Moderado</v>
      </c>
      <c r="AG15" s="109"/>
      <c r="AH15" s="148"/>
      <c r="AI15" s="111"/>
      <c r="AJ15" s="112"/>
      <c r="AK15" s="112"/>
      <c r="AL15" s="148"/>
      <c r="AM15" s="111"/>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row>
    <row r="16" spans="1:71" ht="151.5" customHeight="1" x14ac:dyDescent="0.25">
      <c r="A16" s="212">
        <v>4</v>
      </c>
      <c r="B16" s="213" t="s">
        <v>502</v>
      </c>
      <c r="C16" s="223" t="s">
        <v>545</v>
      </c>
      <c r="D16" s="223" t="s">
        <v>235</v>
      </c>
      <c r="E16" s="217" t="s">
        <v>125</v>
      </c>
      <c r="F16" s="225" t="s">
        <v>236</v>
      </c>
      <c r="G16" s="225" t="s">
        <v>237</v>
      </c>
      <c r="H16" s="219" t="s">
        <v>238</v>
      </c>
      <c r="I16" s="217" t="s">
        <v>462</v>
      </c>
      <c r="J16" s="221">
        <v>480</v>
      </c>
      <c r="K16" s="201" t="str">
        <f>IF(J16&lt;=0,"",IF(J16&lt;=2,"Muy Baja",IF(J16&lt;=24,"Baja",IF(J16&lt;=500,"Media",IF(J16&lt;=5000,"Alta","Muy Alta")))))</f>
        <v>Media</v>
      </c>
      <c r="L16" s="204">
        <f>IF(K16="","",IF(K16="Muy Baja",0.2,IF(K16="Baja",0.4,IF(K16="Media",0.6,IF(K16="Alta",0.8,IF(K16="Muy Alta",1,))))))</f>
        <v>0.6</v>
      </c>
      <c r="M16" s="207" t="s">
        <v>144</v>
      </c>
      <c r="N16" s="149" t="str">
        <f>IF(NOT(ISERROR(MATCH(M16,'Tabla Impacto'!$B$221:$B$223,0))),'Tabla Impacto'!$F$223&amp;"Por favor no seleccionar los criterios de impacto(Afectación Económica o presupuestal y Pérdida Reputacional)",M16)</f>
        <v xml:space="preserve">     El riesgo afecta la imagen de alguna área de la organización</v>
      </c>
      <c r="O16" s="201" t="str">
        <f>IF(OR(N16='Tabla Impacto'!$C$11,N16='Tabla Impacto'!$D$11),"Leve",IF(OR(N16='Tabla Impacto'!$C$12,N16='Tabla Impacto'!$D$12),"Menor",IF(OR(N16='Tabla Impacto'!$C$13,N16='Tabla Impacto'!$D$13),"Moderado",IF(OR(N16='Tabla Impacto'!$C$14,N16='Tabla Impacto'!$D$14),"Mayor",IF(OR(N16='Tabla Impacto'!$C$15,N16='Tabla Impacto'!$D$15),"Catastrófico","")))))</f>
        <v>Leve</v>
      </c>
      <c r="P16" s="204">
        <f>IF(O16="","",IF(O16="Leve",0.2,IF(O16="Menor",0.4,IF(O16="Moderado",0.6,IF(O16="Mayor",0.8,IF(O16="Catastrófico",1,))))))</f>
        <v>0.2</v>
      </c>
      <c r="Q16" s="209"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00">
        <v>1</v>
      </c>
      <c r="S16" s="148" t="s">
        <v>239</v>
      </c>
      <c r="T16" s="102" t="str">
        <f t="shared" si="7"/>
        <v>Probabilidad</v>
      </c>
      <c r="U16" s="103" t="s">
        <v>15</v>
      </c>
      <c r="V16" s="103" t="s">
        <v>9</v>
      </c>
      <c r="W16" s="104" t="str">
        <f t="shared" si="8"/>
        <v>30%</v>
      </c>
      <c r="X16" s="103" t="s">
        <v>19</v>
      </c>
      <c r="Y16" s="103" t="s">
        <v>22</v>
      </c>
      <c r="Z16" s="103" t="s">
        <v>113</v>
      </c>
      <c r="AA16" s="105">
        <f t="shared" si="9"/>
        <v>0.42</v>
      </c>
      <c r="AB16" s="106" t="str">
        <f t="shared" si="10"/>
        <v>Media</v>
      </c>
      <c r="AC16" s="107">
        <f t="shared" si="11"/>
        <v>0.42</v>
      </c>
      <c r="AD16" s="106" t="str">
        <f t="shared" si="12"/>
        <v>Leve</v>
      </c>
      <c r="AE16" s="107">
        <f t="shared" si="13"/>
        <v>0.2</v>
      </c>
      <c r="AF16" s="108" t="str">
        <f t="shared" si="14"/>
        <v>Moderado</v>
      </c>
      <c r="AG16" s="109" t="s">
        <v>129</v>
      </c>
      <c r="AH16" s="148" t="s">
        <v>241</v>
      </c>
      <c r="AI16" s="133" t="s">
        <v>242</v>
      </c>
      <c r="AJ16" s="112" t="s">
        <v>225</v>
      </c>
      <c r="AK16" s="112" t="s">
        <v>225</v>
      </c>
      <c r="AL16" s="144" t="s">
        <v>243</v>
      </c>
      <c r="AM16" s="111"/>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1" ht="151.5" customHeight="1" x14ac:dyDescent="0.25">
      <c r="A17" s="212"/>
      <c r="B17" s="214"/>
      <c r="C17" s="227"/>
      <c r="D17" s="227"/>
      <c r="E17" s="218"/>
      <c r="F17" s="218"/>
      <c r="G17" s="218"/>
      <c r="H17" s="220"/>
      <c r="I17" s="218"/>
      <c r="J17" s="222"/>
      <c r="K17" s="202"/>
      <c r="L17" s="205"/>
      <c r="M17" s="208"/>
      <c r="N17" s="150"/>
      <c r="O17" s="202"/>
      <c r="P17" s="205"/>
      <c r="Q17" s="210"/>
      <c r="R17" s="100">
        <v>2</v>
      </c>
      <c r="S17" s="148" t="s">
        <v>240</v>
      </c>
      <c r="T17" s="102" t="str">
        <f t="shared" ref="T17:T103" si="27">IF(OR(U17="Preventivo",U17="Detectivo"),"Probabilidad",IF(U17="Correctivo","Impacto",""))</f>
        <v>Probabilidad</v>
      </c>
      <c r="U17" s="103" t="s">
        <v>14</v>
      </c>
      <c r="V17" s="103" t="s">
        <v>9</v>
      </c>
      <c r="W17" s="104" t="str">
        <f t="shared" ref="W17:W103" si="28">IF(AND(U17="Preventivo",V17="Automático"),"50%",IF(AND(U17="Preventivo",V17="Manual"),"40%",IF(AND(U17="Detectivo",V17="Automático"),"40%",IF(AND(U17="Detectivo",V17="Manual"),"30%",IF(AND(U17="Correctivo",V17="Automático"),"35%",IF(AND(U17="Correctivo",V17="Manual"),"25%",""))))))</f>
        <v>40%</v>
      </c>
      <c r="X17" s="103" t="s">
        <v>19</v>
      </c>
      <c r="Y17" s="103" t="s">
        <v>22</v>
      </c>
      <c r="Z17" s="103" t="s">
        <v>113</v>
      </c>
      <c r="AA17" s="105">
        <f>IFERROR(IF(T17="Probabilidad",(L16-(+L16*W17)),IF(T17="Impacto",L16,"")),"")</f>
        <v>0.36</v>
      </c>
      <c r="AB17" s="106" t="str">
        <f t="shared" ref="AB17:AB103" si="29">IFERROR(IF(AA17="","",IF(AA17&lt;=0.2,"Muy Baja",IF(AA17&lt;=0.4,"Baja",IF(AA17&lt;=0.6,"Media",IF(AA17&lt;=0.8,"Alta","Muy Alta"))))),"")</f>
        <v>Baja</v>
      </c>
      <c r="AC17" s="107">
        <f t="shared" ref="AC17:AC103" si="30">+AA17</f>
        <v>0.36</v>
      </c>
      <c r="AD17" s="106" t="str">
        <f t="shared" ref="AD17:AD103" si="31">IFERROR(IF(AE17="","",IF(AE17&lt;=0.2,"Leve",IF(AE17&lt;=0.4,"Menor",IF(AE17&lt;=0.6,"Moderado",IF(AE17&lt;=0.8,"Mayor","Catastrófico"))))),"")</f>
        <v>Leve</v>
      </c>
      <c r="AE17" s="107">
        <f>IFERROR(IF(T17="Impacto",(P16-(+P16*W17)),IF(T17="Probabilidad",P16,"")),"")</f>
        <v>0.2</v>
      </c>
      <c r="AF17" s="108" t="str">
        <f t="shared" ref="AF17:AF103" si="32">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Bajo</v>
      </c>
      <c r="AG17" s="109" t="s">
        <v>129</v>
      </c>
      <c r="AH17" s="148"/>
      <c r="AI17" s="111"/>
      <c r="AJ17" s="112"/>
      <c r="AK17" s="112"/>
      <c r="AL17" s="148"/>
      <c r="AM17" s="111"/>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1" ht="151.5" customHeight="1" x14ac:dyDescent="0.25">
      <c r="A18" s="212"/>
      <c r="B18" s="215"/>
      <c r="C18" s="227"/>
      <c r="D18" s="227"/>
      <c r="E18" s="218"/>
      <c r="F18" s="218"/>
      <c r="G18" s="218"/>
      <c r="H18" s="220"/>
      <c r="I18" s="218"/>
      <c r="J18" s="222"/>
      <c r="K18" s="203"/>
      <c r="L18" s="206"/>
      <c r="M18" s="208"/>
      <c r="N18" s="150"/>
      <c r="O18" s="203"/>
      <c r="P18" s="206"/>
      <c r="Q18" s="211"/>
      <c r="R18" s="100">
        <v>3</v>
      </c>
      <c r="S18" s="101"/>
      <c r="T18" s="102" t="str">
        <f t="shared" si="27"/>
        <v>Probabilidad</v>
      </c>
      <c r="U18" s="103" t="s">
        <v>15</v>
      </c>
      <c r="V18" s="103" t="s">
        <v>9</v>
      </c>
      <c r="W18" s="104" t="str">
        <f t="shared" si="28"/>
        <v>30%</v>
      </c>
      <c r="X18" s="103" t="s">
        <v>20</v>
      </c>
      <c r="Y18" s="103" t="s">
        <v>23</v>
      </c>
      <c r="Z18" s="103" t="s">
        <v>114</v>
      </c>
      <c r="AA18" s="105">
        <f>IFERROR(IF(T18="Probabilidad",(L16-(+L16*W18)),IF(T18="Impacto",L16,"")),"")</f>
        <v>0.42</v>
      </c>
      <c r="AB18" s="106" t="str">
        <f t="shared" si="29"/>
        <v>Media</v>
      </c>
      <c r="AC18" s="107">
        <f t="shared" si="30"/>
        <v>0.42</v>
      </c>
      <c r="AD18" s="106" t="str">
        <f t="shared" si="31"/>
        <v>Leve</v>
      </c>
      <c r="AE18" s="107">
        <f>IFERROR(IF(T18="Impacto",(P16-(+P16*W18)),IF(T18="Probabilidad",P16,"")),"")</f>
        <v>0.2</v>
      </c>
      <c r="AF18" s="108" t="str">
        <f t="shared" si="32"/>
        <v>Moderado</v>
      </c>
      <c r="AG18" s="109"/>
      <c r="AH18" s="148"/>
      <c r="AI18" s="111"/>
      <c r="AJ18" s="112"/>
      <c r="AK18" s="112"/>
      <c r="AL18" s="148"/>
      <c r="AM18" s="111"/>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1" ht="151.5" customHeight="1" x14ac:dyDescent="0.25">
      <c r="A19" s="212">
        <v>5</v>
      </c>
      <c r="B19" s="213" t="s">
        <v>502</v>
      </c>
      <c r="C19" s="223" t="s">
        <v>545</v>
      </c>
      <c r="D19" s="223" t="s">
        <v>235</v>
      </c>
      <c r="E19" s="217" t="s">
        <v>125</v>
      </c>
      <c r="F19" s="225" t="s">
        <v>245</v>
      </c>
      <c r="G19" s="225" t="s">
        <v>246</v>
      </c>
      <c r="H19" s="219" t="s">
        <v>244</v>
      </c>
      <c r="I19" s="217" t="s">
        <v>462</v>
      </c>
      <c r="J19" s="221">
        <v>480</v>
      </c>
      <c r="K19" s="201" t="str">
        <f>IF(J19&lt;=0,"",IF(J19&lt;=2,"Muy Baja",IF(J19&lt;=24,"Baja",IF(J19&lt;=500,"Media",IF(J19&lt;=5000,"Alta","Muy Alta")))))</f>
        <v>Media</v>
      </c>
      <c r="L19" s="204">
        <f>IF(K19="","",IF(K19="Muy Baja",0.2,IF(K19="Baja",0.4,IF(K19="Media",0.6,IF(K19="Alta",0.8,IF(K19="Muy Alta",1,))))))</f>
        <v>0.6</v>
      </c>
      <c r="M19" s="207" t="s">
        <v>144</v>
      </c>
      <c r="N19" s="149" t="str">
        <f>IF(NOT(ISERROR(MATCH(M19,'Tabla Impacto'!$B$221:$B$223,0))),'Tabla Impacto'!$F$223&amp;"Por favor no seleccionar los criterios de impacto(Afectación Económica o presupuestal y Pérdida Reputacional)",M19)</f>
        <v xml:space="preserve">     El riesgo afecta la imagen de alguna área de la organización</v>
      </c>
      <c r="O19" s="201" t="str">
        <f>IF(OR(N19='Tabla Impacto'!$C$11,N19='Tabla Impacto'!$D$11),"Leve",IF(OR(N19='Tabla Impacto'!$C$12,N19='Tabla Impacto'!$D$12),"Menor",IF(OR(N19='Tabla Impacto'!$C$13,N19='Tabla Impacto'!$D$13),"Moderado",IF(OR(N19='Tabla Impacto'!$C$14,N19='Tabla Impacto'!$D$14),"Mayor",IF(OR(N19='Tabla Impacto'!$C$15,N19='Tabla Impacto'!$D$15),"Catastrófico","")))))</f>
        <v>Leve</v>
      </c>
      <c r="P19" s="204">
        <f>IF(O19="","",IF(O19="Leve",0.2,IF(O19="Menor",0.4,IF(O19="Moderado",0.6,IF(O19="Mayor",0.8,IF(O19="Catastrófico",1,))))))</f>
        <v>0.2</v>
      </c>
      <c r="Q19" s="209" t="str">
        <f>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00">
        <v>1</v>
      </c>
      <c r="S19" s="101" t="s">
        <v>247</v>
      </c>
      <c r="T19" s="102" t="str">
        <f t="shared" si="27"/>
        <v>Probabilidad</v>
      </c>
      <c r="U19" s="103" t="s">
        <v>15</v>
      </c>
      <c r="V19" s="103" t="s">
        <v>9</v>
      </c>
      <c r="W19" s="104" t="str">
        <f t="shared" si="28"/>
        <v>30%</v>
      </c>
      <c r="X19" s="103" t="s">
        <v>19</v>
      </c>
      <c r="Y19" s="103" t="s">
        <v>22</v>
      </c>
      <c r="Z19" s="103" t="s">
        <v>113</v>
      </c>
      <c r="AA19" s="105">
        <f t="shared" ref="AA19:AA103" si="33">IFERROR(IF(T19="Probabilidad",(L19-(+L19*W19)),IF(T19="Impacto",L19,"")),"")</f>
        <v>0.42</v>
      </c>
      <c r="AB19" s="106" t="str">
        <f t="shared" si="29"/>
        <v>Media</v>
      </c>
      <c r="AC19" s="107">
        <f t="shared" si="30"/>
        <v>0.42</v>
      </c>
      <c r="AD19" s="106" t="str">
        <f t="shared" si="31"/>
        <v>Leve</v>
      </c>
      <c r="AE19" s="107">
        <f t="shared" ref="AE19:AE103" si="34">IFERROR(IF(T19="Impacto",(P19-(+P19*W19)),IF(T19="Probabilidad",P19,"")),"")</f>
        <v>0.2</v>
      </c>
      <c r="AF19" s="108" t="str">
        <f t="shared" si="32"/>
        <v>Moderado</v>
      </c>
      <c r="AG19" s="109" t="s">
        <v>129</v>
      </c>
      <c r="AH19" s="148" t="s">
        <v>241</v>
      </c>
      <c r="AI19" s="133" t="s">
        <v>242</v>
      </c>
      <c r="AJ19" s="112" t="s">
        <v>225</v>
      </c>
      <c r="AK19" s="112" t="s">
        <v>225</v>
      </c>
      <c r="AL19" s="144" t="s">
        <v>243</v>
      </c>
      <c r="AM19" s="111"/>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1" ht="151.5" customHeight="1" x14ac:dyDescent="0.25">
      <c r="A20" s="212"/>
      <c r="B20" s="214"/>
      <c r="C20" s="227"/>
      <c r="D20" s="227"/>
      <c r="E20" s="218"/>
      <c r="F20" s="218"/>
      <c r="G20" s="218"/>
      <c r="H20" s="220"/>
      <c r="I20" s="218"/>
      <c r="J20" s="222"/>
      <c r="K20" s="202"/>
      <c r="L20" s="205"/>
      <c r="M20" s="208"/>
      <c r="N20" s="150"/>
      <c r="O20" s="202"/>
      <c r="P20" s="205"/>
      <c r="Q20" s="210"/>
      <c r="R20" s="100">
        <v>2</v>
      </c>
      <c r="S20" s="101"/>
      <c r="T20" s="102" t="str">
        <f t="shared" ref="T20:T21" si="35">IF(OR(U20="Preventivo",U20="Detectivo"),"Probabilidad",IF(U20="Correctivo","Impacto",""))</f>
        <v>Probabilidad</v>
      </c>
      <c r="U20" s="103" t="s">
        <v>15</v>
      </c>
      <c r="V20" s="103" t="s">
        <v>9</v>
      </c>
      <c r="W20" s="104" t="str">
        <f t="shared" ref="W20:W21" si="36">IF(AND(U20="Preventivo",V20="Automático"),"50%",IF(AND(U20="Preventivo",V20="Manual"),"40%",IF(AND(U20="Detectivo",V20="Automático"),"40%",IF(AND(U20="Detectivo",V20="Manual"),"30%",IF(AND(U20="Correctivo",V20="Automático"),"35%",IF(AND(U20="Correctivo",V20="Manual"),"25%",""))))))</f>
        <v>30%</v>
      </c>
      <c r="X20" s="103" t="s">
        <v>20</v>
      </c>
      <c r="Y20" s="103" t="s">
        <v>23</v>
      </c>
      <c r="Z20" s="103" t="s">
        <v>114</v>
      </c>
      <c r="AA20" s="105">
        <f t="shared" ref="AA20:AA21" si="37">IFERROR(IF(T20="Probabilidad",(L20-(+L20*W20)),IF(T20="Impacto",L20,"")),"")</f>
        <v>0</v>
      </c>
      <c r="AB20" s="106" t="str">
        <f t="shared" ref="AB20:AB21" si="38">IFERROR(IF(AA20="","",IF(AA20&lt;=0.2,"Muy Baja",IF(AA20&lt;=0.4,"Baja",IF(AA20&lt;=0.6,"Media",IF(AA20&lt;=0.8,"Alta","Muy Alta"))))),"")</f>
        <v>Muy Baja</v>
      </c>
      <c r="AC20" s="107">
        <f t="shared" ref="AC20:AC21" si="39">+AA20</f>
        <v>0</v>
      </c>
      <c r="AD20" s="106" t="str">
        <f t="shared" ref="AD20:AD21" si="40">IFERROR(IF(AE20="","",IF(AE20&lt;=0.2,"Leve",IF(AE20&lt;=0.4,"Menor",IF(AE20&lt;=0.6,"Moderado",IF(AE20&lt;=0.8,"Mayor","Catastrófico"))))),"")</f>
        <v>Leve</v>
      </c>
      <c r="AE20" s="107">
        <f t="shared" ref="AE20:AE21" si="41">IFERROR(IF(T20="Impacto",(P20-(+P20*W20)),IF(T20="Probabilidad",P20,"")),"")</f>
        <v>0</v>
      </c>
      <c r="AF20" s="108" t="str">
        <f t="shared" ref="AF20:AF21" si="42">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Bajo</v>
      </c>
      <c r="AG20" s="109"/>
      <c r="AH20" s="148"/>
      <c r="AI20" s="111"/>
      <c r="AJ20" s="112"/>
      <c r="AK20" s="112"/>
      <c r="AL20" s="148"/>
      <c r="AM20" s="111"/>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1" ht="151.5" customHeight="1" x14ac:dyDescent="0.25">
      <c r="A21" s="212"/>
      <c r="B21" s="215"/>
      <c r="C21" s="227"/>
      <c r="D21" s="227"/>
      <c r="E21" s="218"/>
      <c r="F21" s="218"/>
      <c r="G21" s="218"/>
      <c r="H21" s="220"/>
      <c r="I21" s="218"/>
      <c r="J21" s="222"/>
      <c r="K21" s="203"/>
      <c r="L21" s="206"/>
      <c r="M21" s="208"/>
      <c r="N21" s="150"/>
      <c r="O21" s="203"/>
      <c r="P21" s="206"/>
      <c r="Q21" s="211"/>
      <c r="R21" s="100">
        <v>3</v>
      </c>
      <c r="S21" s="101"/>
      <c r="T21" s="102" t="str">
        <f t="shared" si="35"/>
        <v>Probabilidad</v>
      </c>
      <c r="U21" s="103" t="s">
        <v>15</v>
      </c>
      <c r="V21" s="103" t="s">
        <v>9</v>
      </c>
      <c r="W21" s="104" t="str">
        <f t="shared" si="36"/>
        <v>30%</v>
      </c>
      <c r="X21" s="103" t="s">
        <v>20</v>
      </c>
      <c r="Y21" s="103" t="s">
        <v>23</v>
      </c>
      <c r="Z21" s="103" t="s">
        <v>114</v>
      </c>
      <c r="AA21" s="105">
        <f t="shared" si="37"/>
        <v>0</v>
      </c>
      <c r="AB21" s="106" t="str">
        <f t="shared" si="38"/>
        <v>Muy Baja</v>
      </c>
      <c r="AC21" s="107">
        <f t="shared" si="39"/>
        <v>0</v>
      </c>
      <c r="AD21" s="106" t="str">
        <f t="shared" si="40"/>
        <v>Leve</v>
      </c>
      <c r="AE21" s="107">
        <f t="shared" si="41"/>
        <v>0</v>
      </c>
      <c r="AF21" s="108" t="str">
        <f t="shared" si="42"/>
        <v>Bajo</v>
      </c>
      <c r="AG21" s="109"/>
      <c r="AH21" s="148"/>
      <c r="AI21" s="111"/>
      <c r="AJ21" s="112"/>
      <c r="AK21" s="112"/>
      <c r="AL21" s="148"/>
      <c r="AM21" s="111"/>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1" ht="151.5" customHeight="1" x14ac:dyDescent="0.25">
      <c r="A22" s="212">
        <v>6</v>
      </c>
      <c r="B22" s="213" t="s">
        <v>248</v>
      </c>
      <c r="C22" s="223" t="s">
        <v>249</v>
      </c>
      <c r="D22" s="223" t="s">
        <v>250</v>
      </c>
      <c r="E22" s="217" t="s">
        <v>125</v>
      </c>
      <c r="F22" s="217" t="s">
        <v>251</v>
      </c>
      <c r="G22" s="217" t="s">
        <v>252</v>
      </c>
      <c r="H22" s="219" t="s">
        <v>253</v>
      </c>
      <c r="I22" s="217" t="s">
        <v>119</v>
      </c>
      <c r="J22" s="221">
        <v>1</v>
      </c>
      <c r="K22" s="201" t="str">
        <f>IF(J22&lt;=0,"",IF(J22&lt;=2,"Muy Baja",IF(J22&lt;=24,"Baja",IF(J22&lt;=500,"Media",IF(J22&lt;=5000,"Alta","Muy Alta")))))</f>
        <v>Muy Baja</v>
      </c>
      <c r="L22" s="204">
        <f>IF(K22="","",IF(K22="Muy Baja",0.2,IF(K22="Baja",0.4,IF(K22="Media",0.6,IF(K22="Alta",0.8,IF(K22="Muy Alta",1,))))))</f>
        <v>0.2</v>
      </c>
      <c r="M22" s="207" t="s">
        <v>146</v>
      </c>
      <c r="N22" s="149" t="str">
        <f>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201" t="str">
        <f>IF(OR(N22='Tabla Impacto'!$C$11,N22='Tabla Impacto'!$D$11),"Leve",IF(OR(N22='Tabla Impacto'!$C$12,N22='Tabla Impacto'!$D$12),"Menor",IF(OR(N22='Tabla Impacto'!$C$13,N22='Tabla Impacto'!$D$13),"Moderado",IF(OR(N22='Tabla Impacto'!$C$14,N22='Tabla Impacto'!$D$14),"Mayor",IF(OR(N22='Tabla Impacto'!$C$15,N22='Tabla Impacto'!$D$15),"Catastrófico","")))))</f>
        <v>Moderado</v>
      </c>
      <c r="P22" s="204">
        <f>IF(O22="","",IF(O22="Leve",0.2,IF(O22="Menor",0.4,IF(O22="Moderado",0.6,IF(O22="Mayor",0.8,IF(O22="Catastrófico",1,))))))</f>
        <v>0.6</v>
      </c>
      <c r="Q22" s="209"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Moderado</v>
      </c>
      <c r="R22" s="100">
        <v>1</v>
      </c>
      <c r="S22" s="101" t="s">
        <v>254</v>
      </c>
      <c r="T22" s="102" t="str">
        <f t="shared" si="27"/>
        <v>Probabilidad</v>
      </c>
      <c r="U22" s="103" t="s">
        <v>14</v>
      </c>
      <c r="V22" s="103" t="s">
        <v>9</v>
      </c>
      <c r="W22" s="104" t="str">
        <f t="shared" si="28"/>
        <v>40%</v>
      </c>
      <c r="X22" s="103" t="s">
        <v>19</v>
      </c>
      <c r="Y22" s="103" t="s">
        <v>22</v>
      </c>
      <c r="Z22" s="103" t="s">
        <v>113</v>
      </c>
      <c r="AA22" s="105">
        <f t="shared" si="33"/>
        <v>0.12</v>
      </c>
      <c r="AB22" s="106" t="str">
        <f t="shared" si="29"/>
        <v>Muy Baja</v>
      </c>
      <c r="AC22" s="107">
        <f t="shared" si="30"/>
        <v>0.12</v>
      </c>
      <c r="AD22" s="106" t="str">
        <f t="shared" si="31"/>
        <v>Moderado</v>
      </c>
      <c r="AE22" s="107">
        <f t="shared" si="34"/>
        <v>0.6</v>
      </c>
      <c r="AF22" s="108" t="str">
        <f t="shared" si="32"/>
        <v>Moderado</v>
      </c>
      <c r="AG22" s="109"/>
      <c r="AH22" s="135" t="s">
        <v>255</v>
      </c>
      <c r="AI22" s="136" t="s">
        <v>256</v>
      </c>
      <c r="AJ22" s="137">
        <v>44378</v>
      </c>
      <c r="AK22" s="137">
        <v>44561</v>
      </c>
      <c r="AL22" s="101" t="s">
        <v>257</v>
      </c>
      <c r="AM22" s="111"/>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row>
    <row r="23" spans="1:71" ht="151.5" customHeight="1" x14ac:dyDescent="0.25">
      <c r="A23" s="212"/>
      <c r="B23" s="214"/>
      <c r="C23" s="224"/>
      <c r="D23" s="227"/>
      <c r="E23" s="218"/>
      <c r="F23" s="218"/>
      <c r="G23" s="218"/>
      <c r="H23" s="220"/>
      <c r="I23" s="218"/>
      <c r="J23" s="222"/>
      <c r="K23" s="202"/>
      <c r="L23" s="205"/>
      <c r="M23" s="208"/>
      <c r="N23" s="150"/>
      <c r="O23" s="202"/>
      <c r="P23" s="205"/>
      <c r="Q23" s="210"/>
      <c r="R23" s="100">
        <v>2</v>
      </c>
      <c r="S23" s="101"/>
      <c r="T23" s="102" t="str">
        <f t="shared" ref="T23:T24" si="43">IF(OR(U23="Preventivo",U23="Detectivo"),"Probabilidad",IF(U23="Correctivo","Impacto",""))</f>
        <v>Probabilidad</v>
      </c>
      <c r="U23" s="103" t="s">
        <v>15</v>
      </c>
      <c r="V23" s="103" t="s">
        <v>9</v>
      </c>
      <c r="W23" s="104" t="str">
        <f t="shared" ref="W23:W24" si="44">IF(AND(U23="Preventivo",V23="Automático"),"50%",IF(AND(U23="Preventivo",V23="Manual"),"40%",IF(AND(U23="Detectivo",V23="Automático"),"40%",IF(AND(U23="Detectivo",V23="Manual"),"30%",IF(AND(U23="Correctivo",V23="Automático"),"35%",IF(AND(U23="Correctivo",V23="Manual"),"25%",""))))))</f>
        <v>30%</v>
      </c>
      <c r="X23" s="103" t="s">
        <v>20</v>
      </c>
      <c r="Y23" s="103" t="s">
        <v>23</v>
      </c>
      <c r="Z23" s="103" t="s">
        <v>114</v>
      </c>
      <c r="AA23" s="105">
        <f t="shared" ref="AA23:AA24" si="45">IFERROR(IF(T23="Probabilidad",(L23-(+L23*W23)),IF(T23="Impacto",L23,"")),"")</f>
        <v>0</v>
      </c>
      <c r="AB23" s="106" t="str">
        <f t="shared" ref="AB23:AB24" si="46">IFERROR(IF(AA23="","",IF(AA23&lt;=0.2,"Muy Baja",IF(AA23&lt;=0.4,"Baja",IF(AA23&lt;=0.6,"Media",IF(AA23&lt;=0.8,"Alta","Muy Alta"))))),"")</f>
        <v>Muy Baja</v>
      </c>
      <c r="AC23" s="107">
        <f t="shared" ref="AC23:AC24" si="47">+AA23</f>
        <v>0</v>
      </c>
      <c r="AD23" s="106" t="str">
        <f t="shared" ref="AD23:AD24" si="48">IFERROR(IF(AE23="","",IF(AE23&lt;=0.2,"Leve",IF(AE23&lt;=0.4,"Menor",IF(AE23&lt;=0.6,"Moderado",IF(AE23&lt;=0.8,"Mayor","Catastrófico"))))),"")</f>
        <v>Leve</v>
      </c>
      <c r="AE23" s="107">
        <f t="shared" ref="AE23:AE24" si="49">IFERROR(IF(T23="Impacto",(P23-(+P23*W23)),IF(T23="Probabilidad",P23,"")),"")</f>
        <v>0</v>
      </c>
      <c r="AF23" s="108" t="str">
        <f t="shared" ref="AF23:AF24" si="50">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Bajo</v>
      </c>
      <c r="AG23" s="109"/>
      <c r="AH23" s="148"/>
      <c r="AI23" s="111"/>
      <c r="AJ23" s="112"/>
      <c r="AK23" s="112"/>
      <c r="AL23" s="148"/>
      <c r="AM23" s="111"/>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row>
    <row r="24" spans="1:71" ht="151.5" customHeight="1" x14ac:dyDescent="0.25">
      <c r="A24" s="231"/>
      <c r="B24" s="215"/>
      <c r="C24" s="224"/>
      <c r="D24" s="227"/>
      <c r="E24" s="218"/>
      <c r="F24" s="218"/>
      <c r="G24" s="218"/>
      <c r="H24" s="220"/>
      <c r="I24" s="218"/>
      <c r="J24" s="222"/>
      <c r="K24" s="203"/>
      <c r="L24" s="206"/>
      <c r="M24" s="208"/>
      <c r="N24" s="150"/>
      <c r="O24" s="203"/>
      <c r="P24" s="206"/>
      <c r="Q24" s="211"/>
      <c r="R24" s="100">
        <v>3</v>
      </c>
      <c r="S24" s="101"/>
      <c r="T24" s="102" t="str">
        <f t="shared" si="43"/>
        <v>Probabilidad</v>
      </c>
      <c r="U24" s="103" t="s">
        <v>15</v>
      </c>
      <c r="V24" s="103" t="s">
        <v>9</v>
      </c>
      <c r="W24" s="104" t="str">
        <f t="shared" si="44"/>
        <v>30%</v>
      </c>
      <c r="X24" s="103" t="s">
        <v>20</v>
      </c>
      <c r="Y24" s="103" t="s">
        <v>23</v>
      </c>
      <c r="Z24" s="103" t="s">
        <v>114</v>
      </c>
      <c r="AA24" s="105">
        <f t="shared" si="45"/>
        <v>0</v>
      </c>
      <c r="AB24" s="106" t="str">
        <f t="shared" si="46"/>
        <v>Muy Baja</v>
      </c>
      <c r="AC24" s="107">
        <f t="shared" si="47"/>
        <v>0</v>
      </c>
      <c r="AD24" s="106" t="str">
        <f t="shared" si="48"/>
        <v>Leve</v>
      </c>
      <c r="AE24" s="107">
        <f t="shared" si="49"/>
        <v>0</v>
      </c>
      <c r="AF24" s="108" t="str">
        <f t="shared" si="50"/>
        <v>Bajo</v>
      </c>
      <c r="AG24" s="109"/>
      <c r="AH24" s="148"/>
      <c r="AI24" s="111"/>
      <c r="AJ24" s="112"/>
      <c r="AK24" s="112"/>
      <c r="AL24" s="148"/>
      <c r="AM24" s="111"/>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row>
    <row r="25" spans="1:71" ht="151.5" customHeight="1" x14ac:dyDescent="0.25">
      <c r="A25" s="216">
        <v>7</v>
      </c>
      <c r="B25" s="213" t="s">
        <v>248</v>
      </c>
      <c r="C25" s="223" t="s">
        <v>249</v>
      </c>
      <c r="D25" s="223" t="s">
        <v>250</v>
      </c>
      <c r="E25" s="217" t="s">
        <v>126</v>
      </c>
      <c r="F25" s="225" t="s">
        <v>258</v>
      </c>
      <c r="G25" s="217" t="s">
        <v>259</v>
      </c>
      <c r="H25" s="219" t="s">
        <v>504</v>
      </c>
      <c r="I25" s="217" t="s">
        <v>462</v>
      </c>
      <c r="J25" s="221">
        <v>1</v>
      </c>
      <c r="K25" s="201" t="str">
        <f>IF(J25&lt;=0,"",IF(J25&lt;=2,"Muy Baja",IF(J25&lt;=24,"Baja",IF(J25&lt;=500,"Media",IF(J25&lt;=5000,"Alta","Muy Alta")))))</f>
        <v>Muy Baja</v>
      </c>
      <c r="L25" s="204">
        <f>IF(K25="","",IF(K25="Muy Baja",0.2,IF(K25="Baja",0.4,IF(K25="Media",0.6,IF(K25="Alta",0.8,IF(K25="Muy Alta",1,))))))</f>
        <v>0.2</v>
      </c>
      <c r="M25" s="207" t="s">
        <v>140</v>
      </c>
      <c r="N25" s="149" t="str">
        <f>IF(NOT(ISERROR(MATCH(M25,'Tabla Impacto'!$B$221:$B$223,0))),'Tabla Impacto'!$F$223&amp;"Por favor no seleccionar los criterios de impacto(Afectación Económica o presupuestal y Pérdida Reputacional)",M25)</f>
        <v xml:space="preserve">     Entre 50 y 100 SMLMV </v>
      </c>
      <c r="O25" s="201" t="str">
        <f>IF(OR(N25='Tabla Impacto'!$C$11,N25='Tabla Impacto'!$D$11),"Leve",IF(OR(N25='Tabla Impacto'!$C$12,N25='Tabla Impacto'!$D$12),"Menor",IF(OR(N25='Tabla Impacto'!$C$13,N25='Tabla Impacto'!$D$13),"Moderado",IF(OR(N25='Tabla Impacto'!$C$14,N25='Tabla Impacto'!$D$14),"Mayor",IF(OR(N25='Tabla Impacto'!$C$15,N25='Tabla Impacto'!$D$15),"Catastrófico","")))))</f>
        <v>Moderado</v>
      </c>
      <c r="P25" s="204">
        <f>IF(O25="","",IF(O25="Leve",0.2,IF(O25="Menor",0.4,IF(O25="Moderado",0.6,IF(O25="Mayor",0.8,IF(O25="Catastrófico",1,))))))</f>
        <v>0.6</v>
      </c>
      <c r="Q25" s="209" t="str">
        <f>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Moderado</v>
      </c>
      <c r="R25" s="100">
        <v>1</v>
      </c>
      <c r="S25" s="101" t="s">
        <v>260</v>
      </c>
      <c r="T25" s="102" t="str">
        <f t="shared" si="27"/>
        <v>Probabilidad</v>
      </c>
      <c r="U25" s="103" t="s">
        <v>15</v>
      </c>
      <c r="V25" s="103" t="s">
        <v>9</v>
      </c>
      <c r="W25" s="104" t="str">
        <f t="shared" si="28"/>
        <v>30%</v>
      </c>
      <c r="X25" s="103" t="s">
        <v>20</v>
      </c>
      <c r="Y25" s="103" t="s">
        <v>23</v>
      </c>
      <c r="Z25" s="103" t="s">
        <v>114</v>
      </c>
      <c r="AA25" s="105">
        <f t="shared" si="33"/>
        <v>0.14000000000000001</v>
      </c>
      <c r="AB25" s="106" t="str">
        <f t="shared" si="29"/>
        <v>Muy Baja</v>
      </c>
      <c r="AC25" s="107">
        <f t="shared" si="30"/>
        <v>0.14000000000000001</v>
      </c>
      <c r="AD25" s="106" t="str">
        <f t="shared" si="31"/>
        <v>Moderado</v>
      </c>
      <c r="AE25" s="107">
        <f t="shared" si="34"/>
        <v>0.6</v>
      </c>
      <c r="AF25" s="108" t="str">
        <f t="shared" si="32"/>
        <v>Moderado</v>
      </c>
      <c r="AG25" s="109" t="s">
        <v>129</v>
      </c>
      <c r="AH25" s="148" t="s">
        <v>261</v>
      </c>
      <c r="AI25" s="136" t="s">
        <v>233</v>
      </c>
      <c r="AJ25" s="137">
        <v>44378</v>
      </c>
      <c r="AK25" s="137">
        <v>44561</v>
      </c>
      <c r="AL25" s="135" t="s">
        <v>464</v>
      </c>
      <c r="AM25" s="111"/>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1" ht="151.5" customHeight="1" x14ac:dyDescent="0.25">
      <c r="A26" s="212"/>
      <c r="B26" s="214"/>
      <c r="C26" s="224"/>
      <c r="D26" s="227"/>
      <c r="E26" s="218"/>
      <c r="F26" s="218"/>
      <c r="G26" s="218"/>
      <c r="H26" s="220"/>
      <c r="I26" s="218"/>
      <c r="J26" s="222"/>
      <c r="K26" s="202"/>
      <c r="L26" s="205"/>
      <c r="M26" s="208"/>
      <c r="N26" s="150"/>
      <c r="O26" s="202"/>
      <c r="P26" s="205"/>
      <c r="Q26" s="210"/>
      <c r="R26" s="100">
        <v>2</v>
      </c>
      <c r="S26" s="101"/>
      <c r="T26" s="102" t="str">
        <f t="shared" ref="T26:T48" si="51">IF(OR(U26="Preventivo",U26="Detectivo"),"Probabilidad",IF(U26="Correctivo","Impacto",""))</f>
        <v>Probabilidad</v>
      </c>
      <c r="U26" s="103" t="s">
        <v>15</v>
      </c>
      <c r="V26" s="103" t="s">
        <v>9</v>
      </c>
      <c r="W26" s="104" t="str">
        <f t="shared" ref="W26:W48" si="52">IF(AND(U26="Preventivo",V26="Automático"),"50%",IF(AND(U26="Preventivo",V26="Manual"),"40%",IF(AND(U26="Detectivo",V26="Automático"),"40%",IF(AND(U26="Detectivo",V26="Manual"),"30%",IF(AND(U26="Correctivo",V26="Automático"),"35%",IF(AND(U26="Correctivo",V26="Manual"),"25%",""))))))</f>
        <v>30%</v>
      </c>
      <c r="X26" s="103" t="s">
        <v>20</v>
      </c>
      <c r="Y26" s="103" t="s">
        <v>23</v>
      </c>
      <c r="Z26" s="103" t="s">
        <v>114</v>
      </c>
      <c r="AA26" s="105">
        <f t="shared" ref="AA26:AA48" si="53">IFERROR(IF(T26="Probabilidad",(L26-(+L26*W26)),IF(T26="Impacto",L26,"")),"")</f>
        <v>0</v>
      </c>
      <c r="AB26" s="106" t="str">
        <f t="shared" ref="AB26:AB48" si="54">IFERROR(IF(AA26="","",IF(AA26&lt;=0.2,"Muy Baja",IF(AA26&lt;=0.4,"Baja",IF(AA26&lt;=0.6,"Media",IF(AA26&lt;=0.8,"Alta","Muy Alta"))))),"")</f>
        <v>Muy Baja</v>
      </c>
      <c r="AC26" s="107">
        <f t="shared" ref="AC26:AC48" si="55">+AA26</f>
        <v>0</v>
      </c>
      <c r="AD26" s="106" t="str">
        <f t="shared" ref="AD26:AD48" si="56">IFERROR(IF(AE26="","",IF(AE26&lt;=0.2,"Leve",IF(AE26&lt;=0.4,"Menor",IF(AE26&lt;=0.6,"Moderado",IF(AE26&lt;=0.8,"Mayor","Catastrófico"))))),"")</f>
        <v>Leve</v>
      </c>
      <c r="AE26" s="107">
        <f t="shared" ref="AE26:AE48" si="57">IFERROR(IF(T26="Impacto",(P26-(+P26*W26)),IF(T26="Probabilidad",P26,"")),"")</f>
        <v>0</v>
      </c>
      <c r="AF26" s="108" t="str">
        <f t="shared" ref="AF26:AF48" si="58">IFERROR(IF(OR(AND(AB26="Muy Baja",AD26="Leve"),AND(AB26="Muy Baja",AD26="Menor"),AND(AB26="Baja",AD26="Leve")),"Bajo",IF(OR(AND(AB26="Muy baja",AD26="Moderado"),AND(AB26="Baja",AD26="Menor"),AND(AB26="Baja",AD26="Moderado"),AND(AB26="Media",AD26="Leve"),AND(AB26="Media",AD26="Menor"),AND(AB26="Media",AD26="Moderado"),AND(AB26="Alta",AD26="Leve"),AND(AB26="Alta",AD26="Menor")),"Moderado",IF(OR(AND(AB26="Muy Baja",AD26="Mayor"),AND(AB26="Baja",AD26="Mayor"),AND(AB26="Media",AD26="Mayor"),AND(AB26="Alta",AD26="Moderado"),AND(AB26="Alta",AD26="Mayor"),AND(AB26="Muy Alta",AD26="Leve"),AND(AB26="Muy Alta",AD26="Menor"),AND(AB26="Muy Alta",AD26="Moderado"),AND(AB26="Muy Alta",AD26="Mayor")),"Alto",IF(OR(AND(AB26="Muy Baja",AD26="Catastrófico"),AND(AB26="Baja",AD26="Catastrófico"),AND(AB26="Media",AD26="Catastrófico"),AND(AB26="Alta",AD26="Catastrófico"),AND(AB26="Muy Alta",AD26="Catastrófico")),"Extremo","")))),"")</f>
        <v>Bajo</v>
      </c>
      <c r="AG26" s="109"/>
      <c r="AH26" s="148"/>
      <c r="AI26" s="111"/>
      <c r="AJ26" s="112"/>
      <c r="AK26" s="112"/>
      <c r="AL26" s="148"/>
      <c r="AM26" s="111"/>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1" ht="151.5" customHeight="1" x14ac:dyDescent="0.25">
      <c r="A27" s="212"/>
      <c r="B27" s="215"/>
      <c r="C27" s="224"/>
      <c r="D27" s="227"/>
      <c r="E27" s="218"/>
      <c r="F27" s="218"/>
      <c r="G27" s="218"/>
      <c r="H27" s="220"/>
      <c r="I27" s="218"/>
      <c r="J27" s="222"/>
      <c r="K27" s="203"/>
      <c r="L27" s="206"/>
      <c r="M27" s="208"/>
      <c r="N27" s="150"/>
      <c r="O27" s="203"/>
      <c r="P27" s="206"/>
      <c r="Q27" s="211"/>
      <c r="R27" s="100">
        <v>3</v>
      </c>
      <c r="S27" s="101"/>
      <c r="T27" s="102" t="str">
        <f t="shared" si="51"/>
        <v>Probabilidad</v>
      </c>
      <c r="U27" s="103" t="s">
        <v>15</v>
      </c>
      <c r="V27" s="103" t="s">
        <v>9</v>
      </c>
      <c r="W27" s="104" t="str">
        <f t="shared" si="52"/>
        <v>30%</v>
      </c>
      <c r="X27" s="103" t="s">
        <v>20</v>
      </c>
      <c r="Y27" s="103" t="s">
        <v>23</v>
      </c>
      <c r="Z27" s="103" t="s">
        <v>114</v>
      </c>
      <c r="AA27" s="105">
        <f t="shared" si="53"/>
        <v>0</v>
      </c>
      <c r="AB27" s="106" t="str">
        <f t="shared" si="54"/>
        <v>Muy Baja</v>
      </c>
      <c r="AC27" s="107">
        <f t="shared" si="55"/>
        <v>0</v>
      </c>
      <c r="AD27" s="106" t="str">
        <f t="shared" si="56"/>
        <v>Leve</v>
      </c>
      <c r="AE27" s="107">
        <f t="shared" si="57"/>
        <v>0</v>
      </c>
      <c r="AF27" s="108" t="str">
        <f t="shared" si="58"/>
        <v>Bajo</v>
      </c>
      <c r="AG27" s="109"/>
      <c r="AH27" s="148"/>
      <c r="AI27" s="111"/>
      <c r="AJ27" s="112"/>
      <c r="AK27" s="112"/>
      <c r="AL27" s="148"/>
      <c r="AM27" s="111"/>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1" ht="226.5" customHeight="1" x14ac:dyDescent="0.25">
      <c r="A28" s="212">
        <v>8</v>
      </c>
      <c r="B28" s="213" t="s">
        <v>262</v>
      </c>
      <c r="C28" s="223" t="s">
        <v>263</v>
      </c>
      <c r="D28" s="223" t="s">
        <v>264</v>
      </c>
      <c r="E28" s="217" t="s">
        <v>127</v>
      </c>
      <c r="F28" s="225" t="s">
        <v>265</v>
      </c>
      <c r="G28" s="217" t="s">
        <v>266</v>
      </c>
      <c r="H28" s="219" t="s">
        <v>267</v>
      </c>
      <c r="I28" s="217" t="s">
        <v>119</v>
      </c>
      <c r="J28" s="221">
        <v>1460</v>
      </c>
      <c r="K28" s="201" t="str">
        <f>IF(J28&lt;=0,"",IF(J28&lt;=2,"Muy Baja",IF(J28&lt;=24,"Baja",IF(J28&lt;=500,"Media",IF(J28&lt;=5000,"Alta","Muy Alta")))))</f>
        <v>Alta</v>
      </c>
      <c r="L28" s="204">
        <f>IF(K28="","",IF(K28="Muy Baja",0.2,IF(K28="Baja",0.4,IF(K28="Media",0.6,IF(K28="Alta",0.8,IF(K28="Muy Alta",1,))))))</f>
        <v>0.8</v>
      </c>
      <c r="M28" s="207" t="s">
        <v>146</v>
      </c>
      <c r="N28" s="149" t="str">
        <f>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201" t="str">
        <f>IF(OR(N28='Tabla Impacto'!$C$11,N28='Tabla Impacto'!$D$11),"Leve",IF(OR(N28='Tabla Impacto'!$C$12,N28='Tabla Impacto'!$D$12),"Menor",IF(OR(N28='Tabla Impacto'!$C$13,N28='Tabla Impacto'!$D$13),"Moderado",IF(OR(N28='Tabla Impacto'!$C$14,N28='Tabla Impacto'!$D$14),"Mayor",IF(OR(N28='Tabla Impacto'!$C$15,N28='Tabla Impacto'!$D$15),"Catastrófico","")))))</f>
        <v>Moderado</v>
      </c>
      <c r="P28" s="204">
        <f>IF(O28="","",IF(O28="Leve",0.2,IF(O28="Menor",0.4,IF(O28="Moderado",0.6,IF(O28="Mayor",0.8,IF(O28="Catastrófico",1,))))))</f>
        <v>0.6</v>
      </c>
      <c r="Q28" s="209"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00">
        <v>1</v>
      </c>
      <c r="S28" s="101" t="s">
        <v>268</v>
      </c>
      <c r="T28" s="102" t="str">
        <f t="shared" si="51"/>
        <v>Probabilidad</v>
      </c>
      <c r="U28" s="103" t="s">
        <v>14</v>
      </c>
      <c r="V28" s="103" t="s">
        <v>9</v>
      </c>
      <c r="W28" s="104" t="str">
        <f t="shared" si="52"/>
        <v>40%</v>
      </c>
      <c r="X28" s="103" t="s">
        <v>19</v>
      </c>
      <c r="Y28" s="103" t="s">
        <v>22</v>
      </c>
      <c r="Z28" s="103" t="s">
        <v>113</v>
      </c>
      <c r="AA28" s="105">
        <f t="shared" si="53"/>
        <v>0.48</v>
      </c>
      <c r="AB28" s="106" t="str">
        <f t="shared" si="54"/>
        <v>Media</v>
      </c>
      <c r="AC28" s="107">
        <f t="shared" si="55"/>
        <v>0.48</v>
      </c>
      <c r="AD28" s="106" t="str">
        <f t="shared" si="56"/>
        <v>Moderado</v>
      </c>
      <c r="AE28" s="107">
        <f t="shared" si="57"/>
        <v>0.6</v>
      </c>
      <c r="AF28" s="108" t="str">
        <f t="shared" si="58"/>
        <v>Moderado</v>
      </c>
      <c r="AG28" s="109" t="s">
        <v>129</v>
      </c>
      <c r="AH28" s="152" t="s">
        <v>269</v>
      </c>
      <c r="AI28" s="139" t="s">
        <v>256</v>
      </c>
      <c r="AJ28" s="140">
        <v>44378</v>
      </c>
      <c r="AK28" s="140">
        <v>44561</v>
      </c>
      <c r="AL28" s="152" t="s">
        <v>270</v>
      </c>
      <c r="AM28" s="111"/>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row>
    <row r="29" spans="1:71" ht="151.5" customHeight="1" x14ac:dyDescent="0.25">
      <c r="A29" s="212"/>
      <c r="B29" s="214"/>
      <c r="C29" s="224"/>
      <c r="D29" s="227"/>
      <c r="E29" s="218"/>
      <c r="F29" s="218"/>
      <c r="G29" s="218"/>
      <c r="H29" s="220"/>
      <c r="I29" s="218"/>
      <c r="J29" s="222"/>
      <c r="K29" s="202"/>
      <c r="L29" s="205"/>
      <c r="M29" s="208"/>
      <c r="N29" s="150"/>
      <c r="O29" s="202"/>
      <c r="P29" s="205"/>
      <c r="Q29" s="210"/>
      <c r="R29" s="100">
        <v>2</v>
      </c>
      <c r="S29" s="101"/>
      <c r="T29" s="102" t="str">
        <f t="shared" si="51"/>
        <v>Probabilidad</v>
      </c>
      <c r="U29" s="103" t="s">
        <v>15</v>
      </c>
      <c r="V29" s="103" t="s">
        <v>9</v>
      </c>
      <c r="W29" s="104" t="str">
        <f t="shared" si="52"/>
        <v>30%</v>
      </c>
      <c r="X29" s="103" t="s">
        <v>20</v>
      </c>
      <c r="Y29" s="103" t="s">
        <v>23</v>
      </c>
      <c r="Z29" s="103" t="s">
        <v>114</v>
      </c>
      <c r="AA29" s="105">
        <f t="shared" si="53"/>
        <v>0</v>
      </c>
      <c r="AB29" s="106" t="str">
        <f t="shared" si="54"/>
        <v>Muy Baja</v>
      </c>
      <c r="AC29" s="107">
        <f t="shared" si="55"/>
        <v>0</v>
      </c>
      <c r="AD29" s="106" t="str">
        <f t="shared" si="56"/>
        <v>Leve</v>
      </c>
      <c r="AE29" s="107">
        <f t="shared" si="57"/>
        <v>0</v>
      </c>
      <c r="AF29" s="108" t="str">
        <f t="shared" si="58"/>
        <v>Bajo</v>
      </c>
      <c r="AG29" s="109"/>
      <c r="AH29" s="148"/>
      <c r="AI29" s="111"/>
      <c r="AJ29" s="112"/>
      <c r="AK29" s="112"/>
      <c r="AL29" s="148"/>
      <c r="AM29" s="111"/>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row>
    <row r="30" spans="1:71" ht="151.5" customHeight="1" x14ac:dyDescent="0.25">
      <c r="A30" s="212"/>
      <c r="B30" s="215"/>
      <c r="C30" s="224"/>
      <c r="D30" s="227"/>
      <c r="E30" s="218"/>
      <c r="F30" s="218"/>
      <c r="G30" s="218"/>
      <c r="H30" s="220"/>
      <c r="I30" s="218"/>
      <c r="J30" s="222"/>
      <c r="K30" s="203"/>
      <c r="L30" s="206"/>
      <c r="M30" s="208"/>
      <c r="N30" s="150"/>
      <c r="O30" s="203"/>
      <c r="P30" s="206"/>
      <c r="Q30" s="211"/>
      <c r="R30" s="100">
        <v>3</v>
      </c>
      <c r="S30" s="101"/>
      <c r="T30" s="102" t="str">
        <f t="shared" si="51"/>
        <v>Probabilidad</v>
      </c>
      <c r="U30" s="103" t="s">
        <v>15</v>
      </c>
      <c r="V30" s="103" t="s">
        <v>9</v>
      </c>
      <c r="W30" s="104" t="str">
        <f t="shared" si="52"/>
        <v>30%</v>
      </c>
      <c r="X30" s="103" t="s">
        <v>20</v>
      </c>
      <c r="Y30" s="103" t="s">
        <v>23</v>
      </c>
      <c r="Z30" s="103" t="s">
        <v>114</v>
      </c>
      <c r="AA30" s="105">
        <f t="shared" si="53"/>
        <v>0</v>
      </c>
      <c r="AB30" s="106" t="str">
        <f t="shared" si="54"/>
        <v>Muy Baja</v>
      </c>
      <c r="AC30" s="107">
        <f t="shared" si="55"/>
        <v>0</v>
      </c>
      <c r="AD30" s="106" t="str">
        <f t="shared" si="56"/>
        <v>Leve</v>
      </c>
      <c r="AE30" s="107">
        <f t="shared" si="57"/>
        <v>0</v>
      </c>
      <c r="AF30" s="108" t="str">
        <f t="shared" si="58"/>
        <v>Bajo</v>
      </c>
      <c r="AG30" s="109"/>
      <c r="AH30" s="148"/>
      <c r="AI30" s="111"/>
      <c r="AJ30" s="112"/>
      <c r="AK30" s="112"/>
      <c r="AL30" s="148"/>
      <c r="AM30" s="111"/>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row>
    <row r="31" spans="1:71" ht="151.5" customHeight="1" x14ac:dyDescent="0.25">
      <c r="A31" s="212">
        <v>9</v>
      </c>
      <c r="B31" s="213" t="s">
        <v>271</v>
      </c>
      <c r="C31" s="223" t="s">
        <v>263</v>
      </c>
      <c r="D31" s="223" t="s">
        <v>264</v>
      </c>
      <c r="E31" s="217" t="s">
        <v>125</v>
      </c>
      <c r="F31" s="217" t="s">
        <v>272</v>
      </c>
      <c r="G31" s="217" t="s">
        <v>273</v>
      </c>
      <c r="H31" s="219" t="s">
        <v>274</v>
      </c>
      <c r="I31" s="217" t="s">
        <v>462</v>
      </c>
      <c r="J31" s="221">
        <v>1460</v>
      </c>
      <c r="K31" s="201" t="str">
        <f>IF(J31&lt;=0,"",IF(J31&lt;=2,"Muy Baja",IF(J31&lt;=24,"Baja",IF(J31&lt;=500,"Media",IF(J31&lt;=5000,"Alta","Muy Alta")))))</f>
        <v>Alta</v>
      </c>
      <c r="L31" s="204">
        <f>IF(K31="","",IF(K31="Muy Baja",0.2,IF(K31="Baja",0.4,IF(K31="Media",0.6,IF(K31="Alta",0.8,IF(K31="Muy Alta",1,))))))</f>
        <v>0.8</v>
      </c>
      <c r="M31" s="207" t="s">
        <v>147</v>
      </c>
      <c r="N31" s="149" t="str">
        <f>IF(NOT(ISERROR(MATCH(M31,'Tabla Impacto'!$B$221:$B$223,0))),'Tabla Impacto'!$F$223&amp;"Por favor no seleccionar los criterios de impacto(Afectación Económica o presupuestal y Pérdida Reputacional)",M31)</f>
        <v xml:space="preserve">     El riesgo afecta la imagen de de la entidad con efecto publicitario sostenido a nivel de sector administrativo, nivel departamental o municipal</v>
      </c>
      <c r="O31" s="201" t="str">
        <f>IF(OR(N31='Tabla Impacto'!$C$11,N31='Tabla Impacto'!$D$11),"Leve",IF(OR(N31='Tabla Impacto'!$C$12,N31='Tabla Impacto'!$D$12),"Menor",IF(OR(N31='Tabla Impacto'!$C$13,N31='Tabla Impacto'!$D$13),"Moderado",IF(OR(N31='Tabla Impacto'!$C$14,N31='Tabla Impacto'!$D$14),"Mayor",IF(OR(N31='Tabla Impacto'!$C$15,N31='Tabla Impacto'!$D$15),"Catastrófico","")))))</f>
        <v>Mayor</v>
      </c>
      <c r="P31" s="204">
        <f>IF(O31="","",IF(O31="Leve",0.2,IF(O31="Menor",0.4,IF(O31="Moderado",0.6,IF(O31="Mayor",0.8,IF(O31="Catastrófico",1,))))))</f>
        <v>0.8</v>
      </c>
      <c r="Q31" s="209" t="str">
        <f>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00">
        <v>1</v>
      </c>
      <c r="S31" s="158" t="s">
        <v>275</v>
      </c>
      <c r="T31" s="102" t="str">
        <f t="shared" si="51"/>
        <v>Probabilidad</v>
      </c>
      <c r="U31" s="103" t="s">
        <v>14</v>
      </c>
      <c r="V31" s="103" t="s">
        <v>9</v>
      </c>
      <c r="W31" s="104" t="str">
        <f t="shared" si="52"/>
        <v>40%</v>
      </c>
      <c r="X31" s="103" t="s">
        <v>19</v>
      </c>
      <c r="Y31" s="103" t="s">
        <v>22</v>
      </c>
      <c r="Z31" s="103" t="s">
        <v>113</v>
      </c>
      <c r="AA31" s="105">
        <f t="shared" si="53"/>
        <v>0.48</v>
      </c>
      <c r="AB31" s="106" t="str">
        <f t="shared" si="54"/>
        <v>Media</v>
      </c>
      <c r="AC31" s="107">
        <f t="shared" si="55"/>
        <v>0.48</v>
      </c>
      <c r="AD31" s="106" t="str">
        <f t="shared" si="56"/>
        <v>Mayor</v>
      </c>
      <c r="AE31" s="107">
        <f t="shared" si="57"/>
        <v>0.8</v>
      </c>
      <c r="AF31" s="108" t="str">
        <f t="shared" si="58"/>
        <v>Alto</v>
      </c>
      <c r="AG31" s="109" t="s">
        <v>129</v>
      </c>
      <c r="AH31" s="152" t="s">
        <v>277</v>
      </c>
      <c r="AI31" s="139" t="s">
        <v>256</v>
      </c>
      <c r="AJ31" s="140">
        <v>44378</v>
      </c>
      <c r="AK31" s="140">
        <v>44561</v>
      </c>
      <c r="AL31" s="152" t="s">
        <v>278</v>
      </c>
      <c r="AM31" s="111"/>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row>
    <row r="32" spans="1:71" ht="151.5" customHeight="1" x14ac:dyDescent="0.25">
      <c r="A32" s="212"/>
      <c r="B32" s="214"/>
      <c r="C32" s="224"/>
      <c r="D32" s="227"/>
      <c r="E32" s="218"/>
      <c r="F32" s="218"/>
      <c r="G32" s="218"/>
      <c r="H32" s="220"/>
      <c r="I32" s="218"/>
      <c r="J32" s="222"/>
      <c r="K32" s="202"/>
      <c r="L32" s="205"/>
      <c r="M32" s="208"/>
      <c r="N32" s="150"/>
      <c r="O32" s="202"/>
      <c r="P32" s="205"/>
      <c r="Q32" s="210"/>
      <c r="R32" s="100">
        <v>2</v>
      </c>
      <c r="S32" s="158" t="s">
        <v>276</v>
      </c>
      <c r="T32" s="102" t="str">
        <f t="shared" si="51"/>
        <v>Probabilidad</v>
      </c>
      <c r="U32" s="103" t="s">
        <v>14</v>
      </c>
      <c r="V32" s="103" t="s">
        <v>9</v>
      </c>
      <c r="W32" s="104" t="str">
        <f t="shared" si="52"/>
        <v>40%</v>
      </c>
      <c r="X32" s="103" t="s">
        <v>19</v>
      </c>
      <c r="Y32" s="103" t="s">
        <v>22</v>
      </c>
      <c r="Z32" s="103" t="s">
        <v>113</v>
      </c>
      <c r="AA32" s="105">
        <f t="shared" si="53"/>
        <v>0</v>
      </c>
      <c r="AB32" s="106" t="str">
        <f t="shared" si="54"/>
        <v>Muy Baja</v>
      </c>
      <c r="AC32" s="107">
        <f t="shared" si="55"/>
        <v>0</v>
      </c>
      <c r="AD32" s="106" t="str">
        <f t="shared" si="56"/>
        <v>Leve</v>
      </c>
      <c r="AE32" s="107">
        <f t="shared" si="57"/>
        <v>0</v>
      </c>
      <c r="AF32" s="108" t="str">
        <f t="shared" si="58"/>
        <v>Bajo</v>
      </c>
      <c r="AG32" s="109" t="s">
        <v>129</v>
      </c>
      <c r="AH32" s="152" t="s">
        <v>279</v>
      </c>
      <c r="AI32" s="139" t="s">
        <v>256</v>
      </c>
      <c r="AJ32" s="140">
        <v>44378</v>
      </c>
      <c r="AK32" s="140">
        <v>44561</v>
      </c>
      <c r="AL32" s="152" t="s">
        <v>278</v>
      </c>
      <c r="AM32" s="111"/>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row>
    <row r="33" spans="1:71" ht="151.5" customHeight="1" x14ac:dyDescent="0.25">
      <c r="A33" s="212"/>
      <c r="B33" s="215"/>
      <c r="C33" s="224"/>
      <c r="D33" s="227"/>
      <c r="E33" s="218"/>
      <c r="F33" s="218"/>
      <c r="G33" s="218"/>
      <c r="H33" s="220"/>
      <c r="I33" s="218"/>
      <c r="J33" s="222"/>
      <c r="K33" s="203"/>
      <c r="L33" s="206"/>
      <c r="M33" s="208"/>
      <c r="N33" s="150"/>
      <c r="O33" s="203"/>
      <c r="P33" s="206"/>
      <c r="Q33" s="211"/>
      <c r="R33" s="100">
        <v>3</v>
      </c>
      <c r="S33" s="101"/>
      <c r="T33" s="102" t="str">
        <f t="shared" si="51"/>
        <v>Probabilidad</v>
      </c>
      <c r="U33" s="103" t="s">
        <v>15</v>
      </c>
      <c r="V33" s="103" t="s">
        <v>9</v>
      </c>
      <c r="W33" s="104" t="str">
        <f t="shared" si="52"/>
        <v>30%</v>
      </c>
      <c r="X33" s="103" t="s">
        <v>20</v>
      </c>
      <c r="Y33" s="103" t="s">
        <v>23</v>
      </c>
      <c r="Z33" s="103" t="s">
        <v>114</v>
      </c>
      <c r="AA33" s="105">
        <f t="shared" si="53"/>
        <v>0</v>
      </c>
      <c r="AB33" s="106" t="str">
        <f t="shared" si="54"/>
        <v>Muy Baja</v>
      </c>
      <c r="AC33" s="107">
        <f t="shared" si="55"/>
        <v>0</v>
      </c>
      <c r="AD33" s="106" t="str">
        <f t="shared" si="56"/>
        <v>Leve</v>
      </c>
      <c r="AE33" s="107">
        <f t="shared" si="57"/>
        <v>0</v>
      </c>
      <c r="AF33" s="108" t="str">
        <f t="shared" si="58"/>
        <v>Bajo</v>
      </c>
      <c r="AG33" s="109"/>
      <c r="AH33" s="148"/>
      <c r="AI33" s="111"/>
      <c r="AJ33" s="112"/>
      <c r="AK33" s="112"/>
      <c r="AL33" s="148"/>
      <c r="AM33" s="111"/>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row>
    <row r="34" spans="1:71" ht="151.5" customHeight="1" x14ac:dyDescent="0.25">
      <c r="A34" s="212">
        <v>10</v>
      </c>
      <c r="B34" s="213" t="s">
        <v>271</v>
      </c>
      <c r="C34" s="223" t="s">
        <v>263</v>
      </c>
      <c r="D34" s="223" t="s">
        <v>264</v>
      </c>
      <c r="E34" s="217" t="s">
        <v>127</v>
      </c>
      <c r="F34" s="217" t="s">
        <v>280</v>
      </c>
      <c r="G34" s="217" t="s">
        <v>281</v>
      </c>
      <c r="H34" s="219" t="s">
        <v>282</v>
      </c>
      <c r="I34" s="217" t="s">
        <v>462</v>
      </c>
      <c r="J34" s="221">
        <v>1460</v>
      </c>
      <c r="K34" s="201" t="str">
        <f>IF(J34&lt;=0,"",IF(J34&lt;=2,"Muy Baja",IF(J34&lt;=24,"Baja",IF(J34&lt;=500,"Media",IF(J34&lt;=5000,"Alta","Muy Alta")))))</f>
        <v>Alta</v>
      </c>
      <c r="L34" s="204">
        <f>IF(K34="","",IF(K34="Muy Baja",0.2,IF(K34="Baja",0.4,IF(K34="Media",0.6,IF(K34="Alta",0.8,IF(K34="Muy Alta",1,))))))</f>
        <v>0.8</v>
      </c>
      <c r="M34" s="207" t="s">
        <v>146</v>
      </c>
      <c r="N34" s="149" t="str">
        <f>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201" t="str">
        <f>IF(OR(N34='Tabla Impacto'!$C$11,N34='Tabla Impacto'!$D$11),"Leve",IF(OR(N34='Tabla Impacto'!$C$12,N34='Tabla Impacto'!$D$12),"Menor",IF(OR(N34='Tabla Impacto'!$C$13,N34='Tabla Impacto'!$D$13),"Moderado",IF(OR(N34='Tabla Impacto'!$C$14,N34='Tabla Impacto'!$D$14),"Mayor",IF(OR(N34='Tabla Impacto'!$C$15,N34='Tabla Impacto'!$D$15),"Catastrófico","")))))</f>
        <v>Moderado</v>
      </c>
      <c r="P34" s="204">
        <f>IF(O34="","",IF(O34="Leve",0.2,IF(O34="Menor",0.4,IF(O34="Moderado",0.6,IF(O34="Mayor",0.8,IF(O34="Catastrófico",1,))))))</f>
        <v>0.6</v>
      </c>
      <c r="Q34" s="209"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Alto</v>
      </c>
      <c r="R34" s="100">
        <v>1</v>
      </c>
      <c r="S34" s="101" t="s">
        <v>275</v>
      </c>
      <c r="T34" s="102" t="str">
        <f t="shared" si="51"/>
        <v>Probabilidad</v>
      </c>
      <c r="U34" s="103" t="s">
        <v>14</v>
      </c>
      <c r="V34" s="103" t="s">
        <v>9</v>
      </c>
      <c r="W34" s="104" t="str">
        <f t="shared" si="52"/>
        <v>40%</v>
      </c>
      <c r="X34" s="103" t="s">
        <v>19</v>
      </c>
      <c r="Y34" s="103" t="s">
        <v>23</v>
      </c>
      <c r="Z34" s="103" t="s">
        <v>113</v>
      </c>
      <c r="AA34" s="105">
        <f t="shared" si="53"/>
        <v>0.48</v>
      </c>
      <c r="AB34" s="106" t="str">
        <f t="shared" si="54"/>
        <v>Media</v>
      </c>
      <c r="AC34" s="107">
        <f t="shared" si="55"/>
        <v>0.48</v>
      </c>
      <c r="AD34" s="106" t="str">
        <f t="shared" si="56"/>
        <v>Moderado</v>
      </c>
      <c r="AE34" s="107">
        <f t="shared" si="57"/>
        <v>0.6</v>
      </c>
      <c r="AF34" s="108" t="str">
        <f t="shared" si="58"/>
        <v>Moderado</v>
      </c>
      <c r="AG34" s="109" t="s">
        <v>129</v>
      </c>
      <c r="AH34" s="152" t="s">
        <v>285</v>
      </c>
      <c r="AI34" s="139" t="s">
        <v>256</v>
      </c>
      <c r="AJ34" s="140">
        <v>44378</v>
      </c>
      <c r="AK34" s="140">
        <v>44561</v>
      </c>
      <c r="AL34" s="152" t="s">
        <v>284</v>
      </c>
      <c r="AM34" s="138" t="s">
        <v>286</v>
      </c>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row>
    <row r="35" spans="1:71" ht="151.5" customHeight="1" x14ac:dyDescent="0.25">
      <c r="A35" s="212"/>
      <c r="B35" s="214"/>
      <c r="C35" s="224"/>
      <c r="D35" s="227"/>
      <c r="E35" s="218"/>
      <c r="F35" s="218"/>
      <c r="G35" s="218"/>
      <c r="H35" s="220"/>
      <c r="I35" s="218"/>
      <c r="J35" s="222"/>
      <c r="K35" s="202"/>
      <c r="L35" s="205"/>
      <c r="M35" s="208"/>
      <c r="N35" s="150"/>
      <c r="O35" s="202"/>
      <c r="P35" s="205"/>
      <c r="Q35" s="210"/>
      <c r="R35" s="100">
        <v>2</v>
      </c>
      <c r="S35" s="101" t="s">
        <v>276</v>
      </c>
      <c r="T35" s="102" t="str">
        <f t="shared" si="51"/>
        <v>Probabilidad</v>
      </c>
      <c r="U35" s="103" t="s">
        <v>14</v>
      </c>
      <c r="V35" s="103" t="s">
        <v>9</v>
      </c>
      <c r="W35" s="104" t="str">
        <f t="shared" si="52"/>
        <v>40%</v>
      </c>
      <c r="X35" s="103" t="s">
        <v>19</v>
      </c>
      <c r="Y35" s="103" t="s">
        <v>23</v>
      </c>
      <c r="Z35" s="103" t="s">
        <v>114</v>
      </c>
      <c r="AA35" s="105">
        <f t="shared" si="53"/>
        <v>0</v>
      </c>
      <c r="AB35" s="106" t="str">
        <f t="shared" si="54"/>
        <v>Muy Baja</v>
      </c>
      <c r="AC35" s="107">
        <f t="shared" si="55"/>
        <v>0</v>
      </c>
      <c r="AD35" s="106" t="str">
        <f t="shared" si="56"/>
        <v>Leve</v>
      </c>
      <c r="AE35" s="107">
        <f t="shared" si="57"/>
        <v>0</v>
      </c>
      <c r="AF35" s="108" t="str">
        <f t="shared" si="58"/>
        <v>Bajo</v>
      </c>
      <c r="AG35" s="109" t="s">
        <v>129</v>
      </c>
      <c r="AH35" s="152" t="s">
        <v>285</v>
      </c>
      <c r="AI35" s="139" t="s">
        <v>256</v>
      </c>
      <c r="AJ35" s="140">
        <v>44378</v>
      </c>
      <c r="AK35" s="140">
        <v>44561</v>
      </c>
      <c r="AL35" s="152" t="s">
        <v>284</v>
      </c>
      <c r="AM35" s="138" t="s">
        <v>286</v>
      </c>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1" ht="151.5" customHeight="1" x14ac:dyDescent="0.25">
      <c r="A36" s="212"/>
      <c r="B36" s="215"/>
      <c r="C36" s="224"/>
      <c r="D36" s="227"/>
      <c r="E36" s="218"/>
      <c r="F36" s="218"/>
      <c r="G36" s="218"/>
      <c r="H36" s="220"/>
      <c r="I36" s="218"/>
      <c r="J36" s="222"/>
      <c r="K36" s="203"/>
      <c r="L36" s="206"/>
      <c r="M36" s="208"/>
      <c r="N36" s="150"/>
      <c r="O36" s="203"/>
      <c r="P36" s="206"/>
      <c r="Q36" s="211"/>
      <c r="R36" s="100">
        <v>3</v>
      </c>
      <c r="S36" s="101" t="s">
        <v>283</v>
      </c>
      <c r="T36" s="102" t="str">
        <f t="shared" si="51"/>
        <v>Probabilidad</v>
      </c>
      <c r="U36" s="103" t="s">
        <v>15</v>
      </c>
      <c r="V36" s="103" t="s">
        <v>9</v>
      </c>
      <c r="W36" s="104" t="str">
        <f t="shared" si="52"/>
        <v>30%</v>
      </c>
      <c r="X36" s="103" t="s">
        <v>19</v>
      </c>
      <c r="Y36" s="103" t="s">
        <v>22</v>
      </c>
      <c r="Z36" s="103" t="s">
        <v>113</v>
      </c>
      <c r="AA36" s="105">
        <f t="shared" si="53"/>
        <v>0</v>
      </c>
      <c r="AB36" s="106" t="str">
        <f t="shared" si="54"/>
        <v>Muy Baja</v>
      </c>
      <c r="AC36" s="107">
        <f t="shared" si="55"/>
        <v>0</v>
      </c>
      <c r="AD36" s="106" t="str">
        <f t="shared" si="56"/>
        <v>Leve</v>
      </c>
      <c r="AE36" s="107">
        <f t="shared" si="57"/>
        <v>0</v>
      </c>
      <c r="AF36" s="108" t="str">
        <f t="shared" si="58"/>
        <v>Bajo</v>
      </c>
      <c r="AG36" s="109" t="s">
        <v>129</v>
      </c>
      <c r="AH36" s="152" t="s">
        <v>285</v>
      </c>
      <c r="AI36" s="139" t="s">
        <v>256</v>
      </c>
      <c r="AJ36" s="140">
        <v>44378</v>
      </c>
      <c r="AK36" s="140">
        <v>44561</v>
      </c>
      <c r="AL36" s="152" t="s">
        <v>284</v>
      </c>
      <c r="AM36" s="111"/>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1" ht="285" customHeight="1" x14ac:dyDescent="0.25">
      <c r="A37" s="212">
        <v>11</v>
      </c>
      <c r="B37" s="213" t="s">
        <v>287</v>
      </c>
      <c r="C37" s="223" t="s">
        <v>546</v>
      </c>
      <c r="D37" s="223" t="s">
        <v>288</v>
      </c>
      <c r="E37" s="217" t="s">
        <v>125</v>
      </c>
      <c r="F37" s="225" t="s">
        <v>560</v>
      </c>
      <c r="G37" s="225" t="s">
        <v>561</v>
      </c>
      <c r="H37" s="219" t="s">
        <v>289</v>
      </c>
      <c r="I37" s="217" t="s">
        <v>119</v>
      </c>
      <c r="J37" s="221">
        <v>20</v>
      </c>
      <c r="K37" s="201" t="str">
        <f>IF(J37&lt;=0,"",IF(J37&lt;=2,"Muy Baja",IF(J37&lt;=24,"Baja",IF(J37&lt;=500,"Media",IF(J37&lt;=5000,"Alta","Muy Alta")))))</f>
        <v>Baja</v>
      </c>
      <c r="L37" s="204">
        <f>IF(K37="","",IF(K37="Muy Baja",0.2,IF(K37="Baja",0.4,IF(K37="Media",0.6,IF(K37="Alta",0.8,IF(K37="Muy Alta",1,))))))</f>
        <v>0.4</v>
      </c>
      <c r="M37" s="207" t="s">
        <v>147</v>
      </c>
      <c r="N37" s="149" t="str">
        <f>IF(NOT(ISERROR(MATCH(M37,'Tabla Impacto'!$B$221:$B$223,0))),'Tabla Impacto'!$F$223&amp;"Por favor no seleccionar los criterios de impacto(Afectación Económica o presupuestal y Pérdida Reputacional)",M37)</f>
        <v xml:space="preserve">     El riesgo afecta la imagen de de la entidad con efecto publicitario sostenido a nivel de sector administrativo, nivel departamental o municipal</v>
      </c>
      <c r="O37" s="201" t="str">
        <f>IF(OR(N37='Tabla Impacto'!$C$11,N37='Tabla Impacto'!$D$11),"Leve",IF(OR(N37='Tabla Impacto'!$C$12,N37='Tabla Impacto'!$D$12),"Menor",IF(OR(N37='Tabla Impacto'!$C$13,N37='Tabla Impacto'!$D$13),"Moderado",IF(OR(N37='Tabla Impacto'!$C$14,N37='Tabla Impacto'!$D$14),"Mayor",IF(OR(N37='Tabla Impacto'!$C$15,N37='Tabla Impacto'!$D$15),"Catastrófico","")))))</f>
        <v>Mayor</v>
      </c>
      <c r="P37" s="204">
        <f>IF(O37="","",IF(O37="Leve",0.2,IF(O37="Menor",0.4,IF(O37="Moderado",0.6,IF(O37="Mayor",0.8,IF(O37="Catastrófico",1,))))))</f>
        <v>0.8</v>
      </c>
      <c r="Q37" s="209" t="str">
        <f>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Alto</v>
      </c>
      <c r="R37" s="100">
        <v>1</v>
      </c>
      <c r="S37" s="101" t="s">
        <v>562</v>
      </c>
      <c r="T37" s="102" t="str">
        <f t="shared" si="51"/>
        <v>Probabilidad</v>
      </c>
      <c r="U37" s="103" t="s">
        <v>14</v>
      </c>
      <c r="V37" s="103" t="s">
        <v>9</v>
      </c>
      <c r="W37" s="104" t="str">
        <f t="shared" si="52"/>
        <v>40%</v>
      </c>
      <c r="X37" s="103" t="s">
        <v>19</v>
      </c>
      <c r="Y37" s="103" t="s">
        <v>22</v>
      </c>
      <c r="Z37" s="103" t="s">
        <v>113</v>
      </c>
      <c r="AA37" s="105">
        <f t="shared" si="53"/>
        <v>0.24</v>
      </c>
      <c r="AB37" s="106" t="str">
        <f t="shared" si="54"/>
        <v>Baja</v>
      </c>
      <c r="AC37" s="107">
        <f t="shared" si="55"/>
        <v>0.24</v>
      </c>
      <c r="AD37" s="106" t="str">
        <f t="shared" si="56"/>
        <v>Mayor</v>
      </c>
      <c r="AE37" s="107">
        <f t="shared" si="57"/>
        <v>0.8</v>
      </c>
      <c r="AF37" s="108" t="str">
        <f t="shared" si="58"/>
        <v>Alto</v>
      </c>
      <c r="AG37" s="109" t="s">
        <v>129</v>
      </c>
      <c r="AH37" s="152" t="s">
        <v>563</v>
      </c>
      <c r="AI37" s="159" t="s">
        <v>291</v>
      </c>
      <c r="AJ37" s="160">
        <v>44440</v>
      </c>
      <c r="AK37" s="161">
        <v>44561</v>
      </c>
      <c r="AL37" s="148" t="s">
        <v>564</v>
      </c>
      <c r="AM37" s="111"/>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row>
    <row r="38" spans="1:71" ht="151.5" customHeight="1" x14ac:dyDescent="0.25">
      <c r="A38" s="212"/>
      <c r="B38" s="214"/>
      <c r="C38" s="227"/>
      <c r="D38" s="227"/>
      <c r="E38" s="218"/>
      <c r="F38" s="218"/>
      <c r="G38" s="218"/>
      <c r="H38" s="220"/>
      <c r="I38" s="218"/>
      <c r="J38" s="222"/>
      <c r="K38" s="202"/>
      <c r="L38" s="205"/>
      <c r="M38" s="208"/>
      <c r="N38" s="150"/>
      <c r="O38" s="202"/>
      <c r="P38" s="205"/>
      <c r="Q38" s="210"/>
      <c r="R38" s="100">
        <v>2</v>
      </c>
      <c r="S38" s="101"/>
      <c r="T38" s="102" t="str">
        <f t="shared" si="51"/>
        <v>Probabilidad</v>
      </c>
      <c r="U38" s="103" t="s">
        <v>15</v>
      </c>
      <c r="V38" s="103" t="s">
        <v>9</v>
      </c>
      <c r="W38" s="104" t="str">
        <f t="shared" si="52"/>
        <v>30%</v>
      </c>
      <c r="X38" s="103" t="s">
        <v>20</v>
      </c>
      <c r="Y38" s="103" t="s">
        <v>23</v>
      </c>
      <c r="Z38" s="103" t="s">
        <v>114</v>
      </c>
      <c r="AA38" s="105">
        <f t="shared" si="53"/>
        <v>0</v>
      </c>
      <c r="AB38" s="106" t="str">
        <f t="shared" si="54"/>
        <v>Muy Baja</v>
      </c>
      <c r="AC38" s="107">
        <f t="shared" si="55"/>
        <v>0</v>
      </c>
      <c r="AD38" s="106" t="str">
        <f t="shared" si="56"/>
        <v>Leve</v>
      </c>
      <c r="AE38" s="107">
        <f t="shared" si="57"/>
        <v>0</v>
      </c>
      <c r="AF38" s="108" t="str">
        <f t="shared" si="58"/>
        <v>Bajo</v>
      </c>
      <c r="AG38" s="109"/>
      <c r="AH38" s="148"/>
      <c r="AI38" s="111"/>
      <c r="AJ38" s="112"/>
      <c r="AK38" s="112"/>
      <c r="AL38" s="148"/>
      <c r="AM38" s="111"/>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row>
    <row r="39" spans="1:71" ht="151.5" customHeight="1" x14ac:dyDescent="0.25">
      <c r="A39" s="212"/>
      <c r="B39" s="215"/>
      <c r="C39" s="227"/>
      <c r="D39" s="227"/>
      <c r="E39" s="218"/>
      <c r="F39" s="218"/>
      <c r="G39" s="218"/>
      <c r="H39" s="220"/>
      <c r="I39" s="218"/>
      <c r="J39" s="222"/>
      <c r="K39" s="203"/>
      <c r="L39" s="206"/>
      <c r="M39" s="208"/>
      <c r="N39" s="150"/>
      <c r="O39" s="203"/>
      <c r="P39" s="206"/>
      <c r="Q39" s="211"/>
      <c r="R39" s="100">
        <v>3</v>
      </c>
      <c r="S39" s="101"/>
      <c r="T39" s="102" t="str">
        <f t="shared" si="51"/>
        <v>Probabilidad</v>
      </c>
      <c r="U39" s="103" t="s">
        <v>15</v>
      </c>
      <c r="V39" s="103" t="s">
        <v>9</v>
      </c>
      <c r="W39" s="104" t="str">
        <f t="shared" si="52"/>
        <v>30%</v>
      </c>
      <c r="X39" s="103" t="s">
        <v>20</v>
      </c>
      <c r="Y39" s="103" t="s">
        <v>23</v>
      </c>
      <c r="Z39" s="103" t="s">
        <v>114</v>
      </c>
      <c r="AA39" s="105">
        <f t="shared" si="53"/>
        <v>0</v>
      </c>
      <c r="AB39" s="106" t="str">
        <f t="shared" si="54"/>
        <v>Muy Baja</v>
      </c>
      <c r="AC39" s="107">
        <f t="shared" si="55"/>
        <v>0</v>
      </c>
      <c r="AD39" s="106" t="str">
        <f t="shared" si="56"/>
        <v>Leve</v>
      </c>
      <c r="AE39" s="107">
        <f t="shared" si="57"/>
        <v>0</v>
      </c>
      <c r="AF39" s="108" t="str">
        <f t="shared" si="58"/>
        <v>Bajo</v>
      </c>
      <c r="AG39" s="109"/>
      <c r="AH39" s="148"/>
      <c r="AI39" s="111"/>
      <c r="AJ39" s="112"/>
      <c r="AK39" s="112"/>
      <c r="AL39" s="148"/>
      <c r="AM39" s="111"/>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1" ht="176.25" customHeight="1" x14ac:dyDescent="0.25">
      <c r="A40" s="212">
        <v>12</v>
      </c>
      <c r="B40" s="213" t="s">
        <v>287</v>
      </c>
      <c r="C40" s="223" t="s">
        <v>546</v>
      </c>
      <c r="D40" s="223" t="s">
        <v>288</v>
      </c>
      <c r="E40" s="217" t="s">
        <v>127</v>
      </c>
      <c r="F40" s="225" t="s">
        <v>565</v>
      </c>
      <c r="G40" s="225" t="s">
        <v>561</v>
      </c>
      <c r="H40" s="219" t="s">
        <v>290</v>
      </c>
      <c r="I40" s="217" t="s">
        <v>119</v>
      </c>
      <c r="J40" s="221">
        <v>20</v>
      </c>
      <c r="K40" s="201" t="str">
        <f>IF(J40&lt;=0,"",IF(J40&lt;=2,"Muy Baja",IF(J40&lt;=24,"Baja",IF(J40&lt;=500,"Media",IF(J40&lt;=5000,"Alta","Muy Alta")))))</f>
        <v>Baja</v>
      </c>
      <c r="L40" s="204">
        <f>IF(K40="","",IF(K40="Muy Baja",0.2,IF(K40="Baja",0.4,IF(K40="Media",0.6,IF(K40="Alta",0.8,IF(K40="Muy Alta",1,))))))</f>
        <v>0.4</v>
      </c>
      <c r="M40" s="207" t="s">
        <v>146</v>
      </c>
      <c r="N40" s="149" t="str">
        <f>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201" t="str">
        <f>IF(OR(N40='Tabla Impacto'!$C$11,N40='Tabla Impacto'!$D$11),"Leve",IF(OR(N40='Tabla Impacto'!$C$12,N40='Tabla Impacto'!$D$12),"Menor",IF(OR(N40='Tabla Impacto'!$C$13,N40='Tabla Impacto'!$D$13),"Moderado",IF(OR(N40='Tabla Impacto'!$C$14,N40='Tabla Impacto'!$D$14),"Mayor",IF(OR(N40='Tabla Impacto'!$C$15,N40='Tabla Impacto'!$D$15),"Catastrófico","")))))</f>
        <v>Moderado</v>
      </c>
      <c r="P40" s="204">
        <f>IF(O40="","",IF(O40="Leve",0.2,IF(O40="Menor",0.4,IF(O40="Moderado",0.6,IF(O40="Mayor",0.8,IF(O40="Catastrófico",1,))))))</f>
        <v>0.6</v>
      </c>
      <c r="Q40" s="209" t="str">
        <f>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00">
        <v>1</v>
      </c>
      <c r="S40" s="101" t="s">
        <v>566</v>
      </c>
      <c r="T40" s="102" t="str">
        <f t="shared" si="51"/>
        <v>Probabilidad</v>
      </c>
      <c r="U40" s="103" t="s">
        <v>14</v>
      </c>
      <c r="V40" s="103" t="s">
        <v>9</v>
      </c>
      <c r="W40" s="104" t="str">
        <f t="shared" si="52"/>
        <v>40%</v>
      </c>
      <c r="X40" s="103" t="s">
        <v>19</v>
      </c>
      <c r="Y40" s="103" t="s">
        <v>22</v>
      </c>
      <c r="Z40" s="103" t="s">
        <v>113</v>
      </c>
      <c r="AA40" s="105">
        <f t="shared" si="53"/>
        <v>0.24</v>
      </c>
      <c r="AB40" s="106" t="str">
        <f t="shared" si="54"/>
        <v>Baja</v>
      </c>
      <c r="AC40" s="107">
        <f t="shared" si="55"/>
        <v>0.24</v>
      </c>
      <c r="AD40" s="106" t="str">
        <f t="shared" si="56"/>
        <v>Moderado</v>
      </c>
      <c r="AE40" s="107">
        <f t="shared" si="57"/>
        <v>0.6</v>
      </c>
      <c r="AF40" s="108" t="str">
        <f t="shared" si="58"/>
        <v>Moderado</v>
      </c>
      <c r="AG40" s="109" t="s">
        <v>129</v>
      </c>
      <c r="AH40" s="148" t="s">
        <v>567</v>
      </c>
      <c r="AI40" s="111" t="s">
        <v>291</v>
      </c>
      <c r="AJ40" s="112">
        <v>44440</v>
      </c>
      <c r="AK40" s="112">
        <v>44561</v>
      </c>
      <c r="AL40" s="148" t="s">
        <v>564</v>
      </c>
      <c r="AM40" s="111"/>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1" ht="151.5" customHeight="1" x14ac:dyDescent="0.25">
      <c r="A41" s="212"/>
      <c r="B41" s="214"/>
      <c r="C41" s="227"/>
      <c r="D41" s="227"/>
      <c r="E41" s="218"/>
      <c r="F41" s="218"/>
      <c r="G41" s="218"/>
      <c r="H41" s="220"/>
      <c r="I41" s="218"/>
      <c r="J41" s="222"/>
      <c r="K41" s="202"/>
      <c r="L41" s="205"/>
      <c r="M41" s="208"/>
      <c r="N41" s="150"/>
      <c r="O41" s="202"/>
      <c r="P41" s="205"/>
      <c r="Q41" s="210"/>
      <c r="R41" s="100">
        <v>2</v>
      </c>
      <c r="S41" s="101"/>
      <c r="T41" s="102" t="str">
        <f t="shared" si="51"/>
        <v>Probabilidad</v>
      </c>
      <c r="U41" s="103" t="s">
        <v>15</v>
      </c>
      <c r="V41" s="103" t="s">
        <v>9</v>
      </c>
      <c r="W41" s="104" t="str">
        <f t="shared" si="52"/>
        <v>30%</v>
      </c>
      <c r="X41" s="103" t="s">
        <v>20</v>
      </c>
      <c r="Y41" s="103" t="s">
        <v>23</v>
      </c>
      <c r="Z41" s="103" t="s">
        <v>114</v>
      </c>
      <c r="AA41" s="105">
        <f t="shared" si="53"/>
        <v>0</v>
      </c>
      <c r="AB41" s="106" t="str">
        <f t="shared" si="54"/>
        <v>Muy Baja</v>
      </c>
      <c r="AC41" s="107">
        <f t="shared" si="55"/>
        <v>0</v>
      </c>
      <c r="AD41" s="106" t="str">
        <f t="shared" si="56"/>
        <v>Leve</v>
      </c>
      <c r="AE41" s="107">
        <f t="shared" si="57"/>
        <v>0</v>
      </c>
      <c r="AF41" s="108" t="str">
        <f t="shared" si="58"/>
        <v>Bajo</v>
      </c>
      <c r="AG41" s="109"/>
      <c r="AH41" s="148"/>
      <c r="AI41" s="111"/>
      <c r="AJ41" s="112"/>
      <c r="AK41" s="112"/>
      <c r="AL41" s="148"/>
      <c r="AM41" s="111"/>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1" ht="151.5" customHeight="1" x14ac:dyDescent="0.25">
      <c r="A42" s="231"/>
      <c r="B42" s="215"/>
      <c r="C42" s="227"/>
      <c r="D42" s="227"/>
      <c r="E42" s="218"/>
      <c r="F42" s="218"/>
      <c r="G42" s="218"/>
      <c r="H42" s="220"/>
      <c r="I42" s="218"/>
      <c r="J42" s="222"/>
      <c r="K42" s="203"/>
      <c r="L42" s="206"/>
      <c r="M42" s="208"/>
      <c r="N42" s="150"/>
      <c r="O42" s="203"/>
      <c r="P42" s="206"/>
      <c r="Q42" s="211"/>
      <c r="R42" s="100">
        <v>3</v>
      </c>
      <c r="S42" s="101"/>
      <c r="T42" s="102" t="str">
        <f t="shared" si="51"/>
        <v>Probabilidad</v>
      </c>
      <c r="U42" s="103" t="s">
        <v>15</v>
      </c>
      <c r="V42" s="103" t="s">
        <v>9</v>
      </c>
      <c r="W42" s="104" t="str">
        <f t="shared" si="52"/>
        <v>30%</v>
      </c>
      <c r="X42" s="103" t="s">
        <v>20</v>
      </c>
      <c r="Y42" s="103" t="s">
        <v>23</v>
      </c>
      <c r="Z42" s="103" t="s">
        <v>114</v>
      </c>
      <c r="AA42" s="105">
        <f t="shared" si="53"/>
        <v>0</v>
      </c>
      <c r="AB42" s="106" t="str">
        <f t="shared" si="54"/>
        <v>Muy Baja</v>
      </c>
      <c r="AC42" s="107">
        <f t="shared" si="55"/>
        <v>0</v>
      </c>
      <c r="AD42" s="106" t="str">
        <f t="shared" si="56"/>
        <v>Leve</v>
      </c>
      <c r="AE42" s="107">
        <f t="shared" si="57"/>
        <v>0</v>
      </c>
      <c r="AF42" s="108" t="str">
        <f t="shared" si="58"/>
        <v>Bajo</v>
      </c>
      <c r="AG42" s="109"/>
      <c r="AH42" s="148"/>
      <c r="AI42" s="111"/>
      <c r="AJ42" s="112"/>
      <c r="AK42" s="112"/>
      <c r="AL42" s="148"/>
      <c r="AM42" s="111"/>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1" ht="183.75" customHeight="1" x14ac:dyDescent="0.25">
      <c r="A43" s="216">
        <v>13</v>
      </c>
      <c r="B43" s="213" t="s">
        <v>287</v>
      </c>
      <c r="C43" s="223" t="s">
        <v>546</v>
      </c>
      <c r="D43" s="223" t="s">
        <v>288</v>
      </c>
      <c r="E43" s="217" t="s">
        <v>127</v>
      </c>
      <c r="F43" s="218" t="s">
        <v>292</v>
      </c>
      <c r="G43" s="218" t="s">
        <v>568</v>
      </c>
      <c r="H43" s="219" t="s">
        <v>569</v>
      </c>
      <c r="I43" s="217" t="s">
        <v>462</v>
      </c>
      <c r="J43" s="221">
        <v>2</v>
      </c>
      <c r="K43" s="201" t="str">
        <f>IF(J43&lt;=0,"",IF(J43&lt;=2,"Muy Baja",IF(J43&lt;=24,"Baja",IF(J43&lt;=500,"Media",IF(J43&lt;=5000,"Alta","Muy Alta")))))</f>
        <v>Muy Baja</v>
      </c>
      <c r="L43" s="204">
        <f>IF(K43="","",IF(K43="Muy Baja",0.2,IF(K43="Baja",0.4,IF(K43="Media",0.6,IF(K43="Alta",0.8,IF(K43="Muy Alta",1,))))))</f>
        <v>0.2</v>
      </c>
      <c r="M43" s="207" t="s">
        <v>146</v>
      </c>
      <c r="N43" s="149" t="str">
        <f>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201" t="str">
        <f>IF(OR(N43='Tabla Impacto'!$C$11,N43='Tabla Impacto'!$D$11),"Leve",IF(OR(N43='Tabla Impacto'!$C$12,N43='Tabla Impacto'!$D$12),"Menor",IF(OR(N43='Tabla Impacto'!$C$13,N43='Tabla Impacto'!$D$13),"Moderado",IF(OR(N43='Tabla Impacto'!$C$14,N43='Tabla Impacto'!$D$14),"Mayor",IF(OR(N43='Tabla Impacto'!$C$15,N43='Tabla Impacto'!$D$15),"Catastrófico","")))))</f>
        <v>Moderado</v>
      </c>
      <c r="P43" s="204">
        <f>IF(O43="","",IF(O43="Leve",0.2,IF(O43="Menor",0.4,IF(O43="Moderado",0.6,IF(O43="Mayor",0.8,IF(O43="Catastrófico",1,))))))</f>
        <v>0.6</v>
      </c>
      <c r="Q43" s="209" t="str">
        <f>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Moderado</v>
      </c>
      <c r="R43" s="100">
        <v>1</v>
      </c>
      <c r="S43" s="101" t="s">
        <v>570</v>
      </c>
      <c r="T43" s="102" t="str">
        <f t="shared" si="51"/>
        <v>Probabilidad</v>
      </c>
      <c r="U43" s="103" t="s">
        <v>14</v>
      </c>
      <c r="V43" s="103" t="s">
        <v>9</v>
      </c>
      <c r="W43" s="104" t="str">
        <f t="shared" si="52"/>
        <v>40%</v>
      </c>
      <c r="X43" s="103" t="s">
        <v>19</v>
      </c>
      <c r="Y43" s="103" t="s">
        <v>22</v>
      </c>
      <c r="Z43" s="103" t="s">
        <v>113</v>
      </c>
      <c r="AA43" s="105">
        <f t="shared" si="53"/>
        <v>0.12</v>
      </c>
      <c r="AB43" s="106" t="str">
        <f t="shared" si="54"/>
        <v>Muy Baja</v>
      </c>
      <c r="AC43" s="107">
        <f t="shared" si="55"/>
        <v>0.12</v>
      </c>
      <c r="AD43" s="106" t="str">
        <f t="shared" si="56"/>
        <v>Moderado</v>
      </c>
      <c r="AE43" s="107">
        <f t="shared" si="57"/>
        <v>0.6</v>
      </c>
      <c r="AF43" s="108" t="str">
        <f t="shared" si="58"/>
        <v>Moderado</v>
      </c>
      <c r="AG43" s="109" t="s">
        <v>129</v>
      </c>
      <c r="AH43" s="148" t="s">
        <v>571</v>
      </c>
      <c r="AI43" s="111" t="s">
        <v>291</v>
      </c>
      <c r="AJ43" s="112">
        <v>44440</v>
      </c>
      <c r="AK43" s="112">
        <v>44561</v>
      </c>
      <c r="AL43" s="148" t="s">
        <v>572</v>
      </c>
      <c r="AM43" s="111"/>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1" ht="151.5" customHeight="1" x14ac:dyDescent="0.25">
      <c r="A44" s="212"/>
      <c r="B44" s="214"/>
      <c r="C44" s="227"/>
      <c r="D44" s="227"/>
      <c r="E44" s="218"/>
      <c r="F44" s="218" t="s">
        <v>292</v>
      </c>
      <c r="G44" s="218" t="s">
        <v>293</v>
      </c>
      <c r="H44" s="220"/>
      <c r="I44" s="218"/>
      <c r="J44" s="222"/>
      <c r="K44" s="202"/>
      <c r="L44" s="205"/>
      <c r="M44" s="208"/>
      <c r="N44" s="150"/>
      <c r="O44" s="202"/>
      <c r="P44" s="205"/>
      <c r="Q44" s="210"/>
      <c r="R44" s="100">
        <v>2</v>
      </c>
      <c r="S44" s="101"/>
      <c r="T44" s="102" t="str">
        <f t="shared" si="51"/>
        <v>Probabilidad</v>
      </c>
      <c r="U44" s="103" t="s">
        <v>15</v>
      </c>
      <c r="V44" s="103" t="s">
        <v>9</v>
      </c>
      <c r="W44" s="104" t="str">
        <f t="shared" si="52"/>
        <v>30%</v>
      </c>
      <c r="X44" s="103" t="s">
        <v>20</v>
      </c>
      <c r="Y44" s="103" t="s">
        <v>23</v>
      </c>
      <c r="Z44" s="103" t="s">
        <v>114</v>
      </c>
      <c r="AA44" s="105">
        <f t="shared" si="53"/>
        <v>0</v>
      </c>
      <c r="AB44" s="106" t="str">
        <f t="shared" si="54"/>
        <v>Muy Baja</v>
      </c>
      <c r="AC44" s="107">
        <f t="shared" si="55"/>
        <v>0</v>
      </c>
      <c r="AD44" s="106" t="str">
        <f t="shared" si="56"/>
        <v>Leve</v>
      </c>
      <c r="AE44" s="107">
        <f t="shared" si="57"/>
        <v>0</v>
      </c>
      <c r="AF44" s="108" t="str">
        <f t="shared" si="58"/>
        <v>Bajo</v>
      </c>
      <c r="AG44" s="109"/>
      <c r="AH44" s="148"/>
      <c r="AI44" s="111"/>
      <c r="AJ44" s="112"/>
      <c r="AK44" s="112"/>
      <c r="AL44" s="148"/>
      <c r="AM44" s="111"/>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1" ht="151.5" customHeight="1" x14ac:dyDescent="0.25">
      <c r="A45" s="212"/>
      <c r="B45" s="215"/>
      <c r="C45" s="227"/>
      <c r="D45" s="227"/>
      <c r="E45" s="218"/>
      <c r="F45" s="218" t="s">
        <v>292</v>
      </c>
      <c r="G45" s="218" t="s">
        <v>293</v>
      </c>
      <c r="H45" s="220"/>
      <c r="I45" s="218"/>
      <c r="J45" s="222"/>
      <c r="K45" s="203"/>
      <c r="L45" s="206"/>
      <c r="M45" s="208"/>
      <c r="N45" s="150"/>
      <c r="O45" s="203"/>
      <c r="P45" s="206"/>
      <c r="Q45" s="211"/>
      <c r="R45" s="100">
        <v>3</v>
      </c>
      <c r="S45" s="101"/>
      <c r="T45" s="102" t="str">
        <f t="shared" si="51"/>
        <v>Probabilidad</v>
      </c>
      <c r="U45" s="103" t="s">
        <v>15</v>
      </c>
      <c r="V45" s="103" t="s">
        <v>9</v>
      </c>
      <c r="W45" s="104" t="str">
        <f t="shared" si="52"/>
        <v>30%</v>
      </c>
      <c r="X45" s="103" t="s">
        <v>20</v>
      </c>
      <c r="Y45" s="103" t="s">
        <v>23</v>
      </c>
      <c r="Z45" s="103" t="s">
        <v>114</v>
      </c>
      <c r="AA45" s="105">
        <f t="shared" si="53"/>
        <v>0</v>
      </c>
      <c r="AB45" s="106" t="str">
        <f t="shared" si="54"/>
        <v>Muy Baja</v>
      </c>
      <c r="AC45" s="107">
        <f t="shared" si="55"/>
        <v>0</v>
      </c>
      <c r="AD45" s="106" t="str">
        <f t="shared" si="56"/>
        <v>Leve</v>
      </c>
      <c r="AE45" s="107">
        <f t="shared" si="57"/>
        <v>0</v>
      </c>
      <c r="AF45" s="108" t="str">
        <f t="shared" si="58"/>
        <v>Bajo</v>
      </c>
      <c r="AG45" s="109"/>
      <c r="AH45" s="148"/>
      <c r="AI45" s="111"/>
      <c r="AJ45" s="112"/>
      <c r="AK45" s="112"/>
      <c r="AL45" s="148"/>
      <c r="AM45" s="111"/>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1" ht="151.5" customHeight="1" x14ac:dyDescent="0.25">
      <c r="A46" s="212">
        <v>14</v>
      </c>
      <c r="B46" s="213" t="s">
        <v>294</v>
      </c>
      <c r="C46" s="223" t="s">
        <v>295</v>
      </c>
      <c r="D46" s="223" t="s">
        <v>303</v>
      </c>
      <c r="E46" s="217" t="s">
        <v>127</v>
      </c>
      <c r="F46" s="225" t="s">
        <v>296</v>
      </c>
      <c r="G46" s="225" t="s">
        <v>297</v>
      </c>
      <c r="H46" s="219" t="s">
        <v>298</v>
      </c>
      <c r="I46" s="217" t="s">
        <v>462</v>
      </c>
      <c r="J46" s="221">
        <v>12</v>
      </c>
      <c r="K46" s="201" t="str">
        <f>IF(J46&lt;=0,"",IF(J46&lt;=2,"Muy Baja",IF(J46&lt;=24,"Baja",IF(J46&lt;=500,"Media",IF(J46&lt;=5000,"Alta","Muy Alta")))))</f>
        <v>Baja</v>
      </c>
      <c r="L46" s="204">
        <f>IF(K46="","",IF(K46="Muy Baja",0.2,IF(K46="Baja",0.4,IF(K46="Media",0.6,IF(K46="Alta",0.8,IF(K46="Muy Alta",1,))))))</f>
        <v>0.4</v>
      </c>
      <c r="M46" s="207" t="s">
        <v>146</v>
      </c>
      <c r="N46" s="149" t="str">
        <f>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201" t="str">
        <f>IF(OR(N46='Tabla Impacto'!$C$11,N46='Tabla Impacto'!$D$11),"Leve",IF(OR(N46='Tabla Impacto'!$C$12,N46='Tabla Impacto'!$D$12),"Menor",IF(OR(N46='Tabla Impacto'!$C$13,N46='Tabla Impacto'!$D$13),"Moderado",IF(OR(N46='Tabla Impacto'!$C$14,N46='Tabla Impacto'!$D$14),"Mayor",IF(OR(N46='Tabla Impacto'!$C$15,N46='Tabla Impacto'!$D$15),"Catastrófico","")))))</f>
        <v>Moderado</v>
      </c>
      <c r="P46" s="204">
        <f>IF(O46="","",IF(O46="Leve",0.2,IF(O46="Menor",0.4,IF(O46="Moderado",0.6,IF(O46="Mayor",0.8,IF(O46="Catastrófico",1,))))))</f>
        <v>0.6</v>
      </c>
      <c r="Q46" s="209" t="str">
        <f>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Moderado</v>
      </c>
      <c r="R46" s="100">
        <v>1</v>
      </c>
      <c r="S46" s="101" t="s">
        <v>299</v>
      </c>
      <c r="T46" s="102" t="str">
        <f t="shared" si="51"/>
        <v>Probabilidad</v>
      </c>
      <c r="U46" s="103" t="s">
        <v>14</v>
      </c>
      <c r="V46" s="103" t="s">
        <v>9</v>
      </c>
      <c r="W46" s="104" t="str">
        <f t="shared" si="52"/>
        <v>40%</v>
      </c>
      <c r="X46" s="103" t="s">
        <v>19</v>
      </c>
      <c r="Y46" s="103" t="s">
        <v>22</v>
      </c>
      <c r="Z46" s="103" t="s">
        <v>113</v>
      </c>
      <c r="AA46" s="105">
        <f t="shared" si="53"/>
        <v>0.24</v>
      </c>
      <c r="AB46" s="106" t="str">
        <f t="shared" si="54"/>
        <v>Baja</v>
      </c>
      <c r="AC46" s="107">
        <f t="shared" si="55"/>
        <v>0.24</v>
      </c>
      <c r="AD46" s="106" t="str">
        <f t="shared" si="56"/>
        <v>Moderado</v>
      </c>
      <c r="AE46" s="107">
        <f t="shared" si="57"/>
        <v>0.6</v>
      </c>
      <c r="AF46" s="108" t="str">
        <f t="shared" si="58"/>
        <v>Moderado</v>
      </c>
      <c r="AG46" s="109"/>
      <c r="AH46" s="148" t="s">
        <v>300</v>
      </c>
      <c r="AI46" s="111" t="s">
        <v>233</v>
      </c>
      <c r="AJ46" s="112">
        <v>44378</v>
      </c>
      <c r="AK46" s="112">
        <v>44561</v>
      </c>
      <c r="AL46" s="148" t="s">
        <v>301</v>
      </c>
      <c r="AM46" s="111"/>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1" ht="151.5" customHeight="1" x14ac:dyDescent="0.25">
      <c r="A47" s="212"/>
      <c r="B47" s="214"/>
      <c r="C47" s="227"/>
      <c r="D47" s="224"/>
      <c r="E47" s="218"/>
      <c r="F47" s="218"/>
      <c r="G47" s="218"/>
      <c r="H47" s="220"/>
      <c r="I47" s="218"/>
      <c r="J47" s="222"/>
      <c r="K47" s="202"/>
      <c r="L47" s="205"/>
      <c r="M47" s="208"/>
      <c r="N47" s="150"/>
      <c r="O47" s="202"/>
      <c r="P47" s="205"/>
      <c r="Q47" s="210"/>
      <c r="R47" s="100">
        <v>2</v>
      </c>
      <c r="S47" s="101" t="s">
        <v>240</v>
      </c>
      <c r="T47" s="102" t="str">
        <f t="shared" si="51"/>
        <v>Probabilidad</v>
      </c>
      <c r="U47" s="103" t="s">
        <v>14</v>
      </c>
      <c r="V47" s="103" t="s">
        <v>9</v>
      </c>
      <c r="W47" s="104" t="str">
        <f t="shared" si="52"/>
        <v>40%</v>
      </c>
      <c r="X47" s="103" t="s">
        <v>19</v>
      </c>
      <c r="Y47" s="103" t="s">
        <v>22</v>
      </c>
      <c r="Z47" s="103" t="s">
        <v>113</v>
      </c>
      <c r="AA47" s="141">
        <f t="shared" si="53"/>
        <v>0</v>
      </c>
      <c r="AB47" s="106" t="str">
        <f t="shared" si="54"/>
        <v>Muy Baja</v>
      </c>
      <c r="AC47" s="107">
        <f t="shared" si="55"/>
        <v>0</v>
      </c>
      <c r="AD47" s="106" t="str">
        <f t="shared" si="56"/>
        <v>Leve</v>
      </c>
      <c r="AE47" s="107">
        <f t="shared" si="57"/>
        <v>0</v>
      </c>
      <c r="AF47" s="108" t="str">
        <f t="shared" si="58"/>
        <v>Bajo</v>
      </c>
      <c r="AG47" s="109" t="s">
        <v>129</v>
      </c>
      <c r="AH47" s="148" t="s">
        <v>302</v>
      </c>
      <c r="AI47" s="111" t="s">
        <v>233</v>
      </c>
      <c r="AJ47" s="112">
        <v>44378</v>
      </c>
      <c r="AK47" s="112">
        <v>44561</v>
      </c>
      <c r="AL47" s="148" t="s">
        <v>301</v>
      </c>
      <c r="AM47" s="111"/>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1" ht="151.5" customHeight="1" x14ac:dyDescent="0.25">
      <c r="A48" s="212"/>
      <c r="B48" s="215"/>
      <c r="C48" s="227"/>
      <c r="D48" s="224"/>
      <c r="E48" s="218"/>
      <c r="F48" s="218"/>
      <c r="G48" s="218"/>
      <c r="H48" s="220"/>
      <c r="I48" s="218"/>
      <c r="J48" s="222"/>
      <c r="K48" s="203"/>
      <c r="L48" s="206"/>
      <c r="M48" s="208"/>
      <c r="N48" s="150"/>
      <c r="O48" s="203"/>
      <c r="P48" s="206"/>
      <c r="Q48" s="211"/>
      <c r="R48" s="100">
        <v>3</v>
      </c>
      <c r="S48" s="101"/>
      <c r="T48" s="102" t="str">
        <f t="shared" si="51"/>
        <v>Probabilidad</v>
      </c>
      <c r="U48" s="103" t="s">
        <v>15</v>
      </c>
      <c r="V48" s="103" t="s">
        <v>9</v>
      </c>
      <c r="W48" s="104" t="str">
        <f t="shared" si="52"/>
        <v>30%</v>
      </c>
      <c r="X48" s="103" t="s">
        <v>20</v>
      </c>
      <c r="Y48" s="103" t="s">
        <v>23</v>
      </c>
      <c r="Z48" s="103" t="s">
        <v>114</v>
      </c>
      <c r="AA48" s="105">
        <f t="shared" si="53"/>
        <v>0</v>
      </c>
      <c r="AB48" s="106" t="str">
        <f t="shared" si="54"/>
        <v>Muy Baja</v>
      </c>
      <c r="AC48" s="107">
        <f t="shared" si="55"/>
        <v>0</v>
      </c>
      <c r="AD48" s="106" t="str">
        <f t="shared" si="56"/>
        <v>Leve</v>
      </c>
      <c r="AE48" s="107">
        <f t="shared" si="57"/>
        <v>0</v>
      </c>
      <c r="AF48" s="108" t="str">
        <f t="shared" si="58"/>
        <v>Bajo</v>
      </c>
      <c r="AG48" s="109"/>
      <c r="AH48" s="148"/>
      <c r="AI48" s="111"/>
      <c r="AJ48" s="112"/>
      <c r="AK48" s="112"/>
      <c r="AL48" s="148"/>
      <c r="AM48" s="111"/>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51.5" customHeight="1" x14ac:dyDescent="0.25">
      <c r="A49" s="212">
        <v>15</v>
      </c>
      <c r="B49" s="213" t="s">
        <v>294</v>
      </c>
      <c r="C49" s="223" t="s">
        <v>295</v>
      </c>
      <c r="D49" s="223" t="s">
        <v>303</v>
      </c>
      <c r="E49" s="217" t="s">
        <v>127</v>
      </c>
      <c r="F49" s="217" t="s">
        <v>304</v>
      </c>
      <c r="G49" s="225" t="s">
        <v>305</v>
      </c>
      <c r="H49" s="219" t="s">
        <v>306</v>
      </c>
      <c r="I49" s="217" t="s">
        <v>462</v>
      </c>
      <c r="J49" s="221">
        <v>900</v>
      </c>
      <c r="K49" s="201" t="str">
        <f>IF(J49&lt;=0,"",IF(J49&lt;=2,"Muy Baja",IF(J49&lt;=24,"Baja",IF(J49&lt;=500,"Media",IF(J49&lt;=5000,"Alta","Muy Alta")))))</f>
        <v>Alta</v>
      </c>
      <c r="L49" s="204">
        <f>IF(K49="","",IF(K49="Muy Baja",0.2,IF(K49="Baja",0.4,IF(K49="Media",0.6,IF(K49="Alta",0.8,IF(K49="Muy Alta",1,))))))</f>
        <v>0.8</v>
      </c>
      <c r="M49" s="207" t="s">
        <v>146</v>
      </c>
      <c r="N49" s="149" t="str">
        <f>IF(NOT(ISERROR(MATCH(M49,'Tabla Impacto'!$B$221:$B$223,0))),'Tabla Impacto'!$F$223&amp;"Por favor no seleccionar los criterios de impacto(Afectación Económica o presupuestal y Pérdida Reputacional)",M49)</f>
        <v xml:space="preserve">     El riesgo afecta la imagen de la entidad con algunos usuarios de relevancia frente al logro de los objetivos</v>
      </c>
      <c r="O49" s="201" t="str">
        <f>IF(OR(N49='Tabla Impacto'!$C$11,N49='Tabla Impacto'!$D$11),"Leve",IF(OR(N49='Tabla Impacto'!$C$12,N49='Tabla Impacto'!$D$12),"Menor",IF(OR(N49='Tabla Impacto'!$C$13,N49='Tabla Impacto'!$D$13),"Moderado",IF(OR(N49='Tabla Impacto'!$C$14,N49='Tabla Impacto'!$D$14),"Mayor",IF(OR(N49='Tabla Impacto'!$C$15,N49='Tabla Impacto'!$D$15),"Catastrófico","")))))</f>
        <v>Moderado</v>
      </c>
      <c r="P49" s="204">
        <f>IF(O49="","",IF(O49="Leve",0.2,IF(O49="Menor",0.4,IF(O49="Moderado",0.6,IF(O49="Mayor",0.8,IF(O49="Catastrófico",1,))))))</f>
        <v>0.6</v>
      </c>
      <c r="Q49" s="209"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Alto</v>
      </c>
      <c r="R49" s="100">
        <v>1</v>
      </c>
      <c r="S49" s="101" t="s">
        <v>307</v>
      </c>
      <c r="T49" s="102" t="str">
        <f t="shared" ref="T49:T51" si="59">IF(OR(U49="Preventivo",U49="Detectivo"),"Probabilidad",IF(U49="Correctivo","Impacto",""))</f>
        <v>Probabilidad</v>
      </c>
      <c r="U49" s="103" t="s">
        <v>14</v>
      </c>
      <c r="V49" s="103" t="s">
        <v>9</v>
      </c>
      <c r="W49" s="104" t="str">
        <f t="shared" ref="W49:W51" si="60">IF(AND(U49="Preventivo",V49="Automático"),"50%",IF(AND(U49="Preventivo",V49="Manual"),"40%",IF(AND(U49="Detectivo",V49="Automático"),"40%",IF(AND(U49="Detectivo",V49="Manual"),"30%",IF(AND(U49="Correctivo",V49="Automático"),"35%",IF(AND(U49="Correctivo",V49="Manual"),"25%",""))))))</f>
        <v>40%</v>
      </c>
      <c r="X49" s="103" t="s">
        <v>19</v>
      </c>
      <c r="Y49" s="103" t="s">
        <v>22</v>
      </c>
      <c r="Z49" s="103" t="s">
        <v>113</v>
      </c>
      <c r="AA49" s="105">
        <f t="shared" ref="AA49:AA51" si="61">IFERROR(IF(T49="Probabilidad",(L49-(+L49*W49)),IF(T49="Impacto",L49,"")),"")</f>
        <v>0.48</v>
      </c>
      <c r="AB49" s="106" t="str">
        <f t="shared" ref="AB49:AB51" si="62">IFERROR(IF(AA49="","",IF(AA49&lt;=0.2,"Muy Baja",IF(AA49&lt;=0.4,"Baja",IF(AA49&lt;=0.6,"Media",IF(AA49&lt;=0.8,"Alta","Muy Alta"))))),"")</f>
        <v>Media</v>
      </c>
      <c r="AC49" s="107">
        <f t="shared" ref="AC49:AC51" si="63">+AA49</f>
        <v>0.48</v>
      </c>
      <c r="AD49" s="106" t="str">
        <f t="shared" ref="AD49:AD51" si="64">IFERROR(IF(AE49="","",IF(AE49&lt;=0.2,"Leve",IF(AE49&lt;=0.4,"Menor",IF(AE49&lt;=0.6,"Moderado",IF(AE49&lt;=0.8,"Mayor","Catastrófico"))))),"")</f>
        <v>Moderado</v>
      </c>
      <c r="AE49" s="107">
        <f t="shared" ref="AE49:AE51" si="65">IFERROR(IF(T49="Impacto",(P49-(+P49*W49)),IF(T49="Probabilidad",P49,"")),"")</f>
        <v>0.6</v>
      </c>
      <c r="AF49" s="108" t="str">
        <f t="shared" ref="AF49:AF51" si="66">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Moderado</v>
      </c>
      <c r="AG49" s="109" t="s">
        <v>129</v>
      </c>
      <c r="AH49" s="148" t="s">
        <v>308</v>
      </c>
      <c r="AI49" s="111" t="s">
        <v>233</v>
      </c>
      <c r="AJ49" s="112">
        <v>44378</v>
      </c>
      <c r="AK49" s="112">
        <v>44561</v>
      </c>
      <c r="AL49" s="148" t="s">
        <v>309</v>
      </c>
      <c r="AM49" s="111"/>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51.5" customHeight="1" x14ac:dyDescent="0.25">
      <c r="A50" s="212"/>
      <c r="B50" s="214"/>
      <c r="C50" s="227"/>
      <c r="D50" s="224"/>
      <c r="E50" s="218"/>
      <c r="F50" s="218"/>
      <c r="G50" s="218"/>
      <c r="H50" s="220"/>
      <c r="I50" s="218"/>
      <c r="J50" s="222"/>
      <c r="K50" s="202"/>
      <c r="L50" s="205"/>
      <c r="M50" s="208"/>
      <c r="N50" s="150"/>
      <c r="O50" s="202"/>
      <c r="P50" s="205"/>
      <c r="Q50" s="210"/>
      <c r="R50" s="100">
        <v>2</v>
      </c>
      <c r="S50" s="101"/>
      <c r="T50" s="102" t="str">
        <f t="shared" si="59"/>
        <v>Probabilidad</v>
      </c>
      <c r="U50" s="103" t="s">
        <v>15</v>
      </c>
      <c r="V50" s="103" t="s">
        <v>9</v>
      </c>
      <c r="W50" s="104" t="str">
        <f t="shared" si="60"/>
        <v>30%</v>
      </c>
      <c r="X50" s="103" t="s">
        <v>20</v>
      </c>
      <c r="Y50" s="103" t="s">
        <v>23</v>
      </c>
      <c r="Z50" s="103" t="s">
        <v>114</v>
      </c>
      <c r="AA50" s="105">
        <f t="shared" si="61"/>
        <v>0</v>
      </c>
      <c r="AB50" s="106" t="str">
        <f t="shared" si="62"/>
        <v>Muy Baja</v>
      </c>
      <c r="AC50" s="107">
        <f t="shared" si="63"/>
        <v>0</v>
      </c>
      <c r="AD50" s="106" t="str">
        <f t="shared" si="64"/>
        <v>Leve</v>
      </c>
      <c r="AE50" s="107">
        <f t="shared" si="65"/>
        <v>0</v>
      </c>
      <c r="AF50" s="108" t="str">
        <f t="shared" si="66"/>
        <v>Bajo</v>
      </c>
      <c r="AG50" s="109"/>
      <c r="AH50" s="148"/>
      <c r="AI50" s="111"/>
      <c r="AJ50" s="112"/>
      <c r="AK50" s="112"/>
      <c r="AL50" s="148"/>
      <c r="AM50" s="111"/>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row>
    <row r="51" spans="1:71" ht="151.5" customHeight="1" x14ac:dyDescent="0.25">
      <c r="A51" s="212"/>
      <c r="B51" s="215"/>
      <c r="C51" s="227"/>
      <c r="D51" s="224"/>
      <c r="E51" s="218"/>
      <c r="F51" s="218"/>
      <c r="G51" s="218"/>
      <c r="H51" s="220"/>
      <c r="I51" s="218"/>
      <c r="J51" s="222"/>
      <c r="K51" s="203"/>
      <c r="L51" s="206"/>
      <c r="M51" s="208"/>
      <c r="N51" s="150"/>
      <c r="O51" s="203"/>
      <c r="P51" s="206"/>
      <c r="Q51" s="211"/>
      <c r="R51" s="100">
        <v>3</v>
      </c>
      <c r="S51" s="101"/>
      <c r="T51" s="102" t="str">
        <f t="shared" si="59"/>
        <v>Probabilidad</v>
      </c>
      <c r="U51" s="103" t="s">
        <v>15</v>
      </c>
      <c r="V51" s="103" t="s">
        <v>9</v>
      </c>
      <c r="W51" s="104" t="str">
        <f t="shared" si="60"/>
        <v>30%</v>
      </c>
      <c r="X51" s="103" t="s">
        <v>20</v>
      </c>
      <c r="Y51" s="103" t="s">
        <v>23</v>
      </c>
      <c r="Z51" s="103" t="s">
        <v>114</v>
      </c>
      <c r="AA51" s="105">
        <f t="shared" si="61"/>
        <v>0</v>
      </c>
      <c r="AB51" s="106" t="str">
        <f t="shared" si="62"/>
        <v>Muy Baja</v>
      </c>
      <c r="AC51" s="107">
        <f t="shared" si="63"/>
        <v>0</v>
      </c>
      <c r="AD51" s="106" t="str">
        <f t="shared" si="64"/>
        <v>Leve</v>
      </c>
      <c r="AE51" s="107">
        <f t="shared" si="65"/>
        <v>0</v>
      </c>
      <c r="AF51" s="108" t="str">
        <f t="shared" si="66"/>
        <v>Bajo</v>
      </c>
      <c r="AG51" s="109"/>
      <c r="AH51" s="148"/>
      <c r="AI51" s="111"/>
      <c r="AJ51" s="112"/>
      <c r="AK51" s="112"/>
      <c r="AL51" s="148"/>
      <c r="AM51" s="111"/>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row>
    <row r="52" spans="1:71" ht="151.5" customHeight="1" x14ac:dyDescent="0.25">
      <c r="A52" s="212">
        <v>16</v>
      </c>
      <c r="B52" s="213" t="s">
        <v>294</v>
      </c>
      <c r="C52" s="223" t="s">
        <v>295</v>
      </c>
      <c r="D52" s="223" t="s">
        <v>303</v>
      </c>
      <c r="E52" s="217" t="s">
        <v>125</v>
      </c>
      <c r="F52" s="217" t="s">
        <v>310</v>
      </c>
      <c r="G52" s="217" t="s">
        <v>311</v>
      </c>
      <c r="H52" s="219" t="s">
        <v>559</v>
      </c>
      <c r="I52" s="217" t="s">
        <v>119</v>
      </c>
      <c r="J52" s="221" t="s">
        <v>312</v>
      </c>
      <c r="K52" s="201" t="str">
        <f>IF(J52&lt;=0,"",IF(J52&lt;=2,"Muy Baja",IF(J52&lt;=24,"Baja",IF(J52&lt;=500,"Media",IF(J52&lt;=5000,"Alta","Muy Alta")))))</f>
        <v>Muy Alta</v>
      </c>
      <c r="L52" s="204">
        <f>IF(K52="","",IF(K52="Muy Baja",0.2,IF(K52="Baja",0.4,IF(K52="Media",0.6,IF(K52="Alta",0.8,IF(K52="Muy Alta",1,))))))</f>
        <v>1</v>
      </c>
      <c r="M52" s="207" t="s">
        <v>145</v>
      </c>
      <c r="N52" s="149" t="str">
        <f>IF(NOT(ISERROR(MATCH(M52,'Tabla Impacto'!$B$221:$B$223,0))),'Tabla Impacto'!$F$223&amp;"Por favor no seleccionar los criterios de impacto(Afectación Económica o presupuestal y Pérdida Reputacional)",M52)</f>
        <v xml:space="preserve">     El riesgo afecta la imagen de la entidad internamente, de conocimiento general, nivel interno, de junta dircetiva y accionistas y/o de provedores</v>
      </c>
      <c r="O52" s="201" t="str">
        <f>IF(OR(N52='Tabla Impacto'!$C$11,N52='Tabla Impacto'!$D$11),"Leve",IF(OR(N52='Tabla Impacto'!$C$12,N52='Tabla Impacto'!$D$12),"Menor",IF(OR(N52='Tabla Impacto'!$C$13,N52='Tabla Impacto'!$D$13),"Moderado",IF(OR(N52='Tabla Impacto'!$C$14,N52='Tabla Impacto'!$D$14),"Mayor",IF(OR(N52='Tabla Impacto'!$C$15,N52='Tabla Impacto'!$D$15),"Catastrófico","")))))</f>
        <v>Menor</v>
      </c>
      <c r="P52" s="204">
        <f>IF(O52="","",IF(O52="Leve",0.2,IF(O52="Menor",0.4,IF(O52="Moderado",0.6,IF(O52="Mayor",0.8,IF(O52="Catastrófico",1,))))))</f>
        <v>0.4</v>
      </c>
      <c r="Q52" s="209" t="str">
        <f>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Alto</v>
      </c>
      <c r="R52" s="100">
        <v>1</v>
      </c>
      <c r="S52" s="101" t="s">
        <v>313</v>
      </c>
      <c r="T52" s="102" t="str">
        <f t="shared" si="27"/>
        <v>Probabilidad</v>
      </c>
      <c r="U52" s="103" t="s">
        <v>14</v>
      </c>
      <c r="V52" s="103" t="s">
        <v>9</v>
      </c>
      <c r="W52" s="104" t="str">
        <f t="shared" si="28"/>
        <v>40%</v>
      </c>
      <c r="X52" s="103" t="s">
        <v>19</v>
      </c>
      <c r="Y52" s="103" t="s">
        <v>22</v>
      </c>
      <c r="Z52" s="103" t="s">
        <v>113</v>
      </c>
      <c r="AA52" s="105">
        <f t="shared" si="33"/>
        <v>0.6</v>
      </c>
      <c r="AB52" s="106" t="str">
        <f t="shared" si="29"/>
        <v>Media</v>
      </c>
      <c r="AC52" s="107">
        <f t="shared" si="30"/>
        <v>0.6</v>
      </c>
      <c r="AD52" s="106" t="str">
        <f t="shared" si="31"/>
        <v>Menor</v>
      </c>
      <c r="AE52" s="107">
        <f t="shared" si="34"/>
        <v>0.4</v>
      </c>
      <c r="AF52" s="108" t="str">
        <f t="shared" si="32"/>
        <v>Moderado</v>
      </c>
      <c r="AG52" s="109" t="s">
        <v>129</v>
      </c>
      <c r="AH52" s="144" t="s">
        <v>314</v>
      </c>
      <c r="AI52" s="111" t="s">
        <v>315</v>
      </c>
      <c r="AJ52" s="112">
        <v>44378</v>
      </c>
      <c r="AK52" s="112">
        <v>44561</v>
      </c>
      <c r="AL52" s="148" t="s">
        <v>309</v>
      </c>
      <c r="AM52" s="111"/>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1.5" customHeight="1" x14ac:dyDescent="0.25">
      <c r="A53" s="212"/>
      <c r="B53" s="214"/>
      <c r="C53" s="227"/>
      <c r="D53" s="224"/>
      <c r="E53" s="218"/>
      <c r="F53" s="218"/>
      <c r="G53" s="218"/>
      <c r="H53" s="220"/>
      <c r="I53" s="218"/>
      <c r="J53" s="222"/>
      <c r="K53" s="202"/>
      <c r="L53" s="205"/>
      <c r="M53" s="208"/>
      <c r="N53" s="150"/>
      <c r="O53" s="202"/>
      <c r="P53" s="205"/>
      <c r="Q53" s="210"/>
      <c r="R53" s="100">
        <v>2</v>
      </c>
      <c r="S53" s="101"/>
      <c r="T53" s="102" t="str">
        <f t="shared" ref="T53:T54" si="67">IF(OR(U53="Preventivo",U53="Detectivo"),"Probabilidad",IF(U53="Correctivo","Impacto",""))</f>
        <v>Probabilidad</v>
      </c>
      <c r="U53" s="103" t="s">
        <v>15</v>
      </c>
      <c r="V53" s="103" t="s">
        <v>9</v>
      </c>
      <c r="W53" s="104" t="str">
        <f t="shared" ref="W53:W54" si="68">IF(AND(U53="Preventivo",V53="Automático"),"50%",IF(AND(U53="Preventivo",V53="Manual"),"40%",IF(AND(U53="Detectivo",V53="Automático"),"40%",IF(AND(U53="Detectivo",V53="Manual"),"30%",IF(AND(U53="Correctivo",V53="Automático"),"35%",IF(AND(U53="Correctivo",V53="Manual"),"25%",""))))))</f>
        <v>30%</v>
      </c>
      <c r="X53" s="103" t="s">
        <v>20</v>
      </c>
      <c r="Y53" s="103" t="s">
        <v>23</v>
      </c>
      <c r="Z53" s="103" t="s">
        <v>114</v>
      </c>
      <c r="AA53" s="105">
        <f t="shared" ref="AA53:AA54" si="69">IFERROR(IF(T53="Probabilidad",(L53-(+L53*W53)),IF(T53="Impacto",L53,"")),"")</f>
        <v>0</v>
      </c>
      <c r="AB53" s="106" t="str">
        <f t="shared" ref="AB53:AB54" si="70">IFERROR(IF(AA53="","",IF(AA53&lt;=0.2,"Muy Baja",IF(AA53&lt;=0.4,"Baja",IF(AA53&lt;=0.6,"Media",IF(AA53&lt;=0.8,"Alta","Muy Alta"))))),"")</f>
        <v>Muy Baja</v>
      </c>
      <c r="AC53" s="107">
        <f t="shared" ref="AC53:AC54" si="71">+AA53</f>
        <v>0</v>
      </c>
      <c r="AD53" s="106" t="str">
        <f t="shared" ref="AD53:AD54" si="72">IFERROR(IF(AE53="","",IF(AE53&lt;=0.2,"Leve",IF(AE53&lt;=0.4,"Menor",IF(AE53&lt;=0.6,"Moderado",IF(AE53&lt;=0.8,"Mayor","Catastrófico"))))),"")</f>
        <v>Leve</v>
      </c>
      <c r="AE53" s="107">
        <f t="shared" ref="AE53:AE54" si="73">IFERROR(IF(T53="Impacto",(P53-(+P53*W53)),IF(T53="Probabilidad",P53,"")),"")</f>
        <v>0</v>
      </c>
      <c r="AF53" s="108" t="str">
        <f t="shared" ref="AF53:AF54" si="74">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Bajo</v>
      </c>
      <c r="AG53" s="109"/>
      <c r="AH53" s="148"/>
      <c r="AI53" s="111"/>
      <c r="AJ53" s="112"/>
      <c r="AK53" s="112"/>
      <c r="AL53" s="148"/>
      <c r="AM53" s="111"/>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row>
    <row r="54" spans="1:71" ht="151.5" customHeight="1" x14ac:dyDescent="0.25">
      <c r="A54" s="212"/>
      <c r="B54" s="215"/>
      <c r="C54" s="227"/>
      <c r="D54" s="224"/>
      <c r="E54" s="218"/>
      <c r="F54" s="218"/>
      <c r="G54" s="218"/>
      <c r="H54" s="220"/>
      <c r="I54" s="218"/>
      <c r="J54" s="222"/>
      <c r="K54" s="203"/>
      <c r="L54" s="206"/>
      <c r="M54" s="208"/>
      <c r="N54" s="150"/>
      <c r="O54" s="203"/>
      <c r="P54" s="206"/>
      <c r="Q54" s="211"/>
      <c r="R54" s="100">
        <v>3</v>
      </c>
      <c r="S54" s="101"/>
      <c r="T54" s="102" t="str">
        <f t="shared" si="67"/>
        <v>Probabilidad</v>
      </c>
      <c r="U54" s="103" t="s">
        <v>15</v>
      </c>
      <c r="V54" s="103" t="s">
        <v>9</v>
      </c>
      <c r="W54" s="104" t="str">
        <f t="shared" si="68"/>
        <v>30%</v>
      </c>
      <c r="X54" s="103" t="s">
        <v>20</v>
      </c>
      <c r="Y54" s="103" t="s">
        <v>23</v>
      </c>
      <c r="Z54" s="103" t="s">
        <v>114</v>
      </c>
      <c r="AA54" s="105">
        <f t="shared" si="69"/>
        <v>0</v>
      </c>
      <c r="AB54" s="106" t="str">
        <f t="shared" si="70"/>
        <v>Muy Baja</v>
      </c>
      <c r="AC54" s="107">
        <f t="shared" si="71"/>
        <v>0</v>
      </c>
      <c r="AD54" s="106" t="str">
        <f t="shared" si="72"/>
        <v>Leve</v>
      </c>
      <c r="AE54" s="107">
        <f t="shared" si="73"/>
        <v>0</v>
      </c>
      <c r="AF54" s="108" t="str">
        <f t="shared" si="74"/>
        <v>Bajo</v>
      </c>
      <c r="AG54" s="109"/>
      <c r="AH54" s="148"/>
      <c r="AI54" s="111"/>
      <c r="AJ54" s="112"/>
      <c r="AK54" s="112"/>
      <c r="AL54" s="148"/>
      <c r="AM54" s="111"/>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1.5" customHeight="1" x14ac:dyDescent="0.25">
      <c r="A55" s="212">
        <v>17</v>
      </c>
      <c r="B55" s="213" t="s">
        <v>294</v>
      </c>
      <c r="C55" s="223" t="s">
        <v>295</v>
      </c>
      <c r="D55" s="223" t="s">
        <v>303</v>
      </c>
      <c r="E55" s="217" t="s">
        <v>127</v>
      </c>
      <c r="F55" s="217" t="s">
        <v>317</v>
      </c>
      <c r="G55" s="217" t="s">
        <v>318</v>
      </c>
      <c r="H55" s="219" t="s">
        <v>316</v>
      </c>
      <c r="I55" s="217" t="s">
        <v>462</v>
      </c>
      <c r="J55" s="221" t="s">
        <v>312</v>
      </c>
      <c r="K55" s="201" t="str">
        <f>IF(J55&lt;=0,"",IF(J55&lt;=2,"Muy Baja",IF(J55&lt;=24,"Baja",IF(J55&lt;=500,"Media",IF(J55&lt;=5000,"Alta","Muy Alta")))))</f>
        <v>Muy Alta</v>
      </c>
      <c r="L55" s="204">
        <f>IF(K55="","",IF(K55="Muy Baja",0.2,IF(K55="Baja",0.4,IF(K55="Media",0.6,IF(K55="Alta",0.8,IF(K55="Muy Alta",1,))))))</f>
        <v>1</v>
      </c>
      <c r="M55" s="207" t="s">
        <v>147</v>
      </c>
      <c r="N55" s="149" t="str">
        <f>IF(NOT(ISERROR(MATCH(M55,'Tabla Impacto'!$B$221:$B$223,0))),'Tabla Impacto'!$F$223&amp;"Por favor no seleccionar los criterios de impacto(Afectación Económica o presupuestal y Pérdida Reputacional)",M55)</f>
        <v xml:space="preserve">     El riesgo afecta la imagen de de la entidad con efecto publicitario sostenido a nivel de sector administrativo, nivel departamental o municipal</v>
      </c>
      <c r="O55" s="201" t="str">
        <f>IF(OR(N55='Tabla Impacto'!$C$11,N55='Tabla Impacto'!$D$11),"Leve",IF(OR(N55='Tabla Impacto'!$C$12,N55='Tabla Impacto'!$D$12),"Menor",IF(OR(N55='Tabla Impacto'!$C$13,N55='Tabla Impacto'!$D$13),"Moderado",IF(OR(N55='Tabla Impacto'!$C$14,N55='Tabla Impacto'!$D$14),"Mayor",IF(OR(N55='Tabla Impacto'!$C$15,N55='Tabla Impacto'!$D$15),"Catastrófico","")))))</f>
        <v>Mayor</v>
      </c>
      <c r="P55" s="204">
        <f>IF(O55="","",IF(O55="Leve",0.2,IF(O55="Menor",0.4,IF(O55="Moderado",0.6,IF(O55="Mayor",0.8,IF(O55="Catastrófico",1,))))))</f>
        <v>0.8</v>
      </c>
      <c r="Q55" s="209"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Alto</v>
      </c>
      <c r="R55" s="100">
        <v>1</v>
      </c>
      <c r="S55" s="101" t="s">
        <v>319</v>
      </c>
      <c r="T55" s="102" t="str">
        <f t="shared" ref="T55:T57" si="75">IF(OR(U55="Preventivo",U55="Detectivo"),"Probabilidad",IF(U55="Correctivo","Impacto",""))</f>
        <v>Probabilidad</v>
      </c>
      <c r="U55" s="103" t="s">
        <v>14</v>
      </c>
      <c r="V55" s="103" t="s">
        <v>9</v>
      </c>
      <c r="W55" s="104" t="str">
        <f t="shared" ref="W55:W57" si="76">IF(AND(U55="Preventivo",V55="Automático"),"50%",IF(AND(U55="Preventivo",V55="Manual"),"40%",IF(AND(U55="Detectivo",V55="Automático"),"40%",IF(AND(U55="Detectivo",V55="Manual"),"30%",IF(AND(U55="Correctivo",V55="Automático"),"35%",IF(AND(U55="Correctivo",V55="Manual"),"25%",""))))))</f>
        <v>40%</v>
      </c>
      <c r="X55" s="103" t="s">
        <v>19</v>
      </c>
      <c r="Y55" s="103" t="s">
        <v>22</v>
      </c>
      <c r="Z55" s="103" t="s">
        <v>113</v>
      </c>
      <c r="AA55" s="105">
        <f t="shared" ref="AA55:AA57" si="77">IFERROR(IF(T55="Probabilidad",(L55-(+L55*W55)),IF(T55="Impacto",L55,"")),"")</f>
        <v>0.6</v>
      </c>
      <c r="AB55" s="106" t="str">
        <f t="shared" ref="AB55:AB57" si="78">IFERROR(IF(AA55="","",IF(AA55&lt;=0.2,"Muy Baja",IF(AA55&lt;=0.4,"Baja",IF(AA55&lt;=0.6,"Media",IF(AA55&lt;=0.8,"Alta","Muy Alta"))))),"")</f>
        <v>Media</v>
      </c>
      <c r="AC55" s="107">
        <f t="shared" ref="AC55:AC57" si="79">+AA55</f>
        <v>0.6</v>
      </c>
      <c r="AD55" s="106" t="str">
        <f t="shared" ref="AD55:AD57" si="80">IFERROR(IF(AE55="","",IF(AE55&lt;=0.2,"Leve",IF(AE55&lt;=0.4,"Menor",IF(AE55&lt;=0.6,"Moderado",IF(AE55&lt;=0.8,"Mayor","Catastrófico"))))),"")</f>
        <v>Mayor</v>
      </c>
      <c r="AE55" s="107">
        <f t="shared" ref="AE55:AE57" si="81">IFERROR(IF(T55="Impacto",(P55-(+P55*W55)),IF(T55="Probabilidad",P55,"")),"")</f>
        <v>0.8</v>
      </c>
      <c r="AF55" s="108" t="str">
        <f t="shared" ref="AF55:AF57" si="82">IFERROR(IF(OR(AND(AB55="Muy Baja",AD55="Leve"),AND(AB55="Muy Baja",AD55="Menor"),AND(AB55="Baja",AD55="Leve")),"Bajo",IF(OR(AND(AB55="Muy baja",AD55="Moderado"),AND(AB55="Baja",AD55="Menor"),AND(AB55="Baja",AD55="Moderado"),AND(AB55="Media",AD55="Leve"),AND(AB55="Media",AD55="Menor"),AND(AB55="Media",AD55="Moderado"),AND(AB55="Alta",AD55="Leve"),AND(AB55="Alta",AD55="Menor")),"Moderado",IF(OR(AND(AB55="Muy Baja",AD55="Mayor"),AND(AB55="Baja",AD55="Mayor"),AND(AB55="Media",AD55="Mayor"),AND(AB55="Alta",AD55="Moderado"),AND(AB55="Alta",AD55="Mayor"),AND(AB55="Muy Alta",AD55="Leve"),AND(AB55="Muy Alta",AD55="Menor"),AND(AB55="Muy Alta",AD55="Moderado"),AND(AB55="Muy Alta",AD55="Mayor")),"Alto",IF(OR(AND(AB55="Muy Baja",AD55="Catastrófico"),AND(AB55="Baja",AD55="Catastrófico"),AND(AB55="Media",AD55="Catastrófico"),AND(AB55="Alta",AD55="Catastrófico"),AND(AB55="Muy Alta",AD55="Catastrófico")),"Extremo","")))),"")</f>
        <v>Alto</v>
      </c>
      <c r="AG55" s="109" t="s">
        <v>129</v>
      </c>
      <c r="AH55" s="148" t="s">
        <v>320</v>
      </c>
      <c r="AI55" s="111" t="s">
        <v>233</v>
      </c>
      <c r="AJ55" s="112">
        <v>44378</v>
      </c>
      <c r="AK55" s="112">
        <v>44561</v>
      </c>
      <c r="AL55" s="144" t="s">
        <v>321</v>
      </c>
      <c r="AM55" s="111"/>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1.5" customHeight="1" x14ac:dyDescent="0.25">
      <c r="A56" s="212"/>
      <c r="B56" s="214"/>
      <c r="C56" s="227"/>
      <c r="D56" s="224"/>
      <c r="E56" s="218"/>
      <c r="F56" s="218"/>
      <c r="G56" s="218"/>
      <c r="H56" s="220"/>
      <c r="I56" s="218"/>
      <c r="J56" s="222"/>
      <c r="K56" s="202"/>
      <c r="L56" s="205"/>
      <c r="M56" s="208"/>
      <c r="N56" s="150"/>
      <c r="O56" s="202"/>
      <c r="P56" s="205"/>
      <c r="Q56" s="210"/>
      <c r="R56" s="100">
        <v>2</v>
      </c>
      <c r="S56" s="101"/>
      <c r="T56" s="102" t="str">
        <f t="shared" si="75"/>
        <v>Probabilidad</v>
      </c>
      <c r="U56" s="103" t="s">
        <v>15</v>
      </c>
      <c r="V56" s="103" t="s">
        <v>9</v>
      </c>
      <c r="W56" s="104" t="str">
        <f t="shared" si="76"/>
        <v>30%</v>
      </c>
      <c r="X56" s="103" t="s">
        <v>20</v>
      </c>
      <c r="Y56" s="103" t="s">
        <v>23</v>
      </c>
      <c r="Z56" s="103" t="s">
        <v>114</v>
      </c>
      <c r="AA56" s="105">
        <f t="shared" si="77"/>
        <v>0</v>
      </c>
      <c r="AB56" s="106" t="str">
        <f t="shared" si="78"/>
        <v>Muy Baja</v>
      </c>
      <c r="AC56" s="107">
        <f t="shared" si="79"/>
        <v>0</v>
      </c>
      <c r="AD56" s="106" t="str">
        <f t="shared" si="80"/>
        <v>Leve</v>
      </c>
      <c r="AE56" s="107">
        <f t="shared" si="81"/>
        <v>0</v>
      </c>
      <c r="AF56" s="108" t="str">
        <f t="shared" si="82"/>
        <v>Bajo</v>
      </c>
      <c r="AG56" s="109"/>
      <c r="AH56" s="148"/>
      <c r="AI56" s="111"/>
      <c r="AJ56" s="112"/>
      <c r="AK56" s="112"/>
      <c r="AL56" s="148"/>
      <c r="AM56" s="111"/>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row>
    <row r="57" spans="1:71" ht="151.5" customHeight="1" x14ac:dyDescent="0.25">
      <c r="A57" s="231"/>
      <c r="B57" s="215"/>
      <c r="C57" s="227"/>
      <c r="D57" s="224"/>
      <c r="E57" s="218"/>
      <c r="F57" s="218"/>
      <c r="G57" s="218"/>
      <c r="H57" s="220"/>
      <c r="I57" s="218"/>
      <c r="J57" s="222"/>
      <c r="K57" s="203"/>
      <c r="L57" s="206"/>
      <c r="M57" s="208"/>
      <c r="N57" s="150"/>
      <c r="O57" s="203"/>
      <c r="P57" s="206"/>
      <c r="Q57" s="211"/>
      <c r="R57" s="100">
        <v>3</v>
      </c>
      <c r="S57" s="101"/>
      <c r="T57" s="102" t="str">
        <f t="shared" si="75"/>
        <v>Probabilidad</v>
      </c>
      <c r="U57" s="103" t="s">
        <v>15</v>
      </c>
      <c r="V57" s="103" t="s">
        <v>9</v>
      </c>
      <c r="W57" s="104" t="str">
        <f t="shared" si="76"/>
        <v>30%</v>
      </c>
      <c r="X57" s="103" t="s">
        <v>20</v>
      </c>
      <c r="Y57" s="103" t="s">
        <v>23</v>
      </c>
      <c r="Z57" s="103" t="s">
        <v>114</v>
      </c>
      <c r="AA57" s="105">
        <f t="shared" si="77"/>
        <v>0</v>
      </c>
      <c r="AB57" s="106" t="str">
        <f t="shared" si="78"/>
        <v>Muy Baja</v>
      </c>
      <c r="AC57" s="107">
        <f t="shared" si="79"/>
        <v>0</v>
      </c>
      <c r="AD57" s="106" t="str">
        <f t="shared" si="80"/>
        <v>Leve</v>
      </c>
      <c r="AE57" s="107">
        <f t="shared" si="81"/>
        <v>0</v>
      </c>
      <c r="AF57" s="108" t="str">
        <f t="shared" si="82"/>
        <v>Bajo</v>
      </c>
      <c r="AG57" s="109"/>
      <c r="AH57" s="148"/>
      <c r="AI57" s="111"/>
      <c r="AJ57" s="112"/>
      <c r="AK57" s="112"/>
      <c r="AL57" s="148"/>
      <c r="AM57" s="111"/>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row>
    <row r="58" spans="1:71" ht="151.5" customHeight="1" x14ac:dyDescent="0.25">
      <c r="A58" s="216">
        <v>18</v>
      </c>
      <c r="B58" s="213" t="s">
        <v>294</v>
      </c>
      <c r="C58" s="223" t="s">
        <v>295</v>
      </c>
      <c r="D58" s="223" t="s">
        <v>303</v>
      </c>
      <c r="E58" s="217" t="s">
        <v>127</v>
      </c>
      <c r="F58" s="217" t="s">
        <v>323</v>
      </c>
      <c r="G58" s="217" t="s">
        <v>324</v>
      </c>
      <c r="H58" s="219" t="s">
        <v>322</v>
      </c>
      <c r="I58" s="217" t="s">
        <v>462</v>
      </c>
      <c r="J58" s="221">
        <v>60</v>
      </c>
      <c r="K58" s="201" t="str">
        <f>IF(J58&lt;=0,"",IF(J58&lt;=2,"Muy Baja",IF(J58&lt;=24,"Baja",IF(J58&lt;=500,"Media",IF(J58&lt;=5000,"Alta","Muy Alta")))))</f>
        <v>Media</v>
      </c>
      <c r="L58" s="204">
        <f>IF(K58="","",IF(K58="Muy Baja",0.2,IF(K58="Baja",0.4,IF(K58="Media",0.6,IF(K58="Alta",0.8,IF(K58="Muy Alta",1,))))))</f>
        <v>0.6</v>
      </c>
      <c r="M58" s="207" t="s">
        <v>146</v>
      </c>
      <c r="N58" s="149" t="str">
        <f>IF(NOT(ISERROR(MATCH(M58,'Tabla Impacto'!$B$221:$B$223,0))),'Tabla Impacto'!$F$223&amp;"Por favor no seleccionar los criterios de impacto(Afectación Económica o presupuestal y Pérdida Reputacional)",M58)</f>
        <v xml:space="preserve">     El riesgo afecta la imagen de la entidad con algunos usuarios de relevancia frente al logro de los objetivos</v>
      </c>
      <c r="O58" s="201" t="str">
        <f>IF(OR(N58='Tabla Impacto'!$C$11,N58='Tabla Impacto'!$D$11),"Leve",IF(OR(N58='Tabla Impacto'!$C$12,N58='Tabla Impacto'!$D$12),"Menor",IF(OR(N58='Tabla Impacto'!$C$13,N58='Tabla Impacto'!$D$13),"Moderado",IF(OR(N58='Tabla Impacto'!$C$14,N58='Tabla Impacto'!$D$14),"Mayor",IF(OR(N58='Tabla Impacto'!$C$15,N58='Tabla Impacto'!$D$15),"Catastrófico","")))))</f>
        <v>Moderado</v>
      </c>
      <c r="P58" s="204">
        <f>IF(O58="","",IF(O58="Leve",0.2,IF(O58="Menor",0.4,IF(O58="Moderado",0.6,IF(O58="Mayor",0.8,IF(O58="Catastrófico",1,))))))</f>
        <v>0.6</v>
      </c>
      <c r="Q58" s="209" t="str">
        <f>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Moderado</v>
      </c>
      <c r="R58" s="100">
        <v>1</v>
      </c>
      <c r="S58" s="101" t="s">
        <v>325</v>
      </c>
      <c r="T58" s="102" t="str">
        <f t="shared" si="27"/>
        <v>Probabilidad</v>
      </c>
      <c r="U58" s="103" t="s">
        <v>15</v>
      </c>
      <c r="V58" s="103" t="s">
        <v>9</v>
      </c>
      <c r="W58" s="104" t="str">
        <f t="shared" si="28"/>
        <v>30%</v>
      </c>
      <c r="X58" s="103" t="s">
        <v>19</v>
      </c>
      <c r="Y58" s="103" t="s">
        <v>22</v>
      </c>
      <c r="Z58" s="103" t="s">
        <v>113</v>
      </c>
      <c r="AA58" s="105">
        <f t="shared" si="33"/>
        <v>0.42</v>
      </c>
      <c r="AB58" s="106" t="str">
        <f t="shared" si="29"/>
        <v>Media</v>
      </c>
      <c r="AC58" s="107">
        <f t="shared" si="30"/>
        <v>0.42</v>
      </c>
      <c r="AD58" s="106" t="str">
        <f t="shared" si="31"/>
        <v>Moderado</v>
      </c>
      <c r="AE58" s="107">
        <f t="shared" si="34"/>
        <v>0.6</v>
      </c>
      <c r="AF58" s="108" t="str">
        <f t="shared" si="32"/>
        <v>Moderado</v>
      </c>
      <c r="AG58" s="109" t="s">
        <v>129</v>
      </c>
      <c r="AH58" s="148" t="s">
        <v>327</v>
      </c>
      <c r="AI58" s="110" t="s">
        <v>328</v>
      </c>
      <c r="AJ58" s="112">
        <v>44378</v>
      </c>
      <c r="AK58" s="112">
        <v>44561</v>
      </c>
      <c r="AL58" s="148" t="s">
        <v>329</v>
      </c>
      <c r="AM58" s="111"/>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row>
    <row r="59" spans="1:71" ht="151.5" customHeight="1" x14ac:dyDescent="0.25">
      <c r="A59" s="212"/>
      <c r="B59" s="214"/>
      <c r="C59" s="227"/>
      <c r="D59" s="224"/>
      <c r="E59" s="218"/>
      <c r="F59" s="218"/>
      <c r="G59" s="218"/>
      <c r="H59" s="220"/>
      <c r="I59" s="218"/>
      <c r="J59" s="222"/>
      <c r="K59" s="202"/>
      <c r="L59" s="205"/>
      <c r="M59" s="208"/>
      <c r="N59" s="150"/>
      <c r="O59" s="202"/>
      <c r="P59" s="205"/>
      <c r="Q59" s="210"/>
      <c r="R59" s="100">
        <v>2</v>
      </c>
      <c r="S59" s="101" t="s">
        <v>326</v>
      </c>
      <c r="T59" s="102" t="str">
        <f t="shared" ref="T59:T60" si="83">IF(OR(U59="Preventivo",U59="Detectivo"),"Probabilidad",IF(U59="Correctivo","Impacto",""))</f>
        <v>Probabilidad</v>
      </c>
      <c r="U59" s="103" t="s">
        <v>15</v>
      </c>
      <c r="V59" s="103" t="s">
        <v>9</v>
      </c>
      <c r="W59" s="104" t="str">
        <f t="shared" ref="W59:W60" si="84">IF(AND(U59="Preventivo",V59="Automático"),"50%",IF(AND(U59="Preventivo",V59="Manual"),"40%",IF(AND(U59="Detectivo",V59="Automático"),"40%",IF(AND(U59="Detectivo",V59="Manual"),"30%",IF(AND(U59="Correctivo",V59="Automático"),"35%",IF(AND(U59="Correctivo",V59="Manual"),"25%",""))))))</f>
        <v>30%</v>
      </c>
      <c r="X59" s="103" t="s">
        <v>19</v>
      </c>
      <c r="Y59" s="103" t="s">
        <v>22</v>
      </c>
      <c r="Z59" s="103" t="s">
        <v>113</v>
      </c>
      <c r="AA59" s="105">
        <f t="shared" ref="AA59:AA60" si="85">IFERROR(IF(T59="Probabilidad",(L59-(+L59*W59)),IF(T59="Impacto",L59,"")),"")</f>
        <v>0</v>
      </c>
      <c r="AB59" s="106" t="str">
        <f t="shared" ref="AB59:AB60" si="86">IFERROR(IF(AA59="","",IF(AA59&lt;=0.2,"Muy Baja",IF(AA59&lt;=0.4,"Baja",IF(AA59&lt;=0.6,"Media",IF(AA59&lt;=0.8,"Alta","Muy Alta"))))),"")</f>
        <v>Muy Baja</v>
      </c>
      <c r="AC59" s="107">
        <f t="shared" ref="AC59:AC60" si="87">+AA59</f>
        <v>0</v>
      </c>
      <c r="AD59" s="106" t="str">
        <f t="shared" ref="AD59:AD60" si="88">IFERROR(IF(AE59="","",IF(AE59&lt;=0.2,"Leve",IF(AE59&lt;=0.4,"Menor",IF(AE59&lt;=0.6,"Moderado",IF(AE59&lt;=0.8,"Mayor","Catastrófico"))))),"")</f>
        <v>Leve</v>
      </c>
      <c r="AE59" s="107">
        <f t="shared" ref="AE59:AE60" si="89">IFERROR(IF(T59="Impacto",(P59-(+P59*W59)),IF(T59="Probabilidad",P59,"")),"")</f>
        <v>0</v>
      </c>
      <c r="AF59" s="108" t="str">
        <f t="shared" ref="AF59:AF60" si="90">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Bajo</v>
      </c>
      <c r="AG59" s="109" t="s">
        <v>129</v>
      </c>
      <c r="AH59" s="148" t="s">
        <v>327</v>
      </c>
      <c r="AI59" s="110" t="s">
        <v>328</v>
      </c>
      <c r="AJ59" s="112">
        <v>44378</v>
      </c>
      <c r="AK59" s="112">
        <v>44561</v>
      </c>
      <c r="AL59" s="148" t="s">
        <v>329</v>
      </c>
      <c r="AM59" s="111"/>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row>
    <row r="60" spans="1:71" ht="151.5" customHeight="1" x14ac:dyDescent="0.25">
      <c r="A60" s="212"/>
      <c r="B60" s="215"/>
      <c r="C60" s="227"/>
      <c r="D60" s="224"/>
      <c r="E60" s="218"/>
      <c r="F60" s="218"/>
      <c r="G60" s="218"/>
      <c r="H60" s="220"/>
      <c r="I60" s="218"/>
      <c r="J60" s="222"/>
      <c r="K60" s="203"/>
      <c r="L60" s="206"/>
      <c r="M60" s="208"/>
      <c r="N60" s="150"/>
      <c r="O60" s="203"/>
      <c r="P60" s="206"/>
      <c r="Q60" s="211"/>
      <c r="R60" s="100">
        <v>3</v>
      </c>
      <c r="S60" s="101"/>
      <c r="T60" s="102" t="str">
        <f t="shared" si="83"/>
        <v>Probabilidad</v>
      </c>
      <c r="U60" s="103" t="s">
        <v>15</v>
      </c>
      <c r="V60" s="103" t="s">
        <v>9</v>
      </c>
      <c r="W60" s="104" t="str">
        <f t="shared" si="84"/>
        <v>30%</v>
      </c>
      <c r="X60" s="103" t="s">
        <v>20</v>
      </c>
      <c r="Y60" s="103" t="s">
        <v>23</v>
      </c>
      <c r="Z60" s="103" t="s">
        <v>114</v>
      </c>
      <c r="AA60" s="105">
        <f t="shared" si="85"/>
        <v>0</v>
      </c>
      <c r="AB60" s="106" t="str">
        <f t="shared" si="86"/>
        <v>Muy Baja</v>
      </c>
      <c r="AC60" s="107">
        <f t="shared" si="87"/>
        <v>0</v>
      </c>
      <c r="AD60" s="106" t="str">
        <f t="shared" si="88"/>
        <v>Leve</v>
      </c>
      <c r="AE60" s="107">
        <f t="shared" si="89"/>
        <v>0</v>
      </c>
      <c r="AF60" s="108" t="str">
        <f t="shared" si="90"/>
        <v>Bajo</v>
      </c>
      <c r="AG60" s="109"/>
      <c r="AH60" s="148"/>
      <c r="AI60" s="111"/>
      <c r="AJ60" s="112"/>
      <c r="AK60" s="112"/>
      <c r="AL60" s="148"/>
      <c r="AM60" s="111"/>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row>
    <row r="61" spans="1:71" ht="151.5" customHeight="1" x14ac:dyDescent="0.25">
      <c r="A61" s="212">
        <v>19</v>
      </c>
      <c r="B61" s="213" t="s">
        <v>330</v>
      </c>
      <c r="C61" s="223" t="s">
        <v>331</v>
      </c>
      <c r="D61" s="223" t="s">
        <v>332</v>
      </c>
      <c r="E61" s="217" t="s">
        <v>127</v>
      </c>
      <c r="F61" s="217" t="s">
        <v>333</v>
      </c>
      <c r="G61" s="217" t="s">
        <v>334</v>
      </c>
      <c r="H61" s="219" t="s">
        <v>335</v>
      </c>
      <c r="I61" s="217" t="s">
        <v>122</v>
      </c>
      <c r="J61" s="221">
        <v>360</v>
      </c>
      <c r="K61" s="201" t="str">
        <f>IF(J61&lt;=0,"",IF(J61&lt;=2,"Muy Baja",IF(J61&lt;=24,"Baja",IF(J61&lt;=500,"Media",IF(J61&lt;=5000,"Alta","Muy Alta")))))</f>
        <v>Media</v>
      </c>
      <c r="L61" s="204">
        <f>IF(K61="","",IF(K61="Muy Baja",0.2,IF(K61="Baja",0.4,IF(K61="Media",0.6,IF(K61="Alta",0.8,IF(K61="Muy Alta",1,))))))</f>
        <v>0.6</v>
      </c>
      <c r="M61" s="207" t="s">
        <v>146</v>
      </c>
      <c r="N61" s="149" t="str">
        <f>IF(NOT(ISERROR(MATCH(M61,'Tabla Impacto'!$B$221:$B$223,0))),'Tabla Impacto'!$F$223&amp;"Por favor no seleccionar los criterios de impacto(Afectación Económica o presupuestal y Pérdida Reputacional)",M61)</f>
        <v xml:space="preserve">     El riesgo afecta la imagen de la entidad con algunos usuarios de relevancia frente al logro de los objetivos</v>
      </c>
      <c r="O61" s="201" t="str">
        <f>IF(OR(N61='Tabla Impacto'!$C$11,N61='Tabla Impacto'!$D$11),"Leve",IF(OR(N61='Tabla Impacto'!$C$12,N61='Tabla Impacto'!$D$12),"Menor",IF(OR(N61='Tabla Impacto'!$C$13,N61='Tabla Impacto'!$D$13),"Moderado",IF(OR(N61='Tabla Impacto'!$C$14,N61='Tabla Impacto'!$D$14),"Mayor",IF(OR(N61='Tabla Impacto'!$C$15,N61='Tabla Impacto'!$D$15),"Catastrófico","")))))</f>
        <v>Moderado</v>
      </c>
      <c r="P61" s="204">
        <f>IF(O61="","",IF(O61="Leve",0.2,IF(O61="Menor",0.4,IF(O61="Moderado",0.6,IF(O61="Mayor",0.8,IF(O61="Catastrófico",1,))))))</f>
        <v>0.6</v>
      </c>
      <c r="Q61" s="209"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Moderado</v>
      </c>
      <c r="R61" s="100">
        <v>1</v>
      </c>
      <c r="S61" s="101" t="s">
        <v>336</v>
      </c>
      <c r="T61" s="102" t="str">
        <f t="shared" si="27"/>
        <v>Probabilidad</v>
      </c>
      <c r="U61" s="103" t="s">
        <v>15</v>
      </c>
      <c r="V61" s="103" t="s">
        <v>9</v>
      </c>
      <c r="W61" s="104" t="str">
        <f t="shared" si="28"/>
        <v>30%</v>
      </c>
      <c r="X61" s="103" t="s">
        <v>20</v>
      </c>
      <c r="Y61" s="103" t="s">
        <v>22</v>
      </c>
      <c r="Z61" s="103" t="s">
        <v>113</v>
      </c>
      <c r="AA61" s="105">
        <f t="shared" si="33"/>
        <v>0.42</v>
      </c>
      <c r="AB61" s="106" t="str">
        <f t="shared" si="29"/>
        <v>Media</v>
      </c>
      <c r="AC61" s="107">
        <f t="shared" si="30"/>
        <v>0.42</v>
      </c>
      <c r="AD61" s="106" t="str">
        <f t="shared" si="31"/>
        <v>Moderado</v>
      </c>
      <c r="AE61" s="107">
        <f t="shared" si="34"/>
        <v>0.6</v>
      </c>
      <c r="AF61" s="108" t="str">
        <f t="shared" si="32"/>
        <v>Moderado</v>
      </c>
      <c r="AG61" s="109" t="s">
        <v>129</v>
      </c>
      <c r="AH61" s="148" t="s">
        <v>337</v>
      </c>
      <c r="AI61" s="111" t="s">
        <v>224</v>
      </c>
      <c r="AJ61" s="112">
        <v>44378</v>
      </c>
      <c r="AK61" s="112">
        <v>44561</v>
      </c>
      <c r="AL61" s="148" t="s">
        <v>338</v>
      </c>
      <c r="AM61" s="111"/>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row>
    <row r="62" spans="1:71" ht="151.5" customHeight="1" x14ac:dyDescent="0.25">
      <c r="A62" s="212"/>
      <c r="B62" s="214"/>
      <c r="C62" s="224"/>
      <c r="D62" s="227"/>
      <c r="E62" s="218"/>
      <c r="F62" s="218"/>
      <c r="G62" s="218"/>
      <c r="H62" s="220"/>
      <c r="I62" s="218"/>
      <c r="J62" s="222"/>
      <c r="K62" s="202"/>
      <c r="L62" s="205"/>
      <c r="M62" s="208"/>
      <c r="N62" s="150"/>
      <c r="O62" s="202"/>
      <c r="P62" s="205"/>
      <c r="Q62" s="210"/>
      <c r="R62" s="100">
        <v>2</v>
      </c>
      <c r="S62" s="101"/>
      <c r="T62" s="102" t="str">
        <f t="shared" ref="T62:T63" si="91">IF(OR(U62="Preventivo",U62="Detectivo"),"Probabilidad",IF(U62="Correctivo","Impacto",""))</f>
        <v>Probabilidad</v>
      </c>
      <c r="U62" s="103" t="s">
        <v>15</v>
      </c>
      <c r="V62" s="103" t="s">
        <v>9</v>
      </c>
      <c r="W62" s="104" t="str">
        <f t="shared" ref="W62:W63" si="92">IF(AND(U62="Preventivo",V62="Automático"),"50%",IF(AND(U62="Preventivo",V62="Manual"),"40%",IF(AND(U62="Detectivo",V62="Automático"),"40%",IF(AND(U62="Detectivo",V62="Manual"),"30%",IF(AND(U62="Correctivo",V62="Automático"),"35%",IF(AND(U62="Correctivo",V62="Manual"),"25%",""))))))</f>
        <v>30%</v>
      </c>
      <c r="X62" s="103" t="s">
        <v>20</v>
      </c>
      <c r="Y62" s="103" t="s">
        <v>23</v>
      </c>
      <c r="Z62" s="103" t="s">
        <v>114</v>
      </c>
      <c r="AA62" s="105">
        <f t="shared" ref="AA62:AA63" si="93">IFERROR(IF(T62="Probabilidad",(L62-(+L62*W62)),IF(T62="Impacto",L62,"")),"")</f>
        <v>0</v>
      </c>
      <c r="AB62" s="106" t="str">
        <f t="shared" ref="AB62:AB63" si="94">IFERROR(IF(AA62="","",IF(AA62&lt;=0.2,"Muy Baja",IF(AA62&lt;=0.4,"Baja",IF(AA62&lt;=0.6,"Media",IF(AA62&lt;=0.8,"Alta","Muy Alta"))))),"")</f>
        <v>Muy Baja</v>
      </c>
      <c r="AC62" s="107">
        <f t="shared" ref="AC62:AC63" si="95">+AA62</f>
        <v>0</v>
      </c>
      <c r="AD62" s="106" t="str">
        <f t="shared" ref="AD62:AD63" si="96">IFERROR(IF(AE62="","",IF(AE62&lt;=0.2,"Leve",IF(AE62&lt;=0.4,"Menor",IF(AE62&lt;=0.6,"Moderado",IF(AE62&lt;=0.8,"Mayor","Catastrófico"))))),"")</f>
        <v>Leve</v>
      </c>
      <c r="AE62" s="107">
        <f t="shared" ref="AE62:AE63" si="97">IFERROR(IF(T62="Impacto",(P62-(+P62*W62)),IF(T62="Probabilidad",P62,"")),"")</f>
        <v>0</v>
      </c>
      <c r="AF62" s="108" t="str">
        <f t="shared" ref="AF62:AF63" si="98">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Bajo</v>
      </c>
      <c r="AG62" s="109"/>
      <c r="AH62" s="148"/>
      <c r="AI62" s="111"/>
      <c r="AJ62" s="112"/>
      <c r="AK62" s="112"/>
      <c r="AL62" s="148"/>
      <c r="AM62" s="111"/>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row>
    <row r="63" spans="1:71" ht="151.5" customHeight="1" x14ac:dyDescent="0.25">
      <c r="A63" s="212"/>
      <c r="B63" s="215"/>
      <c r="C63" s="224"/>
      <c r="D63" s="227"/>
      <c r="E63" s="218"/>
      <c r="F63" s="218"/>
      <c r="G63" s="218"/>
      <c r="H63" s="220"/>
      <c r="I63" s="218"/>
      <c r="J63" s="222"/>
      <c r="K63" s="203"/>
      <c r="L63" s="206"/>
      <c r="M63" s="232"/>
      <c r="N63" s="150"/>
      <c r="O63" s="203"/>
      <c r="P63" s="206"/>
      <c r="Q63" s="211"/>
      <c r="R63" s="100">
        <v>3</v>
      </c>
      <c r="S63" s="101"/>
      <c r="T63" s="102" t="str">
        <f t="shared" si="91"/>
        <v>Probabilidad</v>
      </c>
      <c r="U63" s="103" t="s">
        <v>15</v>
      </c>
      <c r="V63" s="103" t="s">
        <v>9</v>
      </c>
      <c r="W63" s="104" t="str">
        <f t="shared" si="92"/>
        <v>30%</v>
      </c>
      <c r="X63" s="103" t="s">
        <v>20</v>
      </c>
      <c r="Y63" s="103" t="s">
        <v>23</v>
      </c>
      <c r="Z63" s="103" t="s">
        <v>114</v>
      </c>
      <c r="AA63" s="105">
        <f t="shared" si="93"/>
        <v>0</v>
      </c>
      <c r="AB63" s="106" t="str">
        <f t="shared" si="94"/>
        <v>Muy Baja</v>
      </c>
      <c r="AC63" s="107">
        <f t="shared" si="95"/>
        <v>0</v>
      </c>
      <c r="AD63" s="106" t="str">
        <f t="shared" si="96"/>
        <v>Leve</v>
      </c>
      <c r="AE63" s="107">
        <f t="shared" si="97"/>
        <v>0</v>
      </c>
      <c r="AF63" s="108" t="str">
        <f t="shared" si="98"/>
        <v>Bajo</v>
      </c>
      <c r="AG63" s="109"/>
      <c r="AH63" s="148"/>
      <c r="AI63" s="111"/>
      <c r="AJ63" s="112"/>
      <c r="AK63" s="112"/>
      <c r="AL63" s="148"/>
      <c r="AM63" s="111"/>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row>
    <row r="64" spans="1:71" ht="151.5" customHeight="1" x14ac:dyDescent="0.25">
      <c r="A64" s="212">
        <v>20</v>
      </c>
      <c r="B64" s="213" t="s">
        <v>330</v>
      </c>
      <c r="C64" s="223" t="s">
        <v>331</v>
      </c>
      <c r="D64" s="223" t="s">
        <v>332</v>
      </c>
      <c r="E64" s="217" t="s">
        <v>127</v>
      </c>
      <c r="F64" s="225" t="s">
        <v>340</v>
      </c>
      <c r="G64" s="217" t="s">
        <v>341</v>
      </c>
      <c r="H64" s="219" t="s">
        <v>339</v>
      </c>
      <c r="I64" s="217" t="s">
        <v>119</v>
      </c>
      <c r="J64" s="221">
        <v>246</v>
      </c>
      <c r="K64" s="201" t="str">
        <f>IF(J64&lt;=0,"",IF(J64&lt;=2,"Muy Baja",IF(J64&lt;=24,"Baja",IF(J64&lt;=500,"Media",IF(J64&lt;=5000,"Alta","Muy Alta")))))</f>
        <v>Media</v>
      </c>
      <c r="L64" s="204">
        <f>IF(K64="","",IF(K64="Muy Baja",0.2,IF(K64="Baja",0.4,IF(K64="Media",0.6,IF(K64="Alta",0.8,IF(K64="Muy Alta",1,))))))</f>
        <v>0.6</v>
      </c>
      <c r="M64" s="207" t="s">
        <v>147</v>
      </c>
      <c r="N64" s="149" t="str">
        <f>IF(NOT(ISERROR(MATCH(M64,'Tabla Impacto'!$B$221:$B$223,0))),'Tabla Impacto'!$F$223&amp;"Por favor no seleccionar los criterios de impacto(Afectación Económica o presupuestal y Pérdida Reputacional)",M64)</f>
        <v xml:space="preserve">     El riesgo afecta la imagen de de la entidad con efecto publicitario sostenido a nivel de sector administrativo, nivel departamental o municipal</v>
      </c>
      <c r="O64" s="201" t="str">
        <f>IF(OR(N64='Tabla Impacto'!$C$11,N64='Tabla Impacto'!$D$11),"Leve",IF(OR(N64='Tabla Impacto'!$C$12,N64='Tabla Impacto'!$D$12),"Menor",IF(OR(N64='Tabla Impacto'!$C$13,N64='Tabla Impacto'!$D$13),"Moderado",IF(OR(N64='Tabla Impacto'!$C$14,N64='Tabla Impacto'!$D$14),"Mayor",IF(OR(N64='Tabla Impacto'!$C$15,N64='Tabla Impacto'!$D$15),"Catastrófico","")))))</f>
        <v>Mayor</v>
      </c>
      <c r="P64" s="204">
        <f>IF(O64="","",IF(O64="Leve",0.2,IF(O64="Menor",0.4,IF(O64="Moderado",0.6,IF(O64="Mayor",0.8,IF(O64="Catastrófico",1,))))))</f>
        <v>0.8</v>
      </c>
      <c r="Q64" s="209"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Alto</v>
      </c>
      <c r="R64" s="100">
        <v>1</v>
      </c>
      <c r="S64" s="101" t="s">
        <v>342</v>
      </c>
      <c r="T64" s="102" t="str">
        <f t="shared" si="27"/>
        <v>Probabilidad</v>
      </c>
      <c r="U64" s="103" t="s">
        <v>14</v>
      </c>
      <c r="V64" s="103" t="s">
        <v>9</v>
      </c>
      <c r="W64" s="104" t="str">
        <f t="shared" si="28"/>
        <v>40%</v>
      </c>
      <c r="X64" s="103" t="s">
        <v>20</v>
      </c>
      <c r="Y64" s="103" t="s">
        <v>22</v>
      </c>
      <c r="Z64" s="103" t="s">
        <v>113</v>
      </c>
      <c r="AA64" s="105">
        <f t="shared" si="33"/>
        <v>0.36</v>
      </c>
      <c r="AB64" s="106" t="str">
        <f t="shared" si="29"/>
        <v>Baja</v>
      </c>
      <c r="AC64" s="107">
        <f t="shared" si="30"/>
        <v>0.36</v>
      </c>
      <c r="AD64" s="106" t="str">
        <f t="shared" si="31"/>
        <v>Mayor</v>
      </c>
      <c r="AE64" s="107">
        <f t="shared" si="34"/>
        <v>0.8</v>
      </c>
      <c r="AF64" s="108" t="str">
        <f t="shared" si="32"/>
        <v>Alto</v>
      </c>
      <c r="AG64" s="109" t="s">
        <v>129</v>
      </c>
      <c r="AH64" s="148" t="s">
        <v>343</v>
      </c>
      <c r="AI64" s="111" t="s">
        <v>315</v>
      </c>
      <c r="AJ64" s="112">
        <v>44440</v>
      </c>
      <c r="AK64" s="112">
        <v>44561</v>
      </c>
      <c r="AL64" s="148" t="s">
        <v>344</v>
      </c>
      <c r="AM64" s="111"/>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row>
    <row r="65" spans="1:71" ht="151.5" customHeight="1" x14ac:dyDescent="0.25">
      <c r="A65" s="212"/>
      <c r="B65" s="214"/>
      <c r="C65" s="224"/>
      <c r="D65" s="227"/>
      <c r="E65" s="218"/>
      <c r="F65" s="218"/>
      <c r="G65" s="218"/>
      <c r="H65" s="220"/>
      <c r="I65" s="218"/>
      <c r="J65" s="222"/>
      <c r="K65" s="202"/>
      <c r="L65" s="205"/>
      <c r="M65" s="208"/>
      <c r="N65" s="150"/>
      <c r="O65" s="202"/>
      <c r="P65" s="205"/>
      <c r="Q65" s="210"/>
      <c r="R65" s="100">
        <v>2</v>
      </c>
      <c r="S65" s="101"/>
      <c r="T65" s="102" t="str">
        <f t="shared" ref="T65:T66" si="99">IF(OR(U65="Preventivo",U65="Detectivo"),"Probabilidad",IF(U65="Correctivo","Impacto",""))</f>
        <v>Probabilidad</v>
      </c>
      <c r="U65" s="103" t="s">
        <v>15</v>
      </c>
      <c r="V65" s="103" t="s">
        <v>9</v>
      </c>
      <c r="W65" s="104" t="str">
        <f t="shared" ref="W65:W66" si="100">IF(AND(U65="Preventivo",V65="Automático"),"50%",IF(AND(U65="Preventivo",V65="Manual"),"40%",IF(AND(U65="Detectivo",V65="Automático"),"40%",IF(AND(U65="Detectivo",V65="Manual"),"30%",IF(AND(U65="Correctivo",V65="Automático"),"35%",IF(AND(U65="Correctivo",V65="Manual"),"25%",""))))))</f>
        <v>30%</v>
      </c>
      <c r="X65" s="103" t="s">
        <v>20</v>
      </c>
      <c r="Y65" s="103" t="s">
        <v>23</v>
      </c>
      <c r="Z65" s="103" t="s">
        <v>114</v>
      </c>
      <c r="AA65" s="105">
        <f t="shared" ref="AA65:AA66" si="101">IFERROR(IF(T65="Probabilidad",(L65-(+L65*W65)),IF(T65="Impacto",L65,"")),"")</f>
        <v>0</v>
      </c>
      <c r="AB65" s="106" t="str">
        <f t="shared" ref="AB65:AB66" si="102">IFERROR(IF(AA65="","",IF(AA65&lt;=0.2,"Muy Baja",IF(AA65&lt;=0.4,"Baja",IF(AA65&lt;=0.6,"Media",IF(AA65&lt;=0.8,"Alta","Muy Alta"))))),"")</f>
        <v>Muy Baja</v>
      </c>
      <c r="AC65" s="107">
        <f t="shared" ref="AC65:AC66" si="103">+AA65</f>
        <v>0</v>
      </c>
      <c r="AD65" s="106" t="str">
        <f t="shared" ref="AD65:AD66" si="104">IFERROR(IF(AE65="","",IF(AE65&lt;=0.2,"Leve",IF(AE65&lt;=0.4,"Menor",IF(AE65&lt;=0.6,"Moderado",IF(AE65&lt;=0.8,"Mayor","Catastrófico"))))),"")</f>
        <v>Leve</v>
      </c>
      <c r="AE65" s="107">
        <f t="shared" ref="AE65:AE66" si="105">IFERROR(IF(T65="Impacto",(P65-(+P65*W65)),IF(T65="Probabilidad",P65,"")),"")</f>
        <v>0</v>
      </c>
      <c r="AF65" s="108" t="str">
        <f t="shared" ref="AF65:AF66" si="106">IFERROR(IF(OR(AND(AB65="Muy Baja",AD65="Leve"),AND(AB65="Muy Baja",AD65="Menor"),AND(AB65="Baja",AD65="Leve")),"Bajo",IF(OR(AND(AB65="Muy baja",AD65="Moderado"),AND(AB65="Baja",AD65="Menor"),AND(AB65="Baja",AD65="Moderado"),AND(AB65="Media",AD65="Leve"),AND(AB65="Media",AD65="Menor"),AND(AB65="Media",AD65="Moderado"),AND(AB65="Alta",AD65="Leve"),AND(AB65="Alta",AD65="Menor")),"Moderado",IF(OR(AND(AB65="Muy Baja",AD65="Mayor"),AND(AB65="Baja",AD65="Mayor"),AND(AB65="Media",AD65="Mayor"),AND(AB65="Alta",AD65="Moderado"),AND(AB65="Alta",AD65="Mayor"),AND(AB65="Muy Alta",AD65="Leve"),AND(AB65="Muy Alta",AD65="Menor"),AND(AB65="Muy Alta",AD65="Moderado"),AND(AB65="Muy Alta",AD65="Mayor")),"Alto",IF(OR(AND(AB65="Muy Baja",AD65="Catastrófico"),AND(AB65="Baja",AD65="Catastrófico"),AND(AB65="Media",AD65="Catastrófico"),AND(AB65="Alta",AD65="Catastrófico"),AND(AB65="Muy Alta",AD65="Catastrófico")),"Extremo","")))),"")</f>
        <v>Bajo</v>
      </c>
      <c r="AG65" s="109"/>
      <c r="AH65" s="148"/>
      <c r="AI65" s="111"/>
      <c r="AJ65" s="112"/>
      <c r="AK65" s="112"/>
      <c r="AL65" s="148"/>
      <c r="AM65" s="111"/>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row>
    <row r="66" spans="1:71" ht="151.5" customHeight="1" x14ac:dyDescent="0.25">
      <c r="A66" s="212"/>
      <c r="B66" s="215"/>
      <c r="C66" s="224"/>
      <c r="D66" s="227"/>
      <c r="E66" s="218"/>
      <c r="F66" s="218"/>
      <c r="G66" s="218"/>
      <c r="H66" s="220"/>
      <c r="I66" s="218"/>
      <c r="J66" s="222"/>
      <c r="K66" s="203"/>
      <c r="L66" s="206"/>
      <c r="M66" s="208"/>
      <c r="N66" s="150"/>
      <c r="O66" s="203"/>
      <c r="P66" s="206"/>
      <c r="Q66" s="211"/>
      <c r="R66" s="100">
        <v>3</v>
      </c>
      <c r="S66" s="101"/>
      <c r="T66" s="102" t="str">
        <f t="shared" si="99"/>
        <v>Probabilidad</v>
      </c>
      <c r="U66" s="103" t="s">
        <v>15</v>
      </c>
      <c r="V66" s="103" t="s">
        <v>9</v>
      </c>
      <c r="W66" s="104" t="str">
        <f t="shared" si="100"/>
        <v>30%</v>
      </c>
      <c r="X66" s="103" t="s">
        <v>20</v>
      </c>
      <c r="Y66" s="103" t="s">
        <v>23</v>
      </c>
      <c r="Z66" s="103" t="s">
        <v>114</v>
      </c>
      <c r="AA66" s="105">
        <f t="shared" si="101"/>
        <v>0</v>
      </c>
      <c r="AB66" s="106" t="str">
        <f t="shared" si="102"/>
        <v>Muy Baja</v>
      </c>
      <c r="AC66" s="107">
        <f t="shared" si="103"/>
        <v>0</v>
      </c>
      <c r="AD66" s="106" t="str">
        <f t="shared" si="104"/>
        <v>Leve</v>
      </c>
      <c r="AE66" s="107">
        <f t="shared" si="105"/>
        <v>0</v>
      </c>
      <c r="AF66" s="108" t="str">
        <f t="shared" si="106"/>
        <v>Bajo</v>
      </c>
      <c r="AG66" s="109"/>
      <c r="AH66" s="148"/>
      <c r="AI66" s="111"/>
      <c r="AJ66" s="112"/>
      <c r="AK66" s="112"/>
      <c r="AL66" s="148"/>
      <c r="AM66" s="111"/>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row>
    <row r="67" spans="1:71" ht="151.5" customHeight="1" x14ac:dyDescent="0.25">
      <c r="A67" s="212">
        <v>21</v>
      </c>
      <c r="B67" s="213" t="s">
        <v>346</v>
      </c>
      <c r="C67" s="223" t="s">
        <v>547</v>
      </c>
      <c r="D67" s="223" t="s">
        <v>347</v>
      </c>
      <c r="E67" s="217" t="s">
        <v>127</v>
      </c>
      <c r="F67" s="225" t="s">
        <v>505</v>
      </c>
      <c r="G67" s="225" t="s">
        <v>348</v>
      </c>
      <c r="H67" s="219" t="s">
        <v>345</v>
      </c>
      <c r="I67" s="217" t="s">
        <v>465</v>
      </c>
      <c r="J67" s="221">
        <v>4</v>
      </c>
      <c r="K67" s="201" t="str">
        <f>IF(J67&lt;=0,"",IF(J67&lt;=2,"Muy Baja",IF(J67&lt;=24,"Baja",IF(J67&lt;=500,"Media",IF(J67&lt;=5000,"Alta","Muy Alta")))))</f>
        <v>Baja</v>
      </c>
      <c r="L67" s="204">
        <f>IF(K67="","",IF(K67="Muy Baja",0.2,IF(K67="Baja",0.4,IF(K67="Media",0.6,IF(K67="Alta",0.8,IF(K67="Muy Alta",1,))))))</f>
        <v>0.4</v>
      </c>
      <c r="M67" s="207" t="s">
        <v>137</v>
      </c>
      <c r="N67" s="149" t="str">
        <f>IF(NOT(ISERROR(MATCH(M67,'Tabla Impacto'!$B$221:$B$223,0))),'Tabla Impacto'!$F$223&amp;"Por favor no seleccionar los criterios de impacto(Afectación Económica o presupuestal y Pérdida Reputacional)",M67)</f>
        <v xml:space="preserve">     Afectación menor a 10 SMLMV .</v>
      </c>
      <c r="O67" s="201" t="str">
        <f>IF(OR(N67='Tabla Impacto'!$C$11,N67='Tabla Impacto'!$D$11),"Leve",IF(OR(N67='Tabla Impacto'!$C$12,N67='Tabla Impacto'!$D$12),"Menor",IF(OR(N67='Tabla Impacto'!$C$13,N67='Tabla Impacto'!$D$13),"Moderado",IF(OR(N67='Tabla Impacto'!$C$14,N67='Tabla Impacto'!$D$14),"Mayor",IF(OR(N67='Tabla Impacto'!$C$15,N67='Tabla Impacto'!$D$15),"Catastrófico","")))))</f>
        <v>Leve</v>
      </c>
      <c r="P67" s="204">
        <f>IF(O67="","",IF(O67="Leve",0.2,IF(O67="Menor",0.4,IF(O67="Moderado",0.6,IF(O67="Mayor",0.8,IF(O67="Catastrófico",1,))))))</f>
        <v>0.2</v>
      </c>
      <c r="Q67" s="209"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Bajo</v>
      </c>
      <c r="R67" s="100">
        <v>1</v>
      </c>
      <c r="S67" s="101" t="s">
        <v>506</v>
      </c>
      <c r="T67" s="102" t="str">
        <f t="shared" si="27"/>
        <v>Probabilidad</v>
      </c>
      <c r="U67" s="103" t="s">
        <v>14</v>
      </c>
      <c r="V67" s="103" t="s">
        <v>9</v>
      </c>
      <c r="W67" s="104" t="str">
        <f t="shared" si="28"/>
        <v>40%</v>
      </c>
      <c r="X67" s="103" t="s">
        <v>19</v>
      </c>
      <c r="Y67" s="103" t="s">
        <v>22</v>
      </c>
      <c r="Z67" s="103" t="s">
        <v>113</v>
      </c>
      <c r="AA67" s="105">
        <f t="shared" si="33"/>
        <v>0.24</v>
      </c>
      <c r="AB67" s="106" t="str">
        <f t="shared" si="29"/>
        <v>Baja</v>
      </c>
      <c r="AC67" s="107">
        <f t="shared" si="30"/>
        <v>0.24</v>
      </c>
      <c r="AD67" s="106" t="str">
        <f t="shared" si="31"/>
        <v>Leve</v>
      </c>
      <c r="AE67" s="107">
        <f t="shared" si="34"/>
        <v>0.2</v>
      </c>
      <c r="AF67" s="108" t="str">
        <f t="shared" si="32"/>
        <v>Bajo</v>
      </c>
      <c r="AG67" s="109" t="s">
        <v>129</v>
      </c>
      <c r="AH67" s="148" t="s">
        <v>507</v>
      </c>
      <c r="AI67" s="111" t="s">
        <v>224</v>
      </c>
      <c r="AJ67" s="134" t="s">
        <v>349</v>
      </c>
      <c r="AK67" s="112" t="s">
        <v>350</v>
      </c>
      <c r="AL67" s="156" t="s">
        <v>351</v>
      </c>
      <c r="AM67" s="111"/>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row>
    <row r="68" spans="1:71" ht="151.5" customHeight="1" x14ac:dyDescent="0.25">
      <c r="A68" s="212"/>
      <c r="B68" s="214"/>
      <c r="C68" s="227"/>
      <c r="D68" s="227"/>
      <c r="E68" s="218"/>
      <c r="F68" s="218"/>
      <c r="G68" s="218"/>
      <c r="H68" s="220"/>
      <c r="I68" s="218"/>
      <c r="J68" s="222"/>
      <c r="K68" s="202"/>
      <c r="L68" s="205"/>
      <c r="M68" s="208"/>
      <c r="N68" s="150"/>
      <c r="O68" s="202"/>
      <c r="P68" s="205"/>
      <c r="Q68" s="210"/>
      <c r="R68" s="100">
        <v>2</v>
      </c>
      <c r="S68" s="101" t="s">
        <v>466</v>
      </c>
      <c r="T68" s="102" t="str">
        <f t="shared" ref="T68:T69" si="107">IF(OR(U68="Preventivo",U68="Detectivo"),"Probabilidad",IF(U68="Correctivo","Impacto",""))</f>
        <v>Probabilidad</v>
      </c>
      <c r="U68" s="103" t="s">
        <v>14</v>
      </c>
      <c r="V68" s="103" t="s">
        <v>9</v>
      </c>
      <c r="W68" s="104" t="str">
        <f t="shared" ref="W68:W69" si="108">IF(AND(U68="Preventivo",V68="Automático"),"50%",IF(AND(U68="Preventivo",V68="Manual"),"40%",IF(AND(U68="Detectivo",V68="Automático"),"40%",IF(AND(U68="Detectivo",V68="Manual"),"30%",IF(AND(U68="Correctivo",V68="Automático"),"35%",IF(AND(U68="Correctivo",V68="Manual"),"25%",""))))))</f>
        <v>40%</v>
      </c>
      <c r="X68" s="103" t="s">
        <v>19</v>
      </c>
      <c r="Y68" s="103" t="s">
        <v>22</v>
      </c>
      <c r="Z68" s="103" t="s">
        <v>113</v>
      </c>
      <c r="AA68" s="105">
        <f t="shared" ref="AA68:AA69" si="109">IFERROR(IF(T68="Probabilidad",(L68-(+L68*W68)),IF(T68="Impacto",L68,"")),"")</f>
        <v>0</v>
      </c>
      <c r="AB68" s="106" t="str">
        <f t="shared" ref="AB68:AB69" si="110">IFERROR(IF(AA68="","",IF(AA68&lt;=0.2,"Muy Baja",IF(AA68&lt;=0.4,"Baja",IF(AA68&lt;=0.6,"Media",IF(AA68&lt;=0.8,"Alta","Muy Alta"))))),"")</f>
        <v>Muy Baja</v>
      </c>
      <c r="AC68" s="107">
        <f t="shared" ref="AC68:AC69" si="111">+AA68</f>
        <v>0</v>
      </c>
      <c r="AD68" s="106" t="str">
        <f t="shared" ref="AD68:AD69" si="112">IFERROR(IF(AE68="","",IF(AE68&lt;=0.2,"Leve",IF(AE68&lt;=0.4,"Menor",IF(AE68&lt;=0.6,"Moderado",IF(AE68&lt;=0.8,"Mayor","Catastrófico"))))),"")</f>
        <v>Leve</v>
      </c>
      <c r="AE68" s="107">
        <f t="shared" ref="AE68:AE69" si="113">IFERROR(IF(T68="Impacto",(P68-(+P68*W68)),IF(T68="Probabilidad",P68,"")),"")</f>
        <v>0</v>
      </c>
      <c r="AF68" s="108" t="str">
        <f t="shared" ref="AF68:AF69" si="114">IFERROR(IF(OR(AND(AB68="Muy Baja",AD68="Leve"),AND(AB68="Muy Baja",AD68="Menor"),AND(AB68="Baja",AD68="Leve")),"Bajo",IF(OR(AND(AB68="Muy baja",AD68="Moderado"),AND(AB68="Baja",AD68="Menor"),AND(AB68="Baja",AD68="Moderado"),AND(AB68="Media",AD68="Leve"),AND(AB68="Media",AD68="Menor"),AND(AB68="Media",AD68="Moderado"),AND(AB68="Alta",AD68="Leve"),AND(AB68="Alta",AD68="Menor")),"Moderado",IF(OR(AND(AB68="Muy Baja",AD68="Mayor"),AND(AB68="Baja",AD68="Mayor"),AND(AB68="Media",AD68="Mayor"),AND(AB68="Alta",AD68="Moderado"),AND(AB68="Alta",AD68="Mayor"),AND(AB68="Muy Alta",AD68="Leve"),AND(AB68="Muy Alta",AD68="Menor"),AND(AB68="Muy Alta",AD68="Moderado"),AND(AB68="Muy Alta",AD68="Mayor")),"Alto",IF(OR(AND(AB68="Muy Baja",AD68="Catastrófico"),AND(AB68="Baja",AD68="Catastrófico"),AND(AB68="Media",AD68="Catastrófico"),AND(AB68="Alta",AD68="Catastrófico"),AND(AB68="Muy Alta",AD68="Catastrófico")),"Extremo","")))),"")</f>
        <v>Bajo</v>
      </c>
      <c r="AG68" s="109" t="s">
        <v>129</v>
      </c>
      <c r="AH68" s="148" t="s">
        <v>467</v>
      </c>
      <c r="AI68" s="111" t="s">
        <v>352</v>
      </c>
      <c r="AJ68" s="112" t="s">
        <v>349</v>
      </c>
      <c r="AK68" s="112" t="s">
        <v>350</v>
      </c>
      <c r="AL68" s="156" t="s">
        <v>508</v>
      </c>
      <c r="AM68" s="111"/>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row>
    <row r="69" spans="1:71" ht="151.5" customHeight="1" x14ac:dyDescent="0.25">
      <c r="A69" s="212"/>
      <c r="B69" s="215"/>
      <c r="C69" s="227"/>
      <c r="D69" s="227"/>
      <c r="E69" s="218"/>
      <c r="F69" s="218"/>
      <c r="G69" s="218"/>
      <c r="H69" s="220"/>
      <c r="I69" s="218"/>
      <c r="J69" s="222"/>
      <c r="K69" s="203"/>
      <c r="L69" s="206"/>
      <c r="M69" s="208"/>
      <c r="N69" s="150"/>
      <c r="O69" s="203"/>
      <c r="P69" s="206"/>
      <c r="Q69" s="211"/>
      <c r="R69" s="100">
        <v>3</v>
      </c>
      <c r="S69" s="101"/>
      <c r="T69" s="102" t="str">
        <f t="shared" si="107"/>
        <v>Probabilidad</v>
      </c>
      <c r="U69" s="103" t="s">
        <v>15</v>
      </c>
      <c r="V69" s="103" t="s">
        <v>9</v>
      </c>
      <c r="W69" s="104" t="str">
        <f t="shared" si="108"/>
        <v>30%</v>
      </c>
      <c r="X69" s="103" t="s">
        <v>20</v>
      </c>
      <c r="Y69" s="103" t="s">
        <v>23</v>
      </c>
      <c r="Z69" s="103" t="s">
        <v>114</v>
      </c>
      <c r="AA69" s="105">
        <f t="shared" si="109"/>
        <v>0</v>
      </c>
      <c r="AB69" s="106" t="str">
        <f t="shared" si="110"/>
        <v>Muy Baja</v>
      </c>
      <c r="AC69" s="107">
        <f t="shared" si="111"/>
        <v>0</v>
      </c>
      <c r="AD69" s="106" t="str">
        <f t="shared" si="112"/>
        <v>Leve</v>
      </c>
      <c r="AE69" s="107">
        <f t="shared" si="113"/>
        <v>0</v>
      </c>
      <c r="AF69" s="108" t="str">
        <f t="shared" si="114"/>
        <v>Bajo</v>
      </c>
      <c r="AG69" s="109"/>
      <c r="AH69" s="148"/>
      <c r="AI69" s="111"/>
      <c r="AJ69" s="112"/>
      <c r="AK69" s="112"/>
      <c r="AL69" s="148"/>
      <c r="AM69" s="111"/>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row>
    <row r="70" spans="1:71" ht="151.5" customHeight="1" x14ac:dyDescent="0.25">
      <c r="A70" s="212">
        <v>22</v>
      </c>
      <c r="B70" s="213" t="s">
        <v>346</v>
      </c>
      <c r="C70" s="223" t="s">
        <v>547</v>
      </c>
      <c r="D70" s="223" t="s">
        <v>347</v>
      </c>
      <c r="E70" s="217" t="s">
        <v>125</v>
      </c>
      <c r="F70" s="217" t="s">
        <v>468</v>
      </c>
      <c r="G70" s="217" t="s">
        <v>354</v>
      </c>
      <c r="H70" s="219" t="s">
        <v>353</v>
      </c>
      <c r="I70" s="217" t="s">
        <v>462</v>
      </c>
      <c r="J70" s="221">
        <v>12</v>
      </c>
      <c r="K70" s="201" t="str">
        <f>IF(J70&lt;=0,"",IF(J70&lt;=2,"Muy Baja",IF(J70&lt;=24,"Baja",IF(J70&lt;=500,"Media",IF(J70&lt;=5000,"Alta","Muy Alta")))))</f>
        <v>Baja</v>
      </c>
      <c r="L70" s="204">
        <f>IF(K70="","",IF(K70="Muy Baja",0.2,IF(K70="Baja",0.4,IF(K70="Media",0.6,IF(K70="Alta",0.8,IF(K70="Muy Alta",1,))))))</f>
        <v>0.4</v>
      </c>
      <c r="M70" s="207" t="s">
        <v>145</v>
      </c>
      <c r="N70" s="149" t="str">
        <f>IF(NOT(ISERROR(MATCH(M70,'Tabla Impacto'!$B$221:$B$223,0))),'Tabla Impacto'!$F$223&amp;"Por favor no seleccionar los criterios de impacto(Afectación Económica o presupuestal y Pérdida Reputacional)",M70)</f>
        <v xml:space="preserve">     El riesgo afecta la imagen de la entidad internamente, de conocimiento general, nivel interno, de junta dircetiva y accionistas y/o de provedores</v>
      </c>
      <c r="O70" s="201" t="str">
        <f>IF(OR(N70='Tabla Impacto'!$C$11,N70='Tabla Impacto'!$D$11),"Leve",IF(OR(N70='Tabla Impacto'!$C$12,N70='Tabla Impacto'!$D$12),"Menor",IF(OR(N70='Tabla Impacto'!$C$13,N70='Tabla Impacto'!$D$13),"Moderado",IF(OR(N70='Tabla Impacto'!$C$14,N70='Tabla Impacto'!$D$14),"Mayor",IF(OR(N70='Tabla Impacto'!$C$15,N70='Tabla Impacto'!$D$15),"Catastrófico","")))))</f>
        <v>Menor</v>
      </c>
      <c r="P70" s="204">
        <f>IF(O70="","",IF(O70="Leve",0.2,IF(O70="Menor",0.4,IF(O70="Moderado",0.6,IF(O70="Mayor",0.8,IF(O70="Catastrófico",1,))))))</f>
        <v>0.4</v>
      </c>
      <c r="Q70" s="209" t="str">
        <f>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Moderado</v>
      </c>
      <c r="R70" s="100">
        <v>1</v>
      </c>
      <c r="S70" s="101" t="s">
        <v>355</v>
      </c>
      <c r="T70" s="102" t="str">
        <f t="shared" si="27"/>
        <v>Probabilidad</v>
      </c>
      <c r="U70" s="103" t="s">
        <v>15</v>
      </c>
      <c r="V70" s="103" t="s">
        <v>9</v>
      </c>
      <c r="W70" s="104" t="str">
        <f t="shared" si="28"/>
        <v>30%</v>
      </c>
      <c r="X70" s="103" t="s">
        <v>20</v>
      </c>
      <c r="Y70" s="103" t="s">
        <v>23</v>
      </c>
      <c r="Z70" s="103" t="s">
        <v>114</v>
      </c>
      <c r="AA70" s="105">
        <f t="shared" si="33"/>
        <v>0.28000000000000003</v>
      </c>
      <c r="AB70" s="106" t="str">
        <f t="shared" si="29"/>
        <v>Baja</v>
      </c>
      <c r="AC70" s="107">
        <f t="shared" si="30"/>
        <v>0.28000000000000003</v>
      </c>
      <c r="AD70" s="106" t="str">
        <f t="shared" si="31"/>
        <v>Menor</v>
      </c>
      <c r="AE70" s="107">
        <f t="shared" si="34"/>
        <v>0.4</v>
      </c>
      <c r="AF70" s="108" t="str">
        <f t="shared" si="32"/>
        <v>Moderado</v>
      </c>
      <c r="AG70" s="109" t="s">
        <v>129</v>
      </c>
      <c r="AH70" s="148" t="s">
        <v>357</v>
      </c>
      <c r="AI70" s="111" t="s">
        <v>358</v>
      </c>
      <c r="AJ70" s="112" t="s">
        <v>359</v>
      </c>
      <c r="AK70" s="112" t="s">
        <v>350</v>
      </c>
      <c r="AL70" s="148" t="s">
        <v>360</v>
      </c>
      <c r="AM70" s="111"/>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row>
    <row r="71" spans="1:71" ht="151.5" customHeight="1" x14ac:dyDescent="0.25">
      <c r="A71" s="212"/>
      <c r="B71" s="214"/>
      <c r="C71" s="227"/>
      <c r="D71" s="227"/>
      <c r="E71" s="218"/>
      <c r="F71" s="218"/>
      <c r="G71" s="218"/>
      <c r="H71" s="220"/>
      <c r="I71" s="218"/>
      <c r="J71" s="222"/>
      <c r="K71" s="202"/>
      <c r="L71" s="205"/>
      <c r="M71" s="208"/>
      <c r="N71" s="150"/>
      <c r="O71" s="202"/>
      <c r="P71" s="205"/>
      <c r="Q71" s="210"/>
      <c r="R71" s="100">
        <v>2</v>
      </c>
      <c r="S71" s="101" t="s">
        <v>469</v>
      </c>
      <c r="T71" s="102" t="str">
        <f t="shared" ref="T71:T76" si="115">IF(OR(U71="Preventivo",U71="Detectivo"),"Probabilidad",IF(U71="Correctivo","Impacto",""))</f>
        <v>Probabilidad</v>
      </c>
      <c r="U71" s="103" t="s">
        <v>15</v>
      </c>
      <c r="V71" s="103" t="s">
        <v>9</v>
      </c>
      <c r="W71" s="104" t="str">
        <f t="shared" ref="W71:W76" si="116">IF(AND(U71="Preventivo",V71="Automático"),"50%",IF(AND(U71="Preventivo",V71="Manual"),"40%",IF(AND(U71="Detectivo",V71="Automático"),"40%",IF(AND(U71="Detectivo",V71="Manual"),"30%",IF(AND(U71="Correctivo",V71="Automático"),"35%",IF(AND(U71="Correctivo",V71="Manual"),"25%",""))))))</f>
        <v>30%</v>
      </c>
      <c r="X71" s="103" t="s">
        <v>19</v>
      </c>
      <c r="Y71" s="103" t="s">
        <v>22</v>
      </c>
      <c r="Z71" s="103" t="s">
        <v>113</v>
      </c>
      <c r="AA71" s="105">
        <f t="shared" ref="AA71:AA76" si="117">IFERROR(IF(T71="Probabilidad",(L71-(+L71*W71)),IF(T71="Impacto",L71,"")),"")</f>
        <v>0</v>
      </c>
      <c r="AB71" s="106" t="str">
        <f t="shared" ref="AB71:AB76" si="118">IFERROR(IF(AA71="","",IF(AA71&lt;=0.2,"Muy Baja",IF(AA71&lt;=0.4,"Baja",IF(AA71&lt;=0.6,"Media",IF(AA71&lt;=0.8,"Alta","Muy Alta"))))),"")</f>
        <v>Muy Baja</v>
      </c>
      <c r="AC71" s="107">
        <f t="shared" ref="AC71:AC76" si="119">+AA71</f>
        <v>0</v>
      </c>
      <c r="AD71" s="106" t="str">
        <f t="shared" ref="AD71:AD76" si="120">IFERROR(IF(AE71="","",IF(AE71&lt;=0.2,"Leve",IF(AE71&lt;=0.4,"Menor",IF(AE71&lt;=0.6,"Moderado",IF(AE71&lt;=0.8,"Mayor","Catastrófico"))))),"")</f>
        <v>Leve</v>
      </c>
      <c r="AE71" s="107">
        <f t="shared" ref="AE71:AE76" si="121">IFERROR(IF(T71="Impacto",(P71-(+P71*W71)),IF(T71="Probabilidad",P71,"")),"")</f>
        <v>0</v>
      </c>
      <c r="AF71" s="108" t="str">
        <f t="shared" ref="AF71:AF76" si="122">IFERROR(IF(OR(AND(AB71="Muy Baja",AD71="Leve"),AND(AB71="Muy Baja",AD71="Menor"),AND(AB71="Baja",AD71="Leve")),"Bajo",IF(OR(AND(AB71="Muy baja",AD71="Moderado"),AND(AB71="Baja",AD71="Menor"),AND(AB71="Baja",AD71="Moderado"),AND(AB71="Media",AD71="Leve"),AND(AB71="Media",AD71="Menor"),AND(AB71="Media",AD71="Moderado"),AND(AB71="Alta",AD71="Leve"),AND(AB71="Alta",AD71="Menor")),"Moderado",IF(OR(AND(AB71="Muy Baja",AD71="Mayor"),AND(AB71="Baja",AD71="Mayor"),AND(AB71="Media",AD71="Mayor"),AND(AB71="Alta",AD71="Moderado"),AND(AB71="Alta",AD71="Mayor"),AND(AB71="Muy Alta",AD71="Leve"),AND(AB71="Muy Alta",AD71="Menor"),AND(AB71="Muy Alta",AD71="Moderado"),AND(AB71="Muy Alta",AD71="Mayor")),"Alto",IF(OR(AND(AB71="Muy Baja",AD71="Catastrófico"),AND(AB71="Baja",AD71="Catastrófico"),AND(AB71="Media",AD71="Catastrófico"),AND(AB71="Alta",AD71="Catastrófico"),AND(AB71="Muy Alta",AD71="Catastrófico")),"Extremo","")))),"")</f>
        <v>Bajo</v>
      </c>
      <c r="AG71" s="109" t="s">
        <v>129</v>
      </c>
      <c r="AH71" s="148" t="s">
        <v>470</v>
      </c>
      <c r="AI71" s="111" t="s">
        <v>358</v>
      </c>
      <c r="AJ71" s="112" t="s">
        <v>359</v>
      </c>
      <c r="AK71" s="112" t="s">
        <v>350</v>
      </c>
      <c r="AL71" s="148" t="s">
        <v>509</v>
      </c>
      <c r="AM71" s="111"/>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row>
    <row r="72" spans="1:71" ht="151.5" customHeight="1" x14ac:dyDescent="0.25">
      <c r="A72" s="212"/>
      <c r="B72" s="215"/>
      <c r="C72" s="227"/>
      <c r="D72" s="227"/>
      <c r="E72" s="218"/>
      <c r="F72" s="218"/>
      <c r="G72" s="218"/>
      <c r="H72" s="220"/>
      <c r="I72" s="218"/>
      <c r="J72" s="222"/>
      <c r="K72" s="203"/>
      <c r="L72" s="206"/>
      <c r="M72" s="208"/>
      <c r="N72" s="150"/>
      <c r="O72" s="203"/>
      <c r="P72" s="206"/>
      <c r="Q72" s="211"/>
      <c r="R72" s="100">
        <v>3</v>
      </c>
      <c r="S72" s="151" t="s">
        <v>356</v>
      </c>
      <c r="T72" s="102" t="str">
        <f t="shared" si="115"/>
        <v>Probabilidad</v>
      </c>
      <c r="U72" s="103" t="s">
        <v>15</v>
      </c>
      <c r="V72" s="103" t="s">
        <v>9</v>
      </c>
      <c r="W72" s="104" t="str">
        <f t="shared" si="116"/>
        <v>30%</v>
      </c>
      <c r="X72" s="103" t="s">
        <v>19</v>
      </c>
      <c r="Y72" s="103" t="s">
        <v>22</v>
      </c>
      <c r="Z72" s="103" t="s">
        <v>113</v>
      </c>
      <c r="AA72" s="105">
        <f t="shared" si="117"/>
        <v>0</v>
      </c>
      <c r="AB72" s="106" t="str">
        <f t="shared" si="118"/>
        <v>Muy Baja</v>
      </c>
      <c r="AC72" s="107">
        <f t="shared" si="119"/>
        <v>0</v>
      </c>
      <c r="AD72" s="106" t="str">
        <f t="shared" si="120"/>
        <v>Leve</v>
      </c>
      <c r="AE72" s="107">
        <f t="shared" si="121"/>
        <v>0</v>
      </c>
      <c r="AF72" s="108" t="str">
        <f t="shared" si="122"/>
        <v>Bajo</v>
      </c>
      <c r="AG72" s="109" t="s">
        <v>129</v>
      </c>
      <c r="AH72" s="148" t="s">
        <v>361</v>
      </c>
      <c r="AI72" s="111" t="s">
        <v>358</v>
      </c>
      <c r="AJ72" s="112" t="s">
        <v>359</v>
      </c>
      <c r="AK72" s="112" t="s">
        <v>350</v>
      </c>
      <c r="AL72" s="148" t="s">
        <v>510</v>
      </c>
      <c r="AM72" s="111"/>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row>
    <row r="73" spans="1:71" ht="151.5" customHeight="1" x14ac:dyDescent="0.25">
      <c r="A73" s="212">
        <v>23</v>
      </c>
      <c r="B73" s="213" t="s">
        <v>362</v>
      </c>
      <c r="C73" s="223" t="s">
        <v>363</v>
      </c>
      <c r="D73" s="223" t="s">
        <v>471</v>
      </c>
      <c r="E73" s="217" t="s">
        <v>125</v>
      </c>
      <c r="F73" s="217" t="s">
        <v>472</v>
      </c>
      <c r="G73" s="217" t="s">
        <v>511</v>
      </c>
      <c r="H73" s="219" t="s">
        <v>364</v>
      </c>
      <c r="I73" s="217" t="s">
        <v>119</v>
      </c>
      <c r="J73" s="221">
        <v>30</v>
      </c>
      <c r="K73" s="201" t="str">
        <f>IF(J73&lt;=0,"",IF(J73&lt;=2,"Muy Baja",IF(J73&lt;=24,"Baja",IF(J73&lt;=500,"Media",IF(J73&lt;=5000,"Alta","Muy Alta")))))</f>
        <v>Media</v>
      </c>
      <c r="L73" s="204">
        <f>IF(K73="","",IF(K73="Muy Baja",0.2,IF(K73="Baja",0.4,IF(K73="Media",0.6,IF(K73="Alta",0.8,IF(K73="Muy Alta",1,))))))</f>
        <v>0.6</v>
      </c>
      <c r="M73" s="207" t="s">
        <v>147</v>
      </c>
      <c r="N73" s="149" t="str">
        <f>IF(NOT(ISERROR(MATCH(M73,'Tabla Impacto'!$B$221:$B$223,0))),'Tabla Impacto'!$F$223&amp;"Por favor no seleccionar los criterios de impacto(Afectación Económica o presupuestal y Pérdida Reputacional)",M73)</f>
        <v xml:space="preserve">     El riesgo afecta la imagen de de la entidad con efecto publicitario sostenido a nivel de sector administrativo, nivel departamental o municipal</v>
      </c>
      <c r="O73" s="201" t="str">
        <f>IF(OR(N73='Tabla Impacto'!$C$11,N73='Tabla Impacto'!$D$11),"Leve",IF(OR(N73='Tabla Impacto'!$C$12,N73='Tabla Impacto'!$D$12),"Menor",IF(OR(N73='Tabla Impacto'!$C$13,N73='Tabla Impacto'!$D$13),"Moderado",IF(OR(N73='Tabla Impacto'!$C$14,N73='Tabla Impacto'!$D$14),"Mayor",IF(OR(N73='Tabla Impacto'!$C$15,N73='Tabla Impacto'!$D$15),"Catastrófico","")))))</f>
        <v>Mayor</v>
      </c>
      <c r="P73" s="204">
        <f>IF(O73="","",IF(O73="Leve",0.2,IF(O73="Menor",0.4,IF(O73="Moderado",0.6,IF(O73="Mayor",0.8,IF(O73="Catastrófico",1,))))))</f>
        <v>0.8</v>
      </c>
      <c r="Q73" s="209"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Alto</v>
      </c>
      <c r="R73" s="100">
        <v>1</v>
      </c>
      <c r="S73" s="101" t="s">
        <v>512</v>
      </c>
      <c r="T73" s="102" t="str">
        <f t="shared" si="115"/>
        <v>Probabilidad</v>
      </c>
      <c r="U73" s="103" t="s">
        <v>14</v>
      </c>
      <c r="V73" s="103" t="s">
        <v>9</v>
      </c>
      <c r="W73" s="104" t="str">
        <f t="shared" si="116"/>
        <v>40%</v>
      </c>
      <c r="X73" s="103" t="s">
        <v>19</v>
      </c>
      <c r="Y73" s="103" t="s">
        <v>23</v>
      </c>
      <c r="Z73" s="103" t="s">
        <v>113</v>
      </c>
      <c r="AA73" s="105">
        <f t="shared" si="117"/>
        <v>0.36</v>
      </c>
      <c r="AB73" s="106" t="str">
        <f t="shared" si="118"/>
        <v>Baja</v>
      </c>
      <c r="AC73" s="107">
        <f t="shared" si="119"/>
        <v>0.36</v>
      </c>
      <c r="AD73" s="106" t="str">
        <f t="shared" si="120"/>
        <v>Mayor</v>
      </c>
      <c r="AE73" s="107">
        <f t="shared" si="121"/>
        <v>0.8</v>
      </c>
      <c r="AF73" s="108" t="str">
        <f t="shared" si="122"/>
        <v>Alto</v>
      </c>
      <c r="AG73" s="109" t="s">
        <v>129</v>
      </c>
      <c r="AH73" s="144" t="s">
        <v>513</v>
      </c>
      <c r="AI73" s="142" t="s">
        <v>315</v>
      </c>
      <c r="AJ73" s="143" t="s">
        <v>365</v>
      </c>
      <c r="AK73" s="143" t="s">
        <v>366</v>
      </c>
      <c r="AL73" s="144" t="s">
        <v>367</v>
      </c>
      <c r="AM73" s="111"/>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row>
    <row r="74" spans="1:71" ht="151.5" customHeight="1" x14ac:dyDescent="0.25">
      <c r="A74" s="212"/>
      <c r="B74" s="214"/>
      <c r="C74" s="224"/>
      <c r="D74" s="227"/>
      <c r="E74" s="218"/>
      <c r="F74" s="218"/>
      <c r="G74" s="218"/>
      <c r="H74" s="220"/>
      <c r="I74" s="218"/>
      <c r="J74" s="222"/>
      <c r="K74" s="202"/>
      <c r="L74" s="205"/>
      <c r="M74" s="208"/>
      <c r="N74" s="150"/>
      <c r="O74" s="202"/>
      <c r="P74" s="205"/>
      <c r="Q74" s="210"/>
      <c r="R74" s="100">
        <v>2</v>
      </c>
      <c r="S74" s="101" t="s">
        <v>514</v>
      </c>
      <c r="T74" s="102" t="str">
        <f t="shared" si="115"/>
        <v>Probabilidad</v>
      </c>
      <c r="U74" s="103" t="s">
        <v>14</v>
      </c>
      <c r="V74" s="103" t="s">
        <v>9</v>
      </c>
      <c r="W74" s="104" t="str">
        <f t="shared" si="116"/>
        <v>40%</v>
      </c>
      <c r="X74" s="103" t="s">
        <v>19</v>
      </c>
      <c r="Y74" s="103" t="s">
        <v>22</v>
      </c>
      <c r="Z74" s="103" t="s">
        <v>113</v>
      </c>
      <c r="AA74" s="105">
        <f t="shared" si="117"/>
        <v>0</v>
      </c>
      <c r="AB74" s="106" t="str">
        <f t="shared" si="118"/>
        <v>Muy Baja</v>
      </c>
      <c r="AC74" s="107">
        <f t="shared" si="119"/>
        <v>0</v>
      </c>
      <c r="AD74" s="106" t="str">
        <f t="shared" si="120"/>
        <v>Leve</v>
      </c>
      <c r="AE74" s="107">
        <f t="shared" si="121"/>
        <v>0</v>
      </c>
      <c r="AF74" s="108" t="str">
        <f t="shared" si="122"/>
        <v>Bajo</v>
      </c>
      <c r="AG74" s="109" t="s">
        <v>129</v>
      </c>
      <c r="AH74" s="144" t="s">
        <v>368</v>
      </c>
      <c r="AI74" s="142" t="s">
        <v>315</v>
      </c>
      <c r="AJ74" s="143" t="s">
        <v>365</v>
      </c>
      <c r="AK74" s="143" t="s">
        <v>366</v>
      </c>
      <c r="AL74" s="144" t="s">
        <v>367</v>
      </c>
      <c r="AM74" s="111"/>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row>
    <row r="75" spans="1:71" ht="151.5" customHeight="1" x14ac:dyDescent="0.25">
      <c r="A75" s="231"/>
      <c r="B75" s="215"/>
      <c r="C75" s="224"/>
      <c r="D75" s="227"/>
      <c r="E75" s="218"/>
      <c r="F75" s="218"/>
      <c r="G75" s="218"/>
      <c r="H75" s="220"/>
      <c r="I75" s="218"/>
      <c r="J75" s="222"/>
      <c r="K75" s="203"/>
      <c r="L75" s="206"/>
      <c r="M75" s="208"/>
      <c r="N75" s="150"/>
      <c r="O75" s="203"/>
      <c r="P75" s="206"/>
      <c r="Q75" s="211"/>
      <c r="R75" s="100">
        <v>3</v>
      </c>
      <c r="S75" s="101" t="s">
        <v>473</v>
      </c>
      <c r="T75" s="102" t="str">
        <f t="shared" si="115"/>
        <v>Probabilidad</v>
      </c>
      <c r="U75" s="103" t="s">
        <v>15</v>
      </c>
      <c r="V75" s="103" t="s">
        <v>9</v>
      </c>
      <c r="W75" s="104" t="str">
        <f t="shared" si="116"/>
        <v>30%</v>
      </c>
      <c r="X75" s="103" t="s">
        <v>19</v>
      </c>
      <c r="Y75" s="103" t="s">
        <v>22</v>
      </c>
      <c r="Z75" s="103" t="s">
        <v>113</v>
      </c>
      <c r="AA75" s="105">
        <f t="shared" si="117"/>
        <v>0</v>
      </c>
      <c r="AB75" s="106" t="str">
        <f t="shared" si="118"/>
        <v>Muy Baja</v>
      </c>
      <c r="AC75" s="107">
        <f t="shared" si="119"/>
        <v>0</v>
      </c>
      <c r="AD75" s="106" t="str">
        <f t="shared" si="120"/>
        <v>Leve</v>
      </c>
      <c r="AE75" s="107">
        <f t="shared" si="121"/>
        <v>0</v>
      </c>
      <c r="AF75" s="108" t="str">
        <f t="shared" si="122"/>
        <v>Bajo</v>
      </c>
      <c r="AG75" s="109" t="s">
        <v>129</v>
      </c>
      <c r="AH75" s="144" t="s">
        <v>537</v>
      </c>
      <c r="AI75" s="142" t="s">
        <v>315</v>
      </c>
      <c r="AJ75" s="143" t="s">
        <v>365</v>
      </c>
      <c r="AK75" s="143" t="s">
        <v>366</v>
      </c>
      <c r="AL75" s="144" t="s">
        <v>367</v>
      </c>
      <c r="AM75" s="111"/>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row>
    <row r="76" spans="1:71" ht="151.5" customHeight="1" x14ac:dyDescent="0.25">
      <c r="A76" s="216">
        <v>24</v>
      </c>
      <c r="B76" s="213" t="s">
        <v>362</v>
      </c>
      <c r="C76" s="223" t="s">
        <v>363</v>
      </c>
      <c r="D76" s="223" t="s">
        <v>471</v>
      </c>
      <c r="E76" s="217" t="s">
        <v>125</v>
      </c>
      <c r="F76" s="217" t="s">
        <v>369</v>
      </c>
      <c r="G76" s="217" t="s">
        <v>370</v>
      </c>
      <c r="H76" s="219" t="s">
        <v>371</v>
      </c>
      <c r="I76" s="217" t="s">
        <v>462</v>
      </c>
      <c r="J76" s="221">
        <v>12</v>
      </c>
      <c r="K76" s="201" t="str">
        <f>IF(J76&lt;=0,"",IF(J76&lt;=2,"Muy Baja",IF(J76&lt;=24,"Baja",IF(J76&lt;=500,"Media",IF(J76&lt;=5000,"Alta","Muy Alta")))))</f>
        <v>Baja</v>
      </c>
      <c r="L76" s="204">
        <f>IF(K76="","",IF(K76="Muy Baja",0.2,IF(K76="Baja",0.4,IF(K76="Media",0.6,IF(K76="Alta",0.8,IF(K76="Muy Alta",1,))))))</f>
        <v>0.4</v>
      </c>
      <c r="M76" s="207" t="s">
        <v>146</v>
      </c>
      <c r="N76" s="149" t="str">
        <f>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201" t="str">
        <f>IF(OR(N76='Tabla Impacto'!$C$11,N76='Tabla Impacto'!$D$11),"Leve",IF(OR(N76='Tabla Impacto'!$C$12,N76='Tabla Impacto'!$D$12),"Menor",IF(OR(N76='Tabla Impacto'!$C$13,N76='Tabla Impacto'!$D$13),"Moderado",IF(OR(N76='Tabla Impacto'!$C$14,N76='Tabla Impacto'!$D$14),"Mayor",IF(OR(N76='Tabla Impacto'!$C$15,N76='Tabla Impacto'!$D$15),"Catastrófico","")))))</f>
        <v>Moderado</v>
      </c>
      <c r="P76" s="204">
        <f>IF(O76="","",IF(O76="Leve",0.2,IF(O76="Menor",0.4,IF(O76="Moderado",0.6,IF(O76="Mayor",0.8,IF(O76="Catastrófico",1,))))))</f>
        <v>0.6</v>
      </c>
      <c r="Q76" s="209" t="str">
        <f>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00">
        <v>1</v>
      </c>
      <c r="S76" s="101" t="s">
        <v>372</v>
      </c>
      <c r="T76" s="102" t="str">
        <f t="shared" si="115"/>
        <v>Probabilidad</v>
      </c>
      <c r="U76" s="103" t="s">
        <v>14</v>
      </c>
      <c r="V76" s="103" t="s">
        <v>9</v>
      </c>
      <c r="W76" s="104" t="str">
        <f t="shared" si="116"/>
        <v>40%</v>
      </c>
      <c r="X76" s="103" t="s">
        <v>19</v>
      </c>
      <c r="Y76" s="103" t="s">
        <v>22</v>
      </c>
      <c r="Z76" s="103" t="s">
        <v>113</v>
      </c>
      <c r="AA76" s="105">
        <f t="shared" si="117"/>
        <v>0.24</v>
      </c>
      <c r="AB76" s="106" t="str">
        <f t="shared" si="118"/>
        <v>Baja</v>
      </c>
      <c r="AC76" s="107">
        <f t="shared" si="119"/>
        <v>0.24</v>
      </c>
      <c r="AD76" s="106" t="str">
        <f t="shared" si="120"/>
        <v>Moderado</v>
      </c>
      <c r="AE76" s="107">
        <f t="shared" si="121"/>
        <v>0.6</v>
      </c>
      <c r="AF76" s="108" t="str">
        <f t="shared" si="122"/>
        <v>Moderado</v>
      </c>
      <c r="AG76" s="109" t="s">
        <v>129</v>
      </c>
      <c r="AH76" s="148" t="s">
        <v>373</v>
      </c>
      <c r="AI76" s="111" t="s">
        <v>224</v>
      </c>
      <c r="AJ76" s="112" t="s">
        <v>225</v>
      </c>
      <c r="AK76" s="112" t="s">
        <v>225</v>
      </c>
      <c r="AL76" s="148" t="s">
        <v>374</v>
      </c>
      <c r="AM76" s="111"/>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row>
    <row r="77" spans="1:71" ht="151.5" customHeight="1" x14ac:dyDescent="0.25">
      <c r="A77" s="212"/>
      <c r="B77" s="214"/>
      <c r="C77" s="224"/>
      <c r="D77" s="227"/>
      <c r="E77" s="218"/>
      <c r="F77" s="218"/>
      <c r="G77" s="218"/>
      <c r="H77" s="220"/>
      <c r="I77" s="218"/>
      <c r="J77" s="222"/>
      <c r="K77" s="202"/>
      <c r="L77" s="205"/>
      <c r="M77" s="208"/>
      <c r="N77" s="150"/>
      <c r="O77" s="202"/>
      <c r="P77" s="205"/>
      <c r="Q77" s="210"/>
      <c r="R77" s="100">
        <v>2</v>
      </c>
      <c r="S77" s="101"/>
      <c r="T77" s="102" t="str">
        <f t="shared" ref="T77:T78" si="123">IF(OR(U77="Preventivo",U77="Detectivo"),"Probabilidad",IF(U77="Correctivo","Impacto",""))</f>
        <v>Probabilidad</v>
      </c>
      <c r="U77" s="103" t="s">
        <v>15</v>
      </c>
      <c r="V77" s="103" t="s">
        <v>9</v>
      </c>
      <c r="W77" s="104" t="str">
        <f t="shared" ref="W77:W78" si="124">IF(AND(U77="Preventivo",V77="Automático"),"50%",IF(AND(U77="Preventivo",V77="Manual"),"40%",IF(AND(U77="Detectivo",V77="Automático"),"40%",IF(AND(U77="Detectivo",V77="Manual"),"30%",IF(AND(U77="Correctivo",V77="Automático"),"35%",IF(AND(U77="Correctivo",V77="Manual"),"25%",""))))))</f>
        <v>30%</v>
      </c>
      <c r="X77" s="103" t="s">
        <v>20</v>
      </c>
      <c r="Y77" s="103" t="s">
        <v>23</v>
      </c>
      <c r="Z77" s="103" t="s">
        <v>114</v>
      </c>
      <c r="AA77" s="105">
        <f t="shared" ref="AA77:AA78" si="125">IFERROR(IF(T77="Probabilidad",(L77-(+L77*W77)),IF(T77="Impacto",L77,"")),"")</f>
        <v>0</v>
      </c>
      <c r="AB77" s="106" t="str">
        <f t="shared" ref="AB77:AB78" si="126">IFERROR(IF(AA77="","",IF(AA77&lt;=0.2,"Muy Baja",IF(AA77&lt;=0.4,"Baja",IF(AA77&lt;=0.6,"Media",IF(AA77&lt;=0.8,"Alta","Muy Alta"))))),"")</f>
        <v>Muy Baja</v>
      </c>
      <c r="AC77" s="107">
        <f t="shared" ref="AC77:AC78" si="127">+AA77</f>
        <v>0</v>
      </c>
      <c r="AD77" s="106" t="str">
        <f t="shared" ref="AD77:AD78" si="128">IFERROR(IF(AE77="","",IF(AE77&lt;=0.2,"Leve",IF(AE77&lt;=0.4,"Menor",IF(AE77&lt;=0.6,"Moderado",IF(AE77&lt;=0.8,"Mayor","Catastrófico"))))),"")</f>
        <v>Leve</v>
      </c>
      <c r="AE77" s="107">
        <f t="shared" ref="AE77:AE78" si="129">IFERROR(IF(T77="Impacto",(P77-(+P77*W77)),IF(T77="Probabilidad",P77,"")),"")</f>
        <v>0</v>
      </c>
      <c r="AF77" s="108" t="str">
        <f t="shared" ref="AF77:AF78" si="130">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Bajo</v>
      </c>
      <c r="AG77" s="109"/>
      <c r="AH77" s="148"/>
      <c r="AI77" s="111"/>
      <c r="AJ77" s="112"/>
      <c r="AK77" s="112"/>
      <c r="AL77" s="148"/>
      <c r="AM77" s="111"/>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row>
    <row r="78" spans="1:71" ht="151.5" customHeight="1" x14ac:dyDescent="0.25">
      <c r="A78" s="212"/>
      <c r="B78" s="215"/>
      <c r="C78" s="224"/>
      <c r="D78" s="227"/>
      <c r="E78" s="218"/>
      <c r="F78" s="218"/>
      <c r="G78" s="218"/>
      <c r="H78" s="220"/>
      <c r="I78" s="218"/>
      <c r="J78" s="222"/>
      <c r="K78" s="203"/>
      <c r="L78" s="206"/>
      <c r="M78" s="208"/>
      <c r="N78" s="150"/>
      <c r="O78" s="203"/>
      <c r="P78" s="206"/>
      <c r="Q78" s="211"/>
      <c r="R78" s="100">
        <v>3</v>
      </c>
      <c r="S78" s="101"/>
      <c r="T78" s="102" t="str">
        <f t="shared" si="123"/>
        <v>Probabilidad</v>
      </c>
      <c r="U78" s="103" t="s">
        <v>15</v>
      </c>
      <c r="V78" s="103" t="s">
        <v>9</v>
      </c>
      <c r="W78" s="104" t="str">
        <f t="shared" si="124"/>
        <v>30%</v>
      </c>
      <c r="X78" s="103" t="s">
        <v>20</v>
      </c>
      <c r="Y78" s="103" t="s">
        <v>23</v>
      </c>
      <c r="Z78" s="103" t="s">
        <v>114</v>
      </c>
      <c r="AA78" s="105">
        <f t="shared" si="125"/>
        <v>0</v>
      </c>
      <c r="AB78" s="106" t="str">
        <f t="shared" si="126"/>
        <v>Muy Baja</v>
      </c>
      <c r="AC78" s="107">
        <f t="shared" si="127"/>
        <v>0</v>
      </c>
      <c r="AD78" s="106" t="str">
        <f t="shared" si="128"/>
        <v>Leve</v>
      </c>
      <c r="AE78" s="107">
        <f t="shared" si="129"/>
        <v>0</v>
      </c>
      <c r="AF78" s="108" t="str">
        <f t="shared" si="130"/>
        <v>Bajo</v>
      </c>
      <c r="AG78" s="109"/>
      <c r="AH78" s="148"/>
      <c r="AI78" s="111"/>
      <c r="AJ78" s="112"/>
      <c r="AK78" s="112"/>
      <c r="AL78" s="148"/>
      <c r="AM78" s="111"/>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row>
    <row r="79" spans="1:71" ht="151.5" customHeight="1" x14ac:dyDescent="0.25">
      <c r="A79" s="212">
        <v>25</v>
      </c>
      <c r="B79" s="213" t="s">
        <v>362</v>
      </c>
      <c r="C79" s="223" t="s">
        <v>363</v>
      </c>
      <c r="D79" s="223" t="s">
        <v>471</v>
      </c>
      <c r="E79" s="217" t="s">
        <v>127</v>
      </c>
      <c r="F79" s="217" t="s">
        <v>376</v>
      </c>
      <c r="G79" s="217" t="s">
        <v>377</v>
      </c>
      <c r="H79" s="219" t="s">
        <v>375</v>
      </c>
      <c r="I79" s="217" t="s">
        <v>462</v>
      </c>
      <c r="J79" s="221">
        <v>12</v>
      </c>
      <c r="K79" s="201" t="str">
        <f>IF(J79&lt;=0,"",IF(J79&lt;=2,"Muy Baja",IF(J79&lt;=24,"Baja",IF(J79&lt;=500,"Media",IF(J79&lt;=5000,"Alta","Muy Alta")))))</f>
        <v>Baja</v>
      </c>
      <c r="L79" s="204">
        <f>IF(K79="","",IF(K79="Muy Baja",0.2,IF(K79="Baja",0.4,IF(K79="Media",0.6,IF(K79="Alta",0.8,IF(K79="Muy Alta",1,))))))</f>
        <v>0.4</v>
      </c>
      <c r="M79" s="207" t="s">
        <v>146</v>
      </c>
      <c r="N79" s="149" t="str">
        <f>IF(NOT(ISERROR(MATCH(M79,'Tabla Impacto'!$B$221:$B$223,0))),'Tabla Impacto'!$F$223&amp;"Por favor no seleccionar los criterios de impacto(Afectación Económica o presupuestal y Pérdida Reputacional)",M79)</f>
        <v xml:space="preserve">     El riesgo afecta la imagen de la entidad con algunos usuarios de relevancia frente al logro de los objetivos</v>
      </c>
      <c r="O79" s="201" t="str">
        <f>IF(OR(N79='Tabla Impacto'!$C$11,N79='Tabla Impacto'!$D$11),"Leve",IF(OR(N79='Tabla Impacto'!$C$12,N79='Tabla Impacto'!$D$12),"Menor",IF(OR(N79='Tabla Impacto'!$C$13,N79='Tabla Impacto'!$D$13),"Moderado",IF(OR(N79='Tabla Impacto'!$C$14,N79='Tabla Impacto'!$D$14),"Mayor",IF(OR(N79='Tabla Impacto'!$C$15,N79='Tabla Impacto'!$D$15),"Catastrófico","")))))</f>
        <v>Moderado</v>
      </c>
      <c r="P79" s="204">
        <f>IF(O79="","",IF(O79="Leve",0.2,IF(O79="Menor",0.4,IF(O79="Moderado",0.6,IF(O79="Mayor",0.8,IF(O79="Catastrófico",1,))))))</f>
        <v>0.6</v>
      </c>
      <c r="Q79" s="209"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00">
        <v>1</v>
      </c>
      <c r="S79" s="101" t="s">
        <v>515</v>
      </c>
      <c r="T79" s="102" t="str">
        <f t="shared" si="27"/>
        <v>Probabilidad</v>
      </c>
      <c r="U79" s="103" t="s">
        <v>14</v>
      </c>
      <c r="V79" s="103" t="s">
        <v>9</v>
      </c>
      <c r="W79" s="104" t="str">
        <f t="shared" si="28"/>
        <v>40%</v>
      </c>
      <c r="X79" s="103" t="s">
        <v>19</v>
      </c>
      <c r="Y79" s="103" t="s">
        <v>22</v>
      </c>
      <c r="Z79" s="103" t="s">
        <v>113</v>
      </c>
      <c r="AA79" s="105">
        <f t="shared" si="33"/>
        <v>0.24</v>
      </c>
      <c r="AB79" s="106" t="str">
        <f t="shared" si="29"/>
        <v>Baja</v>
      </c>
      <c r="AC79" s="107">
        <f t="shared" si="30"/>
        <v>0.24</v>
      </c>
      <c r="AD79" s="106" t="str">
        <f t="shared" si="31"/>
        <v>Moderado</v>
      </c>
      <c r="AE79" s="107">
        <f t="shared" si="34"/>
        <v>0.6</v>
      </c>
      <c r="AF79" s="108" t="str">
        <f t="shared" si="32"/>
        <v>Moderado</v>
      </c>
      <c r="AG79" s="109" t="s">
        <v>129</v>
      </c>
      <c r="AH79" s="148" t="s">
        <v>378</v>
      </c>
      <c r="AI79" s="110" t="s">
        <v>315</v>
      </c>
      <c r="AJ79" s="112" t="s">
        <v>365</v>
      </c>
      <c r="AK79" s="112" t="s">
        <v>366</v>
      </c>
      <c r="AL79" s="148" t="s">
        <v>379</v>
      </c>
      <c r="AM79" s="111"/>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row>
    <row r="80" spans="1:71" ht="151.5" customHeight="1" x14ac:dyDescent="0.25">
      <c r="A80" s="212"/>
      <c r="B80" s="214"/>
      <c r="C80" s="224"/>
      <c r="D80" s="227"/>
      <c r="E80" s="218"/>
      <c r="F80" s="218"/>
      <c r="G80" s="218"/>
      <c r="H80" s="220"/>
      <c r="I80" s="218"/>
      <c r="J80" s="222"/>
      <c r="K80" s="202"/>
      <c r="L80" s="205"/>
      <c r="M80" s="208"/>
      <c r="N80" s="150"/>
      <c r="O80" s="202"/>
      <c r="P80" s="205"/>
      <c r="Q80" s="210"/>
      <c r="R80" s="100">
        <v>2</v>
      </c>
      <c r="S80" s="101" t="s">
        <v>474</v>
      </c>
      <c r="T80" s="102" t="str">
        <f t="shared" ref="T80:T81" si="131">IF(OR(U80="Preventivo",U80="Detectivo"),"Probabilidad",IF(U80="Correctivo","Impacto",""))</f>
        <v>Probabilidad</v>
      </c>
      <c r="U80" s="103" t="s">
        <v>15</v>
      </c>
      <c r="V80" s="103" t="s">
        <v>9</v>
      </c>
      <c r="W80" s="104" t="str">
        <f t="shared" ref="W80:W81" si="132">IF(AND(U80="Preventivo",V80="Automático"),"50%",IF(AND(U80="Preventivo",V80="Manual"),"40%",IF(AND(U80="Detectivo",V80="Automático"),"40%",IF(AND(U80="Detectivo",V80="Manual"),"30%",IF(AND(U80="Correctivo",V80="Automático"),"35%",IF(AND(U80="Correctivo",V80="Manual"),"25%",""))))))</f>
        <v>30%</v>
      </c>
      <c r="X80" s="103" t="s">
        <v>20</v>
      </c>
      <c r="Y80" s="103" t="s">
        <v>23</v>
      </c>
      <c r="Z80" s="103" t="s">
        <v>113</v>
      </c>
      <c r="AA80" s="105">
        <f t="shared" ref="AA80:AA81" si="133">IFERROR(IF(T80="Probabilidad",(L80-(+L80*W80)),IF(T80="Impacto",L80,"")),"")</f>
        <v>0</v>
      </c>
      <c r="AB80" s="106" t="str">
        <f t="shared" ref="AB80:AB81" si="134">IFERROR(IF(AA80="","",IF(AA80&lt;=0.2,"Muy Baja",IF(AA80&lt;=0.4,"Baja",IF(AA80&lt;=0.6,"Media",IF(AA80&lt;=0.8,"Alta","Muy Alta"))))),"")</f>
        <v>Muy Baja</v>
      </c>
      <c r="AC80" s="107">
        <f t="shared" ref="AC80:AC81" si="135">+AA80</f>
        <v>0</v>
      </c>
      <c r="AD80" s="106" t="str">
        <f t="shared" ref="AD80:AD81" si="136">IFERROR(IF(AE80="","",IF(AE80&lt;=0.2,"Leve",IF(AE80&lt;=0.4,"Menor",IF(AE80&lt;=0.6,"Moderado",IF(AE80&lt;=0.8,"Mayor","Catastrófico"))))),"")</f>
        <v>Leve</v>
      </c>
      <c r="AE80" s="107">
        <f t="shared" ref="AE80:AE81" si="137">IFERROR(IF(T80="Impacto",(P80-(+P80*W80)),IF(T80="Probabilidad",P80,"")),"")</f>
        <v>0</v>
      </c>
      <c r="AF80" s="108" t="str">
        <f t="shared" ref="AF80:AF81" si="138">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Bajo</v>
      </c>
      <c r="AG80" s="109" t="s">
        <v>129</v>
      </c>
      <c r="AH80" s="148" t="s">
        <v>516</v>
      </c>
      <c r="AI80" s="110" t="s">
        <v>315</v>
      </c>
      <c r="AJ80" s="112" t="s">
        <v>365</v>
      </c>
      <c r="AK80" s="112" t="s">
        <v>366</v>
      </c>
      <c r="AL80" s="148" t="s">
        <v>379</v>
      </c>
      <c r="AM80" s="111"/>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row>
    <row r="81" spans="1:71" ht="151.5" customHeight="1" x14ac:dyDescent="0.25">
      <c r="A81" s="212"/>
      <c r="B81" s="215"/>
      <c r="C81" s="224"/>
      <c r="D81" s="227"/>
      <c r="E81" s="218"/>
      <c r="F81" s="218"/>
      <c r="G81" s="218"/>
      <c r="H81" s="220"/>
      <c r="I81" s="218"/>
      <c r="J81" s="222"/>
      <c r="K81" s="203"/>
      <c r="L81" s="206"/>
      <c r="M81" s="208"/>
      <c r="N81" s="150"/>
      <c r="O81" s="203"/>
      <c r="P81" s="206"/>
      <c r="Q81" s="211"/>
      <c r="R81" s="100">
        <v>3</v>
      </c>
      <c r="S81" s="101" t="s">
        <v>517</v>
      </c>
      <c r="T81" s="102" t="str">
        <f t="shared" si="131"/>
        <v>Probabilidad</v>
      </c>
      <c r="U81" s="103" t="s">
        <v>14</v>
      </c>
      <c r="V81" s="103" t="s">
        <v>9</v>
      </c>
      <c r="W81" s="104" t="str">
        <f t="shared" si="132"/>
        <v>40%</v>
      </c>
      <c r="X81" s="103" t="s">
        <v>19</v>
      </c>
      <c r="Y81" s="103" t="s">
        <v>22</v>
      </c>
      <c r="Z81" s="103" t="s">
        <v>113</v>
      </c>
      <c r="AA81" s="105">
        <f t="shared" si="133"/>
        <v>0</v>
      </c>
      <c r="AB81" s="106" t="str">
        <f t="shared" si="134"/>
        <v>Muy Baja</v>
      </c>
      <c r="AC81" s="107">
        <f t="shared" si="135"/>
        <v>0</v>
      </c>
      <c r="AD81" s="106" t="str">
        <f t="shared" si="136"/>
        <v>Leve</v>
      </c>
      <c r="AE81" s="107">
        <f t="shared" si="137"/>
        <v>0</v>
      </c>
      <c r="AF81" s="108" t="str">
        <f t="shared" si="138"/>
        <v>Bajo</v>
      </c>
      <c r="AG81" s="109" t="s">
        <v>129</v>
      </c>
      <c r="AH81" s="148" t="s">
        <v>518</v>
      </c>
      <c r="AI81" s="110" t="s">
        <v>315</v>
      </c>
      <c r="AJ81" s="112" t="s">
        <v>365</v>
      </c>
      <c r="AK81" s="112" t="s">
        <v>366</v>
      </c>
      <c r="AL81" s="148" t="s">
        <v>379</v>
      </c>
      <c r="AM81" s="111"/>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row>
    <row r="82" spans="1:71" ht="151.5" customHeight="1" x14ac:dyDescent="0.25">
      <c r="A82" s="212">
        <v>26</v>
      </c>
      <c r="B82" s="213" t="s">
        <v>380</v>
      </c>
      <c r="C82" s="223" t="s">
        <v>548</v>
      </c>
      <c r="D82" s="223" t="s">
        <v>539</v>
      </c>
      <c r="E82" s="217" t="s">
        <v>127</v>
      </c>
      <c r="F82" s="217" t="s">
        <v>381</v>
      </c>
      <c r="G82" s="217" t="s">
        <v>382</v>
      </c>
      <c r="H82" s="219" t="s">
        <v>383</v>
      </c>
      <c r="I82" s="217" t="s">
        <v>119</v>
      </c>
      <c r="J82" s="221">
        <v>50</v>
      </c>
      <c r="K82" s="201" t="str">
        <f>IF(J82&lt;=0,"",IF(J82&lt;=2,"Muy Baja",IF(J82&lt;=24,"Baja",IF(J82&lt;=500,"Media",IF(J82&lt;=5000,"Alta","Muy Alta")))))</f>
        <v>Media</v>
      </c>
      <c r="L82" s="204">
        <f>IF(K82="","",IF(K82="Muy Baja",0.2,IF(K82="Baja",0.4,IF(K82="Media",0.6,IF(K82="Alta",0.8,IF(K82="Muy Alta",1,))))))</f>
        <v>0.6</v>
      </c>
      <c r="M82" s="207" t="s">
        <v>142</v>
      </c>
      <c r="N82" s="149" t="str">
        <f>IF(NOT(ISERROR(MATCH(M82,'Tabla Impacto'!$B$221:$B$223,0))),'Tabla Impacto'!$F$223&amp;"Por favor no seleccionar los criterios de impacto(Afectación Económica o presupuestal y Pérdida Reputacional)",M82)</f>
        <v xml:space="preserve">     Entre 100 y 500 SMLMV </v>
      </c>
      <c r="O82" s="201" t="str">
        <f>IF(OR(N82='Tabla Impacto'!$C$11,N82='Tabla Impacto'!$D$11),"Leve",IF(OR(N82='Tabla Impacto'!$C$12,N82='Tabla Impacto'!$D$12),"Menor",IF(OR(N82='Tabla Impacto'!$C$13,N82='Tabla Impacto'!$D$13),"Moderado",IF(OR(N82='Tabla Impacto'!$C$14,N82='Tabla Impacto'!$D$14),"Mayor",IF(OR(N82='Tabla Impacto'!$C$15,N82='Tabla Impacto'!$D$15),"Catastrófico","")))))</f>
        <v>Mayor</v>
      </c>
      <c r="P82" s="204">
        <f>IF(O82="","",IF(O82="Leve",0.2,IF(O82="Menor",0.4,IF(O82="Moderado",0.6,IF(O82="Mayor",0.8,IF(O82="Catastrófico",1,))))))</f>
        <v>0.8</v>
      </c>
      <c r="Q82" s="209" t="str">
        <f>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Alto</v>
      </c>
      <c r="R82" s="100">
        <v>1</v>
      </c>
      <c r="S82" s="101" t="s">
        <v>519</v>
      </c>
      <c r="T82" s="102" t="str">
        <f t="shared" si="27"/>
        <v>Probabilidad</v>
      </c>
      <c r="U82" s="103" t="s">
        <v>14</v>
      </c>
      <c r="V82" s="103" t="s">
        <v>9</v>
      </c>
      <c r="W82" s="104" t="str">
        <f t="shared" si="28"/>
        <v>40%</v>
      </c>
      <c r="X82" s="103" t="s">
        <v>19</v>
      </c>
      <c r="Y82" s="103" t="s">
        <v>22</v>
      </c>
      <c r="Z82" s="103" t="s">
        <v>113</v>
      </c>
      <c r="AA82" s="105">
        <f t="shared" si="33"/>
        <v>0.36</v>
      </c>
      <c r="AB82" s="106" t="str">
        <f t="shared" si="29"/>
        <v>Baja</v>
      </c>
      <c r="AC82" s="107">
        <f t="shared" si="30"/>
        <v>0.36</v>
      </c>
      <c r="AD82" s="106" t="str">
        <f t="shared" si="31"/>
        <v>Mayor</v>
      </c>
      <c r="AE82" s="107">
        <f t="shared" si="34"/>
        <v>0.8</v>
      </c>
      <c r="AF82" s="108" t="str">
        <f t="shared" si="32"/>
        <v>Alto</v>
      </c>
      <c r="AG82" s="109" t="s">
        <v>129</v>
      </c>
      <c r="AH82" s="148" t="s">
        <v>475</v>
      </c>
      <c r="AI82" s="111" t="s">
        <v>384</v>
      </c>
      <c r="AJ82" s="112">
        <v>44469</v>
      </c>
      <c r="AK82" s="112">
        <v>44561</v>
      </c>
      <c r="AL82" s="148" t="s">
        <v>257</v>
      </c>
      <c r="AM82" s="111"/>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row>
    <row r="83" spans="1:71" ht="151.5" customHeight="1" x14ac:dyDescent="0.25">
      <c r="A83" s="212"/>
      <c r="B83" s="214"/>
      <c r="C83" s="227"/>
      <c r="D83" s="227"/>
      <c r="E83" s="218"/>
      <c r="F83" s="218"/>
      <c r="G83" s="218"/>
      <c r="H83" s="220"/>
      <c r="I83" s="218"/>
      <c r="J83" s="222"/>
      <c r="K83" s="202"/>
      <c r="L83" s="205"/>
      <c r="M83" s="208"/>
      <c r="N83" s="150"/>
      <c r="O83" s="202"/>
      <c r="P83" s="205"/>
      <c r="Q83" s="210"/>
      <c r="R83" s="100">
        <v>2</v>
      </c>
      <c r="S83" s="101" t="s">
        <v>520</v>
      </c>
      <c r="T83" s="102" t="str">
        <f t="shared" ref="T83:T84" si="139">IF(OR(U83="Preventivo",U83="Detectivo"),"Probabilidad",IF(U83="Correctivo","Impacto",""))</f>
        <v>Probabilidad</v>
      </c>
      <c r="U83" s="103" t="s">
        <v>14</v>
      </c>
      <c r="V83" s="103" t="s">
        <v>9</v>
      </c>
      <c r="W83" s="104" t="str">
        <f t="shared" ref="W83:W84" si="140">IF(AND(U83="Preventivo",V83="Automático"),"50%",IF(AND(U83="Preventivo",V83="Manual"),"40%",IF(AND(U83="Detectivo",V83="Automático"),"40%",IF(AND(U83="Detectivo",V83="Manual"),"30%",IF(AND(U83="Correctivo",V83="Automático"),"35%",IF(AND(U83="Correctivo",V83="Manual"),"25%",""))))))</f>
        <v>40%</v>
      </c>
      <c r="X83" s="103" t="s">
        <v>19</v>
      </c>
      <c r="Y83" s="103" t="s">
        <v>22</v>
      </c>
      <c r="Z83" s="103" t="s">
        <v>113</v>
      </c>
      <c r="AA83" s="105">
        <f t="shared" ref="AA83:AA84" si="141">IFERROR(IF(T83="Probabilidad",(L83-(+L83*W83)),IF(T83="Impacto",L83,"")),"")</f>
        <v>0</v>
      </c>
      <c r="AB83" s="106" t="str">
        <f t="shared" ref="AB83:AB84" si="142">IFERROR(IF(AA83="","",IF(AA83&lt;=0.2,"Muy Baja",IF(AA83&lt;=0.4,"Baja",IF(AA83&lt;=0.6,"Media",IF(AA83&lt;=0.8,"Alta","Muy Alta"))))),"")</f>
        <v>Muy Baja</v>
      </c>
      <c r="AC83" s="107">
        <f t="shared" ref="AC83:AC84" si="143">+AA83</f>
        <v>0</v>
      </c>
      <c r="AD83" s="106" t="str">
        <f t="shared" ref="AD83:AD84" si="144">IFERROR(IF(AE83="","",IF(AE83&lt;=0.2,"Leve",IF(AE83&lt;=0.4,"Menor",IF(AE83&lt;=0.6,"Moderado",IF(AE83&lt;=0.8,"Mayor","Catastrófico"))))),"")</f>
        <v>Leve</v>
      </c>
      <c r="AE83" s="107">
        <f t="shared" ref="AE83:AE84" si="145">IFERROR(IF(T83="Impacto",(P83-(+P83*W83)),IF(T83="Probabilidad",P83,"")),"")</f>
        <v>0</v>
      </c>
      <c r="AF83" s="108" t="str">
        <f t="shared" ref="AF83:AF84" si="146">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Bajo</v>
      </c>
      <c r="AG83" s="109"/>
      <c r="AH83" s="148"/>
      <c r="AI83" s="111"/>
      <c r="AJ83" s="112"/>
      <c r="AK83" s="112"/>
      <c r="AL83" s="148"/>
      <c r="AM83" s="111"/>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row>
    <row r="84" spans="1:71" ht="151.5" customHeight="1" x14ac:dyDescent="0.25">
      <c r="A84" s="212"/>
      <c r="B84" s="215"/>
      <c r="C84" s="227"/>
      <c r="D84" s="227"/>
      <c r="E84" s="218"/>
      <c r="F84" s="218"/>
      <c r="G84" s="218"/>
      <c r="H84" s="220"/>
      <c r="I84" s="218"/>
      <c r="J84" s="222"/>
      <c r="K84" s="203"/>
      <c r="L84" s="206"/>
      <c r="M84" s="208"/>
      <c r="N84" s="150"/>
      <c r="O84" s="203"/>
      <c r="P84" s="206"/>
      <c r="Q84" s="211"/>
      <c r="R84" s="100">
        <v>3</v>
      </c>
      <c r="S84" s="101" t="s">
        <v>476</v>
      </c>
      <c r="T84" s="102" t="str">
        <f t="shared" si="139"/>
        <v>Probabilidad</v>
      </c>
      <c r="U84" s="103" t="s">
        <v>15</v>
      </c>
      <c r="V84" s="103" t="s">
        <v>9</v>
      </c>
      <c r="W84" s="104" t="str">
        <f t="shared" si="140"/>
        <v>30%</v>
      </c>
      <c r="X84" s="103" t="s">
        <v>20</v>
      </c>
      <c r="Y84" s="103" t="s">
        <v>23</v>
      </c>
      <c r="Z84" s="103" t="s">
        <v>114</v>
      </c>
      <c r="AA84" s="105">
        <f t="shared" si="141"/>
        <v>0</v>
      </c>
      <c r="AB84" s="106" t="str">
        <f t="shared" si="142"/>
        <v>Muy Baja</v>
      </c>
      <c r="AC84" s="107">
        <f t="shared" si="143"/>
        <v>0</v>
      </c>
      <c r="AD84" s="106" t="str">
        <f t="shared" si="144"/>
        <v>Leve</v>
      </c>
      <c r="AE84" s="107">
        <f t="shared" si="145"/>
        <v>0</v>
      </c>
      <c r="AF84" s="108" t="str">
        <f t="shared" si="146"/>
        <v>Bajo</v>
      </c>
      <c r="AG84" s="109"/>
      <c r="AH84" s="148"/>
      <c r="AI84" s="111"/>
      <c r="AJ84" s="112"/>
      <c r="AK84" s="112"/>
      <c r="AL84" s="148"/>
      <c r="AM84" s="111"/>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row>
    <row r="85" spans="1:71" ht="151.5" customHeight="1" x14ac:dyDescent="0.25">
      <c r="A85" s="212">
        <v>27</v>
      </c>
      <c r="B85" s="213" t="s">
        <v>386</v>
      </c>
      <c r="C85" s="223" t="s">
        <v>385</v>
      </c>
      <c r="D85" s="223" t="s">
        <v>387</v>
      </c>
      <c r="E85" s="217" t="s">
        <v>125</v>
      </c>
      <c r="F85" s="217" t="s">
        <v>388</v>
      </c>
      <c r="G85" s="217" t="s">
        <v>389</v>
      </c>
      <c r="H85" s="219" t="s">
        <v>390</v>
      </c>
      <c r="I85" s="217" t="s">
        <v>119</v>
      </c>
      <c r="J85" s="221">
        <v>355</v>
      </c>
      <c r="K85" s="201" t="str">
        <f>IF(J85&lt;=0,"",IF(J85&lt;=2,"Muy Baja",IF(J85&lt;=24,"Baja",IF(J85&lt;=500,"Media",IF(J85&lt;=5000,"Alta","Muy Alta")))))</f>
        <v>Media</v>
      </c>
      <c r="L85" s="204">
        <f>IF(K85="","",IF(K85="Muy Baja",0.2,IF(K85="Baja",0.4,IF(K85="Media",0.6,IF(K85="Alta",0.8,IF(K85="Muy Alta",1,))))))</f>
        <v>0.6</v>
      </c>
      <c r="M85" s="207" t="s">
        <v>147</v>
      </c>
      <c r="N85" s="149" t="str">
        <f>IF(NOT(ISERROR(MATCH(M85,'Tabla Impacto'!$B$221:$B$223,0))),'Tabla Impacto'!$F$223&amp;"Por favor no seleccionar los criterios de impacto(Afectación Económica o presupuestal y Pérdida Reputacional)",M85)</f>
        <v xml:space="preserve">     El riesgo afecta la imagen de de la entidad con efecto publicitario sostenido a nivel de sector administrativo, nivel departamental o municipal</v>
      </c>
      <c r="O85" s="201" t="str">
        <f>IF(OR(N85='Tabla Impacto'!$C$11,N85='Tabla Impacto'!$D$11),"Leve",IF(OR(N85='Tabla Impacto'!$C$12,N85='Tabla Impacto'!$D$12),"Menor",IF(OR(N85='Tabla Impacto'!$C$13,N85='Tabla Impacto'!$D$13),"Moderado",IF(OR(N85='Tabla Impacto'!$C$14,N85='Tabla Impacto'!$D$14),"Mayor",IF(OR(N85='Tabla Impacto'!$C$15,N85='Tabla Impacto'!$D$15),"Catastrófico","")))))</f>
        <v>Mayor</v>
      </c>
      <c r="P85" s="204">
        <f>IF(O85="","",IF(O85="Leve",0.2,IF(O85="Menor",0.4,IF(O85="Moderado",0.6,IF(O85="Mayor",0.8,IF(O85="Catastrófico",1,))))))</f>
        <v>0.8</v>
      </c>
      <c r="Q85" s="209"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Alto</v>
      </c>
      <c r="R85" s="100">
        <v>1</v>
      </c>
      <c r="S85" s="101" t="s">
        <v>391</v>
      </c>
      <c r="T85" s="102" t="str">
        <f t="shared" si="27"/>
        <v>Probabilidad</v>
      </c>
      <c r="U85" s="103" t="s">
        <v>14</v>
      </c>
      <c r="V85" s="103" t="s">
        <v>9</v>
      </c>
      <c r="W85" s="104" t="str">
        <f t="shared" si="28"/>
        <v>40%</v>
      </c>
      <c r="X85" s="103" t="s">
        <v>20</v>
      </c>
      <c r="Y85" s="103" t="s">
        <v>22</v>
      </c>
      <c r="Z85" s="103" t="s">
        <v>113</v>
      </c>
      <c r="AA85" s="105">
        <f t="shared" si="33"/>
        <v>0.36</v>
      </c>
      <c r="AB85" s="106" t="str">
        <f t="shared" si="29"/>
        <v>Baja</v>
      </c>
      <c r="AC85" s="107">
        <f t="shared" si="30"/>
        <v>0.36</v>
      </c>
      <c r="AD85" s="106" t="str">
        <f t="shared" si="31"/>
        <v>Mayor</v>
      </c>
      <c r="AE85" s="107">
        <f t="shared" si="34"/>
        <v>0.8</v>
      </c>
      <c r="AF85" s="108" t="str">
        <f t="shared" si="32"/>
        <v>Alto</v>
      </c>
      <c r="AG85" s="109" t="s">
        <v>129</v>
      </c>
      <c r="AH85" s="148" t="s">
        <v>392</v>
      </c>
      <c r="AI85" s="111" t="s">
        <v>315</v>
      </c>
      <c r="AJ85" s="112" t="s">
        <v>393</v>
      </c>
      <c r="AK85" s="112" t="s">
        <v>393</v>
      </c>
      <c r="AL85" s="144" t="s">
        <v>394</v>
      </c>
      <c r="AM85" s="111"/>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row>
    <row r="86" spans="1:71" ht="151.5" customHeight="1" x14ac:dyDescent="0.25">
      <c r="A86" s="212"/>
      <c r="B86" s="214"/>
      <c r="C86" s="224"/>
      <c r="D86" s="224"/>
      <c r="E86" s="218"/>
      <c r="F86" s="218"/>
      <c r="G86" s="218"/>
      <c r="H86" s="220"/>
      <c r="I86" s="218"/>
      <c r="J86" s="222"/>
      <c r="K86" s="202"/>
      <c r="L86" s="205"/>
      <c r="M86" s="208"/>
      <c r="N86" s="150"/>
      <c r="O86" s="202"/>
      <c r="P86" s="205"/>
      <c r="Q86" s="210"/>
      <c r="R86" s="100">
        <v>2</v>
      </c>
      <c r="S86" s="101"/>
      <c r="T86" s="102" t="str">
        <f t="shared" ref="T86:T87" si="147">IF(OR(U86="Preventivo",U86="Detectivo"),"Probabilidad",IF(U86="Correctivo","Impacto",""))</f>
        <v>Probabilidad</v>
      </c>
      <c r="U86" s="103" t="s">
        <v>15</v>
      </c>
      <c r="V86" s="103" t="s">
        <v>9</v>
      </c>
      <c r="W86" s="104" t="str">
        <f t="shared" ref="W86:W87" si="148">IF(AND(U86="Preventivo",V86="Automático"),"50%",IF(AND(U86="Preventivo",V86="Manual"),"40%",IF(AND(U86="Detectivo",V86="Automático"),"40%",IF(AND(U86="Detectivo",V86="Manual"),"30%",IF(AND(U86="Correctivo",V86="Automático"),"35%",IF(AND(U86="Correctivo",V86="Manual"),"25%",""))))))</f>
        <v>30%</v>
      </c>
      <c r="X86" s="103" t="s">
        <v>20</v>
      </c>
      <c r="Y86" s="103" t="s">
        <v>23</v>
      </c>
      <c r="Z86" s="103" t="s">
        <v>114</v>
      </c>
      <c r="AA86" s="105">
        <f t="shared" ref="AA86:AA88" si="149">IFERROR(IF(T86="Probabilidad",(L86-(+L86*W86)),IF(T86="Impacto",L86,"")),"")</f>
        <v>0</v>
      </c>
      <c r="AB86" s="106" t="str">
        <f t="shared" ref="AB86:AB87" si="150">IFERROR(IF(AA86="","",IF(AA86&lt;=0.2,"Muy Baja",IF(AA86&lt;=0.4,"Baja",IF(AA86&lt;=0.6,"Media",IF(AA86&lt;=0.8,"Alta","Muy Alta"))))),"")</f>
        <v>Muy Baja</v>
      </c>
      <c r="AC86" s="107">
        <f t="shared" ref="AC86:AC87" si="151">+AA86</f>
        <v>0</v>
      </c>
      <c r="AD86" s="106" t="str">
        <f t="shared" ref="AD86:AD87" si="152">IFERROR(IF(AE86="","",IF(AE86&lt;=0.2,"Leve",IF(AE86&lt;=0.4,"Menor",IF(AE86&lt;=0.6,"Moderado",IF(AE86&lt;=0.8,"Mayor","Catastrófico"))))),"")</f>
        <v>Leve</v>
      </c>
      <c r="AE86" s="107">
        <f t="shared" ref="AE86:AE87" si="153">IFERROR(IF(T86="Impacto",(P86-(+P86*W86)),IF(T86="Probabilidad",P86,"")),"")</f>
        <v>0</v>
      </c>
      <c r="AF86" s="108" t="str">
        <f t="shared" ref="AF86:AF87" si="154">IFERROR(IF(OR(AND(AB86="Muy Baja",AD86="Leve"),AND(AB86="Muy Baja",AD86="Menor"),AND(AB86="Baja",AD86="Leve")),"Bajo",IF(OR(AND(AB86="Muy baja",AD86="Moderado"),AND(AB86="Baja",AD86="Menor"),AND(AB86="Baja",AD86="Moderado"),AND(AB86="Media",AD86="Leve"),AND(AB86="Media",AD86="Menor"),AND(AB86="Media",AD86="Moderado"),AND(AB86="Alta",AD86="Leve"),AND(AB86="Alta",AD86="Menor")),"Moderado",IF(OR(AND(AB86="Muy Baja",AD86="Mayor"),AND(AB86="Baja",AD86="Mayor"),AND(AB86="Media",AD86="Mayor"),AND(AB86="Alta",AD86="Moderado"),AND(AB86="Alta",AD86="Mayor"),AND(AB86="Muy Alta",AD86="Leve"),AND(AB86="Muy Alta",AD86="Menor"),AND(AB86="Muy Alta",AD86="Moderado"),AND(AB86="Muy Alta",AD86="Mayor")),"Alto",IF(OR(AND(AB86="Muy Baja",AD86="Catastrófico"),AND(AB86="Baja",AD86="Catastrófico"),AND(AB86="Media",AD86="Catastrófico"),AND(AB86="Alta",AD86="Catastrófico"),AND(AB86="Muy Alta",AD86="Catastrófico")),"Extremo","")))),"")</f>
        <v>Bajo</v>
      </c>
      <c r="AG86" s="109"/>
      <c r="AH86" s="148"/>
      <c r="AI86" s="111"/>
      <c r="AJ86" s="112"/>
      <c r="AK86" s="112"/>
      <c r="AL86" s="148"/>
      <c r="AM86" s="111"/>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row>
    <row r="87" spans="1:71" ht="151.5" customHeight="1" x14ac:dyDescent="0.25">
      <c r="A87" s="212"/>
      <c r="B87" s="215"/>
      <c r="C87" s="230"/>
      <c r="D87" s="224"/>
      <c r="E87" s="218"/>
      <c r="F87" s="218"/>
      <c r="G87" s="218"/>
      <c r="H87" s="220"/>
      <c r="I87" s="218"/>
      <c r="J87" s="222"/>
      <c r="K87" s="203"/>
      <c r="L87" s="206"/>
      <c r="M87" s="208"/>
      <c r="N87" s="150"/>
      <c r="O87" s="203"/>
      <c r="P87" s="206"/>
      <c r="Q87" s="211"/>
      <c r="R87" s="100">
        <v>3</v>
      </c>
      <c r="S87" s="101"/>
      <c r="T87" s="102" t="str">
        <f t="shared" si="147"/>
        <v>Probabilidad</v>
      </c>
      <c r="U87" s="103" t="s">
        <v>15</v>
      </c>
      <c r="V87" s="103" t="s">
        <v>9</v>
      </c>
      <c r="W87" s="104" t="str">
        <f t="shared" si="148"/>
        <v>30%</v>
      </c>
      <c r="X87" s="103" t="s">
        <v>20</v>
      </c>
      <c r="Y87" s="103" t="s">
        <v>23</v>
      </c>
      <c r="Z87" s="103" t="s">
        <v>114</v>
      </c>
      <c r="AA87" s="105">
        <f t="shared" si="149"/>
        <v>0</v>
      </c>
      <c r="AB87" s="106" t="str">
        <f t="shared" si="150"/>
        <v>Muy Baja</v>
      </c>
      <c r="AC87" s="107">
        <f t="shared" si="151"/>
        <v>0</v>
      </c>
      <c r="AD87" s="106" t="str">
        <f t="shared" si="152"/>
        <v>Leve</v>
      </c>
      <c r="AE87" s="107">
        <f t="shared" si="153"/>
        <v>0</v>
      </c>
      <c r="AF87" s="108" t="str">
        <f t="shared" si="154"/>
        <v>Bajo</v>
      </c>
      <c r="AG87" s="109"/>
      <c r="AH87" s="148"/>
      <c r="AI87" s="111"/>
      <c r="AJ87" s="112"/>
      <c r="AK87" s="112"/>
      <c r="AL87" s="148"/>
      <c r="AM87" s="111"/>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row>
    <row r="88" spans="1:71" ht="151.5" customHeight="1" x14ac:dyDescent="0.25">
      <c r="A88" s="212">
        <v>28</v>
      </c>
      <c r="B88" s="213" t="s">
        <v>386</v>
      </c>
      <c r="C88" s="223" t="s">
        <v>385</v>
      </c>
      <c r="D88" s="223" t="s">
        <v>387</v>
      </c>
      <c r="E88" s="217" t="s">
        <v>125</v>
      </c>
      <c r="F88" s="217" t="s">
        <v>395</v>
      </c>
      <c r="G88" s="217" t="s">
        <v>396</v>
      </c>
      <c r="H88" s="219" t="s">
        <v>521</v>
      </c>
      <c r="I88" s="217" t="s">
        <v>462</v>
      </c>
      <c r="J88" s="221">
        <v>355</v>
      </c>
      <c r="K88" s="201" t="str">
        <f>IF(J88&lt;=0,"",IF(J88&lt;=2,"Muy Baja",IF(J88&lt;=24,"Baja",IF(J88&lt;=500,"Media",IF(J88&lt;=5000,"Alta","Muy Alta")))))</f>
        <v>Media</v>
      </c>
      <c r="L88" s="204">
        <f>IF(K88="","",IF(K88="Muy Baja",0.2,IF(K88="Baja",0.4,IF(K88="Media",0.6,IF(K88="Alta",0.8,IF(K88="Muy Alta",1,))))))</f>
        <v>0.6</v>
      </c>
      <c r="M88" s="207" t="s">
        <v>147</v>
      </c>
      <c r="N88" s="149" t="str">
        <f>IF(NOT(ISERROR(MATCH(M88,'Tabla Impacto'!$B$221:$B$223,0))),'Tabla Impacto'!$F$223&amp;"Por favor no seleccionar los criterios de impacto(Afectación Económica o presupuestal y Pérdida Reputacional)",M88)</f>
        <v xml:space="preserve">     El riesgo afecta la imagen de de la entidad con efecto publicitario sostenido a nivel de sector administrativo, nivel departamental o municipal</v>
      </c>
      <c r="O88" s="201" t="str">
        <f>IF(OR(N88='Tabla Impacto'!$C$11,N88='Tabla Impacto'!$D$11),"Leve",IF(OR(N88='Tabla Impacto'!$C$12,N88='Tabla Impacto'!$D$12),"Menor",IF(OR(N88='Tabla Impacto'!$C$13,N88='Tabla Impacto'!$D$13),"Moderado",IF(OR(N88='Tabla Impacto'!$C$14,N88='Tabla Impacto'!$D$14),"Mayor",IF(OR(N88='Tabla Impacto'!$C$15,N88='Tabla Impacto'!$D$15),"Catastrófico","")))))</f>
        <v>Mayor</v>
      </c>
      <c r="P88" s="204">
        <f>IF(O88="","",IF(O88="Leve",0.2,IF(O88="Menor",0.4,IF(O88="Moderado",0.6,IF(O88="Mayor",0.8,IF(O88="Catastrófico",1,))))))</f>
        <v>0.8</v>
      </c>
      <c r="Q88" s="209" t="str">
        <f>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00">
        <v>1</v>
      </c>
      <c r="S88" s="101" t="s">
        <v>522</v>
      </c>
      <c r="T88" s="102" t="str">
        <f t="shared" si="27"/>
        <v>Probabilidad</v>
      </c>
      <c r="U88" s="103" t="s">
        <v>14</v>
      </c>
      <c r="V88" s="103" t="s">
        <v>9</v>
      </c>
      <c r="W88" s="104" t="str">
        <f t="shared" si="28"/>
        <v>40%</v>
      </c>
      <c r="X88" s="103" t="s">
        <v>19</v>
      </c>
      <c r="Y88" s="103" t="s">
        <v>22</v>
      </c>
      <c r="Z88" s="103" t="s">
        <v>113</v>
      </c>
      <c r="AA88" s="145">
        <f t="shared" si="149"/>
        <v>0.36</v>
      </c>
      <c r="AB88" s="106" t="str">
        <f t="shared" si="29"/>
        <v>Baja</v>
      </c>
      <c r="AC88" s="107">
        <f t="shared" si="30"/>
        <v>0.36</v>
      </c>
      <c r="AD88" s="106" t="str">
        <f t="shared" si="31"/>
        <v>Mayor</v>
      </c>
      <c r="AE88" s="107">
        <f t="shared" si="34"/>
        <v>0.8</v>
      </c>
      <c r="AF88" s="108" t="str">
        <f t="shared" si="32"/>
        <v>Alto</v>
      </c>
      <c r="AG88" s="109" t="s">
        <v>129</v>
      </c>
      <c r="AH88" s="148" t="s">
        <v>397</v>
      </c>
      <c r="AI88" s="142" t="s">
        <v>315</v>
      </c>
      <c r="AJ88" s="143" t="s">
        <v>393</v>
      </c>
      <c r="AK88" s="143" t="s">
        <v>393</v>
      </c>
      <c r="AL88" s="144" t="s">
        <v>398</v>
      </c>
      <c r="AM88" s="111"/>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row>
    <row r="89" spans="1:71" ht="151.5" customHeight="1" x14ac:dyDescent="0.25">
      <c r="A89" s="212"/>
      <c r="B89" s="214"/>
      <c r="C89" s="224"/>
      <c r="D89" s="224"/>
      <c r="E89" s="218"/>
      <c r="F89" s="218"/>
      <c r="G89" s="218"/>
      <c r="H89" s="220"/>
      <c r="I89" s="218"/>
      <c r="J89" s="222"/>
      <c r="K89" s="202"/>
      <c r="L89" s="205"/>
      <c r="M89" s="208"/>
      <c r="N89" s="150"/>
      <c r="O89" s="202"/>
      <c r="P89" s="205"/>
      <c r="Q89" s="210"/>
      <c r="R89" s="100">
        <v>2</v>
      </c>
      <c r="S89" s="101" t="s">
        <v>523</v>
      </c>
      <c r="T89" s="102" t="str">
        <f t="shared" ref="T89:T90" si="155">IF(OR(U89="Preventivo",U89="Detectivo"),"Probabilidad",IF(U89="Correctivo","Impacto",""))</f>
        <v/>
      </c>
      <c r="U89" s="103" t="s">
        <v>477</v>
      </c>
      <c r="V89" s="103" t="s">
        <v>9</v>
      </c>
      <c r="W89" s="104" t="str">
        <f t="shared" ref="W89:W90" si="156">IF(AND(U89="Preventivo",V89="Automático"),"50%",IF(AND(U89="Preventivo",V89="Manual"),"40%",IF(AND(U89="Detectivo",V89="Automático"),"40%",IF(AND(U89="Detectivo",V89="Manual"),"30%",IF(AND(U89="Correctivo",V89="Automático"),"35%",IF(AND(U89="Correctivo",V89="Manual"),"25%",""))))))</f>
        <v/>
      </c>
      <c r="X89" s="103" t="s">
        <v>20</v>
      </c>
      <c r="Y89" s="103" t="s">
        <v>22</v>
      </c>
      <c r="Z89" s="103" t="s">
        <v>113</v>
      </c>
      <c r="AA89" s="105" t="str">
        <f t="shared" ref="AA89:AA90" si="157">IFERROR(IF(T89="Probabilidad",(L89-(+L89*W89)),IF(T89="Impacto",L89,"")),"")</f>
        <v/>
      </c>
      <c r="AB89" s="106" t="str">
        <f t="shared" ref="AB89:AB90" si="158">IFERROR(IF(AA89="","",IF(AA89&lt;=0.2,"Muy Baja",IF(AA89&lt;=0.4,"Baja",IF(AA89&lt;=0.6,"Media",IF(AA89&lt;=0.8,"Alta","Muy Alta"))))),"")</f>
        <v/>
      </c>
      <c r="AC89" s="107" t="str">
        <f t="shared" ref="AC89:AC90" si="159">+AA89</f>
        <v/>
      </c>
      <c r="AD89" s="106" t="str">
        <f t="shared" ref="AD89:AD90" si="160">IFERROR(IF(AE89="","",IF(AE89&lt;=0.2,"Leve",IF(AE89&lt;=0.4,"Menor",IF(AE89&lt;=0.6,"Moderado",IF(AE89&lt;=0.8,"Mayor","Catastrófico"))))),"")</f>
        <v/>
      </c>
      <c r="AE89" s="107" t="str">
        <f t="shared" ref="AE89:AE90" si="161">IFERROR(IF(T89="Impacto",(P89-(+P89*W89)),IF(T89="Probabilidad",P89,"")),"")</f>
        <v/>
      </c>
      <c r="AF89" s="108" t="str">
        <f t="shared" ref="AF89:AF90" si="162">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09" t="s">
        <v>129</v>
      </c>
      <c r="AH89" s="148"/>
      <c r="AI89" s="111"/>
      <c r="AJ89" s="112"/>
      <c r="AK89" s="112"/>
      <c r="AL89" s="148"/>
      <c r="AM89" s="111"/>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row>
    <row r="90" spans="1:71" ht="151.5" customHeight="1" x14ac:dyDescent="0.25">
      <c r="A90" s="212"/>
      <c r="B90" s="215"/>
      <c r="C90" s="230"/>
      <c r="D90" s="224"/>
      <c r="E90" s="218"/>
      <c r="F90" s="218"/>
      <c r="G90" s="218"/>
      <c r="H90" s="220"/>
      <c r="I90" s="218"/>
      <c r="J90" s="222"/>
      <c r="K90" s="203"/>
      <c r="L90" s="206"/>
      <c r="M90" s="208"/>
      <c r="N90" s="150"/>
      <c r="O90" s="203"/>
      <c r="P90" s="206"/>
      <c r="Q90" s="211"/>
      <c r="R90" s="100">
        <v>3</v>
      </c>
      <c r="S90" s="101"/>
      <c r="T90" s="102" t="str">
        <f t="shared" si="155"/>
        <v>Probabilidad</v>
      </c>
      <c r="U90" s="103" t="s">
        <v>15</v>
      </c>
      <c r="V90" s="103" t="s">
        <v>9</v>
      </c>
      <c r="W90" s="104" t="str">
        <f t="shared" si="156"/>
        <v>30%</v>
      </c>
      <c r="X90" s="103" t="s">
        <v>20</v>
      </c>
      <c r="Y90" s="103" t="s">
        <v>23</v>
      </c>
      <c r="Z90" s="103" t="s">
        <v>114</v>
      </c>
      <c r="AA90" s="105">
        <f t="shared" si="157"/>
        <v>0</v>
      </c>
      <c r="AB90" s="106" t="str">
        <f t="shared" si="158"/>
        <v>Muy Baja</v>
      </c>
      <c r="AC90" s="107">
        <f t="shared" si="159"/>
        <v>0</v>
      </c>
      <c r="AD90" s="106" t="str">
        <f t="shared" si="160"/>
        <v>Leve</v>
      </c>
      <c r="AE90" s="107">
        <f t="shared" si="161"/>
        <v>0</v>
      </c>
      <c r="AF90" s="108" t="str">
        <f t="shared" si="162"/>
        <v>Bajo</v>
      </c>
      <c r="AG90" s="109"/>
      <c r="AH90" s="148"/>
      <c r="AI90" s="111"/>
      <c r="AJ90" s="112"/>
      <c r="AK90" s="112"/>
      <c r="AL90" s="148"/>
      <c r="AM90" s="111"/>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row>
    <row r="91" spans="1:71" ht="151.5" customHeight="1" x14ac:dyDescent="0.25">
      <c r="A91" s="212">
        <v>29</v>
      </c>
      <c r="B91" s="213" t="s">
        <v>399</v>
      </c>
      <c r="C91" s="223" t="s">
        <v>549</v>
      </c>
      <c r="D91" s="223" t="s">
        <v>400</v>
      </c>
      <c r="E91" s="217" t="s">
        <v>127</v>
      </c>
      <c r="F91" s="225" t="s">
        <v>401</v>
      </c>
      <c r="G91" s="225" t="s">
        <v>402</v>
      </c>
      <c r="H91" s="219" t="s">
        <v>403</v>
      </c>
      <c r="I91" s="217" t="s">
        <v>462</v>
      </c>
      <c r="J91" s="221">
        <v>850</v>
      </c>
      <c r="K91" s="201" t="str">
        <f>IF(J91&lt;=0,"",IF(J91&lt;=2,"Muy Baja",IF(J91&lt;=24,"Baja",IF(J91&lt;=500,"Media",IF(J91&lt;=5000,"Alta","Muy Alta")))))</f>
        <v>Alta</v>
      </c>
      <c r="L91" s="204">
        <f>IF(K91="","",IF(K91="Muy Baja",0.2,IF(K91="Baja",0.4,IF(K91="Media",0.6,IF(K91="Alta",0.8,IF(K91="Muy Alta",1,))))))</f>
        <v>0.8</v>
      </c>
      <c r="M91" s="207" t="s">
        <v>147</v>
      </c>
      <c r="N91" s="149" t="str">
        <f>IF(NOT(ISERROR(MATCH(M91,'Tabla Impacto'!$B$221:$B$223,0))),'Tabla Impacto'!$F$223&amp;"Por favor no seleccionar los criterios de impacto(Afectación Económica o presupuestal y Pérdida Reputacional)",M91)</f>
        <v xml:space="preserve">     El riesgo afecta la imagen de de la entidad con efecto publicitario sostenido a nivel de sector administrativo, nivel departamental o municipal</v>
      </c>
      <c r="O91" s="201" t="str">
        <f>IF(OR(N91='Tabla Impacto'!$C$11,N91='Tabla Impacto'!$D$11),"Leve",IF(OR(N91='Tabla Impacto'!$C$12,N91='Tabla Impacto'!$D$12),"Menor",IF(OR(N91='Tabla Impacto'!$C$13,N91='Tabla Impacto'!$D$13),"Moderado",IF(OR(N91='Tabla Impacto'!$C$14,N91='Tabla Impacto'!$D$14),"Mayor",IF(OR(N91='Tabla Impacto'!$C$15,N91='Tabla Impacto'!$D$15),"Catastrófico","")))))</f>
        <v>Mayor</v>
      </c>
      <c r="P91" s="204">
        <f>IF(O91="","",IF(O91="Leve",0.2,IF(O91="Menor",0.4,IF(O91="Moderado",0.6,IF(O91="Mayor",0.8,IF(O91="Catastrófico",1,))))))</f>
        <v>0.8</v>
      </c>
      <c r="Q91" s="209"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00">
        <v>1</v>
      </c>
      <c r="S91" s="101" t="s">
        <v>404</v>
      </c>
      <c r="T91" s="102" t="str">
        <f t="shared" ref="T91:T93" si="163">IF(OR(U91="Preventivo",U91="Detectivo"),"Probabilidad",IF(U91="Correctivo","Impacto",""))</f>
        <v>Probabilidad</v>
      </c>
      <c r="U91" s="103" t="s">
        <v>14</v>
      </c>
      <c r="V91" s="103" t="s">
        <v>9</v>
      </c>
      <c r="W91" s="104" t="str">
        <f t="shared" ref="W91:W93" si="164">IF(AND(U91="Preventivo",V91="Automático"),"50%",IF(AND(U91="Preventivo",V91="Manual"),"40%",IF(AND(U91="Detectivo",V91="Automático"),"40%",IF(AND(U91="Detectivo",V91="Manual"),"30%",IF(AND(U91="Correctivo",V91="Automático"),"35%",IF(AND(U91="Correctivo",V91="Manual"),"25%",""))))))</f>
        <v>40%</v>
      </c>
      <c r="X91" s="103" t="s">
        <v>20</v>
      </c>
      <c r="Y91" s="103" t="s">
        <v>22</v>
      </c>
      <c r="Z91" s="103" t="s">
        <v>113</v>
      </c>
      <c r="AA91" s="105">
        <f t="shared" ref="AA91:AA93" si="165">IFERROR(IF(T91="Probabilidad",(L91-(+L91*W91)),IF(T91="Impacto",L91,"")),"")</f>
        <v>0.48</v>
      </c>
      <c r="AB91" s="106" t="str">
        <f t="shared" ref="AB91:AB93" si="166">IFERROR(IF(AA91="","",IF(AA91&lt;=0.2,"Muy Baja",IF(AA91&lt;=0.4,"Baja",IF(AA91&lt;=0.6,"Media",IF(AA91&lt;=0.8,"Alta","Muy Alta"))))),"")</f>
        <v>Media</v>
      </c>
      <c r="AC91" s="107">
        <f t="shared" ref="AC91:AC93" si="167">+AA91</f>
        <v>0.48</v>
      </c>
      <c r="AD91" s="106" t="str">
        <f t="shared" ref="AD91:AD93" si="168">IFERROR(IF(AE91="","",IF(AE91&lt;=0.2,"Leve",IF(AE91&lt;=0.4,"Menor",IF(AE91&lt;=0.6,"Moderado",IF(AE91&lt;=0.8,"Mayor","Catastrófico"))))),"")</f>
        <v>Mayor</v>
      </c>
      <c r="AE91" s="107">
        <f t="shared" ref="AE91:AE93" si="169">IFERROR(IF(T91="Impacto",(P91-(+P91*W91)),IF(T91="Probabilidad",P91,"")),"")</f>
        <v>0.8</v>
      </c>
      <c r="AF91" s="108" t="str">
        <f t="shared" ref="AF91:AF93" si="170">IFERROR(IF(OR(AND(AB91="Muy Baja",AD91="Leve"),AND(AB91="Muy Baja",AD91="Menor"),AND(AB91="Baja",AD91="Leve")),"Bajo",IF(OR(AND(AB91="Muy baja",AD91="Moderado"),AND(AB91="Baja",AD91="Menor"),AND(AB91="Baja",AD91="Moderado"),AND(AB91="Media",AD91="Leve"),AND(AB91="Media",AD91="Menor"),AND(AB91="Media",AD91="Moderado"),AND(AB91="Alta",AD91="Leve"),AND(AB91="Alta",AD91="Menor")),"Moderado",IF(OR(AND(AB91="Muy Baja",AD91="Mayor"),AND(AB91="Baja",AD91="Mayor"),AND(AB91="Media",AD91="Mayor"),AND(AB91="Alta",AD91="Moderado"),AND(AB91="Alta",AD91="Mayor"),AND(AB91="Muy Alta",AD91="Leve"),AND(AB91="Muy Alta",AD91="Menor"),AND(AB91="Muy Alta",AD91="Moderado"),AND(AB91="Muy Alta",AD91="Mayor")),"Alto",IF(OR(AND(AB91="Muy Baja",AD91="Catastrófico"),AND(AB91="Baja",AD91="Catastrófico"),AND(AB91="Media",AD91="Catastrófico"),AND(AB91="Alta",AD91="Catastrófico"),AND(AB91="Muy Alta",AD91="Catastrófico")),"Extremo","")))),"")</f>
        <v>Alto</v>
      </c>
      <c r="AG91" s="109" t="s">
        <v>129</v>
      </c>
      <c r="AH91" s="153" t="s">
        <v>406</v>
      </c>
      <c r="AI91" s="111" t="s">
        <v>224</v>
      </c>
      <c r="AJ91" s="112">
        <v>44378</v>
      </c>
      <c r="AK91" s="112">
        <v>44561</v>
      </c>
      <c r="AL91" s="148" t="s">
        <v>407</v>
      </c>
      <c r="AM91" s="111"/>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row>
    <row r="92" spans="1:71" ht="151.5" customHeight="1" x14ac:dyDescent="0.25">
      <c r="A92" s="212"/>
      <c r="B92" s="214"/>
      <c r="C92" s="224"/>
      <c r="D92" s="224"/>
      <c r="E92" s="218"/>
      <c r="F92" s="218"/>
      <c r="G92" s="218"/>
      <c r="H92" s="220"/>
      <c r="I92" s="218"/>
      <c r="J92" s="222"/>
      <c r="K92" s="202"/>
      <c r="L92" s="205"/>
      <c r="M92" s="208"/>
      <c r="N92" s="150"/>
      <c r="O92" s="202"/>
      <c r="P92" s="205"/>
      <c r="Q92" s="210"/>
      <c r="R92" s="100">
        <v>2</v>
      </c>
      <c r="S92" s="101" t="s">
        <v>405</v>
      </c>
      <c r="T92" s="102" t="str">
        <f t="shared" si="163"/>
        <v>Probabilidad</v>
      </c>
      <c r="U92" s="103" t="s">
        <v>14</v>
      </c>
      <c r="V92" s="103" t="s">
        <v>9</v>
      </c>
      <c r="W92" s="104" t="str">
        <f t="shared" si="164"/>
        <v>40%</v>
      </c>
      <c r="X92" s="103" t="s">
        <v>20</v>
      </c>
      <c r="Y92" s="103" t="s">
        <v>22</v>
      </c>
      <c r="Z92" s="103" t="s">
        <v>113</v>
      </c>
      <c r="AA92" s="105">
        <f t="shared" si="165"/>
        <v>0</v>
      </c>
      <c r="AB92" s="106" t="str">
        <f t="shared" si="166"/>
        <v>Muy Baja</v>
      </c>
      <c r="AC92" s="107">
        <f t="shared" si="167"/>
        <v>0</v>
      </c>
      <c r="AD92" s="106" t="str">
        <f t="shared" si="168"/>
        <v>Leve</v>
      </c>
      <c r="AE92" s="107">
        <f t="shared" si="169"/>
        <v>0</v>
      </c>
      <c r="AF92" s="108" t="str">
        <f t="shared" si="170"/>
        <v>Bajo</v>
      </c>
      <c r="AG92" s="109" t="s">
        <v>129</v>
      </c>
      <c r="AH92" s="144" t="s">
        <v>408</v>
      </c>
      <c r="AI92" s="142" t="s">
        <v>224</v>
      </c>
      <c r="AJ92" s="143">
        <v>44378</v>
      </c>
      <c r="AK92" s="143">
        <v>44561</v>
      </c>
      <c r="AL92" s="144" t="s">
        <v>407</v>
      </c>
      <c r="AM92" s="111"/>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row>
    <row r="93" spans="1:71" ht="151.5" customHeight="1" x14ac:dyDescent="0.25">
      <c r="A93" s="231"/>
      <c r="B93" s="215"/>
      <c r="C93" s="224"/>
      <c r="D93" s="224"/>
      <c r="E93" s="218"/>
      <c r="F93" s="218"/>
      <c r="G93" s="218"/>
      <c r="H93" s="220"/>
      <c r="I93" s="218"/>
      <c r="J93" s="222"/>
      <c r="K93" s="203"/>
      <c r="L93" s="206"/>
      <c r="M93" s="208"/>
      <c r="N93" s="150"/>
      <c r="O93" s="203"/>
      <c r="P93" s="206"/>
      <c r="Q93" s="211"/>
      <c r="R93" s="100">
        <v>3</v>
      </c>
      <c r="S93" s="101"/>
      <c r="T93" s="102" t="str">
        <f t="shared" si="163"/>
        <v>Probabilidad</v>
      </c>
      <c r="U93" s="103" t="s">
        <v>15</v>
      </c>
      <c r="V93" s="103" t="s">
        <v>9</v>
      </c>
      <c r="W93" s="104" t="str">
        <f t="shared" si="164"/>
        <v>30%</v>
      </c>
      <c r="X93" s="103" t="s">
        <v>20</v>
      </c>
      <c r="Y93" s="103" t="s">
        <v>23</v>
      </c>
      <c r="Z93" s="103" t="s">
        <v>114</v>
      </c>
      <c r="AA93" s="105">
        <f t="shared" si="165"/>
        <v>0</v>
      </c>
      <c r="AB93" s="106" t="str">
        <f t="shared" si="166"/>
        <v>Muy Baja</v>
      </c>
      <c r="AC93" s="107">
        <f t="shared" si="167"/>
        <v>0</v>
      </c>
      <c r="AD93" s="106" t="str">
        <f t="shared" si="168"/>
        <v>Leve</v>
      </c>
      <c r="AE93" s="107">
        <f t="shared" si="169"/>
        <v>0</v>
      </c>
      <c r="AF93" s="108" t="str">
        <f t="shared" si="170"/>
        <v>Bajo</v>
      </c>
      <c r="AG93" s="109"/>
      <c r="AH93" s="148"/>
      <c r="AI93" s="111"/>
      <c r="AJ93" s="112"/>
      <c r="AK93" s="112"/>
      <c r="AL93" s="148"/>
      <c r="AM93" s="111"/>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row>
    <row r="94" spans="1:71" ht="151.5" customHeight="1" x14ac:dyDescent="0.25">
      <c r="A94" s="216">
        <v>30</v>
      </c>
      <c r="B94" s="213" t="s">
        <v>409</v>
      </c>
      <c r="C94" s="223" t="s">
        <v>550</v>
      </c>
      <c r="D94" s="223" t="s">
        <v>410</v>
      </c>
      <c r="E94" s="217" t="s">
        <v>125</v>
      </c>
      <c r="F94" s="225" t="s">
        <v>411</v>
      </c>
      <c r="G94" s="225" t="s">
        <v>412</v>
      </c>
      <c r="H94" s="219" t="s">
        <v>501</v>
      </c>
      <c r="I94" s="217" t="s">
        <v>462</v>
      </c>
      <c r="J94" s="221">
        <v>12</v>
      </c>
      <c r="K94" s="201" t="str">
        <f>IF(J94&lt;=0,"",IF(J94&lt;=2,"Muy Baja",IF(J94&lt;=24,"Baja",IF(J94&lt;=500,"Media",IF(J94&lt;=5000,"Alta","Muy Alta")))))</f>
        <v>Baja</v>
      </c>
      <c r="L94" s="204">
        <f>IF(K94="","",IF(K94="Muy Baja",0.2,IF(K94="Baja",0.4,IF(K94="Media",0.6,IF(K94="Alta",0.8,IF(K94="Muy Alta",1,))))))</f>
        <v>0.4</v>
      </c>
      <c r="M94" s="207" t="s">
        <v>146</v>
      </c>
      <c r="N94" s="149" t="str">
        <f>IF(NOT(ISERROR(MATCH(M94,'Tabla Impacto'!$B$221:$B$223,0))),'Tabla Impacto'!$F$223&amp;"Por favor no seleccionar los criterios de impacto(Afectación Económica o presupuestal y Pérdida Reputacional)",M94)</f>
        <v xml:space="preserve">     El riesgo afecta la imagen de la entidad con algunos usuarios de relevancia frente al logro de los objetivos</v>
      </c>
      <c r="O94" s="201" t="str">
        <f>IF(OR(N94='Tabla Impacto'!$C$11,N94='Tabla Impacto'!$D$11),"Leve",IF(OR(N94='Tabla Impacto'!$C$12,N94='Tabla Impacto'!$D$12),"Menor",IF(OR(N94='Tabla Impacto'!$C$13,N94='Tabla Impacto'!$D$13),"Moderado",IF(OR(N94='Tabla Impacto'!$C$14,N94='Tabla Impacto'!$D$14),"Mayor",IF(OR(N94='Tabla Impacto'!$C$15,N94='Tabla Impacto'!$D$15),"Catastrófico","")))))</f>
        <v>Moderado</v>
      </c>
      <c r="P94" s="204">
        <f>IF(O94="","",IF(O94="Leve",0.2,IF(O94="Menor",0.4,IF(O94="Moderado",0.6,IF(O94="Mayor",0.8,IF(O94="Catastrófico",1,))))))</f>
        <v>0.6</v>
      </c>
      <c r="Q94" s="209"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Moderado</v>
      </c>
      <c r="R94" s="100">
        <v>1</v>
      </c>
      <c r="S94" s="101" t="s">
        <v>413</v>
      </c>
      <c r="T94" s="102" t="str">
        <f t="shared" si="27"/>
        <v>Probabilidad</v>
      </c>
      <c r="U94" s="103" t="s">
        <v>14</v>
      </c>
      <c r="V94" s="103" t="s">
        <v>9</v>
      </c>
      <c r="W94" s="104" t="str">
        <f t="shared" si="28"/>
        <v>40%</v>
      </c>
      <c r="X94" s="103" t="s">
        <v>19</v>
      </c>
      <c r="Y94" s="103" t="s">
        <v>22</v>
      </c>
      <c r="Z94" s="103" t="s">
        <v>113</v>
      </c>
      <c r="AA94" s="105">
        <f t="shared" si="33"/>
        <v>0.24</v>
      </c>
      <c r="AB94" s="106" t="str">
        <f t="shared" si="29"/>
        <v>Baja</v>
      </c>
      <c r="AC94" s="107">
        <f t="shared" si="30"/>
        <v>0.24</v>
      </c>
      <c r="AD94" s="106" t="str">
        <f t="shared" si="31"/>
        <v>Moderado</v>
      </c>
      <c r="AE94" s="107">
        <f t="shared" si="34"/>
        <v>0.6</v>
      </c>
      <c r="AF94" s="108" t="str">
        <f t="shared" si="32"/>
        <v>Moderado</v>
      </c>
      <c r="AG94" s="109" t="s">
        <v>129</v>
      </c>
      <c r="AH94" s="144" t="s">
        <v>414</v>
      </c>
      <c r="AI94" s="111" t="s">
        <v>256</v>
      </c>
      <c r="AJ94" s="112" t="s">
        <v>225</v>
      </c>
      <c r="AK94" s="112" t="s">
        <v>225</v>
      </c>
      <c r="AL94" s="148"/>
      <c r="AM94" s="111"/>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row>
    <row r="95" spans="1:71" ht="151.5" customHeight="1" x14ac:dyDescent="0.25">
      <c r="A95" s="212"/>
      <c r="B95" s="214"/>
      <c r="C95" s="227"/>
      <c r="D95" s="227"/>
      <c r="E95" s="218"/>
      <c r="F95" s="218"/>
      <c r="G95" s="218"/>
      <c r="H95" s="220"/>
      <c r="I95" s="218"/>
      <c r="J95" s="222"/>
      <c r="K95" s="202"/>
      <c r="L95" s="205"/>
      <c r="M95" s="208"/>
      <c r="N95" s="150"/>
      <c r="O95" s="202"/>
      <c r="P95" s="205"/>
      <c r="Q95" s="210"/>
      <c r="R95" s="100">
        <v>2</v>
      </c>
      <c r="S95" s="101" t="s">
        <v>524</v>
      </c>
      <c r="T95" s="102" t="str">
        <f t="shared" ref="T95:T99" si="171">IF(OR(U95="Preventivo",U95="Detectivo"),"Probabilidad",IF(U95="Correctivo","Impacto",""))</f>
        <v>Probabilidad</v>
      </c>
      <c r="U95" s="103" t="s">
        <v>14</v>
      </c>
      <c r="V95" s="103" t="s">
        <v>9</v>
      </c>
      <c r="W95" s="104" t="str">
        <f t="shared" ref="W95:W99" si="172">IF(AND(U95="Preventivo",V95="Automático"),"50%",IF(AND(U95="Preventivo",V95="Manual"),"40%",IF(AND(U95="Detectivo",V95="Automático"),"40%",IF(AND(U95="Detectivo",V95="Manual"),"30%",IF(AND(U95="Correctivo",V95="Automático"),"35%",IF(AND(U95="Correctivo",V95="Manual"),"25%",""))))))</f>
        <v>40%</v>
      </c>
      <c r="X95" s="103" t="s">
        <v>19</v>
      </c>
      <c r="Y95" s="103" t="s">
        <v>22</v>
      </c>
      <c r="Z95" s="103" t="s">
        <v>113</v>
      </c>
      <c r="AA95" s="105">
        <f t="shared" ref="AA95:AA99" si="173">IFERROR(IF(T95="Probabilidad",(L95-(+L95*W95)),IF(T95="Impacto",L95,"")),"")</f>
        <v>0</v>
      </c>
      <c r="AB95" s="106" t="str">
        <f t="shared" ref="AB95:AB99" si="174">IFERROR(IF(AA95="","",IF(AA95&lt;=0.2,"Muy Baja",IF(AA95&lt;=0.4,"Baja",IF(AA95&lt;=0.6,"Media",IF(AA95&lt;=0.8,"Alta","Muy Alta"))))),"")</f>
        <v>Muy Baja</v>
      </c>
      <c r="AC95" s="107">
        <f t="shared" ref="AC95:AC99" si="175">+AA95</f>
        <v>0</v>
      </c>
      <c r="AD95" s="106" t="str">
        <f t="shared" ref="AD95:AD99" si="176">IFERROR(IF(AE95="","",IF(AE95&lt;=0.2,"Leve",IF(AE95&lt;=0.4,"Menor",IF(AE95&lt;=0.6,"Moderado",IF(AE95&lt;=0.8,"Mayor","Catastrófico"))))),"")</f>
        <v>Leve</v>
      </c>
      <c r="AE95" s="107">
        <f t="shared" ref="AE95:AE99" si="177">IFERROR(IF(T95="Impacto",(P95-(+P95*W95)),IF(T95="Probabilidad",P95,"")),"")</f>
        <v>0</v>
      </c>
      <c r="AF95" s="108" t="str">
        <f t="shared" ref="AF95:AF99" si="178">IFERROR(IF(OR(AND(AB95="Muy Baja",AD95="Leve"),AND(AB95="Muy Baja",AD95="Menor"),AND(AB95="Baja",AD95="Leve")),"Bajo",IF(OR(AND(AB95="Muy baja",AD95="Moderado"),AND(AB95="Baja",AD95="Menor"),AND(AB95="Baja",AD95="Moderado"),AND(AB95="Media",AD95="Leve"),AND(AB95="Media",AD95="Menor"),AND(AB95="Media",AD95="Moderado"),AND(AB95="Alta",AD95="Leve"),AND(AB95="Alta",AD95="Menor")),"Moderado",IF(OR(AND(AB95="Muy Baja",AD95="Mayor"),AND(AB95="Baja",AD95="Mayor"),AND(AB95="Media",AD95="Mayor"),AND(AB95="Alta",AD95="Moderado"),AND(AB95="Alta",AD95="Mayor"),AND(AB95="Muy Alta",AD95="Leve"),AND(AB95="Muy Alta",AD95="Menor"),AND(AB95="Muy Alta",AD95="Moderado"),AND(AB95="Muy Alta",AD95="Mayor")),"Alto",IF(OR(AND(AB95="Muy Baja",AD95="Catastrófico"),AND(AB95="Baja",AD95="Catastrófico"),AND(AB95="Media",AD95="Catastrófico"),AND(AB95="Alta",AD95="Catastrófico"),AND(AB95="Muy Alta",AD95="Catastrófico")),"Extremo","")))),"")</f>
        <v>Bajo</v>
      </c>
      <c r="AG95" s="109" t="s">
        <v>129</v>
      </c>
      <c r="AH95" s="148" t="s">
        <v>478</v>
      </c>
      <c r="AI95" s="112" t="s">
        <v>225</v>
      </c>
      <c r="AJ95" s="112" t="s">
        <v>225</v>
      </c>
      <c r="AK95" s="112" t="s">
        <v>225</v>
      </c>
      <c r="AL95" s="148"/>
      <c r="AM95" s="111"/>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row>
    <row r="96" spans="1:71" ht="151.5" customHeight="1" x14ac:dyDescent="0.25">
      <c r="A96" s="212"/>
      <c r="B96" s="215"/>
      <c r="C96" s="227"/>
      <c r="D96" s="227"/>
      <c r="E96" s="218"/>
      <c r="F96" s="218"/>
      <c r="G96" s="218"/>
      <c r="H96" s="220"/>
      <c r="I96" s="218"/>
      <c r="J96" s="222"/>
      <c r="K96" s="203"/>
      <c r="L96" s="206"/>
      <c r="M96" s="208"/>
      <c r="N96" s="150"/>
      <c r="O96" s="203"/>
      <c r="P96" s="206"/>
      <c r="Q96" s="211"/>
      <c r="R96" s="100">
        <v>3</v>
      </c>
      <c r="S96" s="101"/>
      <c r="T96" s="102" t="str">
        <f t="shared" si="171"/>
        <v>Probabilidad</v>
      </c>
      <c r="U96" s="103" t="s">
        <v>15</v>
      </c>
      <c r="V96" s="103" t="s">
        <v>9</v>
      </c>
      <c r="W96" s="104" t="str">
        <f t="shared" si="172"/>
        <v>30%</v>
      </c>
      <c r="X96" s="103" t="s">
        <v>20</v>
      </c>
      <c r="Y96" s="103" t="s">
        <v>23</v>
      </c>
      <c r="Z96" s="103" t="s">
        <v>114</v>
      </c>
      <c r="AA96" s="105">
        <f t="shared" si="173"/>
        <v>0</v>
      </c>
      <c r="AB96" s="106" t="str">
        <f t="shared" si="174"/>
        <v>Muy Baja</v>
      </c>
      <c r="AC96" s="107">
        <f t="shared" si="175"/>
        <v>0</v>
      </c>
      <c r="AD96" s="106" t="str">
        <f t="shared" si="176"/>
        <v>Leve</v>
      </c>
      <c r="AE96" s="107">
        <f t="shared" si="177"/>
        <v>0</v>
      </c>
      <c r="AF96" s="108" t="str">
        <f t="shared" si="178"/>
        <v>Bajo</v>
      </c>
      <c r="AG96" s="109"/>
      <c r="AH96" s="148"/>
      <c r="AI96" s="111"/>
      <c r="AJ96" s="112"/>
      <c r="AK96" s="112"/>
      <c r="AL96" s="148"/>
      <c r="AM96" s="111"/>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row>
    <row r="97" spans="1:71" ht="151.5" customHeight="1" x14ac:dyDescent="0.25">
      <c r="A97" s="212">
        <v>31</v>
      </c>
      <c r="B97" s="213" t="s">
        <v>409</v>
      </c>
      <c r="C97" s="223" t="s">
        <v>543</v>
      </c>
      <c r="D97" s="223" t="s">
        <v>410</v>
      </c>
      <c r="E97" s="217" t="s">
        <v>125</v>
      </c>
      <c r="F97" s="217" t="s">
        <v>416</v>
      </c>
      <c r="G97" s="217" t="s">
        <v>417</v>
      </c>
      <c r="H97" s="228" t="s">
        <v>415</v>
      </c>
      <c r="I97" s="217" t="s">
        <v>462</v>
      </c>
      <c r="J97" s="221">
        <v>1096</v>
      </c>
      <c r="K97" s="201" t="str">
        <f>IF(J97&lt;=0,"",IF(J97&lt;=2,"Muy Baja",IF(J97&lt;=24,"Baja",IF(J97&lt;=500,"Media",IF(J97&lt;=5000,"Alta","Muy Alta")))))</f>
        <v>Alta</v>
      </c>
      <c r="L97" s="204">
        <f>IF(K97="","",IF(K97="Muy Baja",0.2,IF(K97="Baja",0.4,IF(K97="Media",0.6,IF(K97="Alta",0.8,IF(K97="Muy Alta",1,))))))</f>
        <v>0.8</v>
      </c>
      <c r="M97" s="207" t="s">
        <v>146</v>
      </c>
      <c r="N97" s="149" t="str">
        <f>IF(NOT(ISERROR(MATCH(M97,'Tabla Impacto'!$B$221:$B$223,0))),'Tabla Impacto'!$F$223&amp;"Por favor no seleccionar los criterios de impacto(Afectación Económica o presupuestal y Pérdida Reputacional)",M97)</f>
        <v xml:space="preserve">     El riesgo afecta la imagen de la entidad con algunos usuarios de relevancia frente al logro de los objetivos</v>
      </c>
      <c r="O97" s="201" t="str">
        <f>IF(OR(N97='Tabla Impacto'!$C$11,N97='Tabla Impacto'!$D$11),"Leve",IF(OR(N97='Tabla Impacto'!$C$12,N97='Tabla Impacto'!$D$12),"Menor",IF(OR(N97='Tabla Impacto'!$C$13,N97='Tabla Impacto'!$D$13),"Moderado",IF(OR(N97='Tabla Impacto'!$C$14,N97='Tabla Impacto'!$D$14),"Mayor",IF(OR(N97='Tabla Impacto'!$C$15,N97='Tabla Impacto'!$D$15),"Catastrófico","")))))</f>
        <v>Moderado</v>
      </c>
      <c r="P97" s="204">
        <f>IF(O97="","",IF(O97="Leve",0.2,IF(O97="Menor",0.4,IF(O97="Moderado",0.6,IF(O97="Mayor",0.8,IF(O97="Catastrófico",1,))))))</f>
        <v>0.6</v>
      </c>
      <c r="Q97" s="209"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Alto</v>
      </c>
      <c r="R97" s="100">
        <v>1</v>
      </c>
      <c r="S97" s="101" t="s">
        <v>538</v>
      </c>
      <c r="T97" s="102" t="str">
        <f t="shared" si="171"/>
        <v>Probabilidad</v>
      </c>
      <c r="U97" s="103" t="s">
        <v>14</v>
      </c>
      <c r="V97" s="103" t="s">
        <v>9</v>
      </c>
      <c r="W97" s="104" t="str">
        <f t="shared" si="172"/>
        <v>40%</v>
      </c>
      <c r="X97" s="103" t="s">
        <v>20</v>
      </c>
      <c r="Y97" s="103" t="s">
        <v>22</v>
      </c>
      <c r="Z97" s="103" t="s">
        <v>113</v>
      </c>
      <c r="AA97" s="105">
        <f t="shared" si="173"/>
        <v>0.48</v>
      </c>
      <c r="AB97" s="106" t="str">
        <f t="shared" si="174"/>
        <v>Media</v>
      </c>
      <c r="AC97" s="107">
        <f t="shared" si="175"/>
        <v>0.48</v>
      </c>
      <c r="AD97" s="106" t="str">
        <f t="shared" si="176"/>
        <v>Moderado</v>
      </c>
      <c r="AE97" s="107">
        <f t="shared" si="177"/>
        <v>0.6</v>
      </c>
      <c r="AF97" s="108" t="str">
        <f t="shared" si="178"/>
        <v>Moderado</v>
      </c>
      <c r="AG97" s="109" t="s">
        <v>129</v>
      </c>
      <c r="AH97" s="148" t="s">
        <v>479</v>
      </c>
      <c r="AI97" s="111" t="s">
        <v>418</v>
      </c>
      <c r="AJ97" s="112">
        <v>44440</v>
      </c>
      <c r="AK97" s="112">
        <v>44561</v>
      </c>
      <c r="AL97" s="148" t="s">
        <v>525</v>
      </c>
      <c r="AM97" s="111"/>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row>
    <row r="98" spans="1:71" ht="151.5" customHeight="1" x14ac:dyDescent="0.25">
      <c r="A98" s="212"/>
      <c r="B98" s="214"/>
      <c r="C98" s="227"/>
      <c r="D98" s="227"/>
      <c r="E98" s="218"/>
      <c r="F98" s="218"/>
      <c r="G98" s="218"/>
      <c r="H98" s="229"/>
      <c r="I98" s="218"/>
      <c r="J98" s="222"/>
      <c r="K98" s="202"/>
      <c r="L98" s="205"/>
      <c r="M98" s="208"/>
      <c r="N98" s="150"/>
      <c r="O98" s="202"/>
      <c r="P98" s="205"/>
      <c r="Q98" s="210"/>
      <c r="R98" s="100">
        <v>2</v>
      </c>
      <c r="S98" s="101" t="s">
        <v>480</v>
      </c>
      <c r="T98" s="102" t="str">
        <f t="shared" si="171"/>
        <v>Probabilidad</v>
      </c>
      <c r="U98" s="103" t="s">
        <v>14</v>
      </c>
      <c r="V98" s="103" t="s">
        <v>9</v>
      </c>
      <c r="W98" s="104" t="str">
        <f t="shared" si="172"/>
        <v>40%</v>
      </c>
      <c r="X98" s="103" t="s">
        <v>19</v>
      </c>
      <c r="Y98" s="103" t="s">
        <v>22</v>
      </c>
      <c r="Z98" s="103" t="s">
        <v>113</v>
      </c>
      <c r="AA98" s="105">
        <f t="shared" si="173"/>
        <v>0</v>
      </c>
      <c r="AB98" s="106" t="str">
        <f t="shared" si="174"/>
        <v>Muy Baja</v>
      </c>
      <c r="AC98" s="107">
        <f t="shared" si="175"/>
        <v>0</v>
      </c>
      <c r="AD98" s="106" t="str">
        <f t="shared" si="176"/>
        <v>Leve</v>
      </c>
      <c r="AE98" s="107">
        <f t="shared" si="177"/>
        <v>0</v>
      </c>
      <c r="AF98" s="108" t="str">
        <f t="shared" si="178"/>
        <v>Bajo</v>
      </c>
      <c r="AG98" s="109" t="s">
        <v>129</v>
      </c>
      <c r="AH98" s="148" t="s">
        <v>419</v>
      </c>
      <c r="AI98" s="111" t="s">
        <v>420</v>
      </c>
      <c r="AJ98" s="112" t="s">
        <v>225</v>
      </c>
      <c r="AK98" s="112" t="s">
        <v>225</v>
      </c>
      <c r="AL98" s="148"/>
      <c r="AM98" s="111"/>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row>
    <row r="99" spans="1:71" ht="151.5" customHeight="1" x14ac:dyDescent="0.25">
      <c r="A99" s="212"/>
      <c r="B99" s="215"/>
      <c r="C99" s="227"/>
      <c r="D99" s="227"/>
      <c r="E99" s="218"/>
      <c r="F99" s="218"/>
      <c r="G99" s="218"/>
      <c r="H99" s="229"/>
      <c r="I99" s="218"/>
      <c r="J99" s="222"/>
      <c r="K99" s="203"/>
      <c r="L99" s="206"/>
      <c r="M99" s="208"/>
      <c r="N99" s="150"/>
      <c r="O99" s="203"/>
      <c r="P99" s="206"/>
      <c r="Q99" s="211"/>
      <c r="R99" s="100">
        <v>3</v>
      </c>
      <c r="S99" s="101"/>
      <c r="T99" s="102" t="str">
        <f t="shared" si="171"/>
        <v>Probabilidad</v>
      </c>
      <c r="U99" s="103" t="s">
        <v>15</v>
      </c>
      <c r="V99" s="103" t="s">
        <v>9</v>
      </c>
      <c r="W99" s="104" t="str">
        <f t="shared" si="172"/>
        <v>30%</v>
      </c>
      <c r="X99" s="103" t="s">
        <v>20</v>
      </c>
      <c r="Y99" s="103" t="s">
        <v>23</v>
      </c>
      <c r="Z99" s="103" t="s">
        <v>114</v>
      </c>
      <c r="AA99" s="105">
        <f t="shared" si="173"/>
        <v>0</v>
      </c>
      <c r="AB99" s="106" t="str">
        <f t="shared" si="174"/>
        <v>Muy Baja</v>
      </c>
      <c r="AC99" s="107">
        <f t="shared" si="175"/>
        <v>0</v>
      </c>
      <c r="AD99" s="106" t="str">
        <f t="shared" si="176"/>
        <v>Leve</v>
      </c>
      <c r="AE99" s="107">
        <f t="shared" si="177"/>
        <v>0</v>
      </c>
      <c r="AF99" s="108" t="str">
        <f t="shared" si="178"/>
        <v>Bajo</v>
      </c>
      <c r="AG99" s="109"/>
      <c r="AH99" s="148"/>
      <c r="AI99" s="111"/>
      <c r="AJ99" s="112"/>
      <c r="AK99" s="112"/>
      <c r="AL99" s="148"/>
      <c r="AM99" s="111"/>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row>
    <row r="100" spans="1:71" ht="151.5" customHeight="1" x14ac:dyDescent="0.25">
      <c r="A100" s="212">
        <v>32</v>
      </c>
      <c r="B100" s="213" t="s">
        <v>421</v>
      </c>
      <c r="C100" s="223" t="s">
        <v>551</v>
      </c>
      <c r="D100" s="223" t="s">
        <v>422</v>
      </c>
      <c r="E100" s="217" t="s">
        <v>125</v>
      </c>
      <c r="F100" s="217" t="s">
        <v>423</v>
      </c>
      <c r="G100" s="217" t="s">
        <v>424</v>
      </c>
      <c r="H100" s="228" t="s">
        <v>425</v>
      </c>
      <c r="I100" s="217" t="s">
        <v>122</v>
      </c>
      <c r="J100" s="221">
        <v>365</v>
      </c>
      <c r="K100" s="201" t="str">
        <f>IF(J100&lt;=0,"",IF(J100&lt;=2,"Muy Baja",IF(J100&lt;=24,"Baja",IF(J100&lt;=500,"Media",IF(J100&lt;=5000,"Alta","Muy Alta")))))</f>
        <v>Media</v>
      </c>
      <c r="L100" s="204">
        <f>IF(K100="","",IF(K100="Muy Baja",0.2,IF(K100="Baja",0.4,IF(K100="Media",0.6,IF(K100="Alta",0.8,IF(K100="Muy Alta",1,))))))</f>
        <v>0.6</v>
      </c>
      <c r="M100" s="207" t="s">
        <v>146</v>
      </c>
      <c r="N100" s="149" t="str">
        <f>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201" t="str">
        <f>IF(OR(N100='Tabla Impacto'!$C$11,N100='Tabla Impacto'!$D$11),"Leve",IF(OR(N100='Tabla Impacto'!$C$12,N100='Tabla Impacto'!$D$12),"Menor",IF(OR(N100='Tabla Impacto'!$C$13,N100='Tabla Impacto'!$D$13),"Moderado",IF(OR(N100='Tabla Impacto'!$C$14,N100='Tabla Impacto'!$D$14),"Mayor",IF(OR(N100='Tabla Impacto'!$C$15,N100='Tabla Impacto'!$D$15),"Catastrófico","")))))</f>
        <v>Moderado</v>
      </c>
      <c r="P100" s="204">
        <f>IF(O100="","",IF(O100="Leve",0.2,IF(O100="Menor",0.4,IF(O100="Moderado",0.6,IF(O100="Mayor",0.8,IF(O100="Catastrófico",1,))))))</f>
        <v>0.6</v>
      </c>
      <c r="Q100" s="209" t="str">
        <f>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Moderado</v>
      </c>
      <c r="R100" s="100">
        <v>1</v>
      </c>
      <c r="S100" s="101" t="s">
        <v>526</v>
      </c>
      <c r="T100" s="102" t="str">
        <f t="shared" ref="T100:T102" si="179">IF(OR(U100="Preventivo",U100="Detectivo"),"Probabilidad",IF(U100="Correctivo","Impacto",""))</f>
        <v>Probabilidad</v>
      </c>
      <c r="U100" s="103" t="s">
        <v>15</v>
      </c>
      <c r="V100" s="103" t="s">
        <v>9</v>
      </c>
      <c r="W100" s="104" t="str">
        <f t="shared" ref="W100:W102" si="180">IF(AND(U100="Preventivo",V100="Automático"),"50%",IF(AND(U100="Preventivo",V100="Manual"),"40%",IF(AND(U100="Detectivo",V100="Automático"),"40%",IF(AND(U100="Detectivo",V100="Manual"),"30%",IF(AND(U100="Correctivo",V100="Automático"),"35%",IF(AND(U100="Correctivo",V100="Manual"),"25%",""))))))</f>
        <v>30%</v>
      </c>
      <c r="X100" s="103" t="s">
        <v>19</v>
      </c>
      <c r="Y100" s="103" t="s">
        <v>22</v>
      </c>
      <c r="Z100" s="103" t="s">
        <v>113</v>
      </c>
      <c r="AA100" s="105">
        <f t="shared" ref="AA100:AA102" si="181">IFERROR(IF(T100="Probabilidad",(L100-(+L100*W100)),IF(T100="Impacto",L100,"")),"")</f>
        <v>0.42</v>
      </c>
      <c r="AB100" s="106" t="str">
        <f t="shared" ref="AB100:AB102" si="182">IFERROR(IF(AA100="","",IF(AA100&lt;=0.2,"Muy Baja",IF(AA100&lt;=0.4,"Baja",IF(AA100&lt;=0.6,"Media",IF(AA100&lt;=0.8,"Alta","Muy Alta"))))),"")</f>
        <v>Media</v>
      </c>
      <c r="AC100" s="107">
        <f t="shared" ref="AC100:AC102" si="183">+AA100</f>
        <v>0.42</v>
      </c>
      <c r="AD100" s="106" t="str">
        <f t="shared" ref="AD100:AD102" si="184">IFERROR(IF(AE100="","",IF(AE100&lt;=0.2,"Leve",IF(AE100&lt;=0.4,"Menor",IF(AE100&lt;=0.6,"Moderado",IF(AE100&lt;=0.8,"Mayor","Catastrófico"))))),"")</f>
        <v>Moderado</v>
      </c>
      <c r="AE100" s="107">
        <f t="shared" ref="AE100:AE102" si="185">IFERROR(IF(T100="Impacto",(P100-(+P100*W100)),IF(T100="Probabilidad",P100,"")),"")</f>
        <v>0.6</v>
      </c>
      <c r="AF100" s="108" t="str">
        <f t="shared" ref="AF100:AF102" si="186">IFERROR(IF(OR(AND(AB100="Muy Baja",AD100="Leve"),AND(AB100="Muy Baja",AD100="Menor"),AND(AB100="Baja",AD100="Leve")),"Bajo",IF(OR(AND(AB100="Muy baja",AD100="Moderado"),AND(AB100="Baja",AD100="Menor"),AND(AB100="Baja",AD100="Moderado"),AND(AB100="Media",AD100="Leve"),AND(AB100="Media",AD100="Menor"),AND(AB100="Media",AD100="Moderado"),AND(AB100="Alta",AD100="Leve"),AND(AB100="Alta",AD100="Menor")),"Moderado",IF(OR(AND(AB100="Muy Baja",AD100="Mayor"),AND(AB100="Baja",AD100="Mayor"),AND(AB100="Media",AD100="Mayor"),AND(AB100="Alta",AD100="Moderado"),AND(AB100="Alta",AD100="Mayor"),AND(AB100="Muy Alta",AD100="Leve"),AND(AB100="Muy Alta",AD100="Menor"),AND(AB100="Muy Alta",AD100="Moderado"),AND(AB100="Muy Alta",AD100="Mayor")),"Alto",IF(OR(AND(AB100="Muy Baja",AD100="Catastrófico"),AND(AB100="Baja",AD100="Catastrófico"),AND(AB100="Media",AD100="Catastrófico"),AND(AB100="Alta",AD100="Catastrófico"),AND(AB100="Muy Alta",AD100="Catastrófico")),"Extremo","")))),"")</f>
        <v>Moderado</v>
      </c>
      <c r="AG100" s="109" t="s">
        <v>129</v>
      </c>
      <c r="AH100" s="154" t="s">
        <v>426</v>
      </c>
      <c r="AI100" s="146" t="s">
        <v>233</v>
      </c>
      <c r="AJ100" s="147" t="s">
        <v>225</v>
      </c>
      <c r="AK100" s="147" t="s">
        <v>225</v>
      </c>
      <c r="AL100" s="154" t="s">
        <v>527</v>
      </c>
      <c r="AM100" s="111"/>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row>
    <row r="101" spans="1:71" ht="151.5" customHeight="1" x14ac:dyDescent="0.25">
      <c r="A101" s="212"/>
      <c r="B101" s="214"/>
      <c r="C101" s="227"/>
      <c r="D101" s="227"/>
      <c r="E101" s="218"/>
      <c r="F101" s="218"/>
      <c r="G101" s="218"/>
      <c r="H101" s="229"/>
      <c r="I101" s="218"/>
      <c r="J101" s="222"/>
      <c r="K101" s="202"/>
      <c r="L101" s="205"/>
      <c r="M101" s="208"/>
      <c r="N101" s="150"/>
      <c r="O101" s="202"/>
      <c r="P101" s="205"/>
      <c r="Q101" s="210"/>
      <c r="R101" s="100">
        <v>2</v>
      </c>
      <c r="S101" s="101" t="s">
        <v>540</v>
      </c>
      <c r="T101" s="102" t="str">
        <f t="shared" si="179"/>
        <v>Probabilidad</v>
      </c>
      <c r="U101" s="103" t="s">
        <v>14</v>
      </c>
      <c r="V101" s="103" t="s">
        <v>9</v>
      </c>
      <c r="W101" s="104" t="str">
        <f t="shared" si="180"/>
        <v>40%</v>
      </c>
      <c r="X101" s="103" t="s">
        <v>19</v>
      </c>
      <c r="Y101" s="103" t="s">
        <v>23</v>
      </c>
      <c r="Z101" s="103" t="s">
        <v>113</v>
      </c>
      <c r="AA101" s="105">
        <f t="shared" si="181"/>
        <v>0</v>
      </c>
      <c r="AB101" s="106" t="str">
        <f t="shared" si="182"/>
        <v>Muy Baja</v>
      </c>
      <c r="AC101" s="107">
        <f t="shared" si="183"/>
        <v>0</v>
      </c>
      <c r="AD101" s="106" t="str">
        <f t="shared" si="184"/>
        <v>Leve</v>
      </c>
      <c r="AE101" s="107">
        <f t="shared" si="185"/>
        <v>0</v>
      </c>
      <c r="AF101" s="108" t="str">
        <f t="shared" si="186"/>
        <v>Bajo</v>
      </c>
      <c r="AG101" s="109" t="s">
        <v>129</v>
      </c>
      <c r="AH101" s="154" t="s">
        <v>427</v>
      </c>
      <c r="AI101" s="146" t="s">
        <v>256</v>
      </c>
      <c r="AJ101" s="147" t="s">
        <v>225</v>
      </c>
      <c r="AK101" s="147" t="s">
        <v>225</v>
      </c>
      <c r="AL101" s="154" t="s">
        <v>428</v>
      </c>
      <c r="AM101" s="111"/>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row>
    <row r="102" spans="1:71" ht="99.75" customHeight="1" x14ac:dyDescent="0.25">
      <c r="A102" s="212"/>
      <c r="B102" s="215"/>
      <c r="C102" s="227"/>
      <c r="D102" s="227"/>
      <c r="E102" s="218"/>
      <c r="F102" s="218"/>
      <c r="G102" s="218"/>
      <c r="H102" s="229"/>
      <c r="I102" s="218"/>
      <c r="J102" s="222"/>
      <c r="K102" s="203"/>
      <c r="L102" s="206"/>
      <c r="M102" s="208"/>
      <c r="N102" s="150"/>
      <c r="O102" s="203"/>
      <c r="P102" s="206"/>
      <c r="Q102" s="211"/>
      <c r="R102" s="100">
        <v>3</v>
      </c>
      <c r="S102" s="101"/>
      <c r="T102" s="102" t="str">
        <f t="shared" si="179"/>
        <v>Probabilidad</v>
      </c>
      <c r="U102" s="103" t="s">
        <v>15</v>
      </c>
      <c r="V102" s="103" t="s">
        <v>9</v>
      </c>
      <c r="W102" s="104" t="str">
        <f t="shared" si="180"/>
        <v>30%</v>
      </c>
      <c r="X102" s="103" t="s">
        <v>20</v>
      </c>
      <c r="Y102" s="103" t="s">
        <v>23</v>
      </c>
      <c r="Z102" s="103" t="s">
        <v>114</v>
      </c>
      <c r="AA102" s="105">
        <f t="shared" si="181"/>
        <v>0</v>
      </c>
      <c r="AB102" s="106" t="str">
        <f t="shared" si="182"/>
        <v>Muy Baja</v>
      </c>
      <c r="AC102" s="107">
        <f t="shared" si="183"/>
        <v>0</v>
      </c>
      <c r="AD102" s="106" t="str">
        <f t="shared" si="184"/>
        <v>Leve</v>
      </c>
      <c r="AE102" s="107">
        <f t="shared" si="185"/>
        <v>0</v>
      </c>
      <c r="AF102" s="108" t="str">
        <f t="shared" si="186"/>
        <v>Bajo</v>
      </c>
      <c r="AG102" s="109"/>
      <c r="AH102" s="148"/>
      <c r="AI102" s="111"/>
      <c r="AJ102" s="112"/>
      <c r="AK102" s="112"/>
      <c r="AL102" s="148"/>
      <c r="AM102" s="111"/>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row>
    <row r="103" spans="1:71" ht="151.5" customHeight="1" x14ac:dyDescent="0.25">
      <c r="A103" s="212">
        <v>33</v>
      </c>
      <c r="B103" s="213" t="s">
        <v>421</v>
      </c>
      <c r="C103" s="223" t="s">
        <v>551</v>
      </c>
      <c r="D103" s="223" t="s">
        <v>422</v>
      </c>
      <c r="E103" s="217" t="s">
        <v>125</v>
      </c>
      <c r="F103" s="217" t="s">
        <v>429</v>
      </c>
      <c r="G103" s="217" t="s">
        <v>481</v>
      </c>
      <c r="H103" s="219" t="s">
        <v>482</v>
      </c>
      <c r="I103" s="217" t="s">
        <v>462</v>
      </c>
      <c r="J103" s="221">
        <v>365</v>
      </c>
      <c r="K103" s="201" t="str">
        <f>IF(J103&lt;=0,"",IF(J103&lt;=2,"Muy Baja",IF(J103&lt;=24,"Baja",IF(J103&lt;=500,"Media",IF(J103&lt;=5000,"Alta","Muy Alta")))))</f>
        <v>Media</v>
      </c>
      <c r="L103" s="204">
        <f>IF(K103="","",IF(K103="Muy Baja",0.2,IF(K103="Baja",0.4,IF(K103="Media",0.6,IF(K103="Alta",0.8,IF(K103="Muy Alta",1,))))))</f>
        <v>0.6</v>
      </c>
      <c r="M103" s="207" t="s">
        <v>146</v>
      </c>
      <c r="N103" s="149" t="str">
        <f>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201" t="str">
        <f>IF(OR(N103='Tabla Impacto'!$C$11,N103='Tabla Impacto'!$D$11),"Leve",IF(OR(N103='Tabla Impacto'!$C$12,N103='Tabla Impacto'!$D$12),"Menor",IF(OR(N103='Tabla Impacto'!$C$13,N103='Tabla Impacto'!$D$13),"Moderado",IF(OR(N103='Tabla Impacto'!$C$14,N103='Tabla Impacto'!$D$14),"Mayor",IF(OR(N103='Tabla Impacto'!$C$15,N103='Tabla Impacto'!$D$15),"Catastrófico","")))))</f>
        <v>Moderado</v>
      </c>
      <c r="P103" s="204">
        <f>IF(O103="","",IF(O103="Leve",0.2,IF(O103="Menor",0.4,IF(O103="Moderado",0.6,IF(O103="Mayor",0.8,IF(O103="Catastrófico",1,))))))</f>
        <v>0.6</v>
      </c>
      <c r="Q103" s="209"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100">
        <v>1</v>
      </c>
      <c r="S103" s="101" t="s">
        <v>483</v>
      </c>
      <c r="T103" s="102" t="str">
        <f t="shared" si="27"/>
        <v>Probabilidad</v>
      </c>
      <c r="U103" s="103" t="s">
        <v>14</v>
      </c>
      <c r="V103" s="103" t="s">
        <v>9</v>
      </c>
      <c r="W103" s="104" t="str">
        <f t="shared" si="28"/>
        <v>40%</v>
      </c>
      <c r="X103" s="103" t="s">
        <v>19</v>
      </c>
      <c r="Y103" s="103" t="s">
        <v>23</v>
      </c>
      <c r="Z103" s="103" t="s">
        <v>113</v>
      </c>
      <c r="AA103" s="105">
        <f t="shared" si="33"/>
        <v>0.36</v>
      </c>
      <c r="AB103" s="106" t="str">
        <f t="shared" si="29"/>
        <v>Baja</v>
      </c>
      <c r="AC103" s="107">
        <f t="shared" si="30"/>
        <v>0.36</v>
      </c>
      <c r="AD103" s="106" t="str">
        <f t="shared" si="31"/>
        <v>Moderado</v>
      </c>
      <c r="AE103" s="107">
        <f t="shared" si="34"/>
        <v>0.6</v>
      </c>
      <c r="AF103" s="108" t="str">
        <f t="shared" si="32"/>
        <v>Moderado</v>
      </c>
      <c r="AG103" s="109" t="s">
        <v>129</v>
      </c>
      <c r="AH103" s="154" t="s">
        <v>484</v>
      </c>
      <c r="AI103" s="146" t="s">
        <v>352</v>
      </c>
      <c r="AJ103" s="147" t="s">
        <v>225</v>
      </c>
      <c r="AK103" s="147" t="s">
        <v>225</v>
      </c>
      <c r="AL103" s="154" t="s">
        <v>430</v>
      </c>
      <c r="AM103" s="111"/>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row>
    <row r="104" spans="1:71" ht="151.5" customHeight="1" x14ac:dyDescent="0.25">
      <c r="A104" s="212"/>
      <c r="B104" s="214"/>
      <c r="C104" s="227"/>
      <c r="D104" s="227"/>
      <c r="E104" s="218"/>
      <c r="F104" s="218"/>
      <c r="G104" s="218"/>
      <c r="H104" s="220"/>
      <c r="I104" s="218"/>
      <c r="J104" s="222"/>
      <c r="K104" s="202"/>
      <c r="L104" s="205"/>
      <c r="M104" s="208"/>
      <c r="N104" s="150"/>
      <c r="O104" s="202"/>
      <c r="P104" s="205"/>
      <c r="Q104" s="210"/>
      <c r="R104" s="100">
        <v>2</v>
      </c>
      <c r="S104" s="101" t="s">
        <v>528</v>
      </c>
      <c r="T104" s="102" t="str">
        <f t="shared" ref="T104:T105" si="187">IF(OR(U104="Preventivo",U104="Detectivo"),"Probabilidad",IF(U104="Correctivo","Impacto",""))</f>
        <v>Probabilidad</v>
      </c>
      <c r="U104" s="103" t="s">
        <v>14</v>
      </c>
      <c r="V104" s="103" t="s">
        <v>9</v>
      </c>
      <c r="W104" s="104" t="str">
        <f t="shared" ref="W104:W105" si="188">IF(AND(U104="Preventivo",V104="Automático"),"50%",IF(AND(U104="Preventivo",V104="Manual"),"40%",IF(AND(U104="Detectivo",V104="Automático"),"40%",IF(AND(U104="Detectivo",V104="Manual"),"30%",IF(AND(U104="Correctivo",V104="Automático"),"35%",IF(AND(U104="Correctivo",V104="Manual"),"25%",""))))))</f>
        <v>40%</v>
      </c>
      <c r="X104" s="103" t="s">
        <v>20</v>
      </c>
      <c r="Y104" s="103" t="s">
        <v>22</v>
      </c>
      <c r="Z104" s="103" t="s">
        <v>113</v>
      </c>
      <c r="AA104" s="105">
        <f t="shared" ref="AA104:AA105" si="189">IFERROR(IF(T104="Probabilidad",(L104-(+L104*W104)),IF(T104="Impacto",L104,"")),"")</f>
        <v>0</v>
      </c>
      <c r="AB104" s="106" t="str">
        <f t="shared" ref="AB104:AB105" si="190">IFERROR(IF(AA104="","",IF(AA104&lt;=0.2,"Muy Baja",IF(AA104&lt;=0.4,"Baja",IF(AA104&lt;=0.6,"Media",IF(AA104&lt;=0.8,"Alta","Muy Alta"))))),"")</f>
        <v>Muy Baja</v>
      </c>
      <c r="AC104" s="107">
        <f t="shared" ref="AC104:AC105" si="191">+AA104</f>
        <v>0</v>
      </c>
      <c r="AD104" s="106" t="str">
        <f t="shared" ref="AD104:AD105" si="192">IFERROR(IF(AE104="","",IF(AE104&lt;=0.2,"Leve",IF(AE104&lt;=0.4,"Menor",IF(AE104&lt;=0.6,"Moderado",IF(AE104&lt;=0.8,"Mayor","Catastrófico"))))),"")</f>
        <v>Leve</v>
      </c>
      <c r="AE104" s="107">
        <f t="shared" ref="AE104:AE105" si="193">IFERROR(IF(T104="Impacto",(P104-(+P104*W104)),IF(T104="Probabilidad",P104,"")),"")</f>
        <v>0</v>
      </c>
      <c r="AF104" s="108" t="str">
        <f t="shared" ref="AF104:AF105" si="194">IFERROR(IF(OR(AND(AB104="Muy Baja",AD104="Leve"),AND(AB104="Muy Baja",AD104="Menor"),AND(AB104="Baja",AD104="Leve")),"Bajo",IF(OR(AND(AB104="Muy baja",AD104="Moderado"),AND(AB104="Baja",AD104="Menor"),AND(AB104="Baja",AD104="Moderado"),AND(AB104="Media",AD104="Leve"),AND(AB104="Media",AD104="Menor"),AND(AB104="Media",AD104="Moderado"),AND(AB104="Alta",AD104="Leve"),AND(AB104="Alta",AD104="Menor")),"Moderado",IF(OR(AND(AB104="Muy Baja",AD104="Mayor"),AND(AB104="Baja",AD104="Mayor"),AND(AB104="Media",AD104="Mayor"),AND(AB104="Alta",AD104="Moderado"),AND(AB104="Alta",AD104="Mayor"),AND(AB104="Muy Alta",AD104="Leve"),AND(AB104="Muy Alta",AD104="Menor"),AND(AB104="Muy Alta",AD104="Moderado"),AND(AB104="Muy Alta",AD104="Mayor")),"Alto",IF(OR(AND(AB104="Muy Baja",AD104="Catastrófico"),AND(AB104="Baja",AD104="Catastrófico"),AND(AB104="Media",AD104="Catastrófico"),AND(AB104="Alta",AD104="Catastrófico"),AND(AB104="Muy Alta",AD104="Catastrófico")),"Extremo","")))),"")</f>
        <v>Bajo</v>
      </c>
      <c r="AG104" s="109" t="s">
        <v>129</v>
      </c>
      <c r="AH104" s="154" t="s">
        <v>426</v>
      </c>
      <c r="AI104" s="146" t="s">
        <v>233</v>
      </c>
      <c r="AJ104" s="147" t="s">
        <v>225</v>
      </c>
      <c r="AK104" s="147" t="s">
        <v>225</v>
      </c>
      <c r="AL104" s="154" t="s">
        <v>527</v>
      </c>
      <c r="AM104" s="111"/>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row>
    <row r="105" spans="1:71" ht="151.5" customHeight="1" x14ac:dyDescent="0.25">
      <c r="A105" s="212"/>
      <c r="B105" s="215"/>
      <c r="C105" s="227"/>
      <c r="D105" s="227"/>
      <c r="E105" s="218"/>
      <c r="F105" s="218"/>
      <c r="G105" s="218"/>
      <c r="H105" s="220"/>
      <c r="I105" s="218"/>
      <c r="J105" s="222"/>
      <c r="K105" s="203"/>
      <c r="L105" s="206"/>
      <c r="M105" s="208"/>
      <c r="N105" s="150"/>
      <c r="O105" s="203"/>
      <c r="P105" s="206"/>
      <c r="Q105" s="211"/>
      <c r="R105" s="100">
        <v>3</v>
      </c>
      <c r="S105" s="101"/>
      <c r="T105" s="102" t="str">
        <f t="shared" si="187"/>
        <v>Probabilidad</v>
      </c>
      <c r="U105" s="103" t="s">
        <v>15</v>
      </c>
      <c r="V105" s="103" t="s">
        <v>9</v>
      </c>
      <c r="W105" s="104" t="str">
        <f t="shared" si="188"/>
        <v>30%</v>
      </c>
      <c r="X105" s="103" t="s">
        <v>20</v>
      </c>
      <c r="Y105" s="103" t="s">
        <v>23</v>
      </c>
      <c r="Z105" s="103" t="s">
        <v>114</v>
      </c>
      <c r="AA105" s="105">
        <f t="shared" si="189"/>
        <v>0</v>
      </c>
      <c r="AB105" s="106" t="str">
        <f t="shared" si="190"/>
        <v>Muy Baja</v>
      </c>
      <c r="AC105" s="107">
        <f t="shared" si="191"/>
        <v>0</v>
      </c>
      <c r="AD105" s="106" t="str">
        <f t="shared" si="192"/>
        <v>Leve</v>
      </c>
      <c r="AE105" s="107">
        <f t="shared" si="193"/>
        <v>0</v>
      </c>
      <c r="AF105" s="108" t="str">
        <f t="shared" si="194"/>
        <v>Bajo</v>
      </c>
      <c r="AG105" s="109"/>
      <c r="AH105" s="148"/>
      <c r="AI105" s="111"/>
      <c r="AJ105" s="112"/>
      <c r="AK105" s="112"/>
      <c r="AL105" s="148"/>
      <c r="AM105" s="111"/>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row>
    <row r="106" spans="1:71" ht="151.5" customHeight="1" x14ac:dyDescent="0.25">
      <c r="A106" s="212">
        <v>34</v>
      </c>
      <c r="B106" s="213" t="s">
        <v>421</v>
      </c>
      <c r="C106" s="223" t="s">
        <v>551</v>
      </c>
      <c r="D106" s="223" t="s">
        <v>422</v>
      </c>
      <c r="E106" s="217" t="s">
        <v>127</v>
      </c>
      <c r="F106" s="217" t="s">
        <v>432</v>
      </c>
      <c r="G106" s="217" t="s">
        <v>433</v>
      </c>
      <c r="H106" s="219" t="s">
        <v>431</v>
      </c>
      <c r="I106" s="217" t="s">
        <v>485</v>
      </c>
      <c r="J106" s="221">
        <v>365</v>
      </c>
      <c r="K106" s="201" t="str">
        <f>IF(J106&lt;=0,"",IF(J106&lt;=2,"Muy Baja",IF(J106&lt;=24,"Baja",IF(J106&lt;=500,"Media",IF(J106&lt;=5000,"Alta","Muy Alta")))))</f>
        <v>Media</v>
      </c>
      <c r="L106" s="204">
        <f>IF(K106="","",IF(K106="Muy Baja",0.2,IF(K106="Baja",0.4,IF(K106="Media",0.6,IF(K106="Alta",0.8,IF(K106="Muy Alta",1,))))))</f>
        <v>0.6</v>
      </c>
      <c r="M106" s="207" t="s">
        <v>147</v>
      </c>
      <c r="N106" s="149" t="str">
        <f>IF(NOT(ISERROR(MATCH(M106,'Tabla Impacto'!$B$221:$B$223,0))),'Tabla Impacto'!$F$223&amp;"Por favor no seleccionar los criterios de impacto(Afectación Económica o presupuestal y Pérdida Reputacional)",M106)</f>
        <v xml:space="preserve">     El riesgo afecta la imagen de de la entidad con efecto publicitario sostenido a nivel de sector administrativo, nivel departamental o municipal</v>
      </c>
      <c r="O106" s="201" t="str">
        <f>IF(OR(N106='Tabla Impacto'!$C$11,N106='Tabla Impacto'!$D$11),"Leve",IF(OR(N106='Tabla Impacto'!$C$12,N106='Tabla Impacto'!$D$12),"Menor",IF(OR(N106='Tabla Impacto'!$C$13,N106='Tabla Impacto'!$D$13),"Moderado",IF(OR(N106='Tabla Impacto'!$C$14,N106='Tabla Impacto'!$D$14),"Mayor",IF(OR(N106='Tabla Impacto'!$C$15,N106='Tabla Impacto'!$D$15),"Catastrófico","")))))</f>
        <v>Mayor</v>
      </c>
      <c r="P106" s="204">
        <f>IF(O106="","",IF(O106="Leve",0.2,IF(O106="Menor",0.4,IF(O106="Moderado",0.6,IF(O106="Mayor",0.8,IF(O106="Catastrófico",1,))))))</f>
        <v>0.8</v>
      </c>
      <c r="Q106" s="209"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Alto</v>
      </c>
      <c r="R106" s="100">
        <v>1</v>
      </c>
      <c r="S106" s="101" t="s">
        <v>541</v>
      </c>
      <c r="T106" s="102" t="str">
        <f t="shared" ref="T106:T108" si="195">IF(OR(U106="Preventivo",U106="Detectivo"),"Probabilidad",IF(U106="Correctivo","Impacto",""))</f>
        <v>Probabilidad</v>
      </c>
      <c r="U106" s="103" t="s">
        <v>14</v>
      </c>
      <c r="V106" s="103" t="s">
        <v>9</v>
      </c>
      <c r="W106" s="104" t="str">
        <f t="shared" ref="W106:W108" si="196">IF(AND(U106="Preventivo",V106="Automático"),"50%",IF(AND(U106="Preventivo",V106="Manual"),"40%",IF(AND(U106="Detectivo",V106="Automático"),"40%",IF(AND(U106="Detectivo",V106="Manual"),"30%",IF(AND(U106="Correctivo",V106="Automático"),"35%",IF(AND(U106="Correctivo",V106="Manual"),"25%",""))))))</f>
        <v>40%</v>
      </c>
      <c r="X106" s="103" t="s">
        <v>19</v>
      </c>
      <c r="Y106" s="103" t="s">
        <v>22</v>
      </c>
      <c r="Z106" s="103" t="s">
        <v>113</v>
      </c>
      <c r="AA106" s="105">
        <f t="shared" ref="AA106:AA108" si="197">IFERROR(IF(T106="Probabilidad",(L106-(+L106*W106)),IF(T106="Impacto",L106,"")),"")</f>
        <v>0.36</v>
      </c>
      <c r="AB106" s="106" t="str">
        <f t="shared" ref="AB106:AB108" si="198">IFERROR(IF(AA106="","",IF(AA106&lt;=0.2,"Muy Baja",IF(AA106&lt;=0.4,"Baja",IF(AA106&lt;=0.6,"Media",IF(AA106&lt;=0.8,"Alta","Muy Alta"))))),"")</f>
        <v>Baja</v>
      </c>
      <c r="AC106" s="107">
        <f t="shared" ref="AC106:AC108" si="199">+AA106</f>
        <v>0.36</v>
      </c>
      <c r="AD106" s="106" t="str">
        <f t="shared" ref="AD106:AD108" si="200">IFERROR(IF(AE106="","",IF(AE106&lt;=0.2,"Leve",IF(AE106&lt;=0.4,"Menor",IF(AE106&lt;=0.6,"Moderado",IF(AE106&lt;=0.8,"Mayor","Catastrófico"))))),"")</f>
        <v>Mayor</v>
      </c>
      <c r="AE106" s="107">
        <f t="shared" ref="AE106:AE108" si="201">IFERROR(IF(T106="Impacto",(P106-(+P106*W106)),IF(T106="Probabilidad",P106,"")),"")</f>
        <v>0.8</v>
      </c>
      <c r="AF106" s="108" t="str">
        <f t="shared" ref="AF106:AF108" si="202">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Alto</v>
      </c>
      <c r="AG106" s="109" t="s">
        <v>129</v>
      </c>
      <c r="AH106" s="154" t="s">
        <v>427</v>
      </c>
      <c r="AI106" s="146" t="s">
        <v>256</v>
      </c>
      <c r="AJ106" s="147" t="s">
        <v>225</v>
      </c>
      <c r="AK106" s="147" t="s">
        <v>225</v>
      </c>
      <c r="AL106" s="154" t="s">
        <v>428</v>
      </c>
      <c r="AM106" s="111"/>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row>
    <row r="107" spans="1:71" ht="151.5" customHeight="1" x14ac:dyDescent="0.25">
      <c r="A107" s="212"/>
      <c r="B107" s="214"/>
      <c r="C107" s="227"/>
      <c r="D107" s="227"/>
      <c r="E107" s="218"/>
      <c r="F107" s="218"/>
      <c r="G107" s="218"/>
      <c r="H107" s="220"/>
      <c r="I107" s="218"/>
      <c r="J107" s="222"/>
      <c r="K107" s="202"/>
      <c r="L107" s="205"/>
      <c r="M107" s="208"/>
      <c r="N107" s="150"/>
      <c r="O107" s="202"/>
      <c r="P107" s="205"/>
      <c r="Q107" s="210"/>
      <c r="R107" s="100">
        <v>2</v>
      </c>
      <c r="S107" s="101" t="s">
        <v>529</v>
      </c>
      <c r="T107" s="102" t="str">
        <f t="shared" si="195"/>
        <v>Probabilidad</v>
      </c>
      <c r="U107" s="103" t="s">
        <v>15</v>
      </c>
      <c r="V107" s="103" t="s">
        <v>10</v>
      </c>
      <c r="W107" s="104" t="str">
        <f t="shared" si="196"/>
        <v>40%</v>
      </c>
      <c r="X107" s="103" t="s">
        <v>19</v>
      </c>
      <c r="Y107" s="103" t="s">
        <v>22</v>
      </c>
      <c r="Z107" s="103" t="s">
        <v>113</v>
      </c>
      <c r="AA107" s="105">
        <f t="shared" si="197"/>
        <v>0</v>
      </c>
      <c r="AB107" s="106" t="str">
        <f t="shared" si="198"/>
        <v>Muy Baja</v>
      </c>
      <c r="AC107" s="107">
        <f t="shared" si="199"/>
        <v>0</v>
      </c>
      <c r="AD107" s="106" t="str">
        <f t="shared" si="200"/>
        <v>Leve</v>
      </c>
      <c r="AE107" s="107">
        <f t="shared" si="201"/>
        <v>0</v>
      </c>
      <c r="AF107" s="108" t="str">
        <f t="shared" si="202"/>
        <v>Bajo</v>
      </c>
      <c r="AG107" s="109" t="s">
        <v>129</v>
      </c>
      <c r="AH107" s="155" t="s">
        <v>530</v>
      </c>
      <c r="AI107" s="146" t="s">
        <v>233</v>
      </c>
      <c r="AJ107" s="147" t="s">
        <v>225</v>
      </c>
      <c r="AK107" s="147" t="s">
        <v>225</v>
      </c>
      <c r="AL107" s="154" t="s">
        <v>434</v>
      </c>
      <c r="AM107" s="111"/>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row>
    <row r="108" spans="1:71" ht="151.5" customHeight="1" x14ac:dyDescent="0.25">
      <c r="A108" s="212"/>
      <c r="B108" s="215"/>
      <c r="C108" s="227"/>
      <c r="D108" s="227"/>
      <c r="E108" s="218"/>
      <c r="F108" s="218"/>
      <c r="G108" s="218"/>
      <c r="H108" s="220"/>
      <c r="I108" s="218"/>
      <c r="J108" s="222"/>
      <c r="K108" s="203"/>
      <c r="L108" s="206"/>
      <c r="M108" s="208"/>
      <c r="N108" s="150"/>
      <c r="O108" s="203"/>
      <c r="P108" s="206"/>
      <c r="Q108" s="211"/>
      <c r="R108" s="100">
        <v>3</v>
      </c>
      <c r="S108" s="101"/>
      <c r="T108" s="102" t="str">
        <f t="shared" si="195"/>
        <v>Probabilidad</v>
      </c>
      <c r="U108" s="103" t="s">
        <v>15</v>
      </c>
      <c r="V108" s="103" t="s">
        <v>9</v>
      </c>
      <c r="W108" s="104" t="str">
        <f t="shared" si="196"/>
        <v>30%</v>
      </c>
      <c r="X108" s="103" t="s">
        <v>20</v>
      </c>
      <c r="Y108" s="103" t="s">
        <v>23</v>
      </c>
      <c r="Z108" s="103" t="s">
        <v>114</v>
      </c>
      <c r="AA108" s="105">
        <f t="shared" si="197"/>
        <v>0</v>
      </c>
      <c r="AB108" s="106" t="str">
        <f t="shared" si="198"/>
        <v>Muy Baja</v>
      </c>
      <c r="AC108" s="107">
        <f t="shared" si="199"/>
        <v>0</v>
      </c>
      <c r="AD108" s="106" t="str">
        <f t="shared" si="200"/>
        <v>Leve</v>
      </c>
      <c r="AE108" s="107">
        <f t="shared" si="201"/>
        <v>0</v>
      </c>
      <c r="AF108" s="108" t="str">
        <f t="shared" si="202"/>
        <v>Bajo</v>
      </c>
      <c r="AG108" s="109"/>
      <c r="AH108" s="148"/>
      <c r="AI108" s="111"/>
      <c r="AJ108" s="112"/>
      <c r="AK108" s="112"/>
      <c r="AL108" s="148"/>
      <c r="AM108" s="111"/>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row>
    <row r="109" spans="1:71" ht="151.5" customHeight="1" x14ac:dyDescent="0.25">
      <c r="A109" s="212">
        <v>35</v>
      </c>
      <c r="B109" s="213" t="s">
        <v>435</v>
      </c>
      <c r="C109" s="223" t="s">
        <v>542</v>
      </c>
      <c r="D109" s="223" t="s">
        <v>436</v>
      </c>
      <c r="E109" s="217" t="s">
        <v>127</v>
      </c>
      <c r="F109" s="217" t="s">
        <v>487</v>
      </c>
      <c r="G109" s="217" t="s">
        <v>488</v>
      </c>
      <c r="H109" s="219" t="s">
        <v>489</v>
      </c>
      <c r="I109" s="217" t="s">
        <v>462</v>
      </c>
      <c r="J109" s="221">
        <v>35</v>
      </c>
      <c r="K109" s="201" t="str">
        <f>IF(J109&lt;=0,"",IF(J109&lt;=2,"Muy Baja",IF(J109&lt;=24,"Baja",IF(J109&lt;=500,"Media",IF(J109&lt;=5000,"Alta","Muy Alta")))))</f>
        <v>Media</v>
      </c>
      <c r="L109" s="204">
        <f>IF(K109="","",IF(K109="Muy Baja",0.2,IF(K109="Baja",0.4,IF(K109="Media",0.6,IF(K109="Alta",0.8,IF(K109="Muy Alta",1,))))))</f>
        <v>0.6</v>
      </c>
      <c r="M109" s="207" t="s">
        <v>145</v>
      </c>
      <c r="N109" s="149" t="str">
        <f>IF(NOT(ISERROR(MATCH(M109,'Tabla Impacto'!$B$221:$B$223,0))),'Tabla Impacto'!$F$223&amp;"Por favor no seleccionar los criterios de impacto(Afectación Económica o presupuestal y Pérdida Reputacional)",M109)</f>
        <v xml:space="preserve">     El riesgo afecta la imagen de la entidad internamente, de conocimiento general, nivel interno, de junta dircetiva y accionistas y/o de provedores</v>
      </c>
      <c r="O109" s="201" t="str">
        <f>IF(OR(N109='Tabla Impacto'!$C$11,N109='Tabla Impacto'!$D$11),"Leve",IF(OR(N109='Tabla Impacto'!$C$12,N109='Tabla Impacto'!$D$12),"Menor",IF(OR(N109='Tabla Impacto'!$C$13,N109='Tabla Impacto'!$D$13),"Moderado",IF(OR(N109='Tabla Impacto'!$C$14,N109='Tabla Impacto'!$D$14),"Mayor",IF(OR(N109='Tabla Impacto'!$C$15,N109='Tabla Impacto'!$D$15),"Catastrófico","")))))</f>
        <v>Menor</v>
      </c>
      <c r="P109" s="204">
        <f>IF(O109="","",IF(O109="Leve",0.2,IF(O109="Menor",0.4,IF(O109="Moderado",0.6,IF(O109="Mayor",0.8,IF(O109="Catastrófico",1,))))))</f>
        <v>0.4</v>
      </c>
      <c r="Q109" s="209" t="str">
        <f>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Moderado</v>
      </c>
      <c r="R109" s="100">
        <v>1</v>
      </c>
      <c r="S109" s="101" t="s">
        <v>490</v>
      </c>
      <c r="T109" s="102" t="str">
        <f t="shared" ref="T109:T120" si="203">IF(OR(U109="Preventivo",U109="Detectivo"),"Probabilidad",IF(U109="Correctivo","Impacto",""))</f>
        <v>Probabilidad</v>
      </c>
      <c r="U109" s="103" t="s">
        <v>14</v>
      </c>
      <c r="V109" s="103" t="s">
        <v>9</v>
      </c>
      <c r="W109" s="104" t="str">
        <f t="shared" ref="W109:W120" si="204">IF(AND(U109="Preventivo",V109="Automático"),"50%",IF(AND(U109="Preventivo",V109="Manual"),"40%",IF(AND(U109="Detectivo",V109="Automático"),"40%",IF(AND(U109="Detectivo",V109="Manual"),"30%",IF(AND(U109="Correctivo",V109="Automático"),"35%",IF(AND(U109="Correctivo",V109="Manual"),"25%",""))))))</f>
        <v>40%</v>
      </c>
      <c r="X109" s="103" t="s">
        <v>19</v>
      </c>
      <c r="Y109" s="103" t="s">
        <v>22</v>
      </c>
      <c r="Z109" s="103" t="s">
        <v>113</v>
      </c>
      <c r="AA109" s="105">
        <f t="shared" ref="AA109:AA120" si="205">IFERROR(IF(T109="Probabilidad",(L109-(+L109*W109)),IF(T109="Impacto",L109,"")),"")</f>
        <v>0.36</v>
      </c>
      <c r="AB109" s="106" t="str">
        <f t="shared" ref="AB109:AB120" si="206">IFERROR(IF(AA109="","",IF(AA109&lt;=0.2,"Muy Baja",IF(AA109&lt;=0.4,"Baja",IF(AA109&lt;=0.6,"Media",IF(AA109&lt;=0.8,"Alta","Muy Alta"))))),"")</f>
        <v>Baja</v>
      </c>
      <c r="AC109" s="107">
        <f t="shared" ref="AC109:AC120" si="207">+AA109</f>
        <v>0.36</v>
      </c>
      <c r="AD109" s="106" t="str">
        <f t="shared" ref="AD109:AD120" si="208">IFERROR(IF(AE109="","",IF(AE109&lt;=0.2,"Leve",IF(AE109&lt;=0.4,"Menor",IF(AE109&lt;=0.6,"Moderado",IF(AE109&lt;=0.8,"Mayor","Catastrófico"))))),"")</f>
        <v>Menor</v>
      </c>
      <c r="AE109" s="107">
        <f t="shared" ref="AE109:AE120" si="209">IFERROR(IF(T109="Impacto",(P109-(+P109*W109)),IF(T109="Probabilidad",P109,"")),"")</f>
        <v>0.4</v>
      </c>
      <c r="AF109" s="108" t="str">
        <f t="shared" ref="AF109:AF120" si="210">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Moderado</v>
      </c>
      <c r="AG109" s="109" t="s">
        <v>129</v>
      </c>
      <c r="AH109" s="148" t="s">
        <v>491</v>
      </c>
      <c r="AI109" s="111" t="s">
        <v>256</v>
      </c>
      <c r="AJ109" s="112">
        <v>44470</v>
      </c>
      <c r="AK109" s="112">
        <v>44561</v>
      </c>
      <c r="AL109" s="148" t="s">
        <v>552</v>
      </c>
      <c r="AM109" s="111"/>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row>
    <row r="110" spans="1:71" ht="151.5" customHeight="1" x14ac:dyDescent="0.25">
      <c r="A110" s="212"/>
      <c r="B110" s="214"/>
      <c r="C110" s="224"/>
      <c r="D110" s="227"/>
      <c r="E110" s="218"/>
      <c r="F110" s="218"/>
      <c r="G110" s="218"/>
      <c r="H110" s="220"/>
      <c r="I110" s="218"/>
      <c r="J110" s="222"/>
      <c r="K110" s="202"/>
      <c r="L110" s="205"/>
      <c r="M110" s="208"/>
      <c r="N110" s="150"/>
      <c r="O110" s="202"/>
      <c r="P110" s="205"/>
      <c r="Q110" s="210"/>
      <c r="R110" s="100">
        <v>2</v>
      </c>
      <c r="S110" s="101" t="s">
        <v>531</v>
      </c>
      <c r="T110" s="102" t="str">
        <f t="shared" si="203"/>
        <v>Probabilidad</v>
      </c>
      <c r="U110" s="103" t="s">
        <v>15</v>
      </c>
      <c r="V110" s="103" t="s">
        <v>9</v>
      </c>
      <c r="W110" s="104" t="str">
        <f t="shared" si="204"/>
        <v>30%</v>
      </c>
      <c r="X110" s="103" t="s">
        <v>19</v>
      </c>
      <c r="Y110" s="103" t="s">
        <v>22</v>
      </c>
      <c r="Z110" s="103" t="s">
        <v>113</v>
      </c>
      <c r="AA110" s="105">
        <f t="shared" si="205"/>
        <v>0</v>
      </c>
      <c r="AB110" s="106" t="str">
        <f t="shared" si="206"/>
        <v>Muy Baja</v>
      </c>
      <c r="AC110" s="107">
        <f t="shared" si="207"/>
        <v>0</v>
      </c>
      <c r="AD110" s="106" t="str">
        <f t="shared" si="208"/>
        <v>Leve</v>
      </c>
      <c r="AE110" s="107">
        <f t="shared" si="209"/>
        <v>0</v>
      </c>
      <c r="AF110" s="108" t="str">
        <f t="shared" si="210"/>
        <v>Bajo</v>
      </c>
      <c r="AG110" s="109" t="s">
        <v>129</v>
      </c>
      <c r="AH110" s="148"/>
      <c r="AI110" s="111"/>
      <c r="AJ110" s="112"/>
      <c r="AK110" s="112"/>
      <c r="AL110" s="148"/>
      <c r="AM110" s="111"/>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row>
    <row r="111" spans="1:71" ht="151.5" customHeight="1" x14ac:dyDescent="0.25">
      <c r="A111" s="212"/>
      <c r="B111" s="215"/>
      <c r="C111" s="224"/>
      <c r="D111" s="227"/>
      <c r="E111" s="218"/>
      <c r="F111" s="218"/>
      <c r="G111" s="218"/>
      <c r="H111" s="220"/>
      <c r="I111" s="218"/>
      <c r="J111" s="222"/>
      <c r="K111" s="203"/>
      <c r="L111" s="206"/>
      <c r="M111" s="208"/>
      <c r="N111" s="150"/>
      <c r="O111" s="203"/>
      <c r="P111" s="206"/>
      <c r="Q111" s="211"/>
      <c r="R111" s="100">
        <v>3</v>
      </c>
      <c r="S111" s="101"/>
      <c r="T111" s="102" t="str">
        <f t="shared" si="203"/>
        <v>Probabilidad</v>
      </c>
      <c r="U111" s="103" t="s">
        <v>15</v>
      </c>
      <c r="V111" s="103" t="s">
        <v>9</v>
      </c>
      <c r="W111" s="104" t="str">
        <f t="shared" si="204"/>
        <v>30%</v>
      </c>
      <c r="X111" s="103" t="s">
        <v>20</v>
      </c>
      <c r="Y111" s="103" t="s">
        <v>23</v>
      </c>
      <c r="Z111" s="103" t="s">
        <v>114</v>
      </c>
      <c r="AA111" s="105">
        <f t="shared" si="205"/>
        <v>0</v>
      </c>
      <c r="AB111" s="106" t="str">
        <f t="shared" si="206"/>
        <v>Muy Baja</v>
      </c>
      <c r="AC111" s="107">
        <f t="shared" si="207"/>
        <v>0</v>
      </c>
      <c r="AD111" s="106" t="str">
        <f t="shared" si="208"/>
        <v>Leve</v>
      </c>
      <c r="AE111" s="107">
        <f t="shared" si="209"/>
        <v>0</v>
      </c>
      <c r="AF111" s="108" t="str">
        <f t="shared" si="210"/>
        <v>Bajo</v>
      </c>
      <c r="AG111" s="109"/>
      <c r="AH111" s="148"/>
      <c r="AI111" s="111"/>
      <c r="AJ111" s="112"/>
      <c r="AK111" s="112"/>
      <c r="AL111" s="148"/>
      <c r="AM111" s="111"/>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row>
    <row r="112" spans="1:71" ht="151.5" customHeight="1" x14ac:dyDescent="0.25">
      <c r="A112" s="212">
        <v>36</v>
      </c>
      <c r="B112" s="213" t="s">
        <v>435</v>
      </c>
      <c r="C112" s="223" t="s">
        <v>542</v>
      </c>
      <c r="D112" s="223" t="s">
        <v>436</v>
      </c>
      <c r="E112" s="217" t="s">
        <v>127</v>
      </c>
      <c r="F112" s="217" t="s">
        <v>493</v>
      </c>
      <c r="G112" s="217" t="s">
        <v>494</v>
      </c>
      <c r="H112" s="228" t="s">
        <v>492</v>
      </c>
      <c r="I112" s="217" t="s">
        <v>462</v>
      </c>
      <c r="J112" s="221">
        <v>12</v>
      </c>
      <c r="K112" s="201" t="str">
        <f>IF(J112&lt;=0,"",IF(J112&lt;=2,"Muy Baja",IF(J112&lt;=24,"Baja",IF(J112&lt;=500,"Media",IF(J112&lt;=5000,"Alta","Muy Alta")))))</f>
        <v>Baja</v>
      </c>
      <c r="L112" s="204">
        <f>IF(K112="","",IF(K112="Muy Baja",0.2,IF(K112="Baja",0.4,IF(K112="Media",0.6,IF(K112="Alta",0.8,IF(K112="Muy Alta",1,))))))</f>
        <v>0.4</v>
      </c>
      <c r="M112" s="207" t="s">
        <v>145</v>
      </c>
      <c r="N112" s="149" t="str">
        <f>IF(NOT(ISERROR(MATCH(M112,'Tabla Impacto'!$B$221:$B$223,0))),'Tabla Impacto'!$F$223&amp;"Por favor no seleccionar los criterios de impacto(Afectación Económica o presupuestal y Pérdida Reputacional)",M112)</f>
        <v xml:space="preserve">     El riesgo afecta la imagen de la entidad internamente, de conocimiento general, nivel interno, de junta dircetiva y accionistas y/o de provedores</v>
      </c>
      <c r="O112" s="201" t="str">
        <f>IF(OR(N112='Tabla Impacto'!$C$11,N112='Tabla Impacto'!$D$11),"Leve",IF(OR(N112='Tabla Impacto'!$C$12,N112='Tabla Impacto'!$D$12),"Menor",IF(OR(N112='Tabla Impacto'!$C$13,N112='Tabla Impacto'!$D$13),"Moderado",IF(OR(N112='Tabla Impacto'!$C$14,N112='Tabla Impacto'!$D$14),"Mayor",IF(OR(N112='Tabla Impacto'!$C$15,N112='Tabla Impacto'!$D$15),"Catastrófico","")))))</f>
        <v>Menor</v>
      </c>
      <c r="P112" s="204">
        <f>IF(O112="","",IF(O112="Leve",0.2,IF(O112="Menor",0.4,IF(O112="Moderado",0.6,IF(O112="Mayor",0.8,IF(O112="Catastrófico",1,))))))</f>
        <v>0.4</v>
      </c>
      <c r="Q112" s="209" t="str">
        <f>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Moderado</v>
      </c>
      <c r="R112" s="100">
        <v>1</v>
      </c>
      <c r="S112" s="101" t="s">
        <v>495</v>
      </c>
      <c r="T112" s="102" t="str">
        <f t="shared" si="203"/>
        <v>Probabilidad</v>
      </c>
      <c r="U112" s="103" t="s">
        <v>14</v>
      </c>
      <c r="V112" s="103" t="s">
        <v>9</v>
      </c>
      <c r="W112" s="104" t="str">
        <f t="shared" si="204"/>
        <v>40%</v>
      </c>
      <c r="X112" s="103" t="s">
        <v>19</v>
      </c>
      <c r="Y112" s="103" t="s">
        <v>22</v>
      </c>
      <c r="Z112" s="103" t="s">
        <v>113</v>
      </c>
      <c r="AA112" s="105">
        <f t="shared" si="205"/>
        <v>0.24</v>
      </c>
      <c r="AB112" s="106" t="str">
        <f t="shared" si="206"/>
        <v>Baja</v>
      </c>
      <c r="AC112" s="107">
        <f t="shared" si="207"/>
        <v>0.24</v>
      </c>
      <c r="AD112" s="106" t="str">
        <f t="shared" si="208"/>
        <v>Menor</v>
      </c>
      <c r="AE112" s="107">
        <f t="shared" si="209"/>
        <v>0.4</v>
      </c>
      <c r="AF112" s="108" t="str">
        <f t="shared" si="210"/>
        <v>Moderado</v>
      </c>
      <c r="AG112" s="109" t="s">
        <v>129</v>
      </c>
      <c r="AH112" s="148" t="s">
        <v>496</v>
      </c>
      <c r="AI112" s="111" t="s">
        <v>256</v>
      </c>
      <c r="AJ112" s="112">
        <v>44470</v>
      </c>
      <c r="AK112" s="112">
        <v>44561</v>
      </c>
      <c r="AL112" s="148" t="s">
        <v>497</v>
      </c>
      <c r="AM112" s="111"/>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row>
    <row r="113" spans="1:71" ht="151.5" customHeight="1" x14ac:dyDescent="0.25">
      <c r="A113" s="212"/>
      <c r="B113" s="214"/>
      <c r="C113" s="224"/>
      <c r="D113" s="227"/>
      <c r="E113" s="218"/>
      <c r="F113" s="218"/>
      <c r="G113" s="218"/>
      <c r="H113" s="229"/>
      <c r="I113" s="218"/>
      <c r="J113" s="222"/>
      <c r="K113" s="202"/>
      <c r="L113" s="205"/>
      <c r="M113" s="208"/>
      <c r="N113" s="150"/>
      <c r="O113" s="202"/>
      <c r="P113" s="205"/>
      <c r="Q113" s="210"/>
      <c r="R113" s="100">
        <v>2</v>
      </c>
      <c r="S113" s="101" t="s">
        <v>553</v>
      </c>
      <c r="T113" s="102" t="str">
        <f t="shared" si="203"/>
        <v>Probabilidad</v>
      </c>
      <c r="U113" s="103" t="s">
        <v>15</v>
      </c>
      <c r="V113" s="103" t="s">
        <v>9</v>
      </c>
      <c r="W113" s="104" t="str">
        <f t="shared" si="204"/>
        <v>30%</v>
      </c>
      <c r="X113" s="103" t="s">
        <v>19</v>
      </c>
      <c r="Y113" s="103" t="s">
        <v>22</v>
      </c>
      <c r="Z113" s="103" t="s">
        <v>113</v>
      </c>
      <c r="AA113" s="105">
        <f t="shared" si="205"/>
        <v>0</v>
      </c>
      <c r="AB113" s="106" t="str">
        <f t="shared" si="206"/>
        <v>Muy Baja</v>
      </c>
      <c r="AC113" s="107">
        <f t="shared" si="207"/>
        <v>0</v>
      </c>
      <c r="AD113" s="106" t="str">
        <f t="shared" si="208"/>
        <v>Leve</v>
      </c>
      <c r="AE113" s="107">
        <f t="shared" si="209"/>
        <v>0</v>
      </c>
      <c r="AF113" s="108" t="str">
        <f t="shared" si="210"/>
        <v>Bajo</v>
      </c>
      <c r="AG113" s="109" t="s">
        <v>129</v>
      </c>
      <c r="AH113" s="148"/>
      <c r="AI113" s="111"/>
      <c r="AJ113" s="112"/>
      <c r="AK113" s="112"/>
      <c r="AL113" s="148"/>
      <c r="AM113" s="111"/>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row>
    <row r="114" spans="1:71" ht="151.5" customHeight="1" x14ac:dyDescent="0.25">
      <c r="A114" s="212"/>
      <c r="B114" s="215"/>
      <c r="C114" s="224"/>
      <c r="D114" s="227"/>
      <c r="E114" s="218"/>
      <c r="F114" s="218"/>
      <c r="G114" s="218"/>
      <c r="H114" s="229"/>
      <c r="I114" s="218"/>
      <c r="J114" s="222"/>
      <c r="K114" s="203"/>
      <c r="L114" s="206"/>
      <c r="M114" s="208"/>
      <c r="N114" s="150"/>
      <c r="O114" s="203"/>
      <c r="P114" s="206"/>
      <c r="Q114" s="211"/>
      <c r="R114" s="100">
        <v>3</v>
      </c>
      <c r="S114" s="101"/>
      <c r="T114" s="102" t="str">
        <f t="shared" si="203"/>
        <v>Probabilidad</v>
      </c>
      <c r="U114" s="103" t="s">
        <v>15</v>
      </c>
      <c r="V114" s="103" t="s">
        <v>9</v>
      </c>
      <c r="W114" s="104" t="str">
        <f t="shared" si="204"/>
        <v>30%</v>
      </c>
      <c r="X114" s="103" t="s">
        <v>20</v>
      </c>
      <c r="Y114" s="103" t="s">
        <v>23</v>
      </c>
      <c r="Z114" s="103" t="s">
        <v>114</v>
      </c>
      <c r="AA114" s="105">
        <f t="shared" si="205"/>
        <v>0</v>
      </c>
      <c r="AB114" s="106" t="str">
        <f t="shared" si="206"/>
        <v>Muy Baja</v>
      </c>
      <c r="AC114" s="107">
        <f t="shared" si="207"/>
        <v>0</v>
      </c>
      <c r="AD114" s="106" t="str">
        <f t="shared" si="208"/>
        <v>Leve</v>
      </c>
      <c r="AE114" s="107">
        <f t="shared" si="209"/>
        <v>0</v>
      </c>
      <c r="AF114" s="108" t="str">
        <f t="shared" si="210"/>
        <v>Bajo</v>
      </c>
      <c r="AG114" s="109"/>
      <c r="AH114" s="148"/>
      <c r="AI114" s="111"/>
      <c r="AJ114" s="112"/>
      <c r="AK114" s="112"/>
      <c r="AL114" s="148"/>
      <c r="AM114" s="111"/>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row>
    <row r="115" spans="1:71" ht="151.5" customHeight="1" x14ac:dyDescent="0.25">
      <c r="A115" s="212">
        <v>37</v>
      </c>
      <c r="B115" s="213" t="s">
        <v>435</v>
      </c>
      <c r="C115" s="223" t="s">
        <v>542</v>
      </c>
      <c r="D115" s="223" t="s">
        <v>436</v>
      </c>
      <c r="E115" s="217" t="s">
        <v>127</v>
      </c>
      <c r="F115" s="217" t="s">
        <v>499</v>
      </c>
      <c r="G115" s="217" t="s">
        <v>500</v>
      </c>
      <c r="H115" s="219" t="s">
        <v>498</v>
      </c>
      <c r="I115" s="217" t="s">
        <v>119</v>
      </c>
      <c r="J115" s="221">
        <v>3000</v>
      </c>
      <c r="K115" s="201" t="str">
        <f>IF(J115&lt;=0,"",IF(J115&lt;=2,"Muy Baja",IF(J115&lt;=24,"Baja",IF(J115&lt;=500,"Media",IF(J115&lt;=5000,"Alta","Muy Alta")))))</f>
        <v>Alta</v>
      </c>
      <c r="L115" s="204">
        <f>IF(K115="","",IF(K115="Muy Baja",0.2,IF(K115="Baja",0.4,IF(K115="Media",0.6,IF(K115="Alta",0.8,IF(K115="Muy Alta",1,))))))</f>
        <v>0.8</v>
      </c>
      <c r="M115" s="207" t="s">
        <v>141</v>
      </c>
      <c r="N115" s="149" t="str">
        <f>IF(NOT(ISERROR(MATCH(M115,'Tabla Impacto'!$B$221:$B$223,0))),'Tabla Impacto'!$F$223&amp;"Por favor no seleccionar los criterios de impacto(Afectación Económica o presupuestal y Pérdida Reputacional)",M115)</f>
        <v xml:space="preserve">     Entre 10 y 50 SMLMV </v>
      </c>
      <c r="O115" s="201" t="str">
        <f>IF(OR(N115='Tabla Impacto'!$C$11,N115='Tabla Impacto'!$D$11),"Leve",IF(OR(N115='Tabla Impacto'!$C$12,N115='Tabla Impacto'!$D$12),"Menor",IF(OR(N115='Tabla Impacto'!$C$13,N115='Tabla Impacto'!$D$13),"Moderado",IF(OR(N115='Tabla Impacto'!$C$14,N115='Tabla Impacto'!$D$14),"Mayor",IF(OR(N115='Tabla Impacto'!$C$15,N115='Tabla Impacto'!$D$15),"Catastrófico","")))))</f>
        <v>Menor</v>
      </c>
      <c r="P115" s="204">
        <f>IF(O115="","",IF(O115="Leve",0.2,IF(O115="Menor",0.4,IF(O115="Moderado",0.6,IF(O115="Mayor",0.8,IF(O115="Catastrófico",1,))))))</f>
        <v>0.4</v>
      </c>
      <c r="Q115" s="209" t="str">
        <f>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Moderado</v>
      </c>
      <c r="R115" s="100">
        <v>1</v>
      </c>
      <c r="S115" s="101" t="s">
        <v>554</v>
      </c>
      <c r="T115" s="102" t="str">
        <f t="shared" si="203"/>
        <v>Probabilidad</v>
      </c>
      <c r="U115" s="103" t="s">
        <v>14</v>
      </c>
      <c r="V115" s="103" t="s">
        <v>9</v>
      </c>
      <c r="W115" s="104" t="str">
        <f t="shared" si="204"/>
        <v>40%</v>
      </c>
      <c r="X115" s="103" t="s">
        <v>19</v>
      </c>
      <c r="Y115" s="103" t="s">
        <v>22</v>
      </c>
      <c r="Z115" s="103" t="s">
        <v>113</v>
      </c>
      <c r="AA115" s="105">
        <f t="shared" si="205"/>
        <v>0.48</v>
      </c>
      <c r="AB115" s="106" t="str">
        <f t="shared" si="206"/>
        <v>Media</v>
      </c>
      <c r="AC115" s="107">
        <f t="shared" si="207"/>
        <v>0.48</v>
      </c>
      <c r="AD115" s="106" t="str">
        <f t="shared" si="208"/>
        <v>Menor</v>
      </c>
      <c r="AE115" s="107">
        <f t="shared" si="209"/>
        <v>0.4</v>
      </c>
      <c r="AF115" s="108" t="str">
        <f t="shared" si="210"/>
        <v>Moderado</v>
      </c>
      <c r="AG115" s="109" t="s">
        <v>129</v>
      </c>
      <c r="AH115" s="148" t="s">
        <v>555</v>
      </c>
      <c r="AI115" s="111" t="s">
        <v>233</v>
      </c>
      <c r="AJ115" s="112">
        <v>44469</v>
      </c>
      <c r="AK115" s="112">
        <v>44561</v>
      </c>
      <c r="AL115" s="148" t="s">
        <v>552</v>
      </c>
      <c r="AM115" s="111"/>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row>
    <row r="116" spans="1:71" ht="151.5" customHeight="1" x14ac:dyDescent="0.25">
      <c r="A116" s="212"/>
      <c r="B116" s="214"/>
      <c r="C116" s="224"/>
      <c r="D116" s="227"/>
      <c r="E116" s="218"/>
      <c r="F116" s="218"/>
      <c r="G116" s="218"/>
      <c r="H116" s="220"/>
      <c r="I116" s="218"/>
      <c r="J116" s="222"/>
      <c r="K116" s="202"/>
      <c r="L116" s="205"/>
      <c r="M116" s="208"/>
      <c r="N116" s="150"/>
      <c r="O116" s="202"/>
      <c r="P116" s="205"/>
      <c r="Q116" s="210"/>
      <c r="R116" s="100">
        <v>2</v>
      </c>
      <c r="S116" s="101" t="s">
        <v>556</v>
      </c>
      <c r="T116" s="102" t="str">
        <f t="shared" si="203"/>
        <v>Probabilidad</v>
      </c>
      <c r="U116" s="103" t="s">
        <v>14</v>
      </c>
      <c r="V116" s="103" t="s">
        <v>9</v>
      </c>
      <c r="W116" s="104" t="str">
        <f t="shared" si="204"/>
        <v>40%</v>
      </c>
      <c r="X116" s="103" t="s">
        <v>19</v>
      </c>
      <c r="Y116" s="103" t="s">
        <v>22</v>
      </c>
      <c r="Z116" s="103" t="s">
        <v>113</v>
      </c>
      <c r="AA116" s="105">
        <f t="shared" si="205"/>
        <v>0</v>
      </c>
      <c r="AB116" s="106" t="str">
        <f t="shared" si="206"/>
        <v>Muy Baja</v>
      </c>
      <c r="AC116" s="107">
        <f t="shared" si="207"/>
        <v>0</v>
      </c>
      <c r="AD116" s="106" t="str">
        <f t="shared" si="208"/>
        <v>Leve</v>
      </c>
      <c r="AE116" s="107">
        <f t="shared" si="209"/>
        <v>0</v>
      </c>
      <c r="AF116" s="108" t="str">
        <f t="shared" si="210"/>
        <v>Bajo</v>
      </c>
      <c r="AG116" s="109" t="s">
        <v>129</v>
      </c>
      <c r="AH116" s="148"/>
      <c r="AI116" s="111"/>
      <c r="AJ116" s="112"/>
      <c r="AK116" s="112"/>
      <c r="AL116" s="148"/>
      <c r="AM116" s="111"/>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row>
    <row r="117" spans="1:71" ht="151.5" customHeight="1" x14ac:dyDescent="0.25">
      <c r="A117" s="212"/>
      <c r="B117" s="215"/>
      <c r="C117" s="224"/>
      <c r="D117" s="227"/>
      <c r="E117" s="218"/>
      <c r="F117" s="218"/>
      <c r="G117" s="218"/>
      <c r="H117" s="220"/>
      <c r="I117" s="218"/>
      <c r="J117" s="222"/>
      <c r="K117" s="203"/>
      <c r="L117" s="206"/>
      <c r="M117" s="208"/>
      <c r="N117" s="150"/>
      <c r="O117" s="203"/>
      <c r="P117" s="206"/>
      <c r="Q117" s="211"/>
      <c r="R117" s="100">
        <v>3</v>
      </c>
      <c r="S117" s="101" t="s">
        <v>557</v>
      </c>
      <c r="T117" s="102" t="str">
        <f t="shared" si="203"/>
        <v>Probabilidad</v>
      </c>
      <c r="U117" s="103" t="s">
        <v>14</v>
      </c>
      <c r="V117" s="103" t="s">
        <v>9</v>
      </c>
      <c r="W117" s="104" t="str">
        <f t="shared" si="204"/>
        <v>40%</v>
      </c>
      <c r="X117" s="103" t="s">
        <v>19</v>
      </c>
      <c r="Y117" s="103" t="s">
        <v>22</v>
      </c>
      <c r="Z117" s="103" t="s">
        <v>113</v>
      </c>
      <c r="AA117" s="105">
        <f t="shared" si="205"/>
        <v>0</v>
      </c>
      <c r="AB117" s="106" t="str">
        <f t="shared" si="206"/>
        <v>Muy Baja</v>
      </c>
      <c r="AC117" s="107">
        <f t="shared" si="207"/>
        <v>0</v>
      </c>
      <c r="AD117" s="106" t="str">
        <f t="shared" si="208"/>
        <v>Leve</v>
      </c>
      <c r="AE117" s="107">
        <f t="shared" si="209"/>
        <v>0</v>
      </c>
      <c r="AF117" s="108" t="str">
        <f t="shared" si="210"/>
        <v>Bajo</v>
      </c>
      <c r="AG117" s="109" t="s">
        <v>129</v>
      </c>
      <c r="AH117" s="148"/>
      <c r="AI117" s="111"/>
      <c r="AJ117" s="112"/>
      <c r="AK117" s="112"/>
      <c r="AL117" s="148"/>
      <c r="AM117" s="111"/>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row>
    <row r="118" spans="1:71" ht="151.5" hidden="1" customHeight="1" x14ac:dyDescent="0.25">
      <c r="A118" s="212">
        <v>38</v>
      </c>
      <c r="B118" s="213" t="s">
        <v>486</v>
      </c>
      <c r="C118" s="226"/>
      <c r="D118" s="226"/>
      <c r="E118" s="217" t="s">
        <v>127</v>
      </c>
      <c r="F118" s="217"/>
      <c r="G118" s="217"/>
      <c r="H118" s="219"/>
      <c r="I118" s="217" t="s">
        <v>462</v>
      </c>
      <c r="J118" s="221">
        <v>50000</v>
      </c>
      <c r="K118" s="201" t="str">
        <f>IF(J118&lt;=0,"",IF(J118&lt;=2,"Muy Baja",IF(J118&lt;=24,"Baja",IF(J118&lt;=500,"Media",IF(J118&lt;=5000,"Alta","Muy Alta")))))</f>
        <v>Muy Alta</v>
      </c>
      <c r="L118" s="204">
        <f>IF(K118="","",IF(K118="Muy Baja",0.2,IF(K118="Baja",0.4,IF(K118="Media",0.6,IF(K118="Alta",0.8,IF(K118="Muy Alta",1,))))))</f>
        <v>1</v>
      </c>
      <c r="M118" s="207" t="s">
        <v>146</v>
      </c>
      <c r="N118" s="149" t="str">
        <f>IF(NOT(ISERROR(MATCH(M118,'Tabla Impacto'!$B$221:$B$223,0))),'Tabla Impacto'!$F$223&amp;"Por favor no seleccionar los criterios de impacto(Afectación Económica o presupuestal y Pérdida Reputacional)",M118)</f>
        <v xml:space="preserve">     El riesgo afecta la imagen de la entidad con algunos usuarios de relevancia frente al logro de los objetivos</v>
      </c>
      <c r="O118" s="201" t="str">
        <f>IF(OR(N118='Tabla Impacto'!$C$11,N118='Tabla Impacto'!$D$11),"Leve",IF(OR(N118='Tabla Impacto'!$C$12,N118='Tabla Impacto'!$D$12),"Menor",IF(OR(N118='Tabla Impacto'!$C$13,N118='Tabla Impacto'!$D$13),"Moderado",IF(OR(N118='Tabla Impacto'!$C$14,N118='Tabla Impacto'!$D$14),"Mayor",IF(OR(N118='Tabla Impacto'!$C$15,N118='Tabla Impacto'!$D$15),"Catastrófico","")))))</f>
        <v>Moderado</v>
      </c>
      <c r="P118" s="204">
        <f>IF(O118="","",IF(O118="Leve",0.2,IF(O118="Menor",0.4,IF(O118="Moderado",0.6,IF(O118="Mayor",0.8,IF(O118="Catastrófico",1,))))))</f>
        <v>0.6</v>
      </c>
      <c r="Q118" s="209" t="str">
        <f>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Alto</v>
      </c>
      <c r="R118" s="100">
        <v>1</v>
      </c>
      <c r="S118" s="101"/>
      <c r="T118" s="102" t="str">
        <f t="shared" si="203"/>
        <v>Probabilidad</v>
      </c>
      <c r="U118" s="103" t="s">
        <v>15</v>
      </c>
      <c r="V118" s="103" t="s">
        <v>9</v>
      </c>
      <c r="W118" s="104" t="str">
        <f t="shared" si="204"/>
        <v>30%</v>
      </c>
      <c r="X118" s="103" t="s">
        <v>20</v>
      </c>
      <c r="Y118" s="103" t="s">
        <v>23</v>
      </c>
      <c r="Z118" s="103" t="s">
        <v>114</v>
      </c>
      <c r="AA118" s="105">
        <f t="shared" si="205"/>
        <v>0.7</v>
      </c>
      <c r="AB118" s="106" t="str">
        <f t="shared" si="206"/>
        <v>Alta</v>
      </c>
      <c r="AC118" s="107">
        <f t="shared" si="207"/>
        <v>0.7</v>
      </c>
      <c r="AD118" s="106" t="str">
        <f t="shared" si="208"/>
        <v>Moderado</v>
      </c>
      <c r="AE118" s="107">
        <f t="shared" si="209"/>
        <v>0.6</v>
      </c>
      <c r="AF118" s="108" t="str">
        <f t="shared" si="210"/>
        <v>Alto</v>
      </c>
      <c r="AG118" s="109"/>
      <c r="AH118" s="148"/>
      <c r="AI118" s="111"/>
      <c r="AJ118" s="112"/>
      <c r="AK118" s="112"/>
      <c r="AL118" s="148"/>
      <c r="AM118" s="111"/>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row>
    <row r="119" spans="1:71" ht="151.5" hidden="1" customHeight="1" x14ac:dyDescent="0.25">
      <c r="A119" s="212"/>
      <c r="B119" s="214"/>
      <c r="C119" s="227"/>
      <c r="D119" s="227"/>
      <c r="E119" s="218"/>
      <c r="F119" s="218"/>
      <c r="G119" s="218"/>
      <c r="H119" s="220"/>
      <c r="I119" s="218"/>
      <c r="J119" s="222"/>
      <c r="K119" s="202"/>
      <c r="L119" s="205"/>
      <c r="M119" s="208"/>
      <c r="N119" s="150"/>
      <c r="O119" s="202"/>
      <c r="P119" s="205"/>
      <c r="Q119" s="210"/>
      <c r="R119" s="100">
        <v>2</v>
      </c>
      <c r="S119" s="101"/>
      <c r="T119" s="102" t="str">
        <f t="shared" si="203"/>
        <v>Probabilidad</v>
      </c>
      <c r="U119" s="103" t="s">
        <v>15</v>
      </c>
      <c r="V119" s="103" t="s">
        <v>9</v>
      </c>
      <c r="W119" s="104" t="str">
        <f t="shared" si="204"/>
        <v>30%</v>
      </c>
      <c r="X119" s="103" t="s">
        <v>20</v>
      </c>
      <c r="Y119" s="103" t="s">
        <v>23</v>
      </c>
      <c r="Z119" s="103" t="s">
        <v>114</v>
      </c>
      <c r="AA119" s="105">
        <f t="shared" si="205"/>
        <v>0</v>
      </c>
      <c r="AB119" s="106" t="str">
        <f t="shared" si="206"/>
        <v>Muy Baja</v>
      </c>
      <c r="AC119" s="107">
        <f t="shared" si="207"/>
        <v>0</v>
      </c>
      <c r="AD119" s="106" t="str">
        <f t="shared" si="208"/>
        <v>Leve</v>
      </c>
      <c r="AE119" s="107">
        <f t="shared" si="209"/>
        <v>0</v>
      </c>
      <c r="AF119" s="108" t="str">
        <f t="shared" si="210"/>
        <v>Bajo</v>
      </c>
      <c r="AG119" s="109"/>
      <c r="AH119" s="148"/>
      <c r="AI119" s="111"/>
      <c r="AJ119" s="112"/>
      <c r="AK119" s="112"/>
      <c r="AL119" s="148"/>
      <c r="AM119" s="111"/>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row>
    <row r="120" spans="1:71" ht="151.5" hidden="1" customHeight="1" x14ac:dyDescent="0.25">
      <c r="A120" s="212"/>
      <c r="B120" s="215"/>
      <c r="C120" s="227"/>
      <c r="D120" s="227"/>
      <c r="E120" s="218"/>
      <c r="F120" s="218"/>
      <c r="G120" s="218"/>
      <c r="H120" s="220"/>
      <c r="I120" s="218"/>
      <c r="J120" s="222"/>
      <c r="K120" s="203"/>
      <c r="L120" s="206"/>
      <c r="M120" s="208"/>
      <c r="N120" s="150"/>
      <c r="O120" s="203"/>
      <c r="P120" s="206"/>
      <c r="Q120" s="211"/>
      <c r="R120" s="100">
        <v>3</v>
      </c>
      <c r="S120" s="101"/>
      <c r="T120" s="102" t="str">
        <f t="shared" si="203"/>
        <v>Probabilidad</v>
      </c>
      <c r="U120" s="103" t="s">
        <v>15</v>
      </c>
      <c r="V120" s="103" t="s">
        <v>9</v>
      </c>
      <c r="W120" s="104" t="str">
        <f t="shared" si="204"/>
        <v>30%</v>
      </c>
      <c r="X120" s="103" t="s">
        <v>20</v>
      </c>
      <c r="Y120" s="103" t="s">
        <v>23</v>
      </c>
      <c r="Z120" s="103" t="s">
        <v>114</v>
      </c>
      <c r="AA120" s="105">
        <f t="shared" si="205"/>
        <v>0</v>
      </c>
      <c r="AB120" s="106" t="str">
        <f t="shared" si="206"/>
        <v>Muy Baja</v>
      </c>
      <c r="AC120" s="107">
        <f t="shared" si="207"/>
        <v>0</v>
      </c>
      <c r="AD120" s="106" t="str">
        <f t="shared" si="208"/>
        <v>Leve</v>
      </c>
      <c r="AE120" s="107">
        <f t="shared" si="209"/>
        <v>0</v>
      </c>
      <c r="AF120" s="108" t="str">
        <f t="shared" si="210"/>
        <v>Bajo</v>
      </c>
      <c r="AG120" s="109"/>
      <c r="AH120" s="148"/>
      <c r="AI120" s="111"/>
      <c r="AJ120" s="112"/>
      <c r="AK120" s="112"/>
      <c r="AL120" s="148"/>
      <c r="AM120" s="111"/>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row>
    <row r="121" spans="1:71" ht="151.5" hidden="1" customHeight="1" x14ac:dyDescent="0.25">
      <c r="A121" s="212">
        <v>39</v>
      </c>
      <c r="B121" s="213" t="s">
        <v>486</v>
      </c>
      <c r="C121" s="226"/>
      <c r="D121" s="226"/>
      <c r="E121" s="217" t="s">
        <v>127</v>
      </c>
      <c r="F121" s="217"/>
      <c r="G121" s="217"/>
      <c r="H121" s="219" t="s">
        <v>205</v>
      </c>
      <c r="I121" s="217" t="s">
        <v>462</v>
      </c>
      <c r="J121" s="221">
        <v>50000</v>
      </c>
      <c r="K121" s="201" t="str">
        <f>IF(J121&lt;=0,"",IF(J121&lt;=2,"Muy Baja",IF(J121&lt;=24,"Baja",IF(J121&lt;=500,"Media",IF(J121&lt;=5000,"Alta","Muy Alta")))))</f>
        <v>Muy Alta</v>
      </c>
      <c r="L121" s="204">
        <f>IF(K121="","",IF(K121="Muy Baja",0.2,IF(K121="Baja",0.4,IF(K121="Media",0.6,IF(K121="Alta",0.8,IF(K121="Muy Alta",1,))))))</f>
        <v>1</v>
      </c>
      <c r="M121" s="207" t="s">
        <v>146</v>
      </c>
      <c r="N121" s="149" t="str">
        <f>IF(NOT(ISERROR(MATCH(M121,'Tabla Impacto'!$B$221:$B$223,0))),'Tabla Impacto'!$F$223&amp;"Por favor no seleccionar los criterios de impacto(Afectación Económica o presupuestal y Pérdida Reputacional)",M121)</f>
        <v xml:space="preserve">     El riesgo afecta la imagen de la entidad con algunos usuarios de relevancia frente al logro de los objetivos</v>
      </c>
      <c r="O121" s="201" t="str">
        <f>IF(OR(N121='Tabla Impacto'!$C$11,N121='Tabla Impacto'!$D$11),"Leve",IF(OR(N121='Tabla Impacto'!$C$12,N121='Tabla Impacto'!$D$12),"Menor",IF(OR(N121='Tabla Impacto'!$C$13,N121='Tabla Impacto'!$D$13),"Moderado",IF(OR(N121='Tabla Impacto'!$C$14,N121='Tabla Impacto'!$D$14),"Mayor",IF(OR(N121='Tabla Impacto'!$C$15,N121='Tabla Impacto'!$D$15),"Catastrófico","")))))</f>
        <v>Moderado</v>
      </c>
      <c r="P121" s="204">
        <f>IF(O121="","",IF(O121="Leve",0.2,IF(O121="Menor",0.4,IF(O121="Moderado",0.6,IF(O121="Mayor",0.8,IF(O121="Catastrófico",1,))))))</f>
        <v>0.6</v>
      </c>
      <c r="Q121" s="209" t="str">
        <f>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Alto</v>
      </c>
      <c r="R121" s="100">
        <v>1</v>
      </c>
      <c r="S121" s="101"/>
      <c r="T121" s="102" t="str">
        <f t="shared" ref="T121:T153" si="211">IF(OR(U121="Preventivo",U121="Detectivo"),"Probabilidad",IF(U121="Correctivo","Impacto",""))</f>
        <v>Probabilidad</v>
      </c>
      <c r="U121" s="103" t="s">
        <v>15</v>
      </c>
      <c r="V121" s="103" t="s">
        <v>9</v>
      </c>
      <c r="W121" s="104" t="str">
        <f t="shared" ref="W121:W153" si="212">IF(AND(U121="Preventivo",V121="Automático"),"50%",IF(AND(U121="Preventivo",V121="Manual"),"40%",IF(AND(U121="Detectivo",V121="Automático"),"40%",IF(AND(U121="Detectivo",V121="Manual"),"30%",IF(AND(U121="Correctivo",V121="Automático"),"35%",IF(AND(U121="Correctivo",V121="Manual"),"25%",""))))))</f>
        <v>30%</v>
      </c>
      <c r="X121" s="103" t="s">
        <v>20</v>
      </c>
      <c r="Y121" s="103" t="s">
        <v>23</v>
      </c>
      <c r="Z121" s="103" t="s">
        <v>114</v>
      </c>
      <c r="AA121" s="105">
        <f t="shared" ref="AA121:AA153" si="213">IFERROR(IF(T121="Probabilidad",(L121-(+L121*W121)),IF(T121="Impacto",L121,"")),"")</f>
        <v>0.7</v>
      </c>
      <c r="AB121" s="106" t="str">
        <f t="shared" ref="AB121:AB153" si="214">IFERROR(IF(AA121="","",IF(AA121&lt;=0.2,"Muy Baja",IF(AA121&lt;=0.4,"Baja",IF(AA121&lt;=0.6,"Media",IF(AA121&lt;=0.8,"Alta","Muy Alta"))))),"")</f>
        <v>Alta</v>
      </c>
      <c r="AC121" s="107">
        <f t="shared" ref="AC121:AC153" si="215">+AA121</f>
        <v>0.7</v>
      </c>
      <c r="AD121" s="106" t="str">
        <f t="shared" ref="AD121:AD153" si="216">IFERROR(IF(AE121="","",IF(AE121&lt;=0.2,"Leve",IF(AE121&lt;=0.4,"Menor",IF(AE121&lt;=0.6,"Moderado",IF(AE121&lt;=0.8,"Mayor","Catastrófico"))))),"")</f>
        <v>Moderado</v>
      </c>
      <c r="AE121" s="107">
        <f t="shared" ref="AE121:AE153" si="217">IFERROR(IF(T121="Impacto",(P121-(+P121*W121)),IF(T121="Probabilidad",P121,"")),"")</f>
        <v>0.6</v>
      </c>
      <c r="AF121" s="108" t="str">
        <f t="shared" ref="AF121:AF153" si="218">IFERROR(IF(OR(AND(AB121="Muy Baja",AD121="Leve"),AND(AB121="Muy Baja",AD121="Menor"),AND(AB121="Baja",AD121="Leve")),"Bajo",IF(OR(AND(AB121="Muy baja",AD121="Moderado"),AND(AB121="Baja",AD121="Menor"),AND(AB121="Baja",AD121="Moderado"),AND(AB121="Media",AD121="Leve"),AND(AB121="Media",AD121="Menor"),AND(AB121="Media",AD121="Moderado"),AND(AB121="Alta",AD121="Leve"),AND(AB121="Alta",AD121="Menor")),"Moderado",IF(OR(AND(AB121="Muy Baja",AD121="Mayor"),AND(AB121="Baja",AD121="Mayor"),AND(AB121="Media",AD121="Mayor"),AND(AB121="Alta",AD121="Moderado"),AND(AB121="Alta",AD121="Mayor"),AND(AB121="Muy Alta",AD121="Leve"),AND(AB121="Muy Alta",AD121="Menor"),AND(AB121="Muy Alta",AD121="Moderado"),AND(AB121="Muy Alta",AD121="Mayor")),"Alto",IF(OR(AND(AB121="Muy Baja",AD121="Catastrófico"),AND(AB121="Baja",AD121="Catastrófico"),AND(AB121="Media",AD121="Catastrófico"),AND(AB121="Alta",AD121="Catastrófico"),AND(AB121="Muy Alta",AD121="Catastrófico")),"Extremo","")))),"")</f>
        <v>Alto</v>
      </c>
      <c r="AG121" s="109"/>
      <c r="AH121" s="148"/>
      <c r="AI121" s="111"/>
      <c r="AJ121" s="112"/>
      <c r="AK121" s="112"/>
      <c r="AL121" s="148"/>
      <c r="AM121" s="111"/>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row>
    <row r="122" spans="1:71" ht="151.5" hidden="1" customHeight="1" x14ac:dyDescent="0.25">
      <c r="A122" s="212"/>
      <c r="B122" s="214"/>
      <c r="C122" s="227"/>
      <c r="D122" s="227"/>
      <c r="E122" s="218"/>
      <c r="F122" s="218"/>
      <c r="G122" s="218"/>
      <c r="H122" s="220"/>
      <c r="I122" s="218"/>
      <c r="J122" s="222"/>
      <c r="K122" s="202"/>
      <c r="L122" s="205"/>
      <c r="M122" s="208"/>
      <c r="N122" s="150"/>
      <c r="O122" s="202"/>
      <c r="P122" s="205"/>
      <c r="Q122" s="210"/>
      <c r="R122" s="100">
        <v>2</v>
      </c>
      <c r="S122" s="101"/>
      <c r="T122" s="102" t="str">
        <f t="shared" si="211"/>
        <v>Probabilidad</v>
      </c>
      <c r="U122" s="103" t="s">
        <v>15</v>
      </c>
      <c r="V122" s="103" t="s">
        <v>9</v>
      </c>
      <c r="W122" s="104" t="str">
        <f t="shared" si="212"/>
        <v>30%</v>
      </c>
      <c r="X122" s="103" t="s">
        <v>20</v>
      </c>
      <c r="Y122" s="103" t="s">
        <v>23</v>
      </c>
      <c r="Z122" s="103" t="s">
        <v>114</v>
      </c>
      <c r="AA122" s="105">
        <f t="shared" si="213"/>
        <v>0</v>
      </c>
      <c r="AB122" s="106" t="str">
        <f t="shared" si="214"/>
        <v>Muy Baja</v>
      </c>
      <c r="AC122" s="107">
        <f t="shared" si="215"/>
        <v>0</v>
      </c>
      <c r="AD122" s="106" t="str">
        <f t="shared" si="216"/>
        <v>Leve</v>
      </c>
      <c r="AE122" s="107">
        <f t="shared" si="217"/>
        <v>0</v>
      </c>
      <c r="AF122" s="108" t="str">
        <f t="shared" si="218"/>
        <v>Bajo</v>
      </c>
      <c r="AG122" s="109"/>
      <c r="AH122" s="148"/>
      <c r="AI122" s="111"/>
      <c r="AJ122" s="112"/>
      <c r="AK122" s="112"/>
      <c r="AL122" s="148"/>
      <c r="AM122" s="111"/>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row>
    <row r="123" spans="1:71" ht="151.5" hidden="1" customHeight="1" x14ac:dyDescent="0.25">
      <c r="A123" s="212"/>
      <c r="B123" s="215"/>
      <c r="C123" s="227"/>
      <c r="D123" s="227"/>
      <c r="E123" s="218"/>
      <c r="F123" s="218"/>
      <c r="G123" s="218"/>
      <c r="H123" s="220"/>
      <c r="I123" s="218"/>
      <c r="J123" s="222"/>
      <c r="K123" s="203"/>
      <c r="L123" s="206"/>
      <c r="M123" s="208"/>
      <c r="N123" s="150"/>
      <c r="O123" s="203"/>
      <c r="P123" s="206"/>
      <c r="Q123" s="211"/>
      <c r="R123" s="100">
        <v>3</v>
      </c>
      <c r="S123" s="101"/>
      <c r="T123" s="102" t="str">
        <f t="shared" si="211"/>
        <v>Probabilidad</v>
      </c>
      <c r="U123" s="103" t="s">
        <v>15</v>
      </c>
      <c r="V123" s="103" t="s">
        <v>9</v>
      </c>
      <c r="W123" s="104" t="str">
        <f t="shared" si="212"/>
        <v>30%</v>
      </c>
      <c r="X123" s="103" t="s">
        <v>20</v>
      </c>
      <c r="Y123" s="103" t="s">
        <v>23</v>
      </c>
      <c r="Z123" s="103" t="s">
        <v>114</v>
      </c>
      <c r="AA123" s="105">
        <f t="shared" si="213"/>
        <v>0</v>
      </c>
      <c r="AB123" s="106" t="str">
        <f t="shared" si="214"/>
        <v>Muy Baja</v>
      </c>
      <c r="AC123" s="107">
        <f t="shared" si="215"/>
        <v>0</v>
      </c>
      <c r="AD123" s="106" t="str">
        <f t="shared" si="216"/>
        <v>Leve</v>
      </c>
      <c r="AE123" s="107">
        <f t="shared" si="217"/>
        <v>0</v>
      </c>
      <c r="AF123" s="108" t="str">
        <f t="shared" si="218"/>
        <v>Bajo</v>
      </c>
      <c r="AG123" s="109"/>
      <c r="AH123" s="148"/>
      <c r="AI123" s="111"/>
      <c r="AJ123" s="112"/>
      <c r="AK123" s="112"/>
      <c r="AL123" s="148"/>
      <c r="AM123" s="111"/>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row>
    <row r="124" spans="1:71" ht="151.5" hidden="1" customHeight="1" x14ac:dyDescent="0.25">
      <c r="A124" s="212">
        <v>40</v>
      </c>
      <c r="B124" s="213" t="s">
        <v>486</v>
      </c>
      <c r="C124" s="226"/>
      <c r="D124" s="226"/>
      <c r="E124" s="217" t="s">
        <v>127</v>
      </c>
      <c r="F124" s="217"/>
      <c r="G124" s="217"/>
      <c r="H124" s="219" t="s">
        <v>205</v>
      </c>
      <c r="I124" s="217" t="s">
        <v>462</v>
      </c>
      <c r="J124" s="221">
        <v>50000</v>
      </c>
      <c r="K124" s="201" t="str">
        <f>IF(J124&lt;=0,"",IF(J124&lt;=2,"Muy Baja",IF(J124&lt;=24,"Baja",IF(J124&lt;=500,"Media",IF(J124&lt;=5000,"Alta","Muy Alta")))))</f>
        <v>Muy Alta</v>
      </c>
      <c r="L124" s="204">
        <f>IF(K124="","",IF(K124="Muy Baja",0.2,IF(K124="Baja",0.4,IF(K124="Media",0.6,IF(K124="Alta",0.8,IF(K124="Muy Alta",1,))))))</f>
        <v>1</v>
      </c>
      <c r="M124" s="207" t="s">
        <v>146</v>
      </c>
      <c r="N124" s="149" t="str">
        <f>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201" t="str">
        <f>IF(OR(N124='Tabla Impacto'!$C$11,N124='Tabla Impacto'!$D$11),"Leve",IF(OR(N124='Tabla Impacto'!$C$12,N124='Tabla Impacto'!$D$12),"Menor",IF(OR(N124='Tabla Impacto'!$C$13,N124='Tabla Impacto'!$D$13),"Moderado",IF(OR(N124='Tabla Impacto'!$C$14,N124='Tabla Impacto'!$D$14),"Mayor",IF(OR(N124='Tabla Impacto'!$C$15,N124='Tabla Impacto'!$D$15),"Catastrófico","")))))</f>
        <v>Moderado</v>
      </c>
      <c r="P124" s="204">
        <f>IF(O124="","",IF(O124="Leve",0.2,IF(O124="Menor",0.4,IF(O124="Moderado",0.6,IF(O124="Mayor",0.8,IF(O124="Catastrófico",1,))))))</f>
        <v>0.6</v>
      </c>
      <c r="Q124" s="209" t="str">
        <f>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Alto</v>
      </c>
      <c r="R124" s="100">
        <v>1</v>
      </c>
      <c r="S124" s="101"/>
      <c r="T124" s="102" t="str">
        <f t="shared" si="211"/>
        <v>Probabilidad</v>
      </c>
      <c r="U124" s="103" t="s">
        <v>15</v>
      </c>
      <c r="V124" s="103" t="s">
        <v>9</v>
      </c>
      <c r="W124" s="104" t="str">
        <f t="shared" si="212"/>
        <v>30%</v>
      </c>
      <c r="X124" s="103" t="s">
        <v>20</v>
      </c>
      <c r="Y124" s="103" t="s">
        <v>23</v>
      </c>
      <c r="Z124" s="103" t="s">
        <v>114</v>
      </c>
      <c r="AA124" s="105">
        <f t="shared" si="213"/>
        <v>0.7</v>
      </c>
      <c r="AB124" s="106" t="str">
        <f t="shared" si="214"/>
        <v>Alta</v>
      </c>
      <c r="AC124" s="107">
        <f t="shared" si="215"/>
        <v>0.7</v>
      </c>
      <c r="AD124" s="106" t="str">
        <f t="shared" si="216"/>
        <v>Moderado</v>
      </c>
      <c r="AE124" s="107">
        <f t="shared" si="217"/>
        <v>0.6</v>
      </c>
      <c r="AF124" s="108" t="str">
        <f t="shared" si="218"/>
        <v>Alto</v>
      </c>
      <c r="AG124" s="109"/>
      <c r="AH124" s="148"/>
      <c r="AI124" s="111"/>
      <c r="AJ124" s="112"/>
      <c r="AK124" s="112"/>
      <c r="AL124" s="148"/>
      <c r="AM124" s="111"/>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row>
    <row r="125" spans="1:71" ht="151.5" hidden="1" customHeight="1" x14ac:dyDescent="0.25">
      <c r="A125" s="212"/>
      <c r="B125" s="214"/>
      <c r="C125" s="227"/>
      <c r="D125" s="227"/>
      <c r="E125" s="218"/>
      <c r="F125" s="218"/>
      <c r="G125" s="218"/>
      <c r="H125" s="220"/>
      <c r="I125" s="218"/>
      <c r="J125" s="222"/>
      <c r="K125" s="202"/>
      <c r="L125" s="205"/>
      <c r="M125" s="208"/>
      <c r="N125" s="150"/>
      <c r="O125" s="202"/>
      <c r="P125" s="205"/>
      <c r="Q125" s="210"/>
      <c r="R125" s="100">
        <v>2</v>
      </c>
      <c r="S125" s="101"/>
      <c r="T125" s="102" t="str">
        <f t="shared" si="211"/>
        <v>Probabilidad</v>
      </c>
      <c r="U125" s="103" t="s">
        <v>15</v>
      </c>
      <c r="V125" s="103" t="s">
        <v>9</v>
      </c>
      <c r="W125" s="104" t="str">
        <f t="shared" si="212"/>
        <v>30%</v>
      </c>
      <c r="X125" s="103" t="s">
        <v>20</v>
      </c>
      <c r="Y125" s="103" t="s">
        <v>23</v>
      </c>
      <c r="Z125" s="103" t="s">
        <v>114</v>
      </c>
      <c r="AA125" s="105">
        <f t="shared" si="213"/>
        <v>0</v>
      </c>
      <c r="AB125" s="106" t="str">
        <f t="shared" si="214"/>
        <v>Muy Baja</v>
      </c>
      <c r="AC125" s="107">
        <f t="shared" si="215"/>
        <v>0</v>
      </c>
      <c r="AD125" s="106" t="str">
        <f t="shared" si="216"/>
        <v>Leve</v>
      </c>
      <c r="AE125" s="107">
        <f t="shared" si="217"/>
        <v>0</v>
      </c>
      <c r="AF125" s="108" t="str">
        <f t="shared" si="218"/>
        <v>Bajo</v>
      </c>
      <c r="AG125" s="109"/>
      <c r="AH125" s="148"/>
      <c r="AI125" s="111"/>
      <c r="AJ125" s="112"/>
      <c r="AK125" s="112"/>
      <c r="AL125" s="148"/>
      <c r="AM125" s="111"/>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row>
    <row r="126" spans="1:71" ht="151.5" hidden="1" customHeight="1" x14ac:dyDescent="0.25">
      <c r="A126" s="212"/>
      <c r="B126" s="215"/>
      <c r="C126" s="227"/>
      <c r="D126" s="227"/>
      <c r="E126" s="218"/>
      <c r="F126" s="218"/>
      <c r="G126" s="218"/>
      <c r="H126" s="220"/>
      <c r="I126" s="218"/>
      <c r="J126" s="222"/>
      <c r="K126" s="203"/>
      <c r="L126" s="206"/>
      <c r="M126" s="208"/>
      <c r="N126" s="150"/>
      <c r="O126" s="203"/>
      <c r="P126" s="206"/>
      <c r="Q126" s="211"/>
      <c r="R126" s="100">
        <v>3</v>
      </c>
      <c r="S126" s="101"/>
      <c r="T126" s="102" t="str">
        <f t="shared" si="211"/>
        <v>Probabilidad</v>
      </c>
      <c r="U126" s="103" t="s">
        <v>15</v>
      </c>
      <c r="V126" s="103" t="s">
        <v>9</v>
      </c>
      <c r="W126" s="104" t="str">
        <f t="shared" si="212"/>
        <v>30%</v>
      </c>
      <c r="X126" s="103" t="s">
        <v>20</v>
      </c>
      <c r="Y126" s="103" t="s">
        <v>23</v>
      </c>
      <c r="Z126" s="103" t="s">
        <v>114</v>
      </c>
      <c r="AA126" s="105">
        <f t="shared" si="213"/>
        <v>0</v>
      </c>
      <c r="AB126" s="106" t="str">
        <f t="shared" si="214"/>
        <v>Muy Baja</v>
      </c>
      <c r="AC126" s="107">
        <f t="shared" si="215"/>
        <v>0</v>
      </c>
      <c r="AD126" s="106" t="str">
        <f t="shared" si="216"/>
        <v>Leve</v>
      </c>
      <c r="AE126" s="107">
        <f t="shared" si="217"/>
        <v>0</v>
      </c>
      <c r="AF126" s="108" t="str">
        <f t="shared" si="218"/>
        <v>Bajo</v>
      </c>
      <c r="AG126" s="109"/>
      <c r="AH126" s="148"/>
      <c r="AI126" s="111"/>
      <c r="AJ126" s="112"/>
      <c r="AK126" s="112"/>
      <c r="AL126" s="148"/>
      <c r="AM126" s="111"/>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row>
    <row r="127" spans="1:71" ht="151.5" customHeight="1" x14ac:dyDescent="0.25">
      <c r="A127" s="212">
        <v>41</v>
      </c>
      <c r="B127" s="213" t="s">
        <v>437</v>
      </c>
      <c r="C127" s="223" t="s">
        <v>438</v>
      </c>
      <c r="D127" s="223" t="s">
        <v>439</v>
      </c>
      <c r="E127" s="217" t="s">
        <v>127</v>
      </c>
      <c r="F127" s="225" t="s">
        <v>440</v>
      </c>
      <c r="G127" s="217" t="s">
        <v>454</v>
      </c>
      <c r="H127" s="219" t="s">
        <v>455</v>
      </c>
      <c r="I127" s="217" t="s">
        <v>119</v>
      </c>
      <c r="J127" s="221">
        <v>53</v>
      </c>
      <c r="K127" s="201" t="str">
        <f>IF(J127&lt;=0,"",IF(J127&lt;=2,"Muy Baja",IF(J127&lt;=24,"Baja",IF(J127&lt;=500,"Media",IF(J127&lt;=5000,"Alta","Muy Alta")))))</f>
        <v>Media</v>
      </c>
      <c r="L127" s="204">
        <f>IF(K127="","",IF(K127="Muy Baja",0.2,IF(K127="Baja",0.4,IF(K127="Media",0.6,IF(K127="Alta",0.8,IF(K127="Muy Alta",1,))))))</f>
        <v>0.6</v>
      </c>
      <c r="M127" s="207" t="s">
        <v>147</v>
      </c>
      <c r="N127" s="149" t="str">
        <f>IF(NOT(ISERROR(MATCH(M127,'Tabla Impacto'!$B$221:$B$223,0))),'Tabla Impacto'!$F$223&amp;"Por favor no seleccionar los criterios de impacto(Afectación Económica o presupuestal y Pérdida Reputacional)",M127)</f>
        <v xml:space="preserve">     El riesgo afecta la imagen de de la entidad con efecto publicitario sostenido a nivel de sector administrativo, nivel departamental o municipal</v>
      </c>
      <c r="O127" s="201" t="str">
        <f>IF(OR(N127='Tabla Impacto'!$C$11,N127='Tabla Impacto'!$D$11),"Leve",IF(OR(N127='Tabla Impacto'!$C$12,N127='Tabla Impacto'!$D$12),"Menor",IF(OR(N127='Tabla Impacto'!$C$13,N127='Tabla Impacto'!$D$13),"Moderado",IF(OR(N127='Tabla Impacto'!$C$14,N127='Tabla Impacto'!$D$14),"Mayor",IF(OR(N127='Tabla Impacto'!$C$15,N127='Tabla Impacto'!$D$15),"Catastrófico","")))))</f>
        <v>Mayor</v>
      </c>
      <c r="P127" s="204">
        <f>IF(O127="","",IF(O127="Leve",0.2,IF(O127="Menor",0.4,IF(O127="Moderado",0.6,IF(O127="Mayor",0.8,IF(O127="Catastrófico",1,))))))</f>
        <v>0.8</v>
      </c>
      <c r="Q127" s="209" t="str">
        <f>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Alto</v>
      </c>
      <c r="R127" s="100">
        <v>1</v>
      </c>
      <c r="S127" s="101" t="s">
        <v>456</v>
      </c>
      <c r="T127" s="102" t="str">
        <f t="shared" si="211"/>
        <v>Probabilidad</v>
      </c>
      <c r="U127" s="103" t="s">
        <v>15</v>
      </c>
      <c r="V127" s="103" t="s">
        <v>9</v>
      </c>
      <c r="W127" s="104" t="str">
        <f t="shared" si="212"/>
        <v>30%</v>
      </c>
      <c r="X127" s="103" t="s">
        <v>19</v>
      </c>
      <c r="Y127" s="103" t="s">
        <v>22</v>
      </c>
      <c r="Z127" s="103" t="s">
        <v>113</v>
      </c>
      <c r="AA127" s="105">
        <f t="shared" si="213"/>
        <v>0.42</v>
      </c>
      <c r="AB127" s="106" t="str">
        <f t="shared" si="214"/>
        <v>Media</v>
      </c>
      <c r="AC127" s="107">
        <f t="shared" si="215"/>
        <v>0.42</v>
      </c>
      <c r="AD127" s="106" t="str">
        <f t="shared" si="216"/>
        <v>Mayor</v>
      </c>
      <c r="AE127" s="107">
        <f t="shared" si="217"/>
        <v>0.8</v>
      </c>
      <c r="AF127" s="108" t="str">
        <f t="shared" si="218"/>
        <v>Alto</v>
      </c>
      <c r="AG127" s="109" t="s">
        <v>129</v>
      </c>
      <c r="AH127" s="148" t="s">
        <v>444</v>
      </c>
      <c r="AI127" s="110" t="s">
        <v>315</v>
      </c>
      <c r="AJ127" s="134" t="s">
        <v>445</v>
      </c>
      <c r="AK127" s="134" t="s">
        <v>446</v>
      </c>
      <c r="AL127" s="148" t="s">
        <v>532</v>
      </c>
      <c r="AM127" s="111"/>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row>
    <row r="128" spans="1:71" ht="151.5" customHeight="1" x14ac:dyDescent="0.25">
      <c r="A128" s="212"/>
      <c r="B128" s="214"/>
      <c r="C128" s="224"/>
      <c r="D128" s="224"/>
      <c r="E128" s="218"/>
      <c r="F128" s="218"/>
      <c r="G128" s="218"/>
      <c r="H128" s="220"/>
      <c r="I128" s="218"/>
      <c r="J128" s="222"/>
      <c r="K128" s="202"/>
      <c r="L128" s="205"/>
      <c r="M128" s="208"/>
      <c r="N128" s="150"/>
      <c r="O128" s="202"/>
      <c r="P128" s="205"/>
      <c r="Q128" s="210"/>
      <c r="R128" s="100">
        <v>2</v>
      </c>
      <c r="S128" s="101" t="s">
        <v>457</v>
      </c>
      <c r="T128" s="102" t="str">
        <f t="shared" si="211"/>
        <v>Probabilidad</v>
      </c>
      <c r="U128" s="103" t="s">
        <v>14</v>
      </c>
      <c r="V128" s="103" t="s">
        <v>9</v>
      </c>
      <c r="W128" s="104" t="str">
        <f t="shared" si="212"/>
        <v>40%</v>
      </c>
      <c r="X128" s="103" t="s">
        <v>19</v>
      </c>
      <c r="Y128" s="103" t="s">
        <v>22</v>
      </c>
      <c r="Z128" s="103" t="s">
        <v>113</v>
      </c>
      <c r="AA128" s="105">
        <f t="shared" si="213"/>
        <v>0</v>
      </c>
      <c r="AB128" s="106" t="str">
        <f t="shared" si="214"/>
        <v>Muy Baja</v>
      </c>
      <c r="AC128" s="107">
        <f t="shared" si="215"/>
        <v>0</v>
      </c>
      <c r="AD128" s="106" t="str">
        <f t="shared" si="216"/>
        <v>Leve</v>
      </c>
      <c r="AE128" s="107">
        <f t="shared" si="217"/>
        <v>0</v>
      </c>
      <c r="AF128" s="108" t="str">
        <f t="shared" si="218"/>
        <v>Bajo</v>
      </c>
      <c r="AG128" s="109" t="s">
        <v>129</v>
      </c>
      <c r="AH128" s="148"/>
      <c r="AI128" s="111"/>
      <c r="AJ128" s="112"/>
      <c r="AK128" s="112"/>
      <c r="AL128" s="148"/>
      <c r="AM128" s="111"/>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row>
    <row r="129" spans="1:71" ht="151.5" customHeight="1" x14ac:dyDescent="0.25">
      <c r="A129" s="212"/>
      <c r="B129" s="215"/>
      <c r="C129" s="224"/>
      <c r="D129" s="224"/>
      <c r="E129" s="218"/>
      <c r="F129" s="218"/>
      <c r="G129" s="218"/>
      <c r="H129" s="220"/>
      <c r="I129" s="218"/>
      <c r="J129" s="222"/>
      <c r="K129" s="203"/>
      <c r="L129" s="206"/>
      <c r="M129" s="208"/>
      <c r="N129" s="150"/>
      <c r="O129" s="203"/>
      <c r="P129" s="206"/>
      <c r="Q129" s="211"/>
      <c r="R129" s="100">
        <v>3</v>
      </c>
      <c r="S129" s="101" t="s">
        <v>443</v>
      </c>
      <c r="T129" s="102" t="str">
        <f t="shared" si="211"/>
        <v>Probabilidad</v>
      </c>
      <c r="U129" s="103" t="s">
        <v>14</v>
      </c>
      <c r="V129" s="103" t="s">
        <v>9</v>
      </c>
      <c r="W129" s="104" t="str">
        <f t="shared" si="212"/>
        <v>40%</v>
      </c>
      <c r="X129" s="103" t="s">
        <v>19</v>
      </c>
      <c r="Y129" s="103" t="s">
        <v>22</v>
      </c>
      <c r="Z129" s="103" t="s">
        <v>113</v>
      </c>
      <c r="AA129" s="105">
        <f t="shared" si="213"/>
        <v>0</v>
      </c>
      <c r="AB129" s="106" t="str">
        <f t="shared" si="214"/>
        <v>Muy Baja</v>
      </c>
      <c r="AC129" s="107">
        <f t="shared" si="215"/>
        <v>0</v>
      </c>
      <c r="AD129" s="106" t="str">
        <f t="shared" si="216"/>
        <v>Leve</v>
      </c>
      <c r="AE129" s="107">
        <f t="shared" si="217"/>
        <v>0</v>
      </c>
      <c r="AF129" s="108" t="str">
        <f t="shared" si="218"/>
        <v>Bajo</v>
      </c>
      <c r="AG129" s="109" t="s">
        <v>129</v>
      </c>
      <c r="AH129" s="148"/>
      <c r="AI129" s="111"/>
      <c r="AJ129" s="112"/>
      <c r="AK129" s="112"/>
      <c r="AL129" s="148"/>
      <c r="AM129" s="111"/>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row>
    <row r="130" spans="1:71" ht="151.5" customHeight="1" x14ac:dyDescent="0.25">
      <c r="A130" s="212">
        <v>42</v>
      </c>
      <c r="B130" s="213" t="s">
        <v>437</v>
      </c>
      <c r="C130" s="223" t="s">
        <v>438</v>
      </c>
      <c r="D130" s="223" t="s">
        <v>439</v>
      </c>
      <c r="E130" s="217" t="s">
        <v>127</v>
      </c>
      <c r="F130" s="225" t="s">
        <v>447</v>
      </c>
      <c r="G130" s="225" t="s">
        <v>533</v>
      </c>
      <c r="H130" s="219" t="s">
        <v>534</v>
      </c>
      <c r="I130" s="217" t="s">
        <v>462</v>
      </c>
      <c r="J130" s="221">
        <v>56</v>
      </c>
      <c r="K130" s="201" t="str">
        <f>IF(J130&lt;=0,"",IF(J130&lt;=2,"Muy Baja",IF(J130&lt;=24,"Baja",IF(J130&lt;=500,"Media",IF(J130&lt;=5000,"Alta","Muy Alta")))))</f>
        <v>Media</v>
      </c>
      <c r="L130" s="204">
        <f>IF(K130="","",IF(K130="Muy Baja",0.2,IF(K130="Baja",0.4,IF(K130="Media",0.6,IF(K130="Alta",0.8,IF(K130="Muy Alta",1,))))))</f>
        <v>0.6</v>
      </c>
      <c r="M130" s="207" t="s">
        <v>146</v>
      </c>
      <c r="N130" s="149" t="str">
        <f>IF(NOT(ISERROR(MATCH(M130,'Tabla Impacto'!$B$221:$B$223,0))),'Tabla Impacto'!$F$223&amp;"Por favor no seleccionar los criterios de impacto(Afectación Económica o presupuestal y Pérdida Reputacional)",M130)</f>
        <v xml:space="preserve">     El riesgo afecta la imagen de la entidad con algunos usuarios de relevancia frente al logro de los objetivos</v>
      </c>
      <c r="O130" s="201" t="str">
        <f>IF(OR(N130='Tabla Impacto'!$C$11,N130='Tabla Impacto'!$D$11),"Leve",IF(OR(N130='Tabla Impacto'!$C$12,N130='Tabla Impacto'!$D$12),"Menor",IF(OR(N130='Tabla Impacto'!$C$13,N130='Tabla Impacto'!$D$13),"Moderado",IF(OR(N130='Tabla Impacto'!$C$14,N130='Tabla Impacto'!$D$14),"Mayor",IF(OR(N130='Tabla Impacto'!$C$15,N130='Tabla Impacto'!$D$15),"Catastrófico","")))))</f>
        <v>Moderado</v>
      </c>
      <c r="P130" s="204">
        <f>IF(O130="","",IF(O130="Leve",0.2,IF(O130="Menor",0.4,IF(O130="Moderado",0.6,IF(O130="Mayor",0.8,IF(O130="Catastrófico",1,))))))</f>
        <v>0.6</v>
      </c>
      <c r="Q130" s="209" t="str">
        <f>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Moderado</v>
      </c>
      <c r="R130" s="100">
        <v>1</v>
      </c>
      <c r="S130" s="101" t="s">
        <v>441</v>
      </c>
      <c r="T130" s="102" t="str">
        <f t="shared" si="211"/>
        <v>Probabilidad</v>
      </c>
      <c r="U130" s="103" t="s">
        <v>15</v>
      </c>
      <c r="V130" s="103" t="s">
        <v>9</v>
      </c>
      <c r="W130" s="104" t="str">
        <f t="shared" si="212"/>
        <v>30%</v>
      </c>
      <c r="X130" s="103" t="s">
        <v>20</v>
      </c>
      <c r="Y130" s="103" t="s">
        <v>23</v>
      </c>
      <c r="Z130" s="103" t="s">
        <v>114</v>
      </c>
      <c r="AA130" s="105">
        <f t="shared" si="213"/>
        <v>0.42</v>
      </c>
      <c r="AB130" s="106" t="str">
        <f t="shared" si="214"/>
        <v>Media</v>
      </c>
      <c r="AC130" s="107">
        <f t="shared" si="215"/>
        <v>0.42</v>
      </c>
      <c r="AD130" s="106" t="str">
        <f t="shared" si="216"/>
        <v>Moderado</v>
      </c>
      <c r="AE130" s="107">
        <f t="shared" si="217"/>
        <v>0.6</v>
      </c>
      <c r="AF130" s="108" t="str">
        <f t="shared" si="218"/>
        <v>Moderado</v>
      </c>
      <c r="AG130" s="109" t="s">
        <v>129</v>
      </c>
      <c r="AH130" s="148" t="s">
        <v>448</v>
      </c>
      <c r="AI130" s="110"/>
      <c r="AJ130" s="134"/>
      <c r="AK130" s="134"/>
      <c r="AL130" s="148"/>
      <c r="AM130" s="111"/>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row>
    <row r="131" spans="1:71" ht="151.5" customHeight="1" x14ac:dyDescent="0.25">
      <c r="A131" s="212"/>
      <c r="B131" s="214"/>
      <c r="C131" s="224"/>
      <c r="D131" s="224"/>
      <c r="E131" s="218"/>
      <c r="F131" s="218"/>
      <c r="G131" s="218"/>
      <c r="H131" s="220"/>
      <c r="I131" s="218"/>
      <c r="J131" s="222"/>
      <c r="K131" s="202"/>
      <c r="L131" s="205"/>
      <c r="M131" s="208"/>
      <c r="N131" s="150"/>
      <c r="O131" s="202"/>
      <c r="P131" s="205"/>
      <c r="Q131" s="210"/>
      <c r="R131" s="100">
        <v>2</v>
      </c>
      <c r="S131" s="101" t="s">
        <v>442</v>
      </c>
      <c r="T131" s="102" t="str">
        <f t="shared" si="211"/>
        <v>Probabilidad</v>
      </c>
      <c r="U131" s="103" t="s">
        <v>15</v>
      </c>
      <c r="V131" s="103" t="s">
        <v>9</v>
      </c>
      <c r="W131" s="104" t="str">
        <f t="shared" si="212"/>
        <v>30%</v>
      </c>
      <c r="X131" s="103" t="s">
        <v>20</v>
      </c>
      <c r="Y131" s="103" t="s">
        <v>23</v>
      </c>
      <c r="Z131" s="103" t="s">
        <v>114</v>
      </c>
      <c r="AA131" s="105">
        <f t="shared" si="213"/>
        <v>0</v>
      </c>
      <c r="AB131" s="106" t="str">
        <f t="shared" si="214"/>
        <v>Muy Baja</v>
      </c>
      <c r="AC131" s="107">
        <f t="shared" si="215"/>
        <v>0</v>
      </c>
      <c r="AD131" s="106" t="str">
        <f t="shared" si="216"/>
        <v>Leve</v>
      </c>
      <c r="AE131" s="107">
        <f t="shared" si="217"/>
        <v>0</v>
      </c>
      <c r="AF131" s="108" t="str">
        <f t="shared" si="218"/>
        <v>Bajo</v>
      </c>
      <c r="AG131" s="109" t="s">
        <v>129</v>
      </c>
      <c r="AH131" s="148" t="s">
        <v>449</v>
      </c>
      <c r="AI131" s="111"/>
      <c r="AJ131" s="112"/>
      <c r="AK131" s="112"/>
      <c r="AL131" s="148"/>
      <c r="AM131" s="111"/>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row>
    <row r="132" spans="1:71" ht="151.5" customHeight="1" x14ac:dyDescent="0.25">
      <c r="A132" s="212"/>
      <c r="B132" s="215"/>
      <c r="C132" s="224"/>
      <c r="D132" s="224"/>
      <c r="E132" s="218"/>
      <c r="F132" s="218"/>
      <c r="G132" s="218"/>
      <c r="H132" s="220"/>
      <c r="I132" s="218"/>
      <c r="J132" s="222"/>
      <c r="K132" s="203"/>
      <c r="L132" s="206"/>
      <c r="M132" s="208"/>
      <c r="N132" s="150"/>
      <c r="O132" s="203"/>
      <c r="P132" s="206"/>
      <c r="Q132" s="211"/>
      <c r="R132" s="100">
        <v>3</v>
      </c>
      <c r="S132" s="101" t="s">
        <v>443</v>
      </c>
      <c r="T132" s="102" t="str">
        <f t="shared" si="211"/>
        <v>Probabilidad</v>
      </c>
      <c r="U132" s="103" t="s">
        <v>15</v>
      </c>
      <c r="V132" s="103" t="s">
        <v>9</v>
      </c>
      <c r="W132" s="104" t="str">
        <f t="shared" si="212"/>
        <v>30%</v>
      </c>
      <c r="X132" s="103" t="s">
        <v>20</v>
      </c>
      <c r="Y132" s="103" t="s">
        <v>23</v>
      </c>
      <c r="Z132" s="103" t="s">
        <v>114</v>
      </c>
      <c r="AA132" s="105">
        <f t="shared" si="213"/>
        <v>0</v>
      </c>
      <c r="AB132" s="106" t="str">
        <f t="shared" si="214"/>
        <v>Muy Baja</v>
      </c>
      <c r="AC132" s="107">
        <f t="shared" si="215"/>
        <v>0</v>
      </c>
      <c r="AD132" s="106" t="str">
        <f t="shared" si="216"/>
        <v>Leve</v>
      </c>
      <c r="AE132" s="107">
        <f t="shared" si="217"/>
        <v>0</v>
      </c>
      <c r="AF132" s="108" t="str">
        <f t="shared" si="218"/>
        <v>Bajo</v>
      </c>
      <c r="AG132" s="109" t="s">
        <v>129</v>
      </c>
      <c r="AH132" s="148"/>
      <c r="AI132" s="111"/>
      <c r="AJ132" s="112"/>
      <c r="AK132" s="112"/>
      <c r="AL132" s="148"/>
      <c r="AM132" s="111"/>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row>
    <row r="133" spans="1:71" ht="151.5" customHeight="1" x14ac:dyDescent="0.25">
      <c r="A133" s="212">
        <v>43</v>
      </c>
      <c r="B133" s="213" t="s">
        <v>437</v>
      </c>
      <c r="C133" s="223" t="s">
        <v>438</v>
      </c>
      <c r="D133" s="223" t="s">
        <v>439</v>
      </c>
      <c r="E133" s="217" t="s">
        <v>127</v>
      </c>
      <c r="F133" s="217" t="s">
        <v>450</v>
      </c>
      <c r="G133" s="217" t="s">
        <v>451</v>
      </c>
      <c r="H133" s="219" t="s">
        <v>452</v>
      </c>
      <c r="I133" s="217" t="s">
        <v>119</v>
      </c>
      <c r="J133" s="221">
        <v>56</v>
      </c>
      <c r="K133" s="201" t="str">
        <f>IF(J133&lt;=0,"",IF(J133&lt;=2,"Muy Baja",IF(J133&lt;=24,"Baja",IF(J133&lt;=500,"Media",IF(J133&lt;=5000,"Alta","Muy Alta")))))</f>
        <v>Media</v>
      </c>
      <c r="L133" s="204">
        <f>IF(K133="","",IF(K133="Muy Baja",0.2,IF(K133="Baja",0.4,IF(K133="Media",0.6,IF(K133="Alta",0.8,IF(K133="Muy Alta",1,))))))</f>
        <v>0.6</v>
      </c>
      <c r="M133" s="207" t="s">
        <v>144</v>
      </c>
      <c r="N133" s="149" t="str">
        <f>IF(NOT(ISERROR(MATCH(M133,'Tabla Impacto'!$B$221:$B$223,0))),'Tabla Impacto'!$F$223&amp;"Por favor no seleccionar los criterios de impacto(Afectación Económica o presupuestal y Pérdida Reputacional)",M133)</f>
        <v xml:space="preserve">     El riesgo afecta la imagen de alguna área de la organización</v>
      </c>
      <c r="O133" s="201" t="str">
        <f>IF(OR(N133='Tabla Impacto'!$C$11,N133='Tabla Impacto'!$D$11),"Leve",IF(OR(N133='Tabla Impacto'!$C$12,N133='Tabla Impacto'!$D$12),"Menor",IF(OR(N133='Tabla Impacto'!$C$13,N133='Tabla Impacto'!$D$13),"Moderado",IF(OR(N133='Tabla Impacto'!$C$14,N133='Tabla Impacto'!$D$14),"Mayor",IF(OR(N133='Tabla Impacto'!$C$15,N133='Tabla Impacto'!$D$15),"Catastrófico","")))))</f>
        <v>Leve</v>
      </c>
      <c r="P133" s="204">
        <f>IF(O133="","",IF(O133="Leve",0.2,IF(O133="Menor",0.4,IF(O133="Moderado",0.6,IF(O133="Mayor",0.8,IF(O133="Catastrófico",1,))))))</f>
        <v>0.2</v>
      </c>
      <c r="Q133" s="209" t="str">
        <f>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Moderado</v>
      </c>
      <c r="R133" s="100">
        <v>1</v>
      </c>
      <c r="S133" s="101" t="s">
        <v>453</v>
      </c>
      <c r="T133" s="102" t="str">
        <f t="shared" si="211"/>
        <v>Probabilidad</v>
      </c>
      <c r="U133" s="103" t="s">
        <v>15</v>
      </c>
      <c r="V133" s="103" t="s">
        <v>9</v>
      </c>
      <c r="W133" s="104" t="str">
        <f t="shared" si="212"/>
        <v>30%</v>
      </c>
      <c r="X133" s="103" t="s">
        <v>20</v>
      </c>
      <c r="Y133" s="103" t="s">
        <v>23</v>
      </c>
      <c r="Z133" s="103" t="s">
        <v>114</v>
      </c>
      <c r="AA133" s="105">
        <f t="shared" si="213"/>
        <v>0.42</v>
      </c>
      <c r="AB133" s="106" t="str">
        <f t="shared" si="214"/>
        <v>Media</v>
      </c>
      <c r="AC133" s="107">
        <f t="shared" si="215"/>
        <v>0.42</v>
      </c>
      <c r="AD133" s="106" t="str">
        <f t="shared" si="216"/>
        <v>Leve</v>
      </c>
      <c r="AE133" s="107">
        <f t="shared" si="217"/>
        <v>0.2</v>
      </c>
      <c r="AF133" s="108" t="str">
        <f t="shared" si="218"/>
        <v>Moderado</v>
      </c>
      <c r="AG133" s="109" t="s">
        <v>129</v>
      </c>
      <c r="AH133" s="148" t="s">
        <v>458</v>
      </c>
      <c r="AI133" s="111"/>
      <c r="AJ133" s="112"/>
      <c r="AK133" s="112"/>
      <c r="AL133" s="148"/>
      <c r="AM133" s="111"/>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row>
    <row r="134" spans="1:71" ht="151.5" customHeight="1" x14ac:dyDescent="0.25">
      <c r="A134" s="212"/>
      <c r="B134" s="214"/>
      <c r="C134" s="224"/>
      <c r="D134" s="224"/>
      <c r="E134" s="218"/>
      <c r="F134" s="218"/>
      <c r="G134" s="218"/>
      <c r="H134" s="220"/>
      <c r="I134" s="218"/>
      <c r="J134" s="222"/>
      <c r="K134" s="202"/>
      <c r="L134" s="205"/>
      <c r="M134" s="208"/>
      <c r="N134" s="150"/>
      <c r="O134" s="202"/>
      <c r="P134" s="205"/>
      <c r="Q134" s="210"/>
      <c r="R134" s="100">
        <v>2</v>
      </c>
      <c r="S134" s="101"/>
      <c r="T134" s="102" t="str">
        <f t="shared" si="211"/>
        <v>Probabilidad</v>
      </c>
      <c r="U134" s="103" t="s">
        <v>15</v>
      </c>
      <c r="V134" s="103" t="s">
        <v>9</v>
      </c>
      <c r="W134" s="104" t="str">
        <f t="shared" si="212"/>
        <v>30%</v>
      </c>
      <c r="X134" s="103" t="s">
        <v>20</v>
      </c>
      <c r="Y134" s="103" t="s">
        <v>23</v>
      </c>
      <c r="Z134" s="103" t="s">
        <v>114</v>
      </c>
      <c r="AA134" s="105">
        <f t="shared" si="213"/>
        <v>0</v>
      </c>
      <c r="AB134" s="106" t="str">
        <f t="shared" si="214"/>
        <v>Muy Baja</v>
      </c>
      <c r="AC134" s="107">
        <f t="shared" si="215"/>
        <v>0</v>
      </c>
      <c r="AD134" s="106" t="str">
        <f t="shared" si="216"/>
        <v>Leve</v>
      </c>
      <c r="AE134" s="107">
        <f t="shared" si="217"/>
        <v>0</v>
      </c>
      <c r="AF134" s="108" t="str">
        <f t="shared" si="218"/>
        <v>Bajo</v>
      </c>
      <c r="AG134" s="109" t="s">
        <v>129</v>
      </c>
      <c r="AH134" s="148" t="s">
        <v>459</v>
      </c>
      <c r="AI134" s="111"/>
      <c r="AJ134" s="112"/>
      <c r="AK134" s="112"/>
      <c r="AL134" s="148"/>
      <c r="AM134" s="111"/>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row>
    <row r="135" spans="1:71" ht="151.5" customHeight="1" x14ac:dyDescent="0.25">
      <c r="A135" s="212"/>
      <c r="B135" s="215"/>
      <c r="C135" s="224"/>
      <c r="D135" s="224"/>
      <c r="E135" s="218"/>
      <c r="F135" s="218"/>
      <c r="G135" s="218"/>
      <c r="H135" s="220"/>
      <c r="I135" s="218"/>
      <c r="J135" s="222"/>
      <c r="K135" s="203"/>
      <c r="L135" s="206"/>
      <c r="M135" s="208"/>
      <c r="N135" s="150"/>
      <c r="O135" s="203"/>
      <c r="P135" s="206"/>
      <c r="Q135" s="211"/>
      <c r="R135" s="100">
        <v>3</v>
      </c>
      <c r="S135" s="101"/>
      <c r="T135" s="102" t="str">
        <f t="shared" si="211"/>
        <v>Probabilidad</v>
      </c>
      <c r="U135" s="103" t="s">
        <v>15</v>
      </c>
      <c r="V135" s="103" t="s">
        <v>9</v>
      </c>
      <c r="W135" s="104" t="str">
        <f t="shared" si="212"/>
        <v>30%</v>
      </c>
      <c r="X135" s="103" t="s">
        <v>20</v>
      </c>
      <c r="Y135" s="103" t="s">
        <v>23</v>
      </c>
      <c r="Z135" s="103" t="s">
        <v>114</v>
      </c>
      <c r="AA135" s="105">
        <f t="shared" si="213"/>
        <v>0</v>
      </c>
      <c r="AB135" s="106" t="str">
        <f t="shared" si="214"/>
        <v>Muy Baja</v>
      </c>
      <c r="AC135" s="107">
        <f t="shared" si="215"/>
        <v>0</v>
      </c>
      <c r="AD135" s="106" t="str">
        <f t="shared" si="216"/>
        <v>Leve</v>
      </c>
      <c r="AE135" s="107">
        <f t="shared" si="217"/>
        <v>0</v>
      </c>
      <c r="AF135" s="108" t="str">
        <f t="shared" si="218"/>
        <v>Bajo</v>
      </c>
      <c r="AG135" s="109" t="s">
        <v>129</v>
      </c>
      <c r="AH135" s="148" t="s">
        <v>460</v>
      </c>
      <c r="AI135" s="111"/>
      <c r="AJ135" s="112"/>
      <c r="AK135" s="112"/>
      <c r="AL135" s="148"/>
      <c r="AM135" s="111"/>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row>
    <row r="136" spans="1:71" ht="151.5" hidden="1" customHeight="1" x14ac:dyDescent="0.25">
      <c r="A136" s="212">
        <v>44</v>
      </c>
      <c r="B136" s="213"/>
      <c r="C136" s="213"/>
      <c r="D136" s="213"/>
      <c r="E136" s="217"/>
      <c r="F136" s="217"/>
      <c r="G136" s="217"/>
      <c r="H136" s="219"/>
      <c r="I136" s="217"/>
      <c r="J136" s="221"/>
      <c r="K136" s="201" t="str">
        <f>IF(J136&lt;=0,"",IF(J136&lt;=2,"Muy Baja",IF(J136&lt;=24,"Baja",IF(J136&lt;=500,"Media",IF(J136&lt;=5000,"Alta","Muy Alta")))))</f>
        <v/>
      </c>
      <c r="L136" s="204" t="str">
        <f>IF(K136="","",IF(K136="Muy Baja",0.2,IF(K136="Baja",0.4,IF(K136="Media",0.6,IF(K136="Alta",0.8,IF(K136="Muy Alta",1,))))))</f>
        <v/>
      </c>
      <c r="M136" s="207"/>
      <c r="N136" s="149">
        <f>IF(NOT(ISERROR(MATCH(M136,'Tabla Impacto'!$B$221:$B$223,0))),'Tabla Impacto'!$F$223&amp;"Por favor no seleccionar los criterios de impacto(Afectación Económica o presupuestal y Pérdida Reputacional)",M136)</f>
        <v>0</v>
      </c>
      <c r="O136" s="201" t="str">
        <f>IF(OR(N136='Tabla Impacto'!$C$11,N136='Tabla Impacto'!$D$11),"Leve",IF(OR(N136='Tabla Impacto'!$C$12,N136='Tabla Impacto'!$D$12),"Menor",IF(OR(N136='Tabla Impacto'!$C$13,N136='Tabla Impacto'!$D$13),"Moderado",IF(OR(N136='Tabla Impacto'!$C$14,N136='Tabla Impacto'!$D$14),"Mayor",IF(OR(N136='Tabla Impacto'!$C$15,N136='Tabla Impacto'!$D$15),"Catastrófico","")))))</f>
        <v/>
      </c>
      <c r="P136" s="204" t="str">
        <f>IF(O136="","",IF(O136="Leve",0.2,IF(O136="Menor",0.4,IF(O136="Moderado",0.6,IF(O136="Mayor",0.8,IF(O136="Catastrófico",1,))))))</f>
        <v/>
      </c>
      <c r="Q136" s="209" t="str">
        <f>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
      </c>
      <c r="R136" s="100">
        <v>1</v>
      </c>
      <c r="S136" s="101"/>
      <c r="T136" s="102" t="str">
        <f t="shared" si="211"/>
        <v/>
      </c>
      <c r="U136" s="103"/>
      <c r="V136" s="103"/>
      <c r="W136" s="104" t="str">
        <f t="shared" si="212"/>
        <v/>
      </c>
      <c r="X136" s="103"/>
      <c r="Y136" s="103"/>
      <c r="Z136" s="103"/>
      <c r="AA136" s="105" t="str">
        <f t="shared" si="213"/>
        <v/>
      </c>
      <c r="AB136" s="106" t="str">
        <f t="shared" si="214"/>
        <v/>
      </c>
      <c r="AC136" s="107" t="str">
        <f t="shared" si="215"/>
        <v/>
      </c>
      <c r="AD136" s="106" t="str">
        <f t="shared" si="216"/>
        <v/>
      </c>
      <c r="AE136" s="107" t="str">
        <f t="shared" si="217"/>
        <v/>
      </c>
      <c r="AF136" s="108" t="str">
        <f t="shared" si="218"/>
        <v/>
      </c>
      <c r="AG136" s="109"/>
      <c r="AH136" s="110"/>
      <c r="AI136" s="111"/>
      <c r="AJ136" s="112"/>
      <c r="AK136" s="112"/>
      <c r="AL136" s="110"/>
      <c r="AM136" s="111"/>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row>
    <row r="137" spans="1:71" ht="151.5" hidden="1" customHeight="1" x14ac:dyDescent="0.25">
      <c r="A137" s="212"/>
      <c r="B137" s="214"/>
      <c r="C137" s="214"/>
      <c r="D137" s="214"/>
      <c r="E137" s="218"/>
      <c r="F137" s="218"/>
      <c r="G137" s="218"/>
      <c r="H137" s="220"/>
      <c r="I137" s="218"/>
      <c r="J137" s="222"/>
      <c r="K137" s="202"/>
      <c r="L137" s="205"/>
      <c r="M137" s="208"/>
      <c r="N137" s="150"/>
      <c r="O137" s="202"/>
      <c r="P137" s="205"/>
      <c r="Q137" s="210"/>
      <c r="R137" s="100">
        <v>2</v>
      </c>
      <c r="S137" s="101"/>
      <c r="T137" s="102" t="str">
        <f t="shared" si="211"/>
        <v/>
      </c>
      <c r="U137" s="103"/>
      <c r="V137" s="103"/>
      <c r="W137" s="104" t="str">
        <f t="shared" si="212"/>
        <v/>
      </c>
      <c r="X137" s="103"/>
      <c r="Y137" s="103"/>
      <c r="Z137" s="103"/>
      <c r="AA137" s="105" t="str">
        <f t="shared" si="213"/>
        <v/>
      </c>
      <c r="AB137" s="106" t="str">
        <f t="shared" si="214"/>
        <v/>
      </c>
      <c r="AC137" s="107" t="str">
        <f t="shared" si="215"/>
        <v/>
      </c>
      <c r="AD137" s="106" t="str">
        <f t="shared" si="216"/>
        <v/>
      </c>
      <c r="AE137" s="107" t="str">
        <f t="shared" si="217"/>
        <v/>
      </c>
      <c r="AF137" s="108" t="str">
        <f t="shared" si="218"/>
        <v/>
      </c>
      <c r="AG137" s="109"/>
      <c r="AH137" s="110"/>
      <c r="AI137" s="111"/>
      <c r="AJ137" s="112"/>
      <c r="AK137" s="112"/>
      <c r="AL137" s="110"/>
      <c r="AM137" s="111"/>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row>
    <row r="138" spans="1:71" ht="151.5" hidden="1" customHeight="1" x14ac:dyDescent="0.25">
      <c r="A138" s="212"/>
      <c r="B138" s="215"/>
      <c r="C138" s="214"/>
      <c r="D138" s="214"/>
      <c r="E138" s="218"/>
      <c r="F138" s="218"/>
      <c r="G138" s="218"/>
      <c r="H138" s="220"/>
      <c r="I138" s="218"/>
      <c r="J138" s="222"/>
      <c r="K138" s="203"/>
      <c r="L138" s="206"/>
      <c r="M138" s="208"/>
      <c r="N138" s="150"/>
      <c r="O138" s="203"/>
      <c r="P138" s="206"/>
      <c r="Q138" s="211"/>
      <c r="R138" s="100">
        <v>3</v>
      </c>
      <c r="S138" s="101"/>
      <c r="T138" s="102" t="str">
        <f t="shared" si="211"/>
        <v/>
      </c>
      <c r="U138" s="103"/>
      <c r="V138" s="103"/>
      <c r="W138" s="104" t="str">
        <f t="shared" si="212"/>
        <v/>
      </c>
      <c r="X138" s="103"/>
      <c r="Y138" s="103"/>
      <c r="Z138" s="103"/>
      <c r="AA138" s="105" t="str">
        <f t="shared" si="213"/>
        <v/>
      </c>
      <c r="AB138" s="106" t="str">
        <f t="shared" si="214"/>
        <v/>
      </c>
      <c r="AC138" s="107" t="str">
        <f t="shared" si="215"/>
        <v/>
      </c>
      <c r="AD138" s="106" t="str">
        <f t="shared" si="216"/>
        <v/>
      </c>
      <c r="AE138" s="107" t="str">
        <f t="shared" si="217"/>
        <v/>
      </c>
      <c r="AF138" s="108" t="str">
        <f t="shared" si="218"/>
        <v/>
      </c>
      <c r="AG138" s="109"/>
      <c r="AH138" s="110"/>
      <c r="AI138" s="111"/>
      <c r="AJ138" s="112"/>
      <c r="AK138" s="112"/>
      <c r="AL138" s="110"/>
      <c r="AM138" s="111"/>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row>
    <row r="139" spans="1:71" ht="151.5" hidden="1" customHeight="1" x14ac:dyDescent="0.25">
      <c r="A139" s="212">
        <v>45</v>
      </c>
      <c r="B139" s="213"/>
      <c r="C139" s="216"/>
      <c r="D139" s="216"/>
      <c r="E139" s="217"/>
      <c r="F139" s="217"/>
      <c r="G139" s="217"/>
      <c r="H139" s="219"/>
      <c r="I139" s="217"/>
      <c r="J139" s="221"/>
      <c r="K139" s="201" t="str">
        <f>IF(J139&lt;=0,"",IF(J139&lt;=2,"Muy Baja",IF(J139&lt;=24,"Baja",IF(J139&lt;=500,"Media",IF(J139&lt;=5000,"Alta","Muy Alta")))))</f>
        <v/>
      </c>
      <c r="L139" s="204" t="str">
        <f>IF(K139="","",IF(K139="Muy Baja",0.2,IF(K139="Baja",0.4,IF(K139="Media",0.6,IF(K139="Alta",0.8,IF(K139="Muy Alta",1,))))))</f>
        <v/>
      </c>
      <c r="M139" s="207"/>
      <c r="N139" s="149">
        <f>IF(NOT(ISERROR(MATCH(M139,'Tabla Impacto'!$B$221:$B$223,0))),'Tabla Impacto'!$F$223&amp;"Por favor no seleccionar los criterios de impacto(Afectación Económica o presupuestal y Pérdida Reputacional)",M139)</f>
        <v>0</v>
      </c>
      <c r="O139" s="201" t="str">
        <f>IF(OR(N139='Tabla Impacto'!$C$11,N139='Tabla Impacto'!$D$11),"Leve",IF(OR(N139='Tabla Impacto'!$C$12,N139='Tabla Impacto'!$D$12),"Menor",IF(OR(N139='Tabla Impacto'!$C$13,N139='Tabla Impacto'!$D$13),"Moderado",IF(OR(N139='Tabla Impacto'!$C$14,N139='Tabla Impacto'!$D$14),"Mayor",IF(OR(N139='Tabla Impacto'!$C$15,N139='Tabla Impacto'!$D$15),"Catastrófico","")))))</f>
        <v/>
      </c>
      <c r="P139" s="204" t="str">
        <f>IF(O139="","",IF(O139="Leve",0.2,IF(O139="Menor",0.4,IF(O139="Moderado",0.6,IF(O139="Mayor",0.8,IF(O139="Catastrófico",1,))))))</f>
        <v/>
      </c>
      <c r="Q139" s="209" t="str">
        <f>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
      </c>
      <c r="R139" s="100">
        <v>1</v>
      </c>
      <c r="S139" s="101"/>
      <c r="T139" s="102" t="str">
        <f t="shared" si="211"/>
        <v/>
      </c>
      <c r="U139" s="103"/>
      <c r="V139" s="103"/>
      <c r="W139" s="104" t="str">
        <f t="shared" si="212"/>
        <v/>
      </c>
      <c r="X139" s="103"/>
      <c r="Y139" s="103"/>
      <c r="Z139" s="103"/>
      <c r="AA139" s="105" t="str">
        <f t="shared" si="213"/>
        <v/>
      </c>
      <c r="AB139" s="106" t="str">
        <f t="shared" si="214"/>
        <v/>
      </c>
      <c r="AC139" s="107" t="str">
        <f t="shared" si="215"/>
        <v/>
      </c>
      <c r="AD139" s="106" t="str">
        <f t="shared" si="216"/>
        <v/>
      </c>
      <c r="AE139" s="107" t="str">
        <f t="shared" si="217"/>
        <v/>
      </c>
      <c r="AF139" s="108" t="str">
        <f t="shared" si="218"/>
        <v/>
      </c>
      <c r="AG139" s="109"/>
      <c r="AH139" s="110"/>
      <c r="AI139" s="111"/>
      <c r="AJ139" s="112"/>
      <c r="AK139" s="112"/>
      <c r="AL139" s="110"/>
      <c r="AM139" s="111"/>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row>
    <row r="140" spans="1:71" ht="151.5" hidden="1" customHeight="1" x14ac:dyDescent="0.25">
      <c r="A140" s="212"/>
      <c r="B140" s="214"/>
      <c r="C140" s="212"/>
      <c r="D140" s="212"/>
      <c r="E140" s="218"/>
      <c r="F140" s="218"/>
      <c r="G140" s="218"/>
      <c r="H140" s="220"/>
      <c r="I140" s="218"/>
      <c r="J140" s="222"/>
      <c r="K140" s="202"/>
      <c r="L140" s="205"/>
      <c r="M140" s="208"/>
      <c r="N140" s="150"/>
      <c r="O140" s="202"/>
      <c r="P140" s="205"/>
      <c r="Q140" s="210"/>
      <c r="R140" s="100">
        <v>2</v>
      </c>
      <c r="S140" s="101"/>
      <c r="T140" s="102" t="str">
        <f t="shared" si="211"/>
        <v/>
      </c>
      <c r="U140" s="103"/>
      <c r="V140" s="103"/>
      <c r="W140" s="104" t="str">
        <f t="shared" si="212"/>
        <v/>
      </c>
      <c r="X140" s="103"/>
      <c r="Y140" s="103"/>
      <c r="Z140" s="103"/>
      <c r="AA140" s="105" t="str">
        <f t="shared" si="213"/>
        <v/>
      </c>
      <c r="AB140" s="106" t="str">
        <f t="shared" si="214"/>
        <v/>
      </c>
      <c r="AC140" s="107" t="str">
        <f t="shared" si="215"/>
        <v/>
      </c>
      <c r="AD140" s="106" t="str">
        <f t="shared" si="216"/>
        <v/>
      </c>
      <c r="AE140" s="107" t="str">
        <f t="shared" si="217"/>
        <v/>
      </c>
      <c r="AF140" s="108" t="str">
        <f t="shared" si="218"/>
        <v/>
      </c>
      <c r="AG140" s="109"/>
      <c r="AH140" s="110"/>
      <c r="AI140" s="111"/>
      <c r="AJ140" s="112"/>
      <c r="AK140" s="112"/>
      <c r="AL140" s="110"/>
      <c r="AM140" s="111"/>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row>
    <row r="141" spans="1:71" ht="151.5" hidden="1" customHeight="1" x14ac:dyDescent="0.25">
      <c r="A141" s="212"/>
      <c r="B141" s="215"/>
      <c r="C141" s="212"/>
      <c r="D141" s="212"/>
      <c r="E141" s="218"/>
      <c r="F141" s="218"/>
      <c r="G141" s="218"/>
      <c r="H141" s="220"/>
      <c r="I141" s="218"/>
      <c r="J141" s="222"/>
      <c r="K141" s="203"/>
      <c r="L141" s="206"/>
      <c r="M141" s="208"/>
      <c r="N141" s="150"/>
      <c r="O141" s="203"/>
      <c r="P141" s="206"/>
      <c r="Q141" s="211"/>
      <c r="R141" s="100">
        <v>3</v>
      </c>
      <c r="S141" s="101"/>
      <c r="T141" s="102" t="str">
        <f t="shared" si="211"/>
        <v/>
      </c>
      <c r="U141" s="103"/>
      <c r="V141" s="103"/>
      <c r="W141" s="104" t="str">
        <f t="shared" si="212"/>
        <v/>
      </c>
      <c r="X141" s="103"/>
      <c r="Y141" s="103"/>
      <c r="Z141" s="103"/>
      <c r="AA141" s="105" t="str">
        <f t="shared" si="213"/>
        <v/>
      </c>
      <c r="AB141" s="106" t="str">
        <f t="shared" si="214"/>
        <v/>
      </c>
      <c r="AC141" s="107" t="str">
        <f t="shared" si="215"/>
        <v/>
      </c>
      <c r="AD141" s="106" t="str">
        <f t="shared" si="216"/>
        <v/>
      </c>
      <c r="AE141" s="107" t="str">
        <f t="shared" si="217"/>
        <v/>
      </c>
      <c r="AF141" s="108" t="str">
        <f t="shared" si="218"/>
        <v/>
      </c>
      <c r="AG141" s="109"/>
      <c r="AH141" s="110"/>
      <c r="AI141" s="111"/>
      <c r="AJ141" s="112"/>
      <c r="AK141" s="112"/>
      <c r="AL141" s="110"/>
      <c r="AM141" s="111"/>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row>
    <row r="142" spans="1:71" ht="151.5" hidden="1" customHeight="1" x14ac:dyDescent="0.25">
      <c r="A142" s="212">
        <v>46</v>
      </c>
      <c r="B142" s="213"/>
      <c r="C142" s="216"/>
      <c r="D142" s="216"/>
      <c r="E142" s="217"/>
      <c r="F142" s="217"/>
      <c r="G142" s="217"/>
      <c r="H142" s="219"/>
      <c r="I142" s="217"/>
      <c r="J142" s="221"/>
      <c r="K142" s="201" t="str">
        <f>IF(J142&lt;=0,"",IF(J142&lt;=2,"Muy Baja",IF(J142&lt;=24,"Baja",IF(J142&lt;=500,"Media",IF(J142&lt;=5000,"Alta","Muy Alta")))))</f>
        <v/>
      </c>
      <c r="L142" s="204" t="str">
        <f>IF(K142="","",IF(K142="Muy Baja",0.2,IF(K142="Baja",0.4,IF(K142="Media",0.6,IF(K142="Alta",0.8,IF(K142="Muy Alta",1,))))))</f>
        <v/>
      </c>
      <c r="M142" s="207"/>
      <c r="N142" s="149">
        <f>IF(NOT(ISERROR(MATCH(M142,'Tabla Impacto'!$B$221:$B$223,0))),'Tabla Impacto'!$F$223&amp;"Por favor no seleccionar los criterios de impacto(Afectación Económica o presupuestal y Pérdida Reputacional)",M142)</f>
        <v>0</v>
      </c>
      <c r="O142" s="201" t="str">
        <f>IF(OR(N142='Tabla Impacto'!$C$11,N142='Tabla Impacto'!$D$11),"Leve",IF(OR(N142='Tabla Impacto'!$C$12,N142='Tabla Impacto'!$D$12),"Menor",IF(OR(N142='Tabla Impacto'!$C$13,N142='Tabla Impacto'!$D$13),"Moderado",IF(OR(N142='Tabla Impacto'!$C$14,N142='Tabla Impacto'!$D$14),"Mayor",IF(OR(N142='Tabla Impacto'!$C$15,N142='Tabla Impacto'!$D$15),"Catastrófico","")))))</f>
        <v/>
      </c>
      <c r="P142" s="204" t="str">
        <f>IF(O142="","",IF(O142="Leve",0.2,IF(O142="Menor",0.4,IF(O142="Moderado",0.6,IF(O142="Mayor",0.8,IF(O142="Catastrófico",1,))))))</f>
        <v/>
      </c>
      <c r="Q142" s="209" t="str">
        <f>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
      </c>
      <c r="R142" s="100">
        <v>1</v>
      </c>
      <c r="S142" s="101"/>
      <c r="T142" s="102" t="str">
        <f t="shared" si="211"/>
        <v/>
      </c>
      <c r="U142" s="103"/>
      <c r="V142" s="103"/>
      <c r="W142" s="104" t="str">
        <f t="shared" si="212"/>
        <v/>
      </c>
      <c r="X142" s="103"/>
      <c r="Y142" s="103"/>
      <c r="Z142" s="103"/>
      <c r="AA142" s="105" t="str">
        <f t="shared" si="213"/>
        <v/>
      </c>
      <c r="AB142" s="106" t="str">
        <f t="shared" si="214"/>
        <v/>
      </c>
      <c r="AC142" s="107" t="str">
        <f t="shared" si="215"/>
        <v/>
      </c>
      <c r="AD142" s="106" t="str">
        <f t="shared" si="216"/>
        <v/>
      </c>
      <c r="AE142" s="107" t="str">
        <f t="shared" si="217"/>
        <v/>
      </c>
      <c r="AF142" s="108" t="str">
        <f t="shared" si="218"/>
        <v/>
      </c>
      <c r="AG142" s="109"/>
      <c r="AH142" s="110"/>
      <c r="AI142" s="111"/>
      <c r="AJ142" s="112"/>
      <c r="AK142" s="112"/>
      <c r="AL142" s="110"/>
      <c r="AM142" s="111"/>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row>
    <row r="143" spans="1:71" ht="151.5" hidden="1" customHeight="1" x14ac:dyDescent="0.25">
      <c r="A143" s="212"/>
      <c r="B143" s="214"/>
      <c r="C143" s="212"/>
      <c r="D143" s="212"/>
      <c r="E143" s="218"/>
      <c r="F143" s="218"/>
      <c r="G143" s="218"/>
      <c r="H143" s="220"/>
      <c r="I143" s="218"/>
      <c r="J143" s="222"/>
      <c r="K143" s="202"/>
      <c r="L143" s="205"/>
      <c r="M143" s="208"/>
      <c r="N143" s="150"/>
      <c r="O143" s="202"/>
      <c r="P143" s="205"/>
      <c r="Q143" s="210"/>
      <c r="R143" s="100">
        <v>2</v>
      </c>
      <c r="S143" s="101"/>
      <c r="T143" s="102" t="str">
        <f t="shared" si="211"/>
        <v/>
      </c>
      <c r="U143" s="103"/>
      <c r="V143" s="103"/>
      <c r="W143" s="104" t="str">
        <f t="shared" si="212"/>
        <v/>
      </c>
      <c r="X143" s="103"/>
      <c r="Y143" s="103"/>
      <c r="Z143" s="103"/>
      <c r="AA143" s="105" t="str">
        <f t="shared" si="213"/>
        <v/>
      </c>
      <c r="AB143" s="106" t="str">
        <f t="shared" si="214"/>
        <v/>
      </c>
      <c r="AC143" s="107" t="str">
        <f t="shared" si="215"/>
        <v/>
      </c>
      <c r="AD143" s="106" t="str">
        <f t="shared" si="216"/>
        <v/>
      </c>
      <c r="AE143" s="107" t="str">
        <f t="shared" si="217"/>
        <v/>
      </c>
      <c r="AF143" s="108" t="str">
        <f t="shared" si="218"/>
        <v/>
      </c>
      <c r="AG143" s="109"/>
      <c r="AH143" s="110"/>
      <c r="AI143" s="111"/>
      <c r="AJ143" s="112"/>
      <c r="AK143" s="112"/>
      <c r="AL143" s="110"/>
      <c r="AM143" s="111"/>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row>
    <row r="144" spans="1:71" ht="151.5" hidden="1" customHeight="1" x14ac:dyDescent="0.25">
      <c r="A144" s="212"/>
      <c r="B144" s="215"/>
      <c r="C144" s="212"/>
      <c r="D144" s="212"/>
      <c r="E144" s="218"/>
      <c r="F144" s="218"/>
      <c r="G144" s="218"/>
      <c r="H144" s="220"/>
      <c r="I144" s="218"/>
      <c r="J144" s="222"/>
      <c r="K144" s="203"/>
      <c r="L144" s="206"/>
      <c r="M144" s="208"/>
      <c r="N144" s="150"/>
      <c r="O144" s="203"/>
      <c r="P144" s="206"/>
      <c r="Q144" s="211"/>
      <c r="R144" s="100">
        <v>3</v>
      </c>
      <c r="S144" s="101"/>
      <c r="T144" s="102" t="str">
        <f t="shared" si="211"/>
        <v/>
      </c>
      <c r="U144" s="103"/>
      <c r="V144" s="103"/>
      <c r="W144" s="104" t="str">
        <f t="shared" si="212"/>
        <v/>
      </c>
      <c r="X144" s="103"/>
      <c r="Y144" s="103"/>
      <c r="Z144" s="103"/>
      <c r="AA144" s="105" t="str">
        <f t="shared" si="213"/>
        <v/>
      </c>
      <c r="AB144" s="106" t="str">
        <f t="shared" si="214"/>
        <v/>
      </c>
      <c r="AC144" s="107" t="str">
        <f t="shared" si="215"/>
        <v/>
      </c>
      <c r="AD144" s="106" t="str">
        <f t="shared" si="216"/>
        <v/>
      </c>
      <c r="AE144" s="107" t="str">
        <f t="shared" si="217"/>
        <v/>
      </c>
      <c r="AF144" s="108" t="str">
        <f t="shared" si="218"/>
        <v/>
      </c>
      <c r="AG144" s="109"/>
      <c r="AH144" s="110"/>
      <c r="AI144" s="111"/>
      <c r="AJ144" s="112"/>
      <c r="AK144" s="112"/>
      <c r="AL144" s="110"/>
      <c r="AM144" s="111"/>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row>
    <row r="145" spans="1:71" ht="151.5" hidden="1" customHeight="1" x14ac:dyDescent="0.25">
      <c r="A145" s="212">
        <v>47</v>
      </c>
      <c r="B145" s="213"/>
      <c r="C145" s="216"/>
      <c r="D145" s="216"/>
      <c r="E145" s="217"/>
      <c r="F145" s="217"/>
      <c r="G145" s="217"/>
      <c r="H145" s="219"/>
      <c r="I145" s="217"/>
      <c r="J145" s="221"/>
      <c r="K145" s="201" t="str">
        <f>IF(J145&lt;=0,"",IF(J145&lt;=2,"Muy Baja",IF(J145&lt;=24,"Baja",IF(J145&lt;=500,"Media",IF(J145&lt;=5000,"Alta","Muy Alta")))))</f>
        <v/>
      </c>
      <c r="L145" s="204" t="str">
        <f>IF(K145="","",IF(K145="Muy Baja",0.2,IF(K145="Baja",0.4,IF(K145="Media",0.6,IF(K145="Alta",0.8,IF(K145="Muy Alta",1,))))))</f>
        <v/>
      </c>
      <c r="M145" s="207"/>
      <c r="N145" s="149">
        <f>IF(NOT(ISERROR(MATCH(M145,'Tabla Impacto'!$B$221:$B$223,0))),'Tabla Impacto'!$F$223&amp;"Por favor no seleccionar los criterios de impacto(Afectación Económica o presupuestal y Pérdida Reputacional)",M145)</f>
        <v>0</v>
      </c>
      <c r="O145" s="201" t="str">
        <f>IF(OR(N145='Tabla Impacto'!$C$11,N145='Tabla Impacto'!$D$11),"Leve",IF(OR(N145='Tabla Impacto'!$C$12,N145='Tabla Impacto'!$D$12),"Menor",IF(OR(N145='Tabla Impacto'!$C$13,N145='Tabla Impacto'!$D$13),"Moderado",IF(OR(N145='Tabla Impacto'!$C$14,N145='Tabla Impacto'!$D$14),"Mayor",IF(OR(N145='Tabla Impacto'!$C$15,N145='Tabla Impacto'!$D$15),"Catastrófico","")))))</f>
        <v/>
      </c>
      <c r="P145" s="204" t="str">
        <f>IF(O145="","",IF(O145="Leve",0.2,IF(O145="Menor",0.4,IF(O145="Moderado",0.6,IF(O145="Mayor",0.8,IF(O145="Catastrófico",1,))))))</f>
        <v/>
      </c>
      <c r="Q145" s="209" t="str">
        <f>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
      </c>
      <c r="R145" s="100">
        <v>1</v>
      </c>
      <c r="S145" s="101"/>
      <c r="T145" s="102" t="str">
        <f t="shared" si="211"/>
        <v/>
      </c>
      <c r="U145" s="103"/>
      <c r="V145" s="103"/>
      <c r="W145" s="104" t="str">
        <f t="shared" si="212"/>
        <v/>
      </c>
      <c r="X145" s="103"/>
      <c r="Y145" s="103"/>
      <c r="Z145" s="103"/>
      <c r="AA145" s="105" t="str">
        <f t="shared" si="213"/>
        <v/>
      </c>
      <c r="AB145" s="106" t="str">
        <f t="shared" si="214"/>
        <v/>
      </c>
      <c r="AC145" s="107" t="str">
        <f t="shared" si="215"/>
        <v/>
      </c>
      <c r="AD145" s="106" t="str">
        <f t="shared" si="216"/>
        <v/>
      </c>
      <c r="AE145" s="107" t="str">
        <f t="shared" si="217"/>
        <v/>
      </c>
      <c r="AF145" s="108" t="str">
        <f t="shared" si="218"/>
        <v/>
      </c>
      <c r="AG145" s="109"/>
      <c r="AH145" s="110"/>
      <c r="AI145" s="111"/>
      <c r="AJ145" s="112"/>
      <c r="AK145" s="112"/>
      <c r="AL145" s="110"/>
      <c r="AM145" s="111"/>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row>
    <row r="146" spans="1:71" ht="151.5" hidden="1" customHeight="1" x14ac:dyDescent="0.25">
      <c r="A146" s="212"/>
      <c r="B146" s="214"/>
      <c r="C146" s="212"/>
      <c r="D146" s="212"/>
      <c r="E146" s="218"/>
      <c r="F146" s="218"/>
      <c r="G146" s="218"/>
      <c r="H146" s="220"/>
      <c r="I146" s="218"/>
      <c r="J146" s="222"/>
      <c r="K146" s="202"/>
      <c r="L146" s="205"/>
      <c r="M146" s="208"/>
      <c r="N146" s="150"/>
      <c r="O146" s="202"/>
      <c r="P146" s="205"/>
      <c r="Q146" s="210"/>
      <c r="R146" s="100">
        <v>2</v>
      </c>
      <c r="S146" s="101"/>
      <c r="T146" s="102" t="str">
        <f t="shared" si="211"/>
        <v/>
      </c>
      <c r="U146" s="103"/>
      <c r="V146" s="103"/>
      <c r="W146" s="104" t="str">
        <f t="shared" si="212"/>
        <v/>
      </c>
      <c r="X146" s="103"/>
      <c r="Y146" s="103"/>
      <c r="Z146" s="103"/>
      <c r="AA146" s="105" t="str">
        <f t="shared" si="213"/>
        <v/>
      </c>
      <c r="AB146" s="106" t="str">
        <f t="shared" si="214"/>
        <v/>
      </c>
      <c r="AC146" s="107" t="str">
        <f t="shared" si="215"/>
        <v/>
      </c>
      <c r="AD146" s="106" t="str">
        <f t="shared" si="216"/>
        <v/>
      </c>
      <c r="AE146" s="107" t="str">
        <f t="shared" si="217"/>
        <v/>
      </c>
      <c r="AF146" s="108" t="str">
        <f t="shared" si="218"/>
        <v/>
      </c>
      <c r="AG146" s="109"/>
      <c r="AH146" s="110"/>
      <c r="AI146" s="111"/>
      <c r="AJ146" s="112"/>
      <c r="AK146" s="112"/>
      <c r="AL146" s="110"/>
      <c r="AM146" s="111"/>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row>
    <row r="147" spans="1:71" ht="151.5" hidden="1" customHeight="1" x14ac:dyDescent="0.25">
      <c r="A147" s="212"/>
      <c r="B147" s="215"/>
      <c r="C147" s="212"/>
      <c r="D147" s="212"/>
      <c r="E147" s="218"/>
      <c r="F147" s="218"/>
      <c r="G147" s="218"/>
      <c r="H147" s="220"/>
      <c r="I147" s="218"/>
      <c r="J147" s="222"/>
      <c r="K147" s="203"/>
      <c r="L147" s="206"/>
      <c r="M147" s="208"/>
      <c r="N147" s="150"/>
      <c r="O147" s="203"/>
      <c r="P147" s="206"/>
      <c r="Q147" s="211"/>
      <c r="R147" s="100">
        <v>3</v>
      </c>
      <c r="S147" s="101"/>
      <c r="T147" s="102" t="str">
        <f t="shared" si="211"/>
        <v/>
      </c>
      <c r="U147" s="103"/>
      <c r="V147" s="103"/>
      <c r="W147" s="104" t="str">
        <f t="shared" si="212"/>
        <v/>
      </c>
      <c r="X147" s="103"/>
      <c r="Y147" s="103"/>
      <c r="Z147" s="103"/>
      <c r="AA147" s="105" t="str">
        <f t="shared" si="213"/>
        <v/>
      </c>
      <c r="AB147" s="106" t="str">
        <f t="shared" si="214"/>
        <v/>
      </c>
      <c r="AC147" s="107" t="str">
        <f t="shared" si="215"/>
        <v/>
      </c>
      <c r="AD147" s="106" t="str">
        <f t="shared" si="216"/>
        <v/>
      </c>
      <c r="AE147" s="107" t="str">
        <f t="shared" si="217"/>
        <v/>
      </c>
      <c r="AF147" s="108" t="str">
        <f t="shared" si="218"/>
        <v/>
      </c>
      <c r="AG147" s="109"/>
      <c r="AH147" s="110"/>
      <c r="AI147" s="111"/>
      <c r="AJ147" s="112"/>
      <c r="AK147" s="112"/>
      <c r="AL147" s="110"/>
      <c r="AM147" s="111"/>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row>
    <row r="148" spans="1:71" ht="151.5" hidden="1" customHeight="1" x14ac:dyDescent="0.25">
      <c r="A148" s="212">
        <v>48</v>
      </c>
      <c r="B148" s="213"/>
      <c r="C148" s="216"/>
      <c r="D148" s="216"/>
      <c r="E148" s="217"/>
      <c r="F148" s="217"/>
      <c r="G148" s="217"/>
      <c r="H148" s="219"/>
      <c r="I148" s="217"/>
      <c r="J148" s="221"/>
      <c r="K148" s="201" t="str">
        <f>IF(J148&lt;=0,"",IF(J148&lt;=2,"Muy Baja",IF(J148&lt;=24,"Baja",IF(J148&lt;=500,"Media",IF(J148&lt;=5000,"Alta","Muy Alta")))))</f>
        <v/>
      </c>
      <c r="L148" s="204" t="str">
        <f>IF(K148="","",IF(K148="Muy Baja",0.2,IF(K148="Baja",0.4,IF(K148="Media",0.6,IF(K148="Alta",0.8,IF(K148="Muy Alta",1,))))))</f>
        <v/>
      </c>
      <c r="M148" s="207"/>
      <c r="N148" s="149">
        <f>IF(NOT(ISERROR(MATCH(M148,'Tabla Impacto'!$B$221:$B$223,0))),'Tabla Impacto'!$F$223&amp;"Por favor no seleccionar los criterios de impacto(Afectación Económica o presupuestal y Pérdida Reputacional)",M148)</f>
        <v>0</v>
      </c>
      <c r="O148" s="201" t="str">
        <f>IF(OR(N148='Tabla Impacto'!$C$11,N148='Tabla Impacto'!$D$11),"Leve",IF(OR(N148='Tabla Impacto'!$C$12,N148='Tabla Impacto'!$D$12),"Menor",IF(OR(N148='Tabla Impacto'!$C$13,N148='Tabla Impacto'!$D$13),"Moderado",IF(OR(N148='Tabla Impacto'!$C$14,N148='Tabla Impacto'!$D$14),"Mayor",IF(OR(N148='Tabla Impacto'!$C$15,N148='Tabla Impacto'!$D$15),"Catastrófico","")))))</f>
        <v/>
      </c>
      <c r="P148" s="204" t="str">
        <f>IF(O148="","",IF(O148="Leve",0.2,IF(O148="Menor",0.4,IF(O148="Moderado",0.6,IF(O148="Mayor",0.8,IF(O148="Catastrófico",1,))))))</f>
        <v/>
      </c>
      <c r="Q148" s="209" t="str">
        <f>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00">
        <v>1</v>
      </c>
      <c r="S148" s="101"/>
      <c r="T148" s="102" t="str">
        <f t="shared" si="211"/>
        <v/>
      </c>
      <c r="U148" s="103"/>
      <c r="V148" s="103"/>
      <c r="W148" s="104" t="str">
        <f t="shared" si="212"/>
        <v/>
      </c>
      <c r="X148" s="103"/>
      <c r="Y148" s="103"/>
      <c r="Z148" s="103"/>
      <c r="AA148" s="105" t="str">
        <f t="shared" si="213"/>
        <v/>
      </c>
      <c r="AB148" s="106" t="str">
        <f t="shared" si="214"/>
        <v/>
      </c>
      <c r="AC148" s="107" t="str">
        <f t="shared" si="215"/>
        <v/>
      </c>
      <c r="AD148" s="106" t="str">
        <f t="shared" si="216"/>
        <v/>
      </c>
      <c r="AE148" s="107" t="str">
        <f t="shared" si="217"/>
        <v/>
      </c>
      <c r="AF148" s="108" t="str">
        <f t="shared" si="218"/>
        <v/>
      </c>
      <c r="AG148" s="109"/>
      <c r="AH148" s="110"/>
      <c r="AI148" s="111"/>
      <c r="AJ148" s="112"/>
      <c r="AK148" s="112"/>
      <c r="AL148" s="110"/>
      <c r="AM148" s="111"/>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row>
    <row r="149" spans="1:71" ht="151.5" hidden="1" customHeight="1" x14ac:dyDescent="0.25">
      <c r="A149" s="212"/>
      <c r="B149" s="214"/>
      <c r="C149" s="212"/>
      <c r="D149" s="212"/>
      <c r="E149" s="218"/>
      <c r="F149" s="218"/>
      <c r="G149" s="218"/>
      <c r="H149" s="220"/>
      <c r="I149" s="218"/>
      <c r="J149" s="222"/>
      <c r="K149" s="202"/>
      <c r="L149" s="205"/>
      <c r="M149" s="208"/>
      <c r="N149" s="150"/>
      <c r="O149" s="202"/>
      <c r="P149" s="205"/>
      <c r="Q149" s="210"/>
      <c r="R149" s="100">
        <v>2</v>
      </c>
      <c r="S149" s="101"/>
      <c r="T149" s="102" t="str">
        <f t="shared" si="211"/>
        <v/>
      </c>
      <c r="U149" s="103"/>
      <c r="V149" s="103"/>
      <c r="W149" s="104" t="str">
        <f t="shared" si="212"/>
        <v/>
      </c>
      <c r="X149" s="103"/>
      <c r="Y149" s="103"/>
      <c r="Z149" s="103"/>
      <c r="AA149" s="105" t="str">
        <f t="shared" si="213"/>
        <v/>
      </c>
      <c r="AB149" s="106" t="str">
        <f t="shared" si="214"/>
        <v/>
      </c>
      <c r="AC149" s="107" t="str">
        <f t="shared" si="215"/>
        <v/>
      </c>
      <c r="AD149" s="106" t="str">
        <f t="shared" si="216"/>
        <v/>
      </c>
      <c r="AE149" s="107" t="str">
        <f t="shared" si="217"/>
        <v/>
      </c>
      <c r="AF149" s="108" t="str">
        <f t="shared" si="218"/>
        <v/>
      </c>
      <c r="AG149" s="109"/>
      <c r="AH149" s="110"/>
      <c r="AI149" s="111"/>
      <c r="AJ149" s="112"/>
      <c r="AK149" s="112"/>
      <c r="AL149" s="110"/>
      <c r="AM149" s="111"/>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row>
    <row r="150" spans="1:71" ht="151.5" hidden="1" customHeight="1" x14ac:dyDescent="0.25">
      <c r="A150" s="212"/>
      <c r="B150" s="215"/>
      <c r="C150" s="212"/>
      <c r="D150" s="212"/>
      <c r="E150" s="218"/>
      <c r="F150" s="218"/>
      <c r="G150" s="218"/>
      <c r="H150" s="220"/>
      <c r="I150" s="218"/>
      <c r="J150" s="222"/>
      <c r="K150" s="203"/>
      <c r="L150" s="206"/>
      <c r="M150" s="208"/>
      <c r="N150" s="150"/>
      <c r="O150" s="203"/>
      <c r="P150" s="206"/>
      <c r="Q150" s="211"/>
      <c r="R150" s="100">
        <v>3</v>
      </c>
      <c r="S150" s="101"/>
      <c r="T150" s="102" t="str">
        <f t="shared" si="211"/>
        <v/>
      </c>
      <c r="U150" s="103"/>
      <c r="V150" s="103"/>
      <c r="W150" s="104" t="str">
        <f t="shared" si="212"/>
        <v/>
      </c>
      <c r="X150" s="103"/>
      <c r="Y150" s="103"/>
      <c r="Z150" s="103"/>
      <c r="AA150" s="105" t="str">
        <f t="shared" si="213"/>
        <v/>
      </c>
      <c r="AB150" s="106" t="str">
        <f t="shared" si="214"/>
        <v/>
      </c>
      <c r="AC150" s="107" t="str">
        <f t="shared" si="215"/>
        <v/>
      </c>
      <c r="AD150" s="106" t="str">
        <f t="shared" si="216"/>
        <v/>
      </c>
      <c r="AE150" s="107" t="str">
        <f t="shared" si="217"/>
        <v/>
      </c>
      <c r="AF150" s="108" t="str">
        <f t="shared" si="218"/>
        <v/>
      </c>
      <c r="AG150" s="109"/>
      <c r="AH150" s="110"/>
      <c r="AI150" s="111"/>
      <c r="AJ150" s="112"/>
      <c r="AK150" s="112"/>
      <c r="AL150" s="110"/>
      <c r="AM150" s="111"/>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row>
    <row r="151" spans="1:71" ht="151.5" hidden="1" customHeight="1" x14ac:dyDescent="0.25">
      <c r="A151" s="212">
        <v>49</v>
      </c>
      <c r="B151" s="213"/>
      <c r="C151" s="216"/>
      <c r="D151" s="216"/>
      <c r="E151" s="217"/>
      <c r="F151" s="217"/>
      <c r="G151" s="217"/>
      <c r="H151" s="219"/>
      <c r="I151" s="217"/>
      <c r="J151" s="221"/>
      <c r="K151" s="201" t="str">
        <f>IF(J151&lt;=0,"",IF(J151&lt;=2,"Muy Baja",IF(J151&lt;=24,"Baja",IF(J151&lt;=500,"Media",IF(J151&lt;=5000,"Alta","Muy Alta")))))</f>
        <v/>
      </c>
      <c r="L151" s="204" t="str">
        <f>IF(K151="","",IF(K151="Muy Baja",0.2,IF(K151="Baja",0.4,IF(K151="Media",0.6,IF(K151="Alta",0.8,IF(K151="Muy Alta",1,))))))</f>
        <v/>
      </c>
      <c r="M151" s="207"/>
      <c r="N151" s="149">
        <f>IF(NOT(ISERROR(MATCH(M151,'Tabla Impacto'!$B$221:$B$223,0))),'Tabla Impacto'!$F$223&amp;"Por favor no seleccionar los criterios de impacto(Afectación Económica o presupuestal y Pérdida Reputacional)",M151)</f>
        <v>0</v>
      </c>
      <c r="O151" s="201" t="str">
        <f>IF(OR(N151='Tabla Impacto'!$C$11,N151='Tabla Impacto'!$D$11),"Leve",IF(OR(N151='Tabla Impacto'!$C$12,N151='Tabla Impacto'!$D$12),"Menor",IF(OR(N151='Tabla Impacto'!$C$13,N151='Tabla Impacto'!$D$13),"Moderado",IF(OR(N151='Tabla Impacto'!$C$14,N151='Tabla Impacto'!$D$14),"Mayor",IF(OR(N151='Tabla Impacto'!$C$15,N151='Tabla Impacto'!$D$15),"Catastrófico","")))))</f>
        <v/>
      </c>
      <c r="P151" s="204" t="str">
        <f>IF(O151="","",IF(O151="Leve",0.2,IF(O151="Menor",0.4,IF(O151="Moderado",0.6,IF(O151="Mayor",0.8,IF(O151="Catastrófico",1,))))))</f>
        <v/>
      </c>
      <c r="Q151" s="209" t="str">
        <f>IF(OR(AND(K151="Muy Baja",O151="Leve"),AND(K151="Muy Baja",O151="Menor"),AND(K151="Baja",O151="Leve")),"Bajo",IF(OR(AND(K151="Muy baja",O151="Moderado"),AND(K151="Baja",O151="Menor"),AND(K151="Baja",O151="Moderado"),AND(K151="Media",O151="Leve"),AND(K151="Media",O151="Menor"),AND(K151="Media",O151="Moderado"),AND(K151="Alta",O151="Leve"),AND(K151="Alta",O151="Menor")),"Moderado",IF(OR(AND(K151="Muy Baja",O151="Mayor"),AND(K151="Baja",O151="Mayor"),AND(K151="Media",O151="Mayor"),AND(K151="Alta",O151="Moderado"),AND(K151="Alta",O151="Mayor"),AND(K151="Muy Alta",O151="Leve"),AND(K151="Muy Alta",O151="Menor"),AND(K151="Muy Alta",O151="Moderado"),AND(K151="Muy Alta",O151="Mayor")),"Alto",IF(OR(AND(K151="Muy Baja",O151="Catastrófico"),AND(K151="Baja",O151="Catastrófico"),AND(K151="Media",O151="Catastrófico"),AND(K151="Alta",O151="Catastrófico"),AND(K151="Muy Alta",O151="Catastrófico")),"Extremo",""))))</f>
        <v/>
      </c>
      <c r="R151" s="100">
        <v>1</v>
      </c>
      <c r="S151" s="101"/>
      <c r="T151" s="102" t="str">
        <f t="shared" si="211"/>
        <v/>
      </c>
      <c r="U151" s="103"/>
      <c r="V151" s="103"/>
      <c r="W151" s="104" t="str">
        <f t="shared" si="212"/>
        <v/>
      </c>
      <c r="X151" s="103"/>
      <c r="Y151" s="103"/>
      <c r="Z151" s="103"/>
      <c r="AA151" s="105" t="str">
        <f t="shared" si="213"/>
        <v/>
      </c>
      <c r="AB151" s="106" t="str">
        <f t="shared" si="214"/>
        <v/>
      </c>
      <c r="AC151" s="107" t="str">
        <f t="shared" si="215"/>
        <v/>
      </c>
      <c r="AD151" s="106" t="str">
        <f t="shared" si="216"/>
        <v/>
      </c>
      <c r="AE151" s="107" t="str">
        <f t="shared" si="217"/>
        <v/>
      </c>
      <c r="AF151" s="108" t="str">
        <f t="shared" si="218"/>
        <v/>
      </c>
      <c r="AG151" s="109"/>
      <c r="AH151" s="110"/>
      <c r="AI151" s="111"/>
      <c r="AJ151" s="112"/>
      <c r="AK151" s="112"/>
      <c r="AL151" s="110"/>
      <c r="AM151" s="111"/>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row>
    <row r="152" spans="1:71" ht="151.5" hidden="1" customHeight="1" x14ac:dyDescent="0.25">
      <c r="A152" s="212"/>
      <c r="B152" s="214"/>
      <c r="C152" s="212"/>
      <c r="D152" s="212"/>
      <c r="E152" s="218"/>
      <c r="F152" s="218"/>
      <c r="G152" s="218"/>
      <c r="H152" s="220"/>
      <c r="I152" s="218"/>
      <c r="J152" s="222"/>
      <c r="K152" s="202"/>
      <c r="L152" s="205"/>
      <c r="M152" s="208"/>
      <c r="N152" s="150"/>
      <c r="O152" s="202"/>
      <c r="P152" s="205"/>
      <c r="Q152" s="210"/>
      <c r="R152" s="100">
        <v>2</v>
      </c>
      <c r="S152" s="101"/>
      <c r="T152" s="102" t="str">
        <f t="shared" si="211"/>
        <v/>
      </c>
      <c r="U152" s="103"/>
      <c r="V152" s="103"/>
      <c r="W152" s="104" t="str">
        <f t="shared" si="212"/>
        <v/>
      </c>
      <c r="X152" s="103"/>
      <c r="Y152" s="103"/>
      <c r="Z152" s="103"/>
      <c r="AA152" s="105" t="str">
        <f t="shared" si="213"/>
        <v/>
      </c>
      <c r="AB152" s="106" t="str">
        <f t="shared" si="214"/>
        <v/>
      </c>
      <c r="AC152" s="107" t="str">
        <f t="shared" si="215"/>
        <v/>
      </c>
      <c r="AD152" s="106" t="str">
        <f t="shared" si="216"/>
        <v/>
      </c>
      <c r="AE152" s="107" t="str">
        <f t="shared" si="217"/>
        <v/>
      </c>
      <c r="AF152" s="108" t="str">
        <f t="shared" si="218"/>
        <v/>
      </c>
      <c r="AG152" s="109"/>
      <c r="AH152" s="110"/>
      <c r="AI152" s="111"/>
      <c r="AJ152" s="112"/>
      <c r="AK152" s="112"/>
      <c r="AL152" s="110"/>
      <c r="AM152" s="111"/>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row>
    <row r="153" spans="1:71" ht="151.5" hidden="1" customHeight="1" x14ac:dyDescent="0.25">
      <c r="A153" s="212"/>
      <c r="B153" s="215"/>
      <c r="C153" s="212"/>
      <c r="D153" s="212"/>
      <c r="E153" s="218"/>
      <c r="F153" s="218"/>
      <c r="G153" s="218"/>
      <c r="H153" s="220"/>
      <c r="I153" s="218"/>
      <c r="J153" s="222"/>
      <c r="K153" s="203"/>
      <c r="L153" s="206"/>
      <c r="M153" s="208"/>
      <c r="N153" s="150"/>
      <c r="O153" s="203"/>
      <c r="P153" s="206"/>
      <c r="Q153" s="211"/>
      <c r="R153" s="100">
        <v>3</v>
      </c>
      <c r="S153" s="101"/>
      <c r="T153" s="102" t="str">
        <f t="shared" si="211"/>
        <v/>
      </c>
      <c r="U153" s="103"/>
      <c r="V153" s="103"/>
      <c r="W153" s="104" t="str">
        <f t="shared" si="212"/>
        <v/>
      </c>
      <c r="X153" s="103"/>
      <c r="Y153" s="103"/>
      <c r="Z153" s="103"/>
      <c r="AA153" s="105" t="str">
        <f t="shared" si="213"/>
        <v/>
      </c>
      <c r="AB153" s="106" t="str">
        <f t="shared" si="214"/>
        <v/>
      </c>
      <c r="AC153" s="107" t="str">
        <f t="shared" si="215"/>
        <v/>
      </c>
      <c r="AD153" s="106" t="str">
        <f t="shared" si="216"/>
        <v/>
      </c>
      <c r="AE153" s="107" t="str">
        <f t="shared" si="217"/>
        <v/>
      </c>
      <c r="AF153" s="108" t="str">
        <f t="shared" si="218"/>
        <v/>
      </c>
      <c r="AG153" s="109"/>
      <c r="AH153" s="110"/>
      <c r="AI153" s="111"/>
      <c r="AJ153" s="112"/>
      <c r="AK153" s="112"/>
      <c r="AL153" s="110"/>
      <c r="AM153" s="111"/>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row>
    <row r="154" spans="1:71" ht="49.5" customHeight="1" x14ac:dyDescent="0.25">
      <c r="A154" s="4"/>
      <c r="B154" s="99"/>
      <c r="C154" s="99"/>
      <c r="D154" s="99"/>
      <c r="E154" s="239" t="s">
        <v>124</v>
      </c>
      <c r="F154" s="240"/>
      <c r="G154" s="240"/>
      <c r="H154" s="240"/>
      <c r="I154" s="240"/>
      <c r="J154" s="240"/>
      <c r="K154" s="240"/>
      <c r="L154" s="240"/>
      <c r="M154" s="240"/>
      <c r="N154" s="240"/>
      <c r="O154" s="240"/>
      <c r="P154" s="240"/>
      <c r="Q154" s="240"/>
      <c r="R154" s="240"/>
      <c r="S154" s="240"/>
      <c r="T154" s="240"/>
      <c r="U154" s="240"/>
      <c r="V154" s="240"/>
      <c r="W154" s="240"/>
      <c r="X154" s="240"/>
      <c r="Y154" s="240"/>
      <c r="Z154" s="240"/>
      <c r="AA154" s="240"/>
      <c r="AB154" s="240"/>
      <c r="AC154" s="240"/>
      <c r="AD154" s="240"/>
      <c r="AE154" s="240"/>
      <c r="AF154" s="240"/>
      <c r="AG154" s="240"/>
      <c r="AH154" s="240"/>
      <c r="AI154" s="240"/>
      <c r="AJ154" s="240"/>
      <c r="AK154" s="240"/>
      <c r="AL154" s="240"/>
      <c r="AM154" s="241"/>
    </row>
    <row r="156" spans="1:71" x14ac:dyDescent="0.25">
      <c r="A156" s="2"/>
      <c r="B156" s="2"/>
      <c r="C156" s="2"/>
      <c r="D156" s="2"/>
      <c r="E156" s="21" t="s">
        <v>535</v>
      </c>
      <c r="F156" s="2"/>
      <c r="G156" s="2"/>
    </row>
  </sheetData>
  <dataConsolidate/>
  <mergeCells count="825">
    <mergeCell ref="AH5:AH6"/>
    <mergeCell ref="AM5:AM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I7:I9"/>
    <mergeCell ref="J7:J9"/>
    <mergeCell ref="A7:A9"/>
    <mergeCell ref="B7:B9"/>
    <mergeCell ref="C7:C9"/>
    <mergeCell ref="D7:D9"/>
    <mergeCell ref="E154:AM154"/>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Q7:Q9"/>
    <mergeCell ref="E7:E9"/>
    <mergeCell ref="A13:A15"/>
    <mergeCell ref="B13:B15"/>
    <mergeCell ref="C13:C15"/>
    <mergeCell ref="D13:D15"/>
    <mergeCell ref="E13:E15"/>
    <mergeCell ref="F13:F15"/>
    <mergeCell ref="G13:G15"/>
    <mergeCell ref="H13:H15"/>
    <mergeCell ref="I13:I15"/>
    <mergeCell ref="J13:J15"/>
    <mergeCell ref="K13:K15"/>
    <mergeCell ref="L13:L15"/>
    <mergeCell ref="M13:M15"/>
    <mergeCell ref="O13:O15"/>
    <mergeCell ref="K7:K9"/>
    <mergeCell ref="L7:L9"/>
    <mergeCell ref="M7:M9"/>
    <mergeCell ref="O7:O9"/>
    <mergeCell ref="P7:P9"/>
    <mergeCell ref="F7:F9"/>
    <mergeCell ref="G7:G9"/>
    <mergeCell ref="H7:H9"/>
    <mergeCell ref="Q13:Q15"/>
    <mergeCell ref="A16:A18"/>
    <mergeCell ref="B16:B18"/>
    <mergeCell ref="C16:C18"/>
    <mergeCell ref="D16:D18"/>
    <mergeCell ref="E16:E18"/>
    <mergeCell ref="F16:F18"/>
    <mergeCell ref="G16:G18"/>
    <mergeCell ref="H16:H18"/>
    <mergeCell ref="I16:I18"/>
    <mergeCell ref="J16:J18"/>
    <mergeCell ref="K16:K18"/>
    <mergeCell ref="L16:L18"/>
    <mergeCell ref="M16:M18"/>
    <mergeCell ref="O16:O18"/>
    <mergeCell ref="G10:G12"/>
    <mergeCell ref="H10:H12"/>
    <mergeCell ref="I10:I12"/>
    <mergeCell ref="J10:J12"/>
    <mergeCell ref="K10:K12"/>
    <mergeCell ref="L10:L12"/>
    <mergeCell ref="M10:M12"/>
    <mergeCell ref="O10:O12"/>
    <mergeCell ref="P13:P15"/>
    <mergeCell ref="P10:P12"/>
    <mergeCell ref="Q10:Q12"/>
    <mergeCell ref="A19:A21"/>
    <mergeCell ref="B19:B21"/>
    <mergeCell ref="C19:C21"/>
    <mergeCell ref="D19:D21"/>
    <mergeCell ref="E19:E21"/>
    <mergeCell ref="F19:F21"/>
    <mergeCell ref="G19:G21"/>
    <mergeCell ref="H19:H21"/>
    <mergeCell ref="I19:I21"/>
    <mergeCell ref="J19:J21"/>
    <mergeCell ref="K19:K21"/>
    <mergeCell ref="L19:L21"/>
    <mergeCell ref="M19:M21"/>
    <mergeCell ref="O19:O21"/>
    <mergeCell ref="P16:P18"/>
    <mergeCell ref="Q16:Q18"/>
    <mergeCell ref="A10:A12"/>
    <mergeCell ref="B10:B12"/>
    <mergeCell ref="C10:C12"/>
    <mergeCell ref="D10:D12"/>
    <mergeCell ref="E10:E12"/>
    <mergeCell ref="F10:F12"/>
    <mergeCell ref="P19:P21"/>
    <mergeCell ref="Q19:Q21"/>
    <mergeCell ref="B22:B24"/>
    <mergeCell ref="C22:C24"/>
    <mergeCell ref="D22:D24"/>
    <mergeCell ref="E22:E24"/>
    <mergeCell ref="F22:F24"/>
    <mergeCell ref="G22:G24"/>
    <mergeCell ref="H22:H24"/>
    <mergeCell ref="I22:I24"/>
    <mergeCell ref="J22:J24"/>
    <mergeCell ref="K22:K24"/>
    <mergeCell ref="L22:L24"/>
    <mergeCell ref="M22:M24"/>
    <mergeCell ref="O22:O24"/>
    <mergeCell ref="P22:P24"/>
    <mergeCell ref="Q22:Q24"/>
    <mergeCell ref="A22:A24"/>
    <mergeCell ref="A25:A27"/>
    <mergeCell ref="B25:B27"/>
    <mergeCell ref="C25:C27"/>
    <mergeCell ref="D25:D27"/>
    <mergeCell ref="E25:E27"/>
    <mergeCell ref="F25:F27"/>
    <mergeCell ref="G25:G27"/>
    <mergeCell ref="H25:H27"/>
    <mergeCell ref="Q25:Q27"/>
    <mergeCell ref="A28:A30"/>
    <mergeCell ref="B28:B30"/>
    <mergeCell ref="C28:C30"/>
    <mergeCell ref="D28:D30"/>
    <mergeCell ref="E28:E30"/>
    <mergeCell ref="F28:F30"/>
    <mergeCell ref="G28:G30"/>
    <mergeCell ref="H28:H30"/>
    <mergeCell ref="I28:I30"/>
    <mergeCell ref="J28:J30"/>
    <mergeCell ref="K28:K30"/>
    <mergeCell ref="L28:L30"/>
    <mergeCell ref="M28:M30"/>
    <mergeCell ref="O28:O30"/>
    <mergeCell ref="P28:P30"/>
    <mergeCell ref="Q28:Q30"/>
    <mergeCell ref="H31:H33"/>
    <mergeCell ref="I31:I33"/>
    <mergeCell ref="I25:I27"/>
    <mergeCell ref="J25:J27"/>
    <mergeCell ref="K25:K27"/>
    <mergeCell ref="L25:L27"/>
    <mergeCell ref="M25:M27"/>
    <mergeCell ref="O25:O27"/>
    <mergeCell ref="P25:P27"/>
    <mergeCell ref="P31:P33"/>
    <mergeCell ref="Q31:Q33"/>
    <mergeCell ref="P34:P36"/>
    <mergeCell ref="O34:O36"/>
    <mergeCell ref="Q34:Q36"/>
    <mergeCell ref="C34:C36"/>
    <mergeCell ref="B34:B36"/>
    <mergeCell ref="A34:A36"/>
    <mergeCell ref="J31:J33"/>
    <mergeCell ref="K31:K33"/>
    <mergeCell ref="L31:L33"/>
    <mergeCell ref="M31:M33"/>
    <mergeCell ref="O31:O33"/>
    <mergeCell ref="M34:M36"/>
    <mergeCell ref="L34:L36"/>
    <mergeCell ref="K34:K36"/>
    <mergeCell ref="J34:J36"/>
    <mergeCell ref="A31:A33"/>
    <mergeCell ref="B31:B33"/>
    <mergeCell ref="C31:C33"/>
    <mergeCell ref="D31:D33"/>
    <mergeCell ref="E31:E33"/>
    <mergeCell ref="F31:F33"/>
    <mergeCell ref="G31:G33"/>
    <mergeCell ref="H34:H36"/>
    <mergeCell ref="G34:G36"/>
    <mergeCell ref="F34:F36"/>
    <mergeCell ref="E34:E36"/>
    <mergeCell ref="D34:D36"/>
    <mergeCell ref="F37:F39"/>
    <mergeCell ref="G37:G39"/>
    <mergeCell ref="H37:H39"/>
    <mergeCell ref="I34:I36"/>
    <mergeCell ref="I37:I39"/>
    <mergeCell ref="J37:J39"/>
    <mergeCell ref="A40:A42"/>
    <mergeCell ref="B40:B42"/>
    <mergeCell ref="C37:C39"/>
    <mergeCell ref="D37:D39"/>
    <mergeCell ref="E37:E39"/>
    <mergeCell ref="L40:L42"/>
    <mergeCell ref="K40:K42"/>
    <mergeCell ref="J40:J42"/>
    <mergeCell ref="I40:I42"/>
    <mergeCell ref="H40:H42"/>
    <mergeCell ref="A37:A39"/>
    <mergeCell ref="B37:B39"/>
    <mergeCell ref="Q37:Q39"/>
    <mergeCell ref="Q40:Q42"/>
    <mergeCell ref="P40:P42"/>
    <mergeCell ref="O40:O42"/>
    <mergeCell ref="M40:M42"/>
    <mergeCell ref="K37:K39"/>
    <mergeCell ref="L37:L39"/>
    <mergeCell ref="M37:M39"/>
    <mergeCell ref="O37:O39"/>
    <mergeCell ref="P37:P39"/>
    <mergeCell ref="A43:A45"/>
    <mergeCell ref="B43:B45"/>
    <mergeCell ref="C43:C45"/>
    <mergeCell ref="D43:D45"/>
    <mergeCell ref="E43:E45"/>
    <mergeCell ref="G40:G42"/>
    <mergeCell ref="F40:F42"/>
    <mergeCell ref="E40:E42"/>
    <mergeCell ref="D40:D42"/>
    <mergeCell ref="C40:C42"/>
    <mergeCell ref="Q43:Q45"/>
    <mergeCell ref="K43:K45"/>
    <mergeCell ref="L43:L45"/>
    <mergeCell ref="M43:M45"/>
    <mergeCell ref="O43:O45"/>
    <mergeCell ref="P43:P45"/>
    <mergeCell ref="F43:F45"/>
    <mergeCell ref="G43:G45"/>
    <mergeCell ref="H43:H45"/>
    <mergeCell ref="I43:I45"/>
    <mergeCell ref="J43:J45"/>
    <mergeCell ref="A46:A48"/>
    <mergeCell ref="B46:B48"/>
    <mergeCell ref="C46:C48"/>
    <mergeCell ref="D46:D48"/>
    <mergeCell ref="E46:E48"/>
    <mergeCell ref="F46:F48"/>
    <mergeCell ref="G46:G48"/>
    <mergeCell ref="H46:H48"/>
    <mergeCell ref="I46:I48"/>
    <mergeCell ref="J46:J48"/>
    <mergeCell ref="K46:K48"/>
    <mergeCell ref="L46:L48"/>
    <mergeCell ref="M46:M48"/>
    <mergeCell ref="O46:O48"/>
    <mergeCell ref="P46:P48"/>
    <mergeCell ref="Q46:Q48"/>
    <mergeCell ref="J49:J51"/>
    <mergeCell ref="K49:K51"/>
    <mergeCell ref="L49:L51"/>
    <mergeCell ref="M49:M51"/>
    <mergeCell ref="O49:O51"/>
    <mergeCell ref="P49:P51"/>
    <mergeCell ref="Q49:Q51"/>
    <mergeCell ref="H52:H54"/>
    <mergeCell ref="I52:I54"/>
    <mergeCell ref="B49:B51"/>
    <mergeCell ref="C49:C51"/>
    <mergeCell ref="D49:D51"/>
    <mergeCell ref="E49:E51"/>
    <mergeCell ref="F49:F51"/>
    <mergeCell ref="G49:G51"/>
    <mergeCell ref="H49:H51"/>
    <mergeCell ref="I49:I51"/>
    <mergeCell ref="J52:J54"/>
    <mergeCell ref="K52:K54"/>
    <mergeCell ref="L52:L54"/>
    <mergeCell ref="M52:M54"/>
    <mergeCell ref="O52:O54"/>
    <mergeCell ref="P52:P54"/>
    <mergeCell ref="Q52:Q54"/>
    <mergeCell ref="A49:A51"/>
    <mergeCell ref="A55:A57"/>
    <mergeCell ref="B55:B57"/>
    <mergeCell ref="C55:C57"/>
    <mergeCell ref="D55:D57"/>
    <mergeCell ref="E55:E57"/>
    <mergeCell ref="F55:F57"/>
    <mergeCell ref="G55:G57"/>
    <mergeCell ref="H55:H57"/>
    <mergeCell ref="I55:I57"/>
    <mergeCell ref="B52:B54"/>
    <mergeCell ref="A52:A54"/>
    <mergeCell ref="C52:C54"/>
    <mergeCell ref="D52:D54"/>
    <mergeCell ref="E52:E54"/>
    <mergeCell ref="F52:F54"/>
    <mergeCell ref="G52:G54"/>
    <mergeCell ref="I58:I60"/>
    <mergeCell ref="P55:P57"/>
    <mergeCell ref="Q55:Q57"/>
    <mergeCell ref="Q58:Q60"/>
    <mergeCell ref="P58:P60"/>
    <mergeCell ref="O58:O60"/>
    <mergeCell ref="D61:D63"/>
    <mergeCell ref="E61:E63"/>
    <mergeCell ref="F61:F63"/>
    <mergeCell ref="G61:G63"/>
    <mergeCell ref="H61:H63"/>
    <mergeCell ref="J55:J57"/>
    <mergeCell ref="K55:K57"/>
    <mergeCell ref="L55:L57"/>
    <mergeCell ref="M55:M57"/>
    <mergeCell ref="O55:O57"/>
    <mergeCell ref="M58:M60"/>
    <mergeCell ref="L58:L60"/>
    <mergeCell ref="K58:K60"/>
    <mergeCell ref="J58:J60"/>
    <mergeCell ref="C58:C60"/>
    <mergeCell ref="B58:B60"/>
    <mergeCell ref="A58:A60"/>
    <mergeCell ref="A61:A63"/>
    <mergeCell ref="B61:B63"/>
    <mergeCell ref="C61:C63"/>
    <mergeCell ref="H58:H60"/>
    <mergeCell ref="G58:G60"/>
    <mergeCell ref="F58:F60"/>
    <mergeCell ref="E58:E60"/>
    <mergeCell ref="D58:D60"/>
    <mergeCell ref="J112:J114"/>
    <mergeCell ref="I112:I114"/>
    <mergeCell ref="O61:O63"/>
    <mergeCell ref="P61:P63"/>
    <mergeCell ref="Q61:Q63"/>
    <mergeCell ref="O64:O66"/>
    <mergeCell ref="P64:P66"/>
    <mergeCell ref="Q64:Q66"/>
    <mergeCell ref="O67:O69"/>
    <mergeCell ref="P67:P69"/>
    <mergeCell ref="Q67:Q69"/>
    <mergeCell ref="O70:O72"/>
    <mergeCell ref="I61:I63"/>
    <mergeCell ref="J61:J63"/>
    <mergeCell ref="K61:K63"/>
    <mergeCell ref="L61:L63"/>
    <mergeCell ref="M61:M63"/>
    <mergeCell ref="I109:I111"/>
    <mergeCell ref="J109:J111"/>
    <mergeCell ref="K109:K111"/>
    <mergeCell ref="L109:L111"/>
    <mergeCell ref="M109:M111"/>
    <mergeCell ref="I64:I66"/>
    <mergeCell ref="J64:J66"/>
    <mergeCell ref="C112:C114"/>
    <mergeCell ref="B112:B114"/>
    <mergeCell ref="A112:A114"/>
    <mergeCell ref="A109:A111"/>
    <mergeCell ref="B109:B111"/>
    <mergeCell ref="C109:C111"/>
    <mergeCell ref="H112:H114"/>
    <mergeCell ref="G112:G114"/>
    <mergeCell ref="F112:F114"/>
    <mergeCell ref="E112:E114"/>
    <mergeCell ref="D112:D114"/>
    <mergeCell ref="D109:D111"/>
    <mergeCell ref="E109:E111"/>
    <mergeCell ref="F109:F111"/>
    <mergeCell ref="G109:G111"/>
    <mergeCell ref="H109:H111"/>
    <mergeCell ref="D121:D123"/>
    <mergeCell ref="E121:E123"/>
    <mergeCell ref="F121:F123"/>
    <mergeCell ref="G121:G123"/>
    <mergeCell ref="A115:A117"/>
    <mergeCell ref="B115:B117"/>
    <mergeCell ref="C115:C117"/>
    <mergeCell ref="D115:D117"/>
    <mergeCell ref="E115:E117"/>
    <mergeCell ref="F115:F117"/>
    <mergeCell ref="G115:G117"/>
    <mergeCell ref="F118:F120"/>
    <mergeCell ref="G118:G120"/>
    <mergeCell ref="A118:A120"/>
    <mergeCell ref="B118:B120"/>
    <mergeCell ref="C118:C120"/>
    <mergeCell ref="D118:D120"/>
    <mergeCell ref="E118:E120"/>
    <mergeCell ref="M121:M123"/>
    <mergeCell ref="O121:O123"/>
    <mergeCell ref="P121:P123"/>
    <mergeCell ref="Q121:Q123"/>
    <mergeCell ref="A103:A105"/>
    <mergeCell ref="B103:B105"/>
    <mergeCell ref="C103:C105"/>
    <mergeCell ref="D103:D105"/>
    <mergeCell ref="E103:E105"/>
    <mergeCell ref="F103:F105"/>
    <mergeCell ref="G103:G105"/>
    <mergeCell ref="H103:H105"/>
    <mergeCell ref="I103:I105"/>
    <mergeCell ref="J103:J105"/>
    <mergeCell ref="K103:K105"/>
    <mergeCell ref="L103:L105"/>
    <mergeCell ref="H121:H123"/>
    <mergeCell ref="I121:I123"/>
    <mergeCell ref="J121:J123"/>
    <mergeCell ref="K121:K123"/>
    <mergeCell ref="L121:L123"/>
    <mergeCell ref="A121:A123"/>
    <mergeCell ref="B121:B123"/>
    <mergeCell ref="C121:C123"/>
    <mergeCell ref="A85:A87"/>
    <mergeCell ref="A82:A84"/>
    <mergeCell ref="A79:A81"/>
    <mergeCell ref="A76:A78"/>
    <mergeCell ref="A73:A75"/>
    <mergeCell ref="A100:A102"/>
    <mergeCell ref="A97:A99"/>
    <mergeCell ref="A94:A96"/>
    <mergeCell ref="A91:A93"/>
    <mergeCell ref="A88:A90"/>
    <mergeCell ref="A70:A72"/>
    <mergeCell ref="A67:A69"/>
    <mergeCell ref="A64:A66"/>
    <mergeCell ref="B64:B66"/>
    <mergeCell ref="C64:C66"/>
    <mergeCell ref="B67:B69"/>
    <mergeCell ref="C67:C69"/>
    <mergeCell ref="B70:B72"/>
    <mergeCell ref="C70:C72"/>
    <mergeCell ref="K64:K66"/>
    <mergeCell ref="L64:L66"/>
    <mergeCell ref="M64:M66"/>
    <mergeCell ref="D64:D66"/>
    <mergeCell ref="E64:E66"/>
    <mergeCell ref="F64:F66"/>
    <mergeCell ref="G64:G66"/>
    <mergeCell ref="H64:H66"/>
    <mergeCell ref="G70:G72"/>
    <mergeCell ref="H70:H72"/>
    <mergeCell ref="I67:I69"/>
    <mergeCell ref="J67:J69"/>
    <mergeCell ref="K67:K69"/>
    <mergeCell ref="L67:L69"/>
    <mergeCell ref="M67:M69"/>
    <mergeCell ref="D67:D69"/>
    <mergeCell ref="E67:E69"/>
    <mergeCell ref="F67:F69"/>
    <mergeCell ref="G67:G69"/>
    <mergeCell ref="H67:H69"/>
    <mergeCell ref="P70:P72"/>
    <mergeCell ref="Q70:Q72"/>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I70:I72"/>
    <mergeCell ref="J70:J72"/>
    <mergeCell ref="K70:K72"/>
    <mergeCell ref="L70:L72"/>
    <mergeCell ref="M70:M72"/>
    <mergeCell ref="D70:D72"/>
    <mergeCell ref="E70:E72"/>
    <mergeCell ref="F70:F72"/>
    <mergeCell ref="B79:B81"/>
    <mergeCell ref="C79:C81"/>
    <mergeCell ref="D79:D81"/>
    <mergeCell ref="E79:E81"/>
    <mergeCell ref="F79:F81"/>
    <mergeCell ref="Q73:Q75"/>
    <mergeCell ref="B76:B78"/>
    <mergeCell ref="C76:C78"/>
    <mergeCell ref="D76:D78"/>
    <mergeCell ref="E76:E78"/>
    <mergeCell ref="F76:F78"/>
    <mergeCell ref="G76:G78"/>
    <mergeCell ref="H76:H78"/>
    <mergeCell ref="I76:I78"/>
    <mergeCell ref="J76:J78"/>
    <mergeCell ref="K76:K78"/>
    <mergeCell ref="L76:L78"/>
    <mergeCell ref="M76:M78"/>
    <mergeCell ref="O76:O78"/>
    <mergeCell ref="P76:P78"/>
    <mergeCell ref="Q76:Q78"/>
    <mergeCell ref="L79:L81"/>
    <mergeCell ref="M79:M81"/>
    <mergeCell ref="O79:O81"/>
    <mergeCell ref="P79:P81"/>
    <mergeCell ref="Q79:Q81"/>
    <mergeCell ref="G79:G81"/>
    <mergeCell ref="H79:H81"/>
    <mergeCell ref="I79:I81"/>
    <mergeCell ref="J79:J81"/>
    <mergeCell ref="K79:K81"/>
    <mergeCell ref="K82:K84"/>
    <mergeCell ref="J82:J84"/>
    <mergeCell ref="I82:I84"/>
    <mergeCell ref="H82:H84"/>
    <mergeCell ref="G82:G84"/>
    <mergeCell ref="Q82:Q84"/>
    <mergeCell ref="P82:P84"/>
    <mergeCell ref="O82:O84"/>
    <mergeCell ref="M82:M84"/>
    <mergeCell ref="L82:L84"/>
    <mergeCell ref="B85:B87"/>
    <mergeCell ref="C85:C87"/>
    <mergeCell ref="D85:D87"/>
    <mergeCell ref="E85:E87"/>
    <mergeCell ref="F85:F87"/>
    <mergeCell ref="F82:F84"/>
    <mergeCell ref="E82:E84"/>
    <mergeCell ref="D82:D84"/>
    <mergeCell ref="C82:C84"/>
    <mergeCell ref="B82:B84"/>
    <mergeCell ref="L85:L87"/>
    <mergeCell ref="M85:M87"/>
    <mergeCell ref="O85:O87"/>
    <mergeCell ref="P85:P87"/>
    <mergeCell ref="Q85:Q87"/>
    <mergeCell ref="G85:G87"/>
    <mergeCell ref="H85:H87"/>
    <mergeCell ref="I85:I87"/>
    <mergeCell ref="J85:J87"/>
    <mergeCell ref="K85:K87"/>
    <mergeCell ref="G88:G90"/>
    <mergeCell ref="H88:H90"/>
    <mergeCell ref="I88:I90"/>
    <mergeCell ref="J88:J90"/>
    <mergeCell ref="K88:K90"/>
    <mergeCell ref="B88:B90"/>
    <mergeCell ref="C88:C90"/>
    <mergeCell ref="D88:D90"/>
    <mergeCell ref="E88:E90"/>
    <mergeCell ref="F88:F90"/>
    <mergeCell ref="Q91:Q93"/>
    <mergeCell ref="P91:P93"/>
    <mergeCell ref="O91:O93"/>
    <mergeCell ref="M91:M93"/>
    <mergeCell ref="L91:L93"/>
    <mergeCell ref="L88:L90"/>
    <mergeCell ref="M88:M90"/>
    <mergeCell ref="O88:O90"/>
    <mergeCell ref="P88:P90"/>
    <mergeCell ref="Q88:Q90"/>
    <mergeCell ref="F91:F93"/>
    <mergeCell ref="E91:E93"/>
    <mergeCell ref="D91:D93"/>
    <mergeCell ref="C91:C93"/>
    <mergeCell ref="B91:B93"/>
    <mergeCell ref="K91:K93"/>
    <mergeCell ref="J91:J93"/>
    <mergeCell ref="I91:I93"/>
    <mergeCell ref="H91:H93"/>
    <mergeCell ref="G91:G93"/>
    <mergeCell ref="Q94:Q96"/>
    <mergeCell ref="G94:G96"/>
    <mergeCell ref="H94:H96"/>
    <mergeCell ref="I94:I96"/>
    <mergeCell ref="J94:J96"/>
    <mergeCell ref="K94:K96"/>
    <mergeCell ref="B94:B96"/>
    <mergeCell ref="C94:C96"/>
    <mergeCell ref="D94:D96"/>
    <mergeCell ref="E94:E96"/>
    <mergeCell ref="F94:F96"/>
    <mergeCell ref="B97:B99"/>
    <mergeCell ref="C97:C99"/>
    <mergeCell ref="D97:D99"/>
    <mergeCell ref="E97:E99"/>
    <mergeCell ref="F97:F99"/>
    <mergeCell ref="L94:L96"/>
    <mergeCell ref="M94:M96"/>
    <mergeCell ref="O94:O96"/>
    <mergeCell ref="P94:P96"/>
    <mergeCell ref="L97:L99"/>
    <mergeCell ref="M97:M99"/>
    <mergeCell ref="O97:O99"/>
    <mergeCell ref="P97:P99"/>
    <mergeCell ref="Q97:Q99"/>
    <mergeCell ref="G97:G99"/>
    <mergeCell ref="H97:H99"/>
    <mergeCell ref="I97:I99"/>
    <mergeCell ref="J97:J99"/>
    <mergeCell ref="K97:K99"/>
    <mergeCell ref="G100:G102"/>
    <mergeCell ref="H100:H102"/>
    <mergeCell ref="I100:I102"/>
    <mergeCell ref="J100:J102"/>
    <mergeCell ref="K100:K102"/>
    <mergeCell ref="B100:B102"/>
    <mergeCell ref="C100:C102"/>
    <mergeCell ref="D100:D102"/>
    <mergeCell ref="E100:E102"/>
    <mergeCell ref="F100:F102"/>
    <mergeCell ref="M103:M105"/>
    <mergeCell ref="O103:O105"/>
    <mergeCell ref="P103:P105"/>
    <mergeCell ref="Q103:Q105"/>
    <mergeCell ref="L100:L102"/>
    <mergeCell ref="M100:M102"/>
    <mergeCell ref="O100:O102"/>
    <mergeCell ref="P100:P102"/>
    <mergeCell ref="Q100:Q102"/>
    <mergeCell ref="Q118:Q120"/>
    <mergeCell ref="P118:P120"/>
    <mergeCell ref="O118:O120"/>
    <mergeCell ref="M118:M120"/>
    <mergeCell ref="M115:M117"/>
    <mergeCell ref="O115:O117"/>
    <mergeCell ref="P115:P117"/>
    <mergeCell ref="Q115:Q117"/>
    <mergeCell ref="H115:H117"/>
    <mergeCell ref="I115:I117"/>
    <mergeCell ref="J115:J117"/>
    <mergeCell ref="K115:K117"/>
    <mergeCell ref="L115:L117"/>
    <mergeCell ref="K118:K120"/>
    <mergeCell ref="L118:L120"/>
    <mergeCell ref="H118:H120"/>
    <mergeCell ref="I118:I120"/>
    <mergeCell ref="J118:J120"/>
    <mergeCell ref="G106:G108"/>
    <mergeCell ref="H106:H108"/>
    <mergeCell ref="I106:I108"/>
    <mergeCell ref="J106:J108"/>
    <mergeCell ref="A106:A108"/>
    <mergeCell ref="B106:B108"/>
    <mergeCell ref="C106:C108"/>
    <mergeCell ref="D106:D108"/>
    <mergeCell ref="E106:E108"/>
    <mergeCell ref="B124:B126"/>
    <mergeCell ref="C124:C126"/>
    <mergeCell ref="D124:D126"/>
    <mergeCell ref="E124:E126"/>
    <mergeCell ref="F124:F126"/>
    <mergeCell ref="G124:G126"/>
    <mergeCell ref="H124:H126"/>
    <mergeCell ref="I124:I126"/>
    <mergeCell ref="Q106:Q108"/>
    <mergeCell ref="O109:O111"/>
    <mergeCell ref="P109:P111"/>
    <mergeCell ref="Q109:Q111"/>
    <mergeCell ref="O112:O114"/>
    <mergeCell ref="P112:P114"/>
    <mergeCell ref="Q112:Q114"/>
    <mergeCell ref="K106:K108"/>
    <mergeCell ref="L106:L108"/>
    <mergeCell ref="M106:M108"/>
    <mergeCell ref="O106:O108"/>
    <mergeCell ref="P106:P108"/>
    <mergeCell ref="M112:M114"/>
    <mergeCell ref="L112:L114"/>
    <mergeCell ref="K112:K114"/>
    <mergeCell ref="F106:F108"/>
    <mergeCell ref="J124:J126"/>
    <mergeCell ref="K124:K126"/>
    <mergeCell ref="L124:L126"/>
    <mergeCell ref="M124:M126"/>
    <mergeCell ref="O124:O126"/>
    <mergeCell ref="P124:P126"/>
    <mergeCell ref="Q124:Q126"/>
    <mergeCell ref="A127:A129"/>
    <mergeCell ref="B127:B129"/>
    <mergeCell ref="C127:C129"/>
    <mergeCell ref="D127:D129"/>
    <mergeCell ref="E127:E129"/>
    <mergeCell ref="F127:F129"/>
    <mergeCell ref="G127:G129"/>
    <mergeCell ref="H127:H129"/>
    <mergeCell ref="I127:I129"/>
    <mergeCell ref="J127:J129"/>
    <mergeCell ref="K127:K129"/>
    <mergeCell ref="L127:L129"/>
    <mergeCell ref="M127:M129"/>
    <mergeCell ref="O127:O129"/>
    <mergeCell ref="P127:P129"/>
    <mergeCell ref="Q127:Q129"/>
    <mergeCell ref="A124:A126"/>
    <mergeCell ref="K130:K132"/>
    <mergeCell ref="L130:L132"/>
    <mergeCell ref="M130:M132"/>
    <mergeCell ref="O130:O132"/>
    <mergeCell ref="P130:P132"/>
    <mergeCell ref="Q130:Q132"/>
    <mergeCell ref="A133:A135"/>
    <mergeCell ref="B133:B135"/>
    <mergeCell ref="C133:C135"/>
    <mergeCell ref="D133:D135"/>
    <mergeCell ref="E133:E135"/>
    <mergeCell ref="F133:F135"/>
    <mergeCell ref="G133:G135"/>
    <mergeCell ref="H133:H135"/>
    <mergeCell ref="I133:I135"/>
    <mergeCell ref="J133:J135"/>
    <mergeCell ref="K133:K135"/>
    <mergeCell ref="L133:L135"/>
    <mergeCell ref="M133:M135"/>
    <mergeCell ref="O133:O135"/>
    <mergeCell ref="P133:P135"/>
    <mergeCell ref="Q133:Q135"/>
    <mergeCell ref="A130:A132"/>
    <mergeCell ref="B130:B132"/>
    <mergeCell ref="C136:C138"/>
    <mergeCell ref="D136:D138"/>
    <mergeCell ref="E136:E138"/>
    <mergeCell ref="F136:F138"/>
    <mergeCell ref="G136:G138"/>
    <mergeCell ref="H136:H138"/>
    <mergeCell ref="I136:I138"/>
    <mergeCell ref="J130:J132"/>
    <mergeCell ref="C130:C132"/>
    <mergeCell ref="D130:D132"/>
    <mergeCell ref="E130:E132"/>
    <mergeCell ref="F130:F132"/>
    <mergeCell ref="G130:G132"/>
    <mergeCell ref="H130:H132"/>
    <mergeCell ref="I130:I132"/>
    <mergeCell ref="J136:J138"/>
    <mergeCell ref="K136:K138"/>
    <mergeCell ref="L136:L138"/>
    <mergeCell ref="M136:M138"/>
    <mergeCell ref="O136:O138"/>
    <mergeCell ref="P136:P138"/>
    <mergeCell ref="Q136:Q138"/>
    <mergeCell ref="A139:A141"/>
    <mergeCell ref="B139:B141"/>
    <mergeCell ref="C139:C141"/>
    <mergeCell ref="D139:D141"/>
    <mergeCell ref="E139:E141"/>
    <mergeCell ref="F139:F141"/>
    <mergeCell ref="G139:G141"/>
    <mergeCell ref="H139:H141"/>
    <mergeCell ref="I139:I141"/>
    <mergeCell ref="J139:J141"/>
    <mergeCell ref="K139:K141"/>
    <mergeCell ref="L139:L141"/>
    <mergeCell ref="M139:M141"/>
    <mergeCell ref="O139:O141"/>
    <mergeCell ref="P139:P141"/>
    <mergeCell ref="Q139:Q141"/>
    <mergeCell ref="A136:A138"/>
    <mergeCell ref="B136:B138"/>
    <mergeCell ref="K142:K144"/>
    <mergeCell ref="L142:L144"/>
    <mergeCell ref="M142:M144"/>
    <mergeCell ref="O142:O144"/>
    <mergeCell ref="P142:P144"/>
    <mergeCell ref="Q142:Q144"/>
    <mergeCell ref="A145:A147"/>
    <mergeCell ref="B145:B147"/>
    <mergeCell ref="C145:C147"/>
    <mergeCell ref="D145:D147"/>
    <mergeCell ref="E145:E147"/>
    <mergeCell ref="F145:F147"/>
    <mergeCell ref="G145:G147"/>
    <mergeCell ref="H145:H147"/>
    <mergeCell ref="I145:I147"/>
    <mergeCell ref="J145:J147"/>
    <mergeCell ref="K145:K147"/>
    <mergeCell ref="L145:L147"/>
    <mergeCell ref="M145:M147"/>
    <mergeCell ref="O145:O147"/>
    <mergeCell ref="P145:P147"/>
    <mergeCell ref="Q145:Q147"/>
    <mergeCell ref="A142:A144"/>
    <mergeCell ref="B142:B144"/>
    <mergeCell ref="C148:C150"/>
    <mergeCell ref="D148:D150"/>
    <mergeCell ref="E148:E150"/>
    <mergeCell ref="F148:F150"/>
    <mergeCell ref="G148:G150"/>
    <mergeCell ref="H148:H150"/>
    <mergeCell ref="I148:I150"/>
    <mergeCell ref="J142:J144"/>
    <mergeCell ref="C142:C144"/>
    <mergeCell ref="D142:D144"/>
    <mergeCell ref="E142:E144"/>
    <mergeCell ref="F142:F144"/>
    <mergeCell ref="G142:G144"/>
    <mergeCell ref="H142:H144"/>
    <mergeCell ref="I142:I144"/>
    <mergeCell ref="J148:J150"/>
    <mergeCell ref="K148:K150"/>
    <mergeCell ref="L148:L150"/>
    <mergeCell ref="M148:M150"/>
    <mergeCell ref="O148:O150"/>
    <mergeCell ref="P148:P150"/>
    <mergeCell ref="Q148:Q150"/>
    <mergeCell ref="A151:A153"/>
    <mergeCell ref="B151:B153"/>
    <mergeCell ref="C151:C153"/>
    <mergeCell ref="D151:D153"/>
    <mergeCell ref="E151:E153"/>
    <mergeCell ref="F151:F153"/>
    <mergeCell ref="G151:G153"/>
    <mergeCell ref="H151:H153"/>
    <mergeCell ref="I151:I153"/>
    <mergeCell ref="J151:J153"/>
    <mergeCell ref="K151:K153"/>
    <mergeCell ref="L151:L153"/>
    <mergeCell ref="M151:M153"/>
    <mergeCell ref="O151:O153"/>
    <mergeCell ref="P151:P153"/>
    <mergeCell ref="Q151:Q153"/>
    <mergeCell ref="A148:A150"/>
    <mergeCell ref="B148:B150"/>
  </mergeCells>
  <conditionalFormatting sqref="K7">
    <cfRule type="cellIs" dxfId="2582" priority="3023" operator="equal">
      <formula>"Muy Alta"</formula>
    </cfRule>
    <cfRule type="cellIs" dxfId="2581" priority="3024" operator="equal">
      <formula>"Alta"</formula>
    </cfRule>
    <cfRule type="cellIs" dxfId="2580" priority="3025" operator="equal">
      <formula>"Media"</formula>
    </cfRule>
    <cfRule type="cellIs" dxfId="2579" priority="3026" operator="equal">
      <formula>"Baja"</formula>
    </cfRule>
    <cfRule type="cellIs" dxfId="2578" priority="3027" operator="equal">
      <formula>"Muy Baja"</formula>
    </cfRule>
  </conditionalFormatting>
  <conditionalFormatting sqref="Q7">
    <cfRule type="cellIs" dxfId="2577" priority="3014" operator="equal">
      <formula>"Extremo"</formula>
    </cfRule>
    <cfRule type="cellIs" dxfId="2576" priority="3015" operator="equal">
      <formula>"Alto"</formula>
    </cfRule>
    <cfRule type="cellIs" dxfId="2575" priority="3016" operator="equal">
      <formula>"Moderado"</formula>
    </cfRule>
    <cfRule type="cellIs" dxfId="2574" priority="3017" operator="equal">
      <formula>"Bajo"</formula>
    </cfRule>
  </conditionalFormatting>
  <conditionalFormatting sqref="AB7:AB19 AB52 AB58 AB61 AB64 AB67 AB70 AB79 AB82 AB85 AB88 AB94 AB103 AB22 AB25">
    <cfRule type="cellIs" dxfId="2573" priority="3009" operator="equal">
      <formula>"Muy Alta"</formula>
    </cfRule>
    <cfRule type="cellIs" dxfId="2572" priority="3010" operator="equal">
      <formula>"Alta"</formula>
    </cfRule>
    <cfRule type="cellIs" dxfId="2571" priority="3011" operator="equal">
      <formula>"Media"</formula>
    </cfRule>
    <cfRule type="cellIs" dxfId="2570" priority="3012" operator="equal">
      <formula>"Baja"</formula>
    </cfRule>
    <cfRule type="cellIs" dxfId="2569" priority="3013" operator="equal">
      <formula>"Muy Baja"</formula>
    </cfRule>
  </conditionalFormatting>
  <conditionalFormatting sqref="AD7:AD19 AD52 AD58 AD61 AD64 AD67 AD70 AD79 AD82 AD85 AD88 AD94 AD103 AD22 AD25">
    <cfRule type="cellIs" dxfId="2568" priority="3004" operator="equal">
      <formula>"Catastrófico"</formula>
    </cfRule>
    <cfRule type="cellIs" dxfId="2567" priority="3005" operator="equal">
      <formula>"Mayor"</formula>
    </cfRule>
    <cfRule type="cellIs" dxfId="2566" priority="3006" operator="equal">
      <formula>"Moderado"</formula>
    </cfRule>
    <cfRule type="cellIs" dxfId="2565" priority="3007" operator="equal">
      <formula>"Menor"</formula>
    </cfRule>
    <cfRule type="cellIs" dxfId="2564" priority="3008" operator="equal">
      <formula>"Leve"</formula>
    </cfRule>
  </conditionalFormatting>
  <conditionalFormatting sqref="AF7:AF19 AF52 AF58 AF61 AF64 AF67 AF70 AF79 AF82 AF85 AF88 AF94 AF103 AF22 AF25">
    <cfRule type="cellIs" dxfId="2563" priority="3000" operator="equal">
      <formula>"Extremo"</formula>
    </cfRule>
    <cfRule type="cellIs" dxfId="2562" priority="3001" operator="equal">
      <formula>"Alto"</formula>
    </cfRule>
    <cfRule type="cellIs" dxfId="2561" priority="3002" operator="equal">
      <formula>"Moderado"</formula>
    </cfRule>
    <cfRule type="cellIs" dxfId="2560" priority="3003" operator="equal">
      <formula>"Bajo"</formula>
    </cfRule>
  </conditionalFormatting>
  <conditionalFormatting sqref="K94">
    <cfRule type="cellIs" dxfId="2559" priority="1137" operator="equal">
      <formula>"Muy Alta"</formula>
    </cfRule>
    <cfRule type="cellIs" dxfId="2558" priority="1138" operator="equal">
      <formula>"Alta"</formula>
    </cfRule>
    <cfRule type="cellIs" dxfId="2557" priority="1139" operator="equal">
      <formula>"Media"</formula>
    </cfRule>
    <cfRule type="cellIs" dxfId="2556" priority="1140" operator="equal">
      <formula>"Baja"</formula>
    </cfRule>
    <cfRule type="cellIs" dxfId="2555" priority="1141" operator="equal">
      <formula>"Muy Baja"</formula>
    </cfRule>
  </conditionalFormatting>
  <conditionalFormatting sqref="K82">
    <cfRule type="cellIs" dxfId="2554" priority="1197" operator="equal">
      <formula>"Muy Alta"</formula>
    </cfRule>
    <cfRule type="cellIs" dxfId="2553" priority="1198" operator="equal">
      <formula>"Alta"</formula>
    </cfRule>
    <cfRule type="cellIs" dxfId="2552" priority="1199" operator="equal">
      <formula>"Media"</formula>
    </cfRule>
    <cfRule type="cellIs" dxfId="2551" priority="1200" operator="equal">
      <formula>"Baja"</formula>
    </cfRule>
    <cfRule type="cellIs" dxfId="2550" priority="1201" operator="equal">
      <formula>"Muy Baja"</formula>
    </cfRule>
  </conditionalFormatting>
  <conditionalFormatting sqref="N7:N9">
    <cfRule type="containsText" dxfId="2549" priority="2705" operator="containsText" text="❌">
      <formula>NOT(ISERROR(SEARCH("❌",N7)))</formula>
    </cfRule>
  </conditionalFormatting>
  <conditionalFormatting sqref="AD55">
    <cfRule type="cellIs" dxfId="2548" priority="2183" operator="equal">
      <formula>"Catastrófico"</formula>
    </cfRule>
    <cfRule type="cellIs" dxfId="2547" priority="2184" operator="equal">
      <formula>"Mayor"</formula>
    </cfRule>
    <cfRule type="cellIs" dxfId="2546" priority="2185" operator="equal">
      <formula>"Moderado"</formula>
    </cfRule>
    <cfRule type="cellIs" dxfId="2545" priority="2186" operator="equal">
      <formula>"Menor"</formula>
    </cfRule>
    <cfRule type="cellIs" dxfId="2544" priority="2187" operator="equal">
      <formula>"Leve"</formula>
    </cfRule>
  </conditionalFormatting>
  <conditionalFormatting sqref="AF55">
    <cfRule type="cellIs" dxfId="2543" priority="2179" operator="equal">
      <formula>"Extremo"</formula>
    </cfRule>
    <cfRule type="cellIs" dxfId="2542" priority="2180" operator="equal">
      <formula>"Alto"</formula>
    </cfRule>
    <cfRule type="cellIs" dxfId="2541" priority="2181" operator="equal">
      <formula>"Moderado"</formula>
    </cfRule>
    <cfRule type="cellIs" dxfId="2540" priority="2182" operator="equal">
      <formula>"Bajo"</formula>
    </cfRule>
  </conditionalFormatting>
  <conditionalFormatting sqref="AF53">
    <cfRule type="cellIs" dxfId="2539" priority="2193" operator="equal">
      <formula>"Extremo"</formula>
    </cfRule>
    <cfRule type="cellIs" dxfId="2538" priority="2194" operator="equal">
      <formula>"Alto"</formula>
    </cfRule>
    <cfRule type="cellIs" dxfId="2537" priority="2195" operator="equal">
      <formula>"Moderado"</formula>
    </cfRule>
    <cfRule type="cellIs" dxfId="2536" priority="2196" operator="equal">
      <formula>"Bajo"</formula>
    </cfRule>
  </conditionalFormatting>
  <conditionalFormatting sqref="AB26">
    <cfRule type="cellIs" dxfId="2535" priority="2608" operator="equal">
      <formula>"Muy Alta"</formula>
    </cfRule>
    <cfRule type="cellIs" dxfId="2534" priority="2609" operator="equal">
      <formula>"Alta"</formula>
    </cfRule>
    <cfRule type="cellIs" dxfId="2533" priority="2610" operator="equal">
      <formula>"Media"</formula>
    </cfRule>
    <cfRule type="cellIs" dxfId="2532" priority="2611" operator="equal">
      <formula>"Baja"</formula>
    </cfRule>
    <cfRule type="cellIs" dxfId="2531" priority="2612" operator="equal">
      <formula>"Muy Baja"</formula>
    </cfRule>
  </conditionalFormatting>
  <conditionalFormatting sqref="AD26">
    <cfRule type="cellIs" dxfId="2530" priority="2603" operator="equal">
      <formula>"Catastrófico"</formula>
    </cfRule>
    <cfRule type="cellIs" dxfId="2529" priority="2604" operator="equal">
      <formula>"Mayor"</formula>
    </cfRule>
    <cfRule type="cellIs" dxfId="2528" priority="2605" operator="equal">
      <formula>"Moderado"</formula>
    </cfRule>
    <cfRule type="cellIs" dxfId="2527" priority="2606" operator="equal">
      <formula>"Menor"</formula>
    </cfRule>
    <cfRule type="cellIs" dxfId="2526" priority="2607" operator="equal">
      <formula>"Leve"</formula>
    </cfRule>
  </conditionalFormatting>
  <conditionalFormatting sqref="AF26">
    <cfRule type="cellIs" dxfId="2525" priority="2599" operator="equal">
      <formula>"Extremo"</formula>
    </cfRule>
    <cfRule type="cellIs" dxfId="2524" priority="2600" operator="equal">
      <formula>"Alto"</formula>
    </cfRule>
    <cfRule type="cellIs" dxfId="2523" priority="2601" operator="equal">
      <formula>"Moderado"</formula>
    </cfRule>
    <cfRule type="cellIs" dxfId="2522" priority="2602" operator="equal">
      <formula>"Bajo"</formula>
    </cfRule>
  </conditionalFormatting>
  <conditionalFormatting sqref="AB27">
    <cfRule type="cellIs" dxfId="2521" priority="2594" operator="equal">
      <formula>"Muy Alta"</formula>
    </cfRule>
    <cfRule type="cellIs" dxfId="2520" priority="2595" operator="equal">
      <formula>"Alta"</formula>
    </cfRule>
    <cfRule type="cellIs" dxfId="2519" priority="2596" operator="equal">
      <formula>"Media"</formula>
    </cfRule>
    <cfRule type="cellIs" dxfId="2518" priority="2597" operator="equal">
      <formula>"Baja"</formula>
    </cfRule>
    <cfRule type="cellIs" dxfId="2517" priority="2598" operator="equal">
      <formula>"Muy Baja"</formula>
    </cfRule>
  </conditionalFormatting>
  <conditionalFormatting sqref="AD27">
    <cfRule type="cellIs" dxfId="2516" priority="2589" operator="equal">
      <formula>"Catastrófico"</formula>
    </cfRule>
    <cfRule type="cellIs" dxfId="2515" priority="2590" operator="equal">
      <formula>"Mayor"</formula>
    </cfRule>
    <cfRule type="cellIs" dxfId="2514" priority="2591" operator="equal">
      <formula>"Moderado"</formula>
    </cfRule>
    <cfRule type="cellIs" dxfId="2513" priority="2592" operator="equal">
      <formula>"Menor"</formula>
    </cfRule>
    <cfRule type="cellIs" dxfId="2512" priority="2593" operator="equal">
      <formula>"Leve"</formula>
    </cfRule>
  </conditionalFormatting>
  <conditionalFormatting sqref="AF27">
    <cfRule type="cellIs" dxfId="2511" priority="2585" operator="equal">
      <formula>"Extremo"</formula>
    </cfRule>
    <cfRule type="cellIs" dxfId="2510" priority="2586" operator="equal">
      <formula>"Alto"</formula>
    </cfRule>
    <cfRule type="cellIs" dxfId="2509" priority="2587" operator="equal">
      <formula>"Moderado"</formula>
    </cfRule>
    <cfRule type="cellIs" dxfId="2508" priority="2588" operator="equal">
      <formula>"Bajo"</formula>
    </cfRule>
  </conditionalFormatting>
  <conditionalFormatting sqref="AB28">
    <cfRule type="cellIs" dxfId="2507" priority="2580" operator="equal">
      <formula>"Muy Alta"</formula>
    </cfRule>
    <cfRule type="cellIs" dxfId="2506" priority="2581" operator="equal">
      <formula>"Alta"</formula>
    </cfRule>
    <cfRule type="cellIs" dxfId="2505" priority="2582" operator="equal">
      <formula>"Media"</formula>
    </cfRule>
    <cfRule type="cellIs" dxfId="2504" priority="2583" operator="equal">
      <formula>"Baja"</formula>
    </cfRule>
    <cfRule type="cellIs" dxfId="2503" priority="2584" operator="equal">
      <formula>"Muy Baja"</formula>
    </cfRule>
  </conditionalFormatting>
  <conditionalFormatting sqref="AD28">
    <cfRule type="cellIs" dxfId="2502" priority="2575" operator="equal">
      <formula>"Catastrófico"</formula>
    </cfRule>
    <cfRule type="cellIs" dxfId="2501" priority="2576" operator="equal">
      <formula>"Mayor"</formula>
    </cfRule>
    <cfRule type="cellIs" dxfId="2500" priority="2577" operator="equal">
      <formula>"Moderado"</formula>
    </cfRule>
    <cfRule type="cellIs" dxfId="2499" priority="2578" operator="equal">
      <formula>"Menor"</formula>
    </cfRule>
    <cfRule type="cellIs" dxfId="2498" priority="2579" operator="equal">
      <formula>"Leve"</formula>
    </cfRule>
  </conditionalFormatting>
  <conditionalFormatting sqref="AF28">
    <cfRule type="cellIs" dxfId="2497" priority="2571" operator="equal">
      <formula>"Extremo"</formula>
    </cfRule>
    <cfRule type="cellIs" dxfId="2496" priority="2572" operator="equal">
      <formula>"Alto"</formula>
    </cfRule>
    <cfRule type="cellIs" dxfId="2495" priority="2573" operator="equal">
      <formula>"Moderado"</formula>
    </cfRule>
    <cfRule type="cellIs" dxfId="2494" priority="2574" operator="equal">
      <formula>"Bajo"</formula>
    </cfRule>
  </conditionalFormatting>
  <conditionalFormatting sqref="AB29">
    <cfRule type="cellIs" dxfId="2493" priority="2566" operator="equal">
      <formula>"Muy Alta"</formula>
    </cfRule>
    <cfRule type="cellIs" dxfId="2492" priority="2567" operator="equal">
      <formula>"Alta"</formula>
    </cfRule>
    <cfRule type="cellIs" dxfId="2491" priority="2568" operator="equal">
      <formula>"Media"</formula>
    </cfRule>
    <cfRule type="cellIs" dxfId="2490" priority="2569" operator="equal">
      <formula>"Baja"</formula>
    </cfRule>
    <cfRule type="cellIs" dxfId="2489" priority="2570" operator="equal">
      <formula>"Muy Baja"</formula>
    </cfRule>
  </conditionalFormatting>
  <conditionalFormatting sqref="AD29">
    <cfRule type="cellIs" dxfId="2488" priority="2561" operator="equal">
      <formula>"Catastrófico"</formula>
    </cfRule>
    <cfRule type="cellIs" dxfId="2487" priority="2562" operator="equal">
      <formula>"Mayor"</formula>
    </cfRule>
    <cfRule type="cellIs" dxfId="2486" priority="2563" operator="equal">
      <formula>"Moderado"</formula>
    </cfRule>
    <cfRule type="cellIs" dxfId="2485" priority="2564" operator="equal">
      <formula>"Menor"</formula>
    </cfRule>
    <cfRule type="cellIs" dxfId="2484" priority="2565" operator="equal">
      <formula>"Leve"</formula>
    </cfRule>
  </conditionalFormatting>
  <conditionalFormatting sqref="AF29">
    <cfRule type="cellIs" dxfId="2483" priority="2557" operator="equal">
      <formula>"Extremo"</formula>
    </cfRule>
    <cfRule type="cellIs" dxfId="2482" priority="2558" operator="equal">
      <formula>"Alto"</formula>
    </cfRule>
    <cfRule type="cellIs" dxfId="2481" priority="2559" operator="equal">
      <formula>"Moderado"</formula>
    </cfRule>
    <cfRule type="cellIs" dxfId="2480" priority="2560" operator="equal">
      <formula>"Bajo"</formula>
    </cfRule>
  </conditionalFormatting>
  <conditionalFormatting sqref="AB30">
    <cfRule type="cellIs" dxfId="2479" priority="2552" operator="equal">
      <formula>"Muy Alta"</formula>
    </cfRule>
    <cfRule type="cellIs" dxfId="2478" priority="2553" operator="equal">
      <formula>"Alta"</formula>
    </cfRule>
    <cfRule type="cellIs" dxfId="2477" priority="2554" operator="equal">
      <formula>"Media"</formula>
    </cfRule>
    <cfRule type="cellIs" dxfId="2476" priority="2555" operator="equal">
      <formula>"Baja"</formula>
    </cfRule>
    <cfRule type="cellIs" dxfId="2475" priority="2556" operator="equal">
      <formula>"Muy Baja"</formula>
    </cfRule>
  </conditionalFormatting>
  <conditionalFormatting sqref="AD30">
    <cfRule type="cellIs" dxfId="2474" priority="2547" operator="equal">
      <formula>"Catastrófico"</formula>
    </cfRule>
    <cfRule type="cellIs" dxfId="2473" priority="2548" operator="equal">
      <formula>"Mayor"</formula>
    </cfRule>
    <cfRule type="cellIs" dxfId="2472" priority="2549" operator="equal">
      <formula>"Moderado"</formula>
    </cfRule>
    <cfRule type="cellIs" dxfId="2471" priority="2550" operator="equal">
      <formula>"Menor"</formula>
    </cfRule>
    <cfRule type="cellIs" dxfId="2470" priority="2551" operator="equal">
      <formula>"Leve"</formula>
    </cfRule>
  </conditionalFormatting>
  <conditionalFormatting sqref="AF30">
    <cfRule type="cellIs" dxfId="2469" priority="2543" operator="equal">
      <formula>"Extremo"</formula>
    </cfRule>
    <cfRule type="cellIs" dxfId="2468" priority="2544" operator="equal">
      <formula>"Alto"</formula>
    </cfRule>
    <cfRule type="cellIs" dxfId="2467" priority="2545" operator="equal">
      <formula>"Moderado"</formula>
    </cfRule>
    <cfRule type="cellIs" dxfId="2466" priority="2546" operator="equal">
      <formula>"Bajo"</formula>
    </cfRule>
  </conditionalFormatting>
  <conditionalFormatting sqref="AB31">
    <cfRule type="cellIs" dxfId="2465" priority="2538" operator="equal">
      <formula>"Muy Alta"</formula>
    </cfRule>
    <cfRule type="cellIs" dxfId="2464" priority="2539" operator="equal">
      <formula>"Alta"</formula>
    </cfRule>
    <cfRule type="cellIs" dxfId="2463" priority="2540" operator="equal">
      <formula>"Media"</formula>
    </cfRule>
    <cfRule type="cellIs" dxfId="2462" priority="2541" operator="equal">
      <formula>"Baja"</formula>
    </cfRule>
    <cfRule type="cellIs" dxfId="2461" priority="2542" operator="equal">
      <formula>"Muy Baja"</formula>
    </cfRule>
  </conditionalFormatting>
  <conditionalFormatting sqref="AD31">
    <cfRule type="cellIs" dxfId="2460" priority="2533" operator="equal">
      <formula>"Catastrófico"</formula>
    </cfRule>
    <cfRule type="cellIs" dxfId="2459" priority="2534" operator="equal">
      <formula>"Mayor"</formula>
    </cfRule>
    <cfRule type="cellIs" dxfId="2458" priority="2535" operator="equal">
      <formula>"Moderado"</formula>
    </cfRule>
    <cfRule type="cellIs" dxfId="2457" priority="2536" operator="equal">
      <formula>"Menor"</formula>
    </cfRule>
    <cfRule type="cellIs" dxfId="2456" priority="2537" operator="equal">
      <formula>"Leve"</formula>
    </cfRule>
  </conditionalFormatting>
  <conditionalFormatting sqref="AF31">
    <cfRule type="cellIs" dxfId="2455" priority="2529" operator="equal">
      <formula>"Extremo"</formula>
    </cfRule>
    <cfRule type="cellIs" dxfId="2454" priority="2530" operator="equal">
      <formula>"Alto"</formula>
    </cfRule>
    <cfRule type="cellIs" dxfId="2453" priority="2531" operator="equal">
      <formula>"Moderado"</formula>
    </cfRule>
    <cfRule type="cellIs" dxfId="2452" priority="2532" operator="equal">
      <formula>"Bajo"</formula>
    </cfRule>
  </conditionalFormatting>
  <conditionalFormatting sqref="AB32">
    <cfRule type="cellIs" dxfId="2451" priority="2524" operator="equal">
      <formula>"Muy Alta"</formula>
    </cfRule>
    <cfRule type="cellIs" dxfId="2450" priority="2525" operator="equal">
      <formula>"Alta"</formula>
    </cfRule>
    <cfRule type="cellIs" dxfId="2449" priority="2526" operator="equal">
      <formula>"Media"</formula>
    </cfRule>
    <cfRule type="cellIs" dxfId="2448" priority="2527" operator="equal">
      <formula>"Baja"</formula>
    </cfRule>
    <cfRule type="cellIs" dxfId="2447" priority="2528" operator="equal">
      <formula>"Muy Baja"</formula>
    </cfRule>
  </conditionalFormatting>
  <conditionalFormatting sqref="AD32">
    <cfRule type="cellIs" dxfId="2446" priority="2519" operator="equal">
      <formula>"Catastrófico"</formula>
    </cfRule>
    <cfRule type="cellIs" dxfId="2445" priority="2520" operator="equal">
      <formula>"Mayor"</formula>
    </cfRule>
    <cfRule type="cellIs" dxfId="2444" priority="2521" operator="equal">
      <formula>"Moderado"</formula>
    </cfRule>
    <cfRule type="cellIs" dxfId="2443" priority="2522" operator="equal">
      <formula>"Menor"</formula>
    </cfRule>
    <cfRule type="cellIs" dxfId="2442" priority="2523" operator="equal">
      <formula>"Leve"</formula>
    </cfRule>
  </conditionalFormatting>
  <conditionalFormatting sqref="AF32">
    <cfRule type="cellIs" dxfId="2441" priority="2515" operator="equal">
      <formula>"Extremo"</formula>
    </cfRule>
    <cfRule type="cellIs" dxfId="2440" priority="2516" operator="equal">
      <formula>"Alto"</formula>
    </cfRule>
    <cfRule type="cellIs" dxfId="2439" priority="2517" operator="equal">
      <formula>"Moderado"</formula>
    </cfRule>
    <cfRule type="cellIs" dxfId="2438" priority="2518" operator="equal">
      <formula>"Bajo"</formula>
    </cfRule>
  </conditionalFormatting>
  <conditionalFormatting sqref="AB33">
    <cfRule type="cellIs" dxfId="2437" priority="2510" operator="equal">
      <formula>"Muy Alta"</formula>
    </cfRule>
    <cfRule type="cellIs" dxfId="2436" priority="2511" operator="equal">
      <formula>"Alta"</formula>
    </cfRule>
    <cfRule type="cellIs" dxfId="2435" priority="2512" operator="equal">
      <formula>"Media"</formula>
    </cfRule>
    <cfRule type="cellIs" dxfId="2434" priority="2513" operator="equal">
      <formula>"Baja"</formula>
    </cfRule>
    <cfRule type="cellIs" dxfId="2433" priority="2514" operator="equal">
      <formula>"Muy Baja"</formula>
    </cfRule>
  </conditionalFormatting>
  <conditionalFormatting sqref="AD33">
    <cfRule type="cellIs" dxfId="2432" priority="2505" operator="equal">
      <formula>"Catastrófico"</formula>
    </cfRule>
    <cfRule type="cellIs" dxfId="2431" priority="2506" operator="equal">
      <formula>"Mayor"</formula>
    </cfRule>
    <cfRule type="cellIs" dxfId="2430" priority="2507" operator="equal">
      <formula>"Moderado"</formula>
    </cfRule>
    <cfRule type="cellIs" dxfId="2429" priority="2508" operator="equal">
      <formula>"Menor"</formula>
    </cfRule>
    <cfRule type="cellIs" dxfId="2428" priority="2509" operator="equal">
      <formula>"Leve"</formula>
    </cfRule>
  </conditionalFormatting>
  <conditionalFormatting sqref="AF33">
    <cfRule type="cellIs" dxfId="2427" priority="2501" operator="equal">
      <formula>"Extremo"</formula>
    </cfRule>
    <cfRule type="cellIs" dxfId="2426" priority="2502" operator="equal">
      <formula>"Alto"</formula>
    </cfRule>
    <cfRule type="cellIs" dxfId="2425" priority="2503" operator="equal">
      <formula>"Moderado"</formula>
    </cfRule>
    <cfRule type="cellIs" dxfId="2424" priority="2504" operator="equal">
      <formula>"Bajo"</formula>
    </cfRule>
  </conditionalFormatting>
  <conditionalFormatting sqref="AB34">
    <cfRule type="cellIs" dxfId="2423" priority="2496" operator="equal">
      <formula>"Muy Alta"</formula>
    </cfRule>
    <cfRule type="cellIs" dxfId="2422" priority="2497" operator="equal">
      <formula>"Alta"</formula>
    </cfRule>
    <cfRule type="cellIs" dxfId="2421" priority="2498" operator="equal">
      <formula>"Media"</formula>
    </cfRule>
    <cfRule type="cellIs" dxfId="2420" priority="2499" operator="equal">
      <formula>"Baja"</formula>
    </cfRule>
    <cfRule type="cellIs" dxfId="2419" priority="2500" operator="equal">
      <formula>"Muy Baja"</formula>
    </cfRule>
  </conditionalFormatting>
  <conditionalFormatting sqref="AD34">
    <cfRule type="cellIs" dxfId="2418" priority="2491" operator="equal">
      <formula>"Catastrófico"</formula>
    </cfRule>
    <cfRule type="cellIs" dxfId="2417" priority="2492" operator="equal">
      <formula>"Mayor"</formula>
    </cfRule>
    <cfRule type="cellIs" dxfId="2416" priority="2493" operator="equal">
      <formula>"Moderado"</formula>
    </cfRule>
    <cfRule type="cellIs" dxfId="2415" priority="2494" operator="equal">
      <formula>"Menor"</formula>
    </cfRule>
    <cfRule type="cellIs" dxfId="2414" priority="2495" operator="equal">
      <formula>"Leve"</formula>
    </cfRule>
  </conditionalFormatting>
  <conditionalFormatting sqref="AF34">
    <cfRule type="cellIs" dxfId="2413" priority="2487" operator="equal">
      <formula>"Extremo"</formula>
    </cfRule>
    <cfRule type="cellIs" dxfId="2412" priority="2488" operator="equal">
      <formula>"Alto"</formula>
    </cfRule>
    <cfRule type="cellIs" dxfId="2411" priority="2489" operator="equal">
      <formula>"Moderado"</formula>
    </cfRule>
    <cfRule type="cellIs" dxfId="2410" priority="2490" operator="equal">
      <formula>"Bajo"</formula>
    </cfRule>
  </conditionalFormatting>
  <conditionalFormatting sqref="AB35">
    <cfRule type="cellIs" dxfId="2409" priority="2482" operator="equal">
      <formula>"Muy Alta"</formula>
    </cfRule>
    <cfRule type="cellIs" dxfId="2408" priority="2483" operator="equal">
      <formula>"Alta"</formula>
    </cfRule>
    <cfRule type="cellIs" dxfId="2407" priority="2484" operator="equal">
      <formula>"Media"</formula>
    </cfRule>
    <cfRule type="cellIs" dxfId="2406" priority="2485" operator="equal">
      <formula>"Baja"</formula>
    </cfRule>
    <cfRule type="cellIs" dxfId="2405" priority="2486" operator="equal">
      <formula>"Muy Baja"</formula>
    </cfRule>
  </conditionalFormatting>
  <conditionalFormatting sqref="AD35">
    <cfRule type="cellIs" dxfId="2404" priority="2477" operator="equal">
      <formula>"Catastrófico"</formula>
    </cfRule>
    <cfRule type="cellIs" dxfId="2403" priority="2478" operator="equal">
      <formula>"Mayor"</formula>
    </cfRule>
    <cfRule type="cellIs" dxfId="2402" priority="2479" operator="equal">
      <formula>"Moderado"</formula>
    </cfRule>
    <cfRule type="cellIs" dxfId="2401" priority="2480" operator="equal">
      <formula>"Menor"</formula>
    </cfRule>
    <cfRule type="cellIs" dxfId="2400" priority="2481" operator="equal">
      <formula>"Leve"</formula>
    </cfRule>
  </conditionalFormatting>
  <conditionalFormatting sqref="AF35">
    <cfRule type="cellIs" dxfId="2399" priority="2473" operator="equal">
      <formula>"Extremo"</formula>
    </cfRule>
    <cfRule type="cellIs" dxfId="2398" priority="2474" operator="equal">
      <formula>"Alto"</formula>
    </cfRule>
    <cfRule type="cellIs" dxfId="2397" priority="2475" operator="equal">
      <formula>"Moderado"</formula>
    </cfRule>
    <cfRule type="cellIs" dxfId="2396" priority="2476" operator="equal">
      <formula>"Bajo"</formula>
    </cfRule>
  </conditionalFormatting>
  <conditionalFormatting sqref="AB36">
    <cfRule type="cellIs" dxfId="2395" priority="2468" operator="equal">
      <formula>"Muy Alta"</formula>
    </cfRule>
    <cfRule type="cellIs" dxfId="2394" priority="2469" operator="equal">
      <formula>"Alta"</formula>
    </cfRule>
    <cfRule type="cellIs" dxfId="2393" priority="2470" operator="equal">
      <formula>"Media"</formula>
    </cfRule>
    <cfRule type="cellIs" dxfId="2392" priority="2471" operator="equal">
      <formula>"Baja"</formula>
    </cfRule>
    <cfRule type="cellIs" dxfId="2391" priority="2472" operator="equal">
      <formula>"Muy Baja"</formula>
    </cfRule>
  </conditionalFormatting>
  <conditionalFormatting sqref="AD36">
    <cfRule type="cellIs" dxfId="2390" priority="2463" operator="equal">
      <formula>"Catastrófico"</formula>
    </cfRule>
    <cfRule type="cellIs" dxfId="2389" priority="2464" operator="equal">
      <formula>"Mayor"</formula>
    </cfRule>
    <cfRule type="cellIs" dxfId="2388" priority="2465" operator="equal">
      <formula>"Moderado"</formula>
    </cfRule>
    <cfRule type="cellIs" dxfId="2387" priority="2466" operator="equal">
      <formula>"Menor"</formula>
    </cfRule>
    <cfRule type="cellIs" dxfId="2386" priority="2467" operator="equal">
      <formula>"Leve"</formula>
    </cfRule>
  </conditionalFormatting>
  <conditionalFormatting sqref="AF36">
    <cfRule type="cellIs" dxfId="2385" priority="2459" operator="equal">
      <formula>"Extremo"</formula>
    </cfRule>
    <cfRule type="cellIs" dxfId="2384" priority="2460" operator="equal">
      <formula>"Alto"</formula>
    </cfRule>
    <cfRule type="cellIs" dxfId="2383" priority="2461" operator="equal">
      <formula>"Moderado"</formula>
    </cfRule>
    <cfRule type="cellIs" dxfId="2382" priority="2462" operator="equal">
      <formula>"Bajo"</formula>
    </cfRule>
  </conditionalFormatting>
  <conditionalFormatting sqref="AB37">
    <cfRule type="cellIs" dxfId="2381" priority="2454" operator="equal">
      <formula>"Muy Alta"</formula>
    </cfRule>
    <cfRule type="cellIs" dxfId="2380" priority="2455" operator="equal">
      <formula>"Alta"</formula>
    </cfRule>
    <cfRule type="cellIs" dxfId="2379" priority="2456" operator="equal">
      <formula>"Media"</formula>
    </cfRule>
    <cfRule type="cellIs" dxfId="2378" priority="2457" operator="equal">
      <formula>"Baja"</formula>
    </cfRule>
    <cfRule type="cellIs" dxfId="2377" priority="2458" operator="equal">
      <formula>"Muy Baja"</formula>
    </cfRule>
  </conditionalFormatting>
  <conditionalFormatting sqref="AD37">
    <cfRule type="cellIs" dxfId="2376" priority="2449" operator="equal">
      <formula>"Catastrófico"</formula>
    </cfRule>
    <cfRule type="cellIs" dxfId="2375" priority="2450" operator="equal">
      <formula>"Mayor"</formula>
    </cfRule>
    <cfRule type="cellIs" dxfId="2374" priority="2451" operator="equal">
      <formula>"Moderado"</formula>
    </cfRule>
    <cfRule type="cellIs" dxfId="2373" priority="2452" operator="equal">
      <formula>"Menor"</formula>
    </cfRule>
    <cfRule type="cellIs" dxfId="2372" priority="2453" operator="equal">
      <formula>"Leve"</formula>
    </cfRule>
  </conditionalFormatting>
  <conditionalFormatting sqref="AF37">
    <cfRule type="cellIs" dxfId="2371" priority="2445" operator="equal">
      <formula>"Extremo"</formula>
    </cfRule>
    <cfRule type="cellIs" dxfId="2370" priority="2446" operator="equal">
      <formula>"Alto"</formula>
    </cfRule>
    <cfRule type="cellIs" dxfId="2369" priority="2447" operator="equal">
      <formula>"Moderado"</formula>
    </cfRule>
    <cfRule type="cellIs" dxfId="2368" priority="2448" operator="equal">
      <formula>"Bajo"</formula>
    </cfRule>
  </conditionalFormatting>
  <conditionalFormatting sqref="AB38">
    <cfRule type="cellIs" dxfId="2367" priority="2440" operator="equal">
      <formula>"Muy Alta"</formula>
    </cfRule>
    <cfRule type="cellIs" dxfId="2366" priority="2441" operator="equal">
      <formula>"Alta"</formula>
    </cfRule>
    <cfRule type="cellIs" dxfId="2365" priority="2442" operator="equal">
      <formula>"Media"</formula>
    </cfRule>
    <cfRule type="cellIs" dxfId="2364" priority="2443" operator="equal">
      <formula>"Baja"</formula>
    </cfRule>
    <cfRule type="cellIs" dxfId="2363" priority="2444" operator="equal">
      <formula>"Muy Baja"</formula>
    </cfRule>
  </conditionalFormatting>
  <conditionalFormatting sqref="AD38">
    <cfRule type="cellIs" dxfId="2362" priority="2435" operator="equal">
      <formula>"Catastrófico"</formula>
    </cfRule>
    <cfRule type="cellIs" dxfId="2361" priority="2436" operator="equal">
      <formula>"Mayor"</formula>
    </cfRule>
    <cfRule type="cellIs" dxfId="2360" priority="2437" operator="equal">
      <formula>"Moderado"</formula>
    </cfRule>
    <cfRule type="cellIs" dxfId="2359" priority="2438" operator="equal">
      <formula>"Menor"</formula>
    </cfRule>
    <cfRule type="cellIs" dxfId="2358" priority="2439" operator="equal">
      <formula>"Leve"</formula>
    </cfRule>
  </conditionalFormatting>
  <conditionalFormatting sqref="AF38">
    <cfRule type="cellIs" dxfId="2357" priority="2431" operator="equal">
      <formula>"Extremo"</formula>
    </cfRule>
    <cfRule type="cellIs" dxfId="2356" priority="2432" operator="equal">
      <formula>"Alto"</formula>
    </cfRule>
    <cfRule type="cellIs" dxfId="2355" priority="2433" operator="equal">
      <formula>"Moderado"</formula>
    </cfRule>
    <cfRule type="cellIs" dxfId="2354" priority="2434" operator="equal">
      <formula>"Bajo"</formula>
    </cfRule>
  </conditionalFormatting>
  <conditionalFormatting sqref="AB39">
    <cfRule type="cellIs" dxfId="2353" priority="2426" operator="equal">
      <formula>"Muy Alta"</formula>
    </cfRule>
    <cfRule type="cellIs" dxfId="2352" priority="2427" operator="equal">
      <formula>"Alta"</formula>
    </cfRule>
    <cfRule type="cellIs" dxfId="2351" priority="2428" operator="equal">
      <formula>"Media"</formula>
    </cfRule>
    <cfRule type="cellIs" dxfId="2350" priority="2429" operator="equal">
      <formula>"Baja"</formula>
    </cfRule>
    <cfRule type="cellIs" dxfId="2349" priority="2430" operator="equal">
      <formula>"Muy Baja"</formula>
    </cfRule>
  </conditionalFormatting>
  <conditionalFormatting sqref="AD39">
    <cfRule type="cellIs" dxfId="2348" priority="2421" operator="equal">
      <formula>"Catastrófico"</formula>
    </cfRule>
    <cfRule type="cellIs" dxfId="2347" priority="2422" operator="equal">
      <formula>"Mayor"</formula>
    </cfRule>
    <cfRule type="cellIs" dxfId="2346" priority="2423" operator="equal">
      <formula>"Moderado"</formula>
    </cfRule>
    <cfRule type="cellIs" dxfId="2345" priority="2424" operator="equal">
      <formula>"Menor"</formula>
    </cfRule>
    <cfRule type="cellIs" dxfId="2344" priority="2425" operator="equal">
      <formula>"Leve"</formula>
    </cfRule>
  </conditionalFormatting>
  <conditionalFormatting sqref="AF39">
    <cfRule type="cellIs" dxfId="2343" priority="2417" operator="equal">
      <formula>"Extremo"</formula>
    </cfRule>
    <cfRule type="cellIs" dxfId="2342" priority="2418" operator="equal">
      <formula>"Alto"</formula>
    </cfRule>
    <cfRule type="cellIs" dxfId="2341" priority="2419" operator="equal">
      <formula>"Moderado"</formula>
    </cfRule>
    <cfRule type="cellIs" dxfId="2340" priority="2420" operator="equal">
      <formula>"Bajo"</formula>
    </cfRule>
  </conditionalFormatting>
  <conditionalFormatting sqref="AB40">
    <cfRule type="cellIs" dxfId="2339" priority="2412" operator="equal">
      <formula>"Muy Alta"</formula>
    </cfRule>
    <cfRule type="cellIs" dxfId="2338" priority="2413" operator="equal">
      <formula>"Alta"</formula>
    </cfRule>
    <cfRule type="cellIs" dxfId="2337" priority="2414" operator="equal">
      <formula>"Media"</formula>
    </cfRule>
    <cfRule type="cellIs" dxfId="2336" priority="2415" operator="equal">
      <formula>"Baja"</formula>
    </cfRule>
    <cfRule type="cellIs" dxfId="2335" priority="2416" operator="equal">
      <formula>"Muy Baja"</formula>
    </cfRule>
  </conditionalFormatting>
  <conditionalFormatting sqref="AD40">
    <cfRule type="cellIs" dxfId="2334" priority="2407" operator="equal">
      <formula>"Catastrófico"</formula>
    </cfRule>
    <cfRule type="cellIs" dxfId="2333" priority="2408" operator="equal">
      <formula>"Mayor"</formula>
    </cfRule>
    <cfRule type="cellIs" dxfId="2332" priority="2409" operator="equal">
      <formula>"Moderado"</formula>
    </cfRule>
    <cfRule type="cellIs" dxfId="2331" priority="2410" operator="equal">
      <formula>"Menor"</formula>
    </cfRule>
    <cfRule type="cellIs" dxfId="2330" priority="2411" operator="equal">
      <formula>"Leve"</formula>
    </cfRule>
  </conditionalFormatting>
  <conditionalFormatting sqref="AF40">
    <cfRule type="cellIs" dxfId="2329" priority="2403" operator="equal">
      <formula>"Extremo"</formula>
    </cfRule>
    <cfRule type="cellIs" dxfId="2328" priority="2404" operator="equal">
      <formula>"Alto"</formula>
    </cfRule>
    <cfRule type="cellIs" dxfId="2327" priority="2405" operator="equal">
      <formula>"Moderado"</formula>
    </cfRule>
    <cfRule type="cellIs" dxfId="2326" priority="2406" operator="equal">
      <formula>"Bajo"</formula>
    </cfRule>
  </conditionalFormatting>
  <conditionalFormatting sqref="AB41">
    <cfRule type="cellIs" dxfId="2325" priority="2398" operator="equal">
      <formula>"Muy Alta"</formula>
    </cfRule>
    <cfRule type="cellIs" dxfId="2324" priority="2399" operator="equal">
      <formula>"Alta"</formula>
    </cfRule>
    <cfRule type="cellIs" dxfId="2323" priority="2400" operator="equal">
      <formula>"Media"</formula>
    </cfRule>
    <cfRule type="cellIs" dxfId="2322" priority="2401" operator="equal">
      <formula>"Baja"</formula>
    </cfRule>
    <cfRule type="cellIs" dxfId="2321" priority="2402" operator="equal">
      <formula>"Muy Baja"</formula>
    </cfRule>
  </conditionalFormatting>
  <conditionalFormatting sqref="AD41">
    <cfRule type="cellIs" dxfId="2320" priority="2393" operator="equal">
      <formula>"Catastrófico"</formula>
    </cfRule>
    <cfRule type="cellIs" dxfId="2319" priority="2394" operator="equal">
      <formula>"Mayor"</formula>
    </cfRule>
    <cfRule type="cellIs" dxfId="2318" priority="2395" operator="equal">
      <formula>"Moderado"</formula>
    </cfRule>
    <cfRule type="cellIs" dxfId="2317" priority="2396" operator="equal">
      <formula>"Menor"</formula>
    </cfRule>
    <cfRule type="cellIs" dxfId="2316" priority="2397" operator="equal">
      <formula>"Leve"</formula>
    </cfRule>
  </conditionalFormatting>
  <conditionalFormatting sqref="AF41">
    <cfRule type="cellIs" dxfId="2315" priority="2389" operator="equal">
      <formula>"Extremo"</formula>
    </cfRule>
    <cfRule type="cellIs" dxfId="2314" priority="2390" operator="equal">
      <formula>"Alto"</formula>
    </cfRule>
    <cfRule type="cellIs" dxfId="2313" priority="2391" operator="equal">
      <formula>"Moderado"</formula>
    </cfRule>
    <cfRule type="cellIs" dxfId="2312" priority="2392" operator="equal">
      <formula>"Bajo"</formula>
    </cfRule>
  </conditionalFormatting>
  <conditionalFormatting sqref="AB42">
    <cfRule type="cellIs" dxfId="2311" priority="2384" operator="equal">
      <formula>"Muy Alta"</formula>
    </cfRule>
    <cfRule type="cellIs" dxfId="2310" priority="2385" operator="equal">
      <formula>"Alta"</formula>
    </cfRule>
    <cfRule type="cellIs" dxfId="2309" priority="2386" operator="equal">
      <formula>"Media"</formula>
    </cfRule>
    <cfRule type="cellIs" dxfId="2308" priority="2387" operator="equal">
      <formula>"Baja"</formula>
    </cfRule>
    <cfRule type="cellIs" dxfId="2307" priority="2388" operator="equal">
      <formula>"Muy Baja"</formula>
    </cfRule>
  </conditionalFormatting>
  <conditionalFormatting sqref="AD42">
    <cfRule type="cellIs" dxfId="2306" priority="2379" operator="equal">
      <formula>"Catastrófico"</formula>
    </cfRule>
    <cfRule type="cellIs" dxfId="2305" priority="2380" operator="equal">
      <formula>"Mayor"</formula>
    </cfRule>
    <cfRule type="cellIs" dxfId="2304" priority="2381" operator="equal">
      <formula>"Moderado"</formula>
    </cfRule>
    <cfRule type="cellIs" dxfId="2303" priority="2382" operator="equal">
      <formula>"Menor"</formula>
    </cfRule>
    <cfRule type="cellIs" dxfId="2302" priority="2383" operator="equal">
      <formula>"Leve"</formula>
    </cfRule>
  </conditionalFormatting>
  <conditionalFormatting sqref="AF42">
    <cfRule type="cellIs" dxfId="2301" priority="2375" operator="equal">
      <formula>"Extremo"</formula>
    </cfRule>
    <cfRule type="cellIs" dxfId="2300" priority="2376" operator="equal">
      <formula>"Alto"</formula>
    </cfRule>
    <cfRule type="cellIs" dxfId="2299" priority="2377" operator="equal">
      <formula>"Moderado"</formula>
    </cfRule>
    <cfRule type="cellIs" dxfId="2298" priority="2378" operator="equal">
      <formula>"Bajo"</formula>
    </cfRule>
  </conditionalFormatting>
  <conditionalFormatting sqref="AB43">
    <cfRule type="cellIs" dxfId="2297" priority="2370" operator="equal">
      <formula>"Muy Alta"</formula>
    </cfRule>
    <cfRule type="cellIs" dxfId="2296" priority="2371" operator="equal">
      <formula>"Alta"</formula>
    </cfRule>
    <cfRule type="cellIs" dxfId="2295" priority="2372" operator="equal">
      <formula>"Media"</formula>
    </cfRule>
    <cfRule type="cellIs" dxfId="2294" priority="2373" operator="equal">
      <formula>"Baja"</formula>
    </cfRule>
    <cfRule type="cellIs" dxfId="2293" priority="2374" operator="equal">
      <formula>"Muy Baja"</formula>
    </cfRule>
  </conditionalFormatting>
  <conditionalFormatting sqref="AD43">
    <cfRule type="cellIs" dxfId="2292" priority="2365" operator="equal">
      <formula>"Catastrófico"</formula>
    </cfRule>
    <cfRule type="cellIs" dxfId="2291" priority="2366" operator="equal">
      <formula>"Mayor"</formula>
    </cfRule>
    <cfRule type="cellIs" dxfId="2290" priority="2367" operator="equal">
      <formula>"Moderado"</formula>
    </cfRule>
    <cfRule type="cellIs" dxfId="2289" priority="2368" operator="equal">
      <formula>"Menor"</formula>
    </cfRule>
    <cfRule type="cellIs" dxfId="2288" priority="2369" operator="equal">
      <formula>"Leve"</formula>
    </cfRule>
  </conditionalFormatting>
  <conditionalFormatting sqref="AF43">
    <cfRule type="cellIs" dxfId="2287" priority="2361" operator="equal">
      <formula>"Extremo"</formula>
    </cfRule>
    <cfRule type="cellIs" dxfId="2286" priority="2362" operator="equal">
      <formula>"Alto"</formula>
    </cfRule>
    <cfRule type="cellIs" dxfId="2285" priority="2363" operator="equal">
      <formula>"Moderado"</formula>
    </cfRule>
    <cfRule type="cellIs" dxfId="2284" priority="2364" operator="equal">
      <formula>"Bajo"</formula>
    </cfRule>
  </conditionalFormatting>
  <conditionalFormatting sqref="AB44">
    <cfRule type="cellIs" dxfId="2283" priority="2356" operator="equal">
      <formula>"Muy Alta"</formula>
    </cfRule>
    <cfRule type="cellIs" dxfId="2282" priority="2357" operator="equal">
      <formula>"Alta"</formula>
    </cfRule>
    <cfRule type="cellIs" dxfId="2281" priority="2358" operator="equal">
      <formula>"Media"</formula>
    </cfRule>
    <cfRule type="cellIs" dxfId="2280" priority="2359" operator="equal">
      <formula>"Baja"</formula>
    </cfRule>
    <cfRule type="cellIs" dxfId="2279" priority="2360" operator="equal">
      <formula>"Muy Baja"</formula>
    </cfRule>
  </conditionalFormatting>
  <conditionalFormatting sqref="AD44">
    <cfRule type="cellIs" dxfId="2278" priority="2351" operator="equal">
      <formula>"Catastrófico"</formula>
    </cfRule>
    <cfRule type="cellIs" dxfId="2277" priority="2352" operator="equal">
      <formula>"Mayor"</formula>
    </cfRule>
    <cfRule type="cellIs" dxfId="2276" priority="2353" operator="equal">
      <formula>"Moderado"</formula>
    </cfRule>
    <cfRule type="cellIs" dxfId="2275" priority="2354" operator="equal">
      <formula>"Menor"</formula>
    </cfRule>
    <cfRule type="cellIs" dxfId="2274" priority="2355" operator="equal">
      <formula>"Leve"</formula>
    </cfRule>
  </conditionalFormatting>
  <conditionalFormatting sqref="AF44">
    <cfRule type="cellIs" dxfId="2273" priority="2347" operator="equal">
      <formula>"Extremo"</formula>
    </cfRule>
    <cfRule type="cellIs" dxfId="2272" priority="2348" operator="equal">
      <formula>"Alto"</formula>
    </cfRule>
    <cfRule type="cellIs" dxfId="2271" priority="2349" operator="equal">
      <formula>"Moderado"</formula>
    </cfRule>
    <cfRule type="cellIs" dxfId="2270" priority="2350" operator="equal">
      <formula>"Bajo"</formula>
    </cfRule>
  </conditionalFormatting>
  <conditionalFormatting sqref="AB45">
    <cfRule type="cellIs" dxfId="2269" priority="2342" operator="equal">
      <formula>"Muy Alta"</formula>
    </cfRule>
    <cfRule type="cellIs" dxfId="2268" priority="2343" operator="equal">
      <formula>"Alta"</formula>
    </cfRule>
    <cfRule type="cellIs" dxfId="2267" priority="2344" operator="equal">
      <formula>"Media"</formula>
    </cfRule>
    <cfRule type="cellIs" dxfId="2266" priority="2345" operator="equal">
      <formula>"Baja"</formula>
    </cfRule>
    <cfRule type="cellIs" dxfId="2265" priority="2346" operator="equal">
      <formula>"Muy Baja"</formula>
    </cfRule>
  </conditionalFormatting>
  <conditionalFormatting sqref="AD45">
    <cfRule type="cellIs" dxfId="2264" priority="2337" operator="equal">
      <formula>"Catastrófico"</formula>
    </cfRule>
    <cfRule type="cellIs" dxfId="2263" priority="2338" operator="equal">
      <formula>"Mayor"</formula>
    </cfRule>
    <cfRule type="cellIs" dxfId="2262" priority="2339" operator="equal">
      <formula>"Moderado"</formula>
    </cfRule>
    <cfRule type="cellIs" dxfId="2261" priority="2340" operator="equal">
      <formula>"Menor"</formula>
    </cfRule>
    <cfRule type="cellIs" dxfId="2260" priority="2341" operator="equal">
      <formula>"Leve"</formula>
    </cfRule>
  </conditionalFormatting>
  <conditionalFormatting sqref="AF45">
    <cfRule type="cellIs" dxfId="2259" priority="2333" operator="equal">
      <formula>"Extremo"</formula>
    </cfRule>
    <cfRule type="cellIs" dxfId="2258" priority="2334" operator="equal">
      <formula>"Alto"</formula>
    </cfRule>
    <cfRule type="cellIs" dxfId="2257" priority="2335" operator="equal">
      <formula>"Moderado"</formula>
    </cfRule>
    <cfRule type="cellIs" dxfId="2256" priority="2336" operator="equal">
      <formula>"Bajo"</formula>
    </cfRule>
  </conditionalFormatting>
  <conditionalFormatting sqref="AB46">
    <cfRule type="cellIs" dxfId="2255" priority="2286" operator="equal">
      <formula>"Muy Alta"</formula>
    </cfRule>
    <cfRule type="cellIs" dxfId="2254" priority="2287" operator="equal">
      <formula>"Alta"</formula>
    </cfRule>
    <cfRule type="cellIs" dxfId="2253" priority="2288" operator="equal">
      <formula>"Media"</formula>
    </cfRule>
    <cfRule type="cellIs" dxfId="2252" priority="2289" operator="equal">
      <formula>"Baja"</formula>
    </cfRule>
    <cfRule type="cellIs" dxfId="2251" priority="2290" operator="equal">
      <formula>"Muy Baja"</formula>
    </cfRule>
  </conditionalFormatting>
  <conditionalFormatting sqref="AD46">
    <cfRule type="cellIs" dxfId="2250" priority="2281" operator="equal">
      <formula>"Catastrófico"</formula>
    </cfRule>
    <cfRule type="cellIs" dxfId="2249" priority="2282" operator="equal">
      <formula>"Mayor"</formula>
    </cfRule>
    <cfRule type="cellIs" dxfId="2248" priority="2283" operator="equal">
      <formula>"Moderado"</formula>
    </cfRule>
    <cfRule type="cellIs" dxfId="2247" priority="2284" operator="equal">
      <formula>"Menor"</formula>
    </cfRule>
    <cfRule type="cellIs" dxfId="2246" priority="2285" operator="equal">
      <formula>"Leve"</formula>
    </cfRule>
  </conditionalFormatting>
  <conditionalFormatting sqref="AF46">
    <cfRule type="cellIs" dxfId="2245" priority="2277" operator="equal">
      <formula>"Extremo"</formula>
    </cfRule>
    <cfRule type="cellIs" dxfId="2244" priority="2278" operator="equal">
      <formula>"Alto"</formula>
    </cfRule>
    <cfRule type="cellIs" dxfId="2243" priority="2279" operator="equal">
      <formula>"Moderado"</formula>
    </cfRule>
    <cfRule type="cellIs" dxfId="2242" priority="2280" operator="equal">
      <formula>"Bajo"</formula>
    </cfRule>
  </conditionalFormatting>
  <conditionalFormatting sqref="AB49">
    <cfRule type="cellIs" dxfId="2241" priority="2272" operator="equal">
      <formula>"Muy Alta"</formula>
    </cfRule>
    <cfRule type="cellIs" dxfId="2240" priority="2273" operator="equal">
      <formula>"Alta"</formula>
    </cfRule>
    <cfRule type="cellIs" dxfId="2239" priority="2274" operator="equal">
      <formula>"Media"</formula>
    </cfRule>
    <cfRule type="cellIs" dxfId="2238" priority="2275" operator="equal">
      <formula>"Baja"</formula>
    </cfRule>
    <cfRule type="cellIs" dxfId="2237" priority="2276" operator="equal">
      <formula>"Muy Baja"</formula>
    </cfRule>
  </conditionalFormatting>
  <conditionalFormatting sqref="AD49">
    <cfRule type="cellIs" dxfId="2236" priority="2267" operator="equal">
      <formula>"Catastrófico"</formula>
    </cfRule>
    <cfRule type="cellIs" dxfId="2235" priority="2268" operator="equal">
      <formula>"Mayor"</formula>
    </cfRule>
    <cfRule type="cellIs" dxfId="2234" priority="2269" operator="equal">
      <formula>"Moderado"</formula>
    </cfRule>
    <cfRule type="cellIs" dxfId="2233" priority="2270" operator="equal">
      <formula>"Menor"</formula>
    </cfRule>
    <cfRule type="cellIs" dxfId="2232" priority="2271" operator="equal">
      <formula>"Leve"</formula>
    </cfRule>
  </conditionalFormatting>
  <conditionalFormatting sqref="AF49">
    <cfRule type="cellIs" dxfId="2231" priority="2263" operator="equal">
      <formula>"Extremo"</formula>
    </cfRule>
    <cfRule type="cellIs" dxfId="2230" priority="2264" operator="equal">
      <formula>"Alto"</formula>
    </cfRule>
    <cfRule type="cellIs" dxfId="2229" priority="2265" operator="equal">
      <formula>"Moderado"</formula>
    </cfRule>
    <cfRule type="cellIs" dxfId="2228" priority="2266" operator="equal">
      <formula>"Bajo"</formula>
    </cfRule>
  </conditionalFormatting>
  <conditionalFormatting sqref="AB47">
    <cfRule type="cellIs" dxfId="2227" priority="2258" operator="equal">
      <formula>"Muy Alta"</formula>
    </cfRule>
    <cfRule type="cellIs" dxfId="2226" priority="2259" operator="equal">
      <formula>"Alta"</formula>
    </cfRule>
    <cfRule type="cellIs" dxfId="2225" priority="2260" operator="equal">
      <formula>"Media"</formula>
    </cfRule>
    <cfRule type="cellIs" dxfId="2224" priority="2261" operator="equal">
      <formula>"Baja"</formula>
    </cfRule>
    <cfRule type="cellIs" dxfId="2223" priority="2262" operator="equal">
      <formula>"Muy Baja"</formula>
    </cfRule>
  </conditionalFormatting>
  <conditionalFormatting sqref="AD47">
    <cfRule type="cellIs" dxfId="2222" priority="2253" operator="equal">
      <formula>"Catastrófico"</formula>
    </cfRule>
    <cfRule type="cellIs" dxfId="2221" priority="2254" operator="equal">
      <formula>"Mayor"</formula>
    </cfRule>
    <cfRule type="cellIs" dxfId="2220" priority="2255" operator="equal">
      <formula>"Moderado"</formula>
    </cfRule>
    <cfRule type="cellIs" dxfId="2219" priority="2256" operator="equal">
      <formula>"Menor"</formula>
    </cfRule>
    <cfRule type="cellIs" dxfId="2218" priority="2257" operator="equal">
      <formula>"Leve"</formula>
    </cfRule>
  </conditionalFormatting>
  <conditionalFormatting sqref="AF47">
    <cfRule type="cellIs" dxfId="2217" priority="2249" operator="equal">
      <formula>"Extremo"</formula>
    </cfRule>
    <cfRule type="cellIs" dxfId="2216" priority="2250" operator="equal">
      <formula>"Alto"</formula>
    </cfRule>
    <cfRule type="cellIs" dxfId="2215" priority="2251" operator="equal">
      <formula>"Moderado"</formula>
    </cfRule>
    <cfRule type="cellIs" dxfId="2214" priority="2252" operator="equal">
      <formula>"Bajo"</formula>
    </cfRule>
  </conditionalFormatting>
  <conditionalFormatting sqref="AB48">
    <cfRule type="cellIs" dxfId="2213" priority="2244" operator="equal">
      <formula>"Muy Alta"</formula>
    </cfRule>
    <cfRule type="cellIs" dxfId="2212" priority="2245" operator="equal">
      <formula>"Alta"</formula>
    </cfRule>
    <cfRule type="cellIs" dxfId="2211" priority="2246" operator="equal">
      <formula>"Media"</formula>
    </cfRule>
    <cfRule type="cellIs" dxfId="2210" priority="2247" operator="equal">
      <formula>"Baja"</formula>
    </cfRule>
    <cfRule type="cellIs" dxfId="2209" priority="2248" operator="equal">
      <formula>"Muy Baja"</formula>
    </cfRule>
  </conditionalFormatting>
  <conditionalFormatting sqref="AD48">
    <cfRule type="cellIs" dxfId="2208" priority="2239" operator="equal">
      <formula>"Catastrófico"</formula>
    </cfRule>
    <cfRule type="cellIs" dxfId="2207" priority="2240" operator="equal">
      <formula>"Mayor"</formula>
    </cfRule>
    <cfRule type="cellIs" dxfId="2206" priority="2241" operator="equal">
      <formula>"Moderado"</formula>
    </cfRule>
    <cfRule type="cellIs" dxfId="2205" priority="2242" operator="equal">
      <formula>"Menor"</formula>
    </cfRule>
    <cfRule type="cellIs" dxfId="2204" priority="2243" operator="equal">
      <formula>"Leve"</formula>
    </cfRule>
  </conditionalFormatting>
  <conditionalFormatting sqref="AF48">
    <cfRule type="cellIs" dxfId="2203" priority="2235" operator="equal">
      <formula>"Extremo"</formula>
    </cfRule>
    <cfRule type="cellIs" dxfId="2202" priority="2236" operator="equal">
      <formula>"Alto"</formula>
    </cfRule>
    <cfRule type="cellIs" dxfId="2201" priority="2237" operator="equal">
      <formula>"Moderado"</formula>
    </cfRule>
    <cfRule type="cellIs" dxfId="2200" priority="2238" operator="equal">
      <formula>"Bajo"</formula>
    </cfRule>
  </conditionalFormatting>
  <conditionalFormatting sqref="AB50">
    <cfRule type="cellIs" dxfId="2199" priority="2230" operator="equal">
      <formula>"Muy Alta"</formula>
    </cfRule>
    <cfRule type="cellIs" dxfId="2198" priority="2231" operator="equal">
      <formula>"Alta"</formula>
    </cfRule>
    <cfRule type="cellIs" dxfId="2197" priority="2232" operator="equal">
      <formula>"Media"</formula>
    </cfRule>
    <cfRule type="cellIs" dxfId="2196" priority="2233" operator="equal">
      <formula>"Baja"</formula>
    </cfRule>
    <cfRule type="cellIs" dxfId="2195" priority="2234" operator="equal">
      <formula>"Muy Baja"</formula>
    </cfRule>
  </conditionalFormatting>
  <conditionalFormatting sqref="AD50">
    <cfRule type="cellIs" dxfId="2194" priority="2225" operator="equal">
      <formula>"Catastrófico"</formula>
    </cfRule>
    <cfRule type="cellIs" dxfId="2193" priority="2226" operator="equal">
      <formula>"Mayor"</formula>
    </cfRule>
    <cfRule type="cellIs" dxfId="2192" priority="2227" operator="equal">
      <formula>"Moderado"</formula>
    </cfRule>
    <cfRule type="cellIs" dxfId="2191" priority="2228" operator="equal">
      <formula>"Menor"</formula>
    </cfRule>
    <cfRule type="cellIs" dxfId="2190" priority="2229" operator="equal">
      <formula>"Leve"</formula>
    </cfRule>
  </conditionalFormatting>
  <conditionalFormatting sqref="AF50">
    <cfRule type="cellIs" dxfId="2189" priority="2221" operator="equal">
      <formula>"Extremo"</formula>
    </cfRule>
    <cfRule type="cellIs" dxfId="2188" priority="2222" operator="equal">
      <formula>"Alto"</formula>
    </cfRule>
    <cfRule type="cellIs" dxfId="2187" priority="2223" operator="equal">
      <formula>"Moderado"</formula>
    </cfRule>
    <cfRule type="cellIs" dxfId="2186" priority="2224" operator="equal">
      <formula>"Bajo"</formula>
    </cfRule>
  </conditionalFormatting>
  <conditionalFormatting sqref="AB51">
    <cfRule type="cellIs" dxfId="2185" priority="2216" operator="equal">
      <formula>"Muy Alta"</formula>
    </cfRule>
    <cfRule type="cellIs" dxfId="2184" priority="2217" operator="equal">
      <formula>"Alta"</formula>
    </cfRule>
    <cfRule type="cellIs" dxfId="2183" priority="2218" operator="equal">
      <formula>"Media"</formula>
    </cfRule>
    <cfRule type="cellIs" dxfId="2182" priority="2219" operator="equal">
      <formula>"Baja"</formula>
    </cfRule>
    <cfRule type="cellIs" dxfId="2181" priority="2220" operator="equal">
      <formula>"Muy Baja"</formula>
    </cfRule>
  </conditionalFormatting>
  <conditionalFormatting sqref="AD51">
    <cfRule type="cellIs" dxfId="2180" priority="2211" operator="equal">
      <formula>"Catastrófico"</formula>
    </cfRule>
    <cfRule type="cellIs" dxfId="2179" priority="2212" operator="equal">
      <formula>"Mayor"</formula>
    </cfRule>
    <cfRule type="cellIs" dxfId="2178" priority="2213" operator="equal">
      <formula>"Moderado"</formula>
    </cfRule>
    <cfRule type="cellIs" dxfId="2177" priority="2214" operator="equal">
      <formula>"Menor"</formula>
    </cfRule>
    <cfRule type="cellIs" dxfId="2176" priority="2215" operator="equal">
      <formula>"Leve"</formula>
    </cfRule>
  </conditionalFormatting>
  <conditionalFormatting sqref="AF51">
    <cfRule type="cellIs" dxfId="2175" priority="2207" operator="equal">
      <formula>"Extremo"</formula>
    </cfRule>
    <cfRule type="cellIs" dxfId="2174" priority="2208" operator="equal">
      <formula>"Alto"</formula>
    </cfRule>
    <cfRule type="cellIs" dxfId="2173" priority="2209" operator="equal">
      <formula>"Moderado"</formula>
    </cfRule>
    <cfRule type="cellIs" dxfId="2172" priority="2210" operator="equal">
      <formula>"Bajo"</formula>
    </cfRule>
  </conditionalFormatting>
  <conditionalFormatting sqref="AB53">
    <cfRule type="cellIs" dxfId="2171" priority="2202" operator="equal">
      <formula>"Muy Alta"</formula>
    </cfRule>
    <cfRule type="cellIs" dxfId="2170" priority="2203" operator="equal">
      <formula>"Alta"</formula>
    </cfRule>
    <cfRule type="cellIs" dxfId="2169" priority="2204" operator="equal">
      <formula>"Media"</formula>
    </cfRule>
    <cfRule type="cellIs" dxfId="2168" priority="2205" operator="equal">
      <formula>"Baja"</formula>
    </cfRule>
    <cfRule type="cellIs" dxfId="2167" priority="2206" operator="equal">
      <formula>"Muy Baja"</formula>
    </cfRule>
  </conditionalFormatting>
  <conditionalFormatting sqref="AD53">
    <cfRule type="cellIs" dxfId="2166" priority="2197" operator="equal">
      <formula>"Catastrófico"</formula>
    </cfRule>
    <cfRule type="cellIs" dxfId="2165" priority="2198" operator="equal">
      <formula>"Mayor"</formula>
    </cfRule>
    <cfRule type="cellIs" dxfId="2164" priority="2199" operator="equal">
      <formula>"Moderado"</formula>
    </cfRule>
    <cfRule type="cellIs" dxfId="2163" priority="2200" operator="equal">
      <formula>"Menor"</formula>
    </cfRule>
    <cfRule type="cellIs" dxfId="2162" priority="2201" operator="equal">
      <formula>"Leve"</formula>
    </cfRule>
  </conditionalFormatting>
  <conditionalFormatting sqref="AB55">
    <cfRule type="cellIs" dxfId="2161" priority="2188" operator="equal">
      <formula>"Muy Alta"</formula>
    </cfRule>
    <cfRule type="cellIs" dxfId="2160" priority="2189" operator="equal">
      <formula>"Alta"</formula>
    </cfRule>
    <cfRule type="cellIs" dxfId="2159" priority="2190" operator="equal">
      <formula>"Media"</formula>
    </cfRule>
    <cfRule type="cellIs" dxfId="2158" priority="2191" operator="equal">
      <formula>"Baja"</formula>
    </cfRule>
    <cfRule type="cellIs" dxfId="2157" priority="2192" operator="equal">
      <formula>"Muy Baja"</formula>
    </cfRule>
  </conditionalFormatting>
  <conditionalFormatting sqref="AB54">
    <cfRule type="cellIs" dxfId="2156" priority="2174" operator="equal">
      <formula>"Muy Alta"</formula>
    </cfRule>
    <cfRule type="cellIs" dxfId="2155" priority="2175" operator="equal">
      <formula>"Alta"</formula>
    </cfRule>
    <cfRule type="cellIs" dxfId="2154" priority="2176" operator="equal">
      <formula>"Media"</formula>
    </cfRule>
    <cfRule type="cellIs" dxfId="2153" priority="2177" operator="equal">
      <formula>"Baja"</formula>
    </cfRule>
    <cfRule type="cellIs" dxfId="2152" priority="2178" operator="equal">
      <formula>"Muy Baja"</formula>
    </cfRule>
  </conditionalFormatting>
  <conditionalFormatting sqref="AD54">
    <cfRule type="cellIs" dxfId="2151" priority="2169" operator="equal">
      <formula>"Catastrófico"</formula>
    </cfRule>
    <cfRule type="cellIs" dxfId="2150" priority="2170" operator="equal">
      <formula>"Mayor"</formula>
    </cfRule>
    <cfRule type="cellIs" dxfId="2149" priority="2171" operator="equal">
      <formula>"Moderado"</formula>
    </cfRule>
    <cfRule type="cellIs" dxfId="2148" priority="2172" operator="equal">
      <formula>"Menor"</formula>
    </cfRule>
    <cfRule type="cellIs" dxfId="2147" priority="2173" operator="equal">
      <formula>"Leve"</formula>
    </cfRule>
  </conditionalFormatting>
  <conditionalFormatting sqref="AF54">
    <cfRule type="cellIs" dxfId="2146" priority="2165" operator="equal">
      <formula>"Extremo"</formula>
    </cfRule>
    <cfRule type="cellIs" dxfId="2145" priority="2166" operator="equal">
      <formula>"Alto"</formula>
    </cfRule>
    <cfRule type="cellIs" dxfId="2144" priority="2167" operator="equal">
      <formula>"Moderado"</formula>
    </cfRule>
    <cfRule type="cellIs" dxfId="2143" priority="2168" operator="equal">
      <formula>"Bajo"</formula>
    </cfRule>
  </conditionalFormatting>
  <conditionalFormatting sqref="AB56">
    <cfRule type="cellIs" dxfId="2142" priority="2160" operator="equal">
      <formula>"Muy Alta"</formula>
    </cfRule>
    <cfRule type="cellIs" dxfId="2141" priority="2161" operator="equal">
      <formula>"Alta"</formula>
    </cfRule>
    <cfRule type="cellIs" dxfId="2140" priority="2162" operator="equal">
      <formula>"Media"</formula>
    </cfRule>
    <cfRule type="cellIs" dxfId="2139" priority="2163" operator="equal">
      <formula>"Baja"</formula>
    </cfRule>
    <cfRule type="cellIs" dxfId="2138" priority="2164" operator="equal">
      <formula>"Muy Baja"</formula>
    </cfRule>
  </conditionalFormatting>
  <conditionalFormatting sqref="AD56">
    <cfRule type="cellIs" dxfId="2137" priority="2155" operator="equal">
      <formula>"Catastrófico"</formula>
    </cfRule>
    <cfRule type="cellIs" dxfId="2136" priority="2156" operator="equal">
      <formula>"Mayor"</formula>
    </cfRule>
    <cfRule type="cellIs" dxfId="2135" priority="2157" operator="equal">
      <formula>"Moderado"</formula>
    </cfRule>
    <cfRule type="cellIs" dxfId="2134" priority="2158" operator="equal">
      <formula>"Menor"</formula>
    </cfRule>
    <cfRule type="cellIs" dxfId="2133" priority="2159" operator="equal">
      <formula>"Leve"</formula>
    </cfRule>
  </conditionalFormatting>
  <conditionalFormatting sqref="AF56">
    <cfRule type="cellIs" dxfId="2132" priority="2151" operator="equal">
      <formula>"Extremo"</formula>
    </cfRule>
    <cfRule type="cellIs" dxfId="2131" priority="2152" operator="equal">
      <formula>"Alto"</formula>
    </cfRule>
    <cfRule type="cellIs" dxfId="2130" priority="2153" operator="equal">
      <formula>"Moderado"</formula>
    </cfRule>
    <cfRule type="cellIs" dxfId="2129" priority="2154" operator="equal">
      <formula>"Bajo"</formula>
    </cfRule>
  </conditionalFormatting>
  <conditionalFormatting sqref="AB57">
    <cfRule type="cellIs" dxfId="2128" priority="2146" operator="equal">
      <formula>"Muy Alta"</formula>
    </cfRule>
    <cfRule type="cellIs" dxfId="2127" priority="2147" operator="equal">
      <formula>"Alta"</formula>
    </cfRule>
    <cfRule type="cellIs" dxfId="2126" priority="2148" operator="equal">
      <formula>"Media"</formula>
    </cfRule>
    <cfRule type="cellIs" dxfId="2125" priority="2149" operator="equal">
      <formula>"Baja"</formula>
    </cfRule>
    <cfRule type="cellIs" dxfId="2124" priority="2150" operator="equal">
      <formula>"Muy Baja"</formula>
    </cfRule>
  </conditionalFormatting>
  <conditionalFormatting sqref="AD57">
    <cfRule type="cellIs" dxfId="2123" priority="2141" operator="equal">
      <formula>"Catastrófico"</formula>
    </cfRule>
    <cfRule type="cellIs" dxfId="2122" priority="2142" operator="equal">
      <formula>"Mayor"</formula>
    </cfRule>
    <cfRule type="cellIs" dxfId="2121" priority="2143" operator="equal">
      <formula>"Moderado"</formula>
    </cfRule>
    <cfRule type="cellIs" dxfId="2120" priority="2144" operator="equal">
      <formula>"Menor"</formula>
    </cfRule>
    <cfRule type="cellIs" dxfId="2119" priority="2145" operator="equal">
      <formula>"Leve"</formula>
    </cfRule>
  </conditionalFormatting>
  <conditionalFormatting sqref="AF57">
    <cfRule type="cellIs" dxfId="2118" priority="2137" operator="equal">
      <formula>"Extremo"</formula>
    </cfRule>
    <cfRule type="cellIs" dxfId="2117" priority="2138" operator="equal">
      <formula>"Alto"</formula>
    </cfRule>
    <cfRule type="cellIs" dxfId="2116" priority="2139" operator="equal">
      <formula>"Moderado"</formula>
    </cfRule>
    <cfRule type="cellIs" dxfId="2115" priority="2140" operator="equal">
      <formula>"Bajo"</formula>
    </cfRule>
  </conditionalFormatting>
  <conditionalFormatting sqref="AB59">
    <cfRule type="cellIs" dxfId="2114" priority="2132" operator="equal">
      <formula>"Muy Alta"</formula>
    </cfRule>
    <cfRule type="cellIs" dxfId="2113" priority="2133" operator="equal">
      <formula>"Alta"</formula>
    </cfRule>
    <cfRule type="cellIs" dxfId="2112" priority="2134" operator="equal">
      <formula>"Media"</formula>
    </cfRule>
    <cfRule type="cellIs" dxfId="2111" priority="2135" operator="equal">
      <formula>"Baja"</formula>
    </cfRule>
    <cfRule type="cellIs" dxfId="2110" priority="2136" operator="equal">
      <formula>"Muy Baja"</formula>
    </cfRule>
  </conditionalFormatting>
  <conditionalFormatting sqref="AD59">
    <cfRule type="cellIs" dxfId="2109" priority="2127" operator="equal">
      <formula>"Catastrófico"</formula>
    </cfRule>
    <cfRule type="cellIs" dxfId="2108" priority="2128" operator="equal">
      <formula>"Mayor"</formula>
    </cfRule>
    <cfRule type="cellIs" dxfId="2107" priority="2129" operator="equal">
      <formula>"Moderado"</formula>
    </cfRule>
    <cfRule type="cellIs" dxfId="2106" priority="2130" operator="equal">
      <formula>"Menor"</formula>
    </cfRule>
    <cfRule type="cellIs" dxfId="2105" priority="2131" operator="equal">
      <formula>"Leve"</formula>
    </cfRule>
  </conditionalFormatting>
  <conditionalFormatting sqref="AF59">
    <cfRule type="cellIs" dxfId="2104" priority="2123" operator="equal">
      <formula>"Extremo"</formula>
    </cfRule>
    <cfRule type="cellIs" dxfId="2103" priority="2124" operator="equal">
      <formula>"Alto"</formula>
    </cfRule>
    <cfRule type="cellIs" dxfId="2102" priority="2125" operator="equal">
      <formula>"Moderado"</formula>
    </cfRule>
    <cfRule type="cellIs" dxfId="2101" priority="2126" operator="equal">
      <formula>"Bajo"</formula>
    </cfRule>
  </conditionalFormatting>
  <conditionalFormatting sqref="AB60">
    <cfRule type="cellIs" dxfId="2100" priority="2118" operator="equal">
      <formula>"Muy Alta"</formula>
    </cfRule>
    <cfRule type="cellIs" dxfId="2099" priority="2119" operator="equal">
      <formula>"Alta"</formula>
    </cfRule>
    <cfRule type="cellIs" dxfId="2098" priority="2120" operator="equal">
      <formula>"Media"</formula>
    </cfRule>
    <cfRule type="cellIs" dxfId="2097" priority="2121" operator="equal">
      <formula>"Baja"</formula>
    </cfRule>
    <cfRule type="cellIs" dxfId="2096" priority="2122" operator="equal">
      <formula>"Muy Baja"</formula>
    </cfRule>
  </conditionalFormatting>
  <conditionalFormatting sqref="AD60">
    <cfRule type="cellIs" dxfId="2095" priority="2113" operator="equal">
      <formula>"Catastrófico"</formula>
    </cfRule>
    <cfRule type="cellIs" dxfId="2094" priority="2114" operator="equal">
      <formula>"Mayor"</formula>
    </cfRule>
    <cfRule type="cellIs" dxfId="2093" priority="2115" operator="equal">
      <formula>"Moderado"</formula>
    </cfRule>
    <cfRule type="cellIs" dxfId="2092" priority="2116" operator="equal">
      <formula>"Menor"</formula>
    </cfRule>
    <cfRule type="cellIs" dxfId="2091" priority="2117" operator="equal">
      <formula>"Leve"</formula>
    </cfRule>
  </conditionalFormatting>
  <conditionalFormatting sqref="AF60">
    <cfRule type="cellIs" dxfId="2090" priority="2109" operator="equal">
      <formula>"Extremo"</formula>
    </cfRule>
    <cfRule type="cellIs" dxfId="2089" priority="2110" operator="equal">
      <formula>"Alto"</formula>
    </cfRule>
    <cfRule type="cellIs" dxfId="2088" priority="2111" operator="equal">
      <formula>"Moderado"</formula>
    </cfRule>
    <cfRule type="cellIs" dxfId="2087" priority="2112" operator="equal">
      <formula>"Bajo"</formula>
    </cfRule>
  </conditionalFormatting>
  <conditionalFormatting sqref="AB62">
    <cfRule type="cellIs" dxfId="2086" priority="2104" operator="equal">
      <formula>"Muy Alta"</formula>
    </cfRule>
    <cfRule type="cellIs" dxfId="2085" priority="2105" operator="equal">
      <formula>"Alta"</formula>
    </cfRule>
    <cfRule type="cellIs" dxfId="2084" priority="2106" operator="equal">
      <formula>"Media"</formula>
    </cfRule>
    <cfRule type="cellIs" dxfId="2083" priority="2107" operator="equal">
      <formula>"Baja"</formula>
    </cfRule>
    <cfRule type="cellIs" dxfId="2082" priority="2108" operator="equal">
      <formula>"Muy Baja"</formula>
    </cfRule>
  </conditionalFormatting>
  <conditionalFormatting sqref="AD62">
    <cfRule type="cellIs" dxfId="2081" priority="2099" operator="equal">
      <formula>"Catastrófico"</formula>
    </cfRule>
    <cfRule type="cellIs" dxfId="2080" priority="2100" operator="equal">
      <formula>"Mayor"</formula>
    </cfRule>
    <cfRule type="cellIs" dxfId="2079" priority="2101" operator="equal">
      <formula>"Moderado"</formula>
    </cfRule>
    <cfRule type="cellIs" dxfId="2078" priority="2102" operator="equal">
      <formula>"Menor"</formula>
    </cfRule>
    <cfRule type="cellIs" dxfId="2077" priority="2103" operator="equal">
      <formula>"Leve"</formula>
    </cfRule>
  </conditionalFormatting>
  <conditionalFormatting sqref="AF62">
    <cfRule type="cellIs" dxfId="2076" priority="2095" operator="equal">
      <formula>"Extremo"</formula>
    </cfRule>
    <cfRule type="cellIs" dxfId="2075" priority="2096" operator="equal">
      <formula>"Alto"</formula>
    </cfRule>
    <cfRule type="cellIs" dxfId="2074" priority="2097" operator="equal">
      <formula>"Moderado"</formula>
    </cfRule>
    <cfRule type="cellIs" dxfId="2073" priority="2098" operator="equal">
      <formula>"Bajo"</formula>
    </cfRule>
  </conditionalFormatting>
  <conditionalFormatting sqref="AB63">
    <cfRule type="cellIs" dxfId="2072" priority="2090" operator="equal">
      <formula>"Muy Alta"</formula>
    </cfRule>
    <cfRule type="cellIs" dxfId="2071" priority="2091" operator="equal">
      <formula>"Alta"</formula>
    </cfRule>
    <cfRule type="cellIs" dxfId="2070" priority="2092" operator="equal">
      <formula>"Media"</formula>
    </cfRule>
    <cfRule type="cellIs" dxfId="2069" priority="2093" operator="equal">
      <formula>"Baja"</formula>
    </cfRule>
    <cfRule type="cellIs" dxfId="2068" priority="2094" operator="equal">
      <formula>"Muy Baja"</formula>
    </cfRule>
  </conditionalFormatting>
  <conditionalFormatting sqref="AD63">
    <cfRule type="cellIs" dxfId="2067" priority="2085" operator="equal">
      <formula>"Catastrófico"</formula>
    </cfRule>
    <cfRule type="cellIs" dxfId="2066" priority="2086" operator="equal">
      <formula>"Mayor"</formula>
    </cfRule>
    <cfRule type="cellIs" dxfId="2065" priority="2087" operator="equal">
      <formula>"Moderado"</formula>
    </cfRule>
    <cfRule type="cellIs" dxfId="2064" priority="2088" operator="equal">
      <formula>"Menor"</formula>
    </cfRule>
    <cfRule type="cellIs" dxfId="2063" priority="2089" operator="equal">
      <formula>"Leve"</formula>
    </cfRule>
  </conditionalFormatting>
  <conditionalFormatting sqref="AF63">
    <cfRule type="cellIs" dxfId="2062" priority="2081" operator="equal">
      <formula>"Extremo"</formula>
    </cfRule>
    <cfRule type="cellIs" dxfId="2061" priority="2082" operator="equal">
      <formula>"Alto"</formula>
    </cfRule>
    <cfRule type="cellIs" dxfId="2060" priority="2083" operator="equal">
      <formula>"Moderado"</formula>
    </cfRule>
    <cfRule type="cellIs" dxfId="2059" priority="2084" operator="equal">
      <formula>"Bajo"</formula>
    </cfRule>
  </conditionalFormatting>
  <conditionalFormatting sqref="AB65">
    <cfRule type="cellIs" dxfId="2058" priority="2076" operator="equal">
      <formula>"Muy Alta"</formula>
    </cfRule>
    <cfRule type="cellIs" dxfId="2057" priority="2077" operator="equal">
      <formula>"Alta"</formula>
    </cfRule>
    <cfRule type="cellIs" dxfId="2056" priority="2078" operator="equal">
      <formula>"Media"</formula>
    </cfRule>
    <cfRule type="cellIs" dxfId="2055" priority="2079" operator="equal">
      <formula>"Baja"</formula>
    </cfRule>
    <cfRule type="cellIs" dxfId="2054" priority="2080" operator="equal">
      <formula>"Muy Baja"</formula>
    </cfRule>
  </conditionalFormatting>
  <conditionalFormatting sqref="AD65">
    <cfRule type="cellIs" dxfId="2053" priority="2071" operator="equal">
      <formula>"Catastrófico"</formula>
    </cfRule>
    <cfRule type="cellIs" dxfId="2052" priority="2072" operator="equal">
      <formula>"Mayor"</formula>
    </cfRule>
    <cfRule type="cellIs" dxfId="2051" priority="2073" operator="equal">
      <formula>"Moderado"</formula>
    </cfRule>
    <cfRule type="cellIs" dxfId="2050" priority="2074" operator="equal">
      <formula>"Menor"</formula>
    </cfRule>
    <cfRule type="cellIs" dxfId="2049" priority="2075" operator="equal">
      <formula>"Leve"</formula>
    </cfRule>
  </conditionalFormatting>
  <conditionalFormatting sqref="AF65">
    <cfRule type="cellIs" dxfId="2048" priority="2067" operator="equal">
      <formula>"Extremo"</formula>
    </cfRule>
    <cfRule type="cellIs" dxfId="2047" priority="2068" operator="equal">
      <formula>"Alto"</formula>
    </cfRule>
    <cfRule type="cellIs" dxfId="2046" priority="2069" operator="equal">
      <formula>"Moderado"</formula>
    </cfRule>
    <cfRule type="cellIs" dxfId="2045" priority="2070" operator="equal">
      <formula>"Bajo"</formula>
    </cfRule>
  </conditionalFormatting>
  <conditionalFormatting sqref="AB66">
    <cfRule type="cellIs" dxfId="2044" priority="2062" operator="equal">
      <formula>"Muy Alta"</formula>
    </cfRule>
    <cfRule type="cellIs" dxfId="2043" priority="2063" operator="equal">
      <formula>"Alta"</formula>
    </cfRule>
    <cfRule type="cellIs" dxfId="2042" priority="2064" operator="equal">
      <formula>"Media"</formula>
    </cfRule>
    <cfRule type="cellIs" dxfId="2041" priority="2065" operator="equal">
      <formula>"Baja"</formula>
    </cfRule>
    <cfRule type="cellIs" dxfId="2040" priority="2066" operator="equal">
      <formula>"Muy Baja"</formula>
    </cfRule>
  </conditionalFormatting>
  <conditionalFormatting sqref="AD66">
    <cfRule type="cellIs" dxfId="2039" priority="2057" operator="equal">
      <formula>"Catastrófico"</formula>
    </cfRule>
    <cfRule type="cellIs" dxfId="2038" priority="2058" operator="equal">
      <formula>"Mayor"</formula>
    </cfRule>
    <cfRule type="cellIs" dxfId="2037" priority="2059" operator="equal">
      <formula>"Moderado"</formula>
    </cfRule>
    <cfRule type="cellIs" dxfId="2036" priority="2060" operator="equal">
      <formula>"Menor"</formula>
    </cfRule>
    <cfRule type="cellIs" dxfId="2035" priority="2061" operator="equal">
      <formula>"Leve"</formula>
    </cfRule>
  </conditionalFormatting>
  <conditionalFormatting sqref="AF66">
    <cfRule type="cellIs" dxfId="2034" priority="2053" operator="equal">
      <formula>"Extremo"</formula>
    </cfRule>
    <cfRule type="cellIs" dxfId="2033" priority="2054" operator="equal">
      <formula>"Alto"</formula>
    </cfRule>
    <cfRule type="cellIs" dxfId="2032" priority="2055" operator="equal">
      <formula>"Moderado"</formula>
    </cfRule>
    <cfRule type="cellIs" dxfId="2031" priority="2056" operator="equal">
      <formula>"Bajo"</formula>
    </cfRule>
  </conditionalFormatting>
  <conditionalFormatting sqref="AB68">
    <cfRule type="cellIs" dxfId="2030" priority="2048" operator="equal">
      <formula>"Muy Alta"</formula>
    </cfRule>
    <cfRule type="cellIs" dxfId="2029" priority="2049" operator="equal">
      <formula>"Alta"</formula>
    </cfRule>
    <cfRule type="cellIs" dxfId="2028" priority="2050" operator="equal">
      <formula>"Media"</formula>
    </cfRule>
    <cfRule type="cellIs" dxfId="2027" priority="2051" operator="equal">
      <formula>"Baja"</formula>
    </cfRule>
    <cfRule type="cellIs" dxfId="2026" priority="2052" operator="equal">
      <formula>"Muy Baja"</formula>
    </cfRule>
  </conditionalFormatting>
  <conditionalFormatting sqref="AD68">
    <cfRule type="cellIs" dxfId="2025" priority="2043" operator="equal">
      <formula>"Catastrófico"</formula>
    </cfRule>
    <cfRule type="cellIs" dxfId="2024" priority="2044" operator="equal">
      <formula>"Mayor"</formula>
    </cfRule>
    <cfRule type="cellIs" dxfId="2023" priority="2045" operator="equal">
      <formula>"Moderado"</formula>
    </cfRule>
    <cfRule type="cellIs" dxfId="2022" priority="2046" operator="equal">
      <formula>"Menor"</formula>
    </cfRule>
    <cfRule type="cellIs" dxfId="2021" priority="2047" operator="equal">
      <formula>"Leve"</formula>
    </cfRule>
  </conditionalFormatting>
  <conditionalFormatting sqref="AF68">
    <cfRule type="cellIs" dxfId="2020" priority="2039" operator="equal">
      <formula>"Extremo"</formula>
    </cfRule>
    <cfRule type="cellIs" dxfId="2019" priority="2040" operator="equal">
      <formula>"Alto"</formula>
    </cfRule>
    <cfRule type="cellIs" dxfId="2018" priority="2041" operator="equal">
      <formula>"Moderado"</formula>
    </cfRule>
    <cfRule type="cellIs" dxfId="2017" priority="2042" operator="equal">
      <formula>"Bajo"</formula>
    </cfRule>
  </conditionalFormatting>
  <conditionalFormatting sqref="AB69">
    <cfRule type="cellIs" dxfId="2016" priority="2034" operator="equal">
      <formula>"Muy Alta"</formula>
    </cfRule>
    <cfRule type="cellIs" dxfId="2015" priority="2035" operator="equal">
      <formula>"Alta"</formula>
    </cfRule>
    <cfRule type="cellIs" dxfId="2014" priority="2036" operator="equal">
      <formula>"Media"</formula>
    </cfRule>
    <cfRule type="cellIs" dxfId="2013" priority="2037" operator="equal">
      <formula>"Baja"</formula>
    </cfRule>
    <cfRule type="cellIs" dxfId="2012" priority="2038" operator="equal">
      <formula>"Muy Baja"</formula>
    </cfRule>
  </conditionalFormatting>
  <conditionalFormatting sqref="AD69">
    <cfRule type="cellIs" dxfId="2011" priority="2029" operator="equal">
      <formula>"Catastrófico"</formula>
    </cfRule>
    <cfRule type="cellIs" dxfId="2010" priority="2030" operator="equal">
      <formula>"Mayor"</formula>
    </cfRule>
    <cfRule type="cellIs" dxfId="2009" priority="2031" operator="equal">
      <formula>"Moderado"</formula>
    </cfRule>
    <cfRule type="cellIs" dxfId="2008" priority="2032" operator="equal">
      <formula>"Menor"</formula>
    </cfRule>
    <cfRule type="cellIs" dxfId="2007" priority="2033" operator="equal">
      <formula>"Leve"</formula>
    </cfRule>
  </conditionalFormatting>
  <conditionalFormatting sqref="AF69">
    <cfRule type="cellIs" dxfId="2006" priority="2025" operator="equal">
      <formula>"Extremo"</formula>
    </cfRule>
    <cfRule type="cellIs" dxfId="2005" priority="2026" operator="equal">
      <formula>"Alto"</formula>
    </cfRule>
    <cfRule type="cellIs" dxfId="2004" priority="2027" operator="equal">
      <formula>"Moderado"</formula>
    </cfRule>
    <cfRule type="cellIs" dxfId="2003" priority="2028" operator="equal">
      <formula>"Bajo"</formula>
    </cfRule>
  </conditionalFormatting>
  <conditionalFormatting sqref="AB71">
    <cfRule type="cellIs" dxfId="2002" priority="2020" operator="equal">
      <formula>"Muy Alta"</formula>
    </cfRule>
    <cfRule type="cellIs" dxfId="2001" priority="2021" operator="equal">
      <formula>"Alta"</formula>
    </cfRule>
    <cfRule type="cellIs" dxfId="2000" priority="2022" operator="equal">
      <formula>"Media"</formula>
    </cfRule>
    <cfRule type="cellIs" dxfId="1999" priority="2023" operator="equal">
      <formula>"Baja"</formula>
    </cfRule>
    <cfRule type="cellIs" dxfId="1998" priority="2024" operator="equal">
      <formula>"Muy Baja"</formula>
    </cfRule>
  </conditionalFormatting>
  <conditionalFormatting sqref="AD71">
    <cfRule type="cellIs" dxfId="1997" priority="2015" operator="equal">
      <formula>"Catastrófico"</formula>
    </cfRule>
    <cfRule type="cellIs" dxfId="1996" priority="2016" operator="equal">
      <formula>"Mayor"</formula>
    </cfRule>
    <cfRule type="cellIs" dxfId="1995" priority="2017" operator="equal">
      <formula>"Moderado"</formula>
    </cfRule>
    <cfRule type="cellIs" dxfId="1994" priority="2018" operator="equal">
      <formula>"Menor"</formula>
    </cfRule>
    <cfRule type="cellIs" dxfId="1993" priority="2019" operator="equal">
      <formula>"Leve"</formula>
    </cfRule>
  </conditionalFormatting>
  <conditionalFormatting sqref="AF71">
    <cfRule type="cellIs" dxfId="1992" priority="2011" operator="equal">
      <formula>"Extremo"</formula>
    </cfRule>
    <cfRule type="cellIs" dxfId="1991" priority="2012" operator="equal">
      <formula>"Alto"</formula>
    </cfRule>
    <cfRule type="cellIs" dxfId="1990" priority="2013" operator="equal">
      <formula>"Moderado"</formula>
    </cfRule>
    <cfRule type="cellIs" dxfId="1989" priority="2014" operator="equal">
      <formula>"Bajo"</formula>
    </cfRule>
  </conditionalFormatting>
  <conditionalFormatting sqref="AB72">
    <cfRule type="cellIs" dxfId="1988" priority="2006" operator="equal">
      <formula>"Muy Alta"</formula>
    </cfRule>
    <cfRule type="cellIs" dxfId="1987" priority="2007" operator="equal">
      <formula>"Alta"</formula>
    </cfRule>
    <cfRule type="cellIs" dxfId="1986" priority="2008" operator="equal">
      <formula>"Media"</formula>
    </cfRule>
    <cfRule type="cellIs" dxfId="1985" priority="2009" operator="equal">
      <formula>"Baja"</formula>
    </cfRule>
    <cfRule type="cellIs" dxfId="1984" priority="2010" operator="equal">
      <formula>"Muy Baja"</formula>
    </cfRule>
  </conditionalFormatting>
  <conditionalFormatting sqref="AD72">
    <cfRule type="cellIs" dxfId="1983" priority="2001" operator="equal">
      <formula>"Catastrófico"</formula>
    </cfRule>
    <cfRule type="cellIs" dxfId="1982" priority="2002" operator="equal">
      <formula>"Mayor"</formula>
    </cfRule>
    <cfRule type="cellIs" dxfId="1981" priority="2003" operator="equal">
      <formula>"Moderado"</formula>
    </cfRule>
    <cfRule type="cellIs" dxfId="1980" priority="2004" operator="equal">
      <formula>"Menor"</formula>
    </cfRule>
    <cfRule type="cellIs" dxfId="1979" priority="2005" operator="equal">
      <formula>"Leve"</formula>
    </cfRule>
  </conditionalFormatting>
  <conditionalFormatting sqref="AF72">
    <cfRule type="cellIs" dxfId="1978" priority="1997" operator="equal">
      <formula>"Extremo"</formula>
    </cfRule>
    <cfRule type="cellIs" dxfId="1977" priority="1998" operator="equal">
      <formula>"Alto"</formula>
    </cfRule>
    <cfRule type="cellIs" dxfId="1976" priority="1999" operator="equal">
      <formula>"Moderado"</formula>
    </cfRule>
    <cfRule type="cellIs" dxfId="1975" priority="2000" operator="equal">
      <formula>"Bajo"</formula>
    </cfRule>
  </conditionalFormatting>
  <conditionalFormatting sqref="AB73">
    <cfRule type="cellIs" dxfId="1974" priority="1992" operator="equal">
      <formula>"Muy Alta"</formula>
    </cfRule>
    <cfRule type="cellIs" dxfId="1973" priority="1993" operator="equal">
      <formula>"Alta"</formula>
    </cfRule>
    <cfRule type="cellIs" dxfId="1972" priority="1994" operator="equal">
      <formula>"Media"</formula>
    </cfRule>
    <cfRule type="cellIs" dxfId="1971" priority="1995" operator="equal">
      <formula>"Baja"</formula>
    </cfRule>
    <cfRule type="cellIs" dxfId="1970" priority="1996" operator="equal">
      <formula>"Muy Baja"</formula>
    </cfRule>
  </conditionalFormatting>
  <conditionalFormatting sqref="AD73">
    <cfRule type="cellIs" dxfId="1969" priority="1987" operator="equal">
      <formula>"Catastrófico"</formula>
    </cfRule>
    <cfRule type="cellIs" dxfId="1968" priority="1988" operator="equal">
      <formula>"Mayor"</formula>
    </cfRule>
    <cfRule type="cellIs" dxfId="1967" priority="1989" operator="equal">
      <formula>"Moderado"</formula>
    </cfRule>
    <cfRule type="cellIs" dxfId="1966" priority="1990" operator="equal">
      <formula>"Menor"</formula>
    </cfRule>
    <cfRule type="cellIs" dxfId="1965" priority="1991" operator="equal">
      <formula>"Leve"</formula>
    </cfRule>
  </conditionalFormatting>
  <conditionalFormatting sqref="AF73">
    <cfRule type="cellIs" dxfId="1964" priority="1983" operator="equal">
      <formula>"Extremo"</formula>
    </cfRule>
    <cfRule type="cellIs" dxfId="1963" priority="1984" operator="equal">
      <formula>"Alto"</formula>
    </cfRule>
    <cfRule type="cellIs" dxfId="1962" priority="1985" operator="equal">
      <formula>"Moderado"</formula>
    </cfRule>
    <cfRule type="cellIs" dxfId="1961" priority="1986" operator="equal">
      <formula>"Bajo"</formula>
    </cfRule>
  </conditionalFormatting>
  <conditionalFormatting sqref="AB74">
    <cfRule type="cellIs" dxfId="1960" priority="1978" operator="equal">
      <formula>"Muy Alta"</formula>
    </cfRule>
    <cfRule type="cellIs" dxfId="1959" priority="1979" operator="equal">
      <formula>"Alta"</formula>
    </cfRule>
    <cfRule type="cellIs" dxfId="1958" priority="1980" operator="equal">
      <formula>"Media"</formula>
    </cfRule>
    <cfRule type="cellIs" dxfId="1957" priority="1981" operator="equal">
      <formula>"Baja"</formula>
    </cfRule>
    <cfRule type="cellIs" dxfId="1956" priority="1982" operator="equal">
      <formula>"Muy Baja"</formula>
    </cfRule>
  </conditionalFormatting>
  <conditionalFormatting sqref="AD74">
    <cfRule type="cellIs" dxfId="1955" priority="1973" operator="equal">
      <formula>"Catastrófico"</formula>
    </cfRule>
    <cfRule type="cellIs" dxfId="1954" priority="1974" operator="equal">
      <formula>"Mayor"</formula>
    </cfRule>
    <cfRule type="cellIs" dxfId="1953" priority="1975" operator="equal">
      <formula>"Moderado"</formula>
    </cfRule>
    <cfRule type="cellIs" dxfId="1952" priority="1976" operator="equal">
      <formula>"Menor"</formula>
    </cfRule>
    <cfRule type="cellIs" dxfId="1951" priority="1977" operator="equal">
      <formula>"Leve"</formula>
    </cfRule>
  </conditionalFormatting>
  <conditionalFormatting sqref="AF74">
    <cfRule type="cellIs" dxfId="1950" priority="1969" operator="equal">
      <formula>"Extremo"</formula>
    </cfRule>
    <cfRule type="cellIs" dxfId="1949" priority="1970" operator="equal">
      <formula>"Alto"</formula>
    </cfRule>
    <cfRule type="cellIs" dxfId="1948" priority="1971" operator="equal">
      <formula>"Moderado"</formula>
    </cfRule>
    <cfRule type="cellIs" dxfId="1947" priority="1972" operator="equal">
      <formula>"Bajo"</formula>
    </cfRule>
  </conditionalFormatting>
  <conditionalFormatting sqref="AB75">
    <cfRule type="cellIs" dxfId="1946" priority="1964" operator="equal">
      <formula>"Muy Alta"</formula>
    </cfRule>
    <cfRule type="cellIs" dxfId="1945" priority="1965" operator="equal">
      <formula>"Alta"</formula>
    </cfRule>
    <cfRule type="cellIs" dxfId="1944" priority="1966" operator="equal">
      <formula>"Media"</formula>
    </cfRule>
    <cfRule type="cellIs" dxfId="1943" priority="1967" operator="equal">
      <formula>"Baja"</formula>
    </cfRule>
    <cfRule type="cellIs" dxfId="1942" priority="1968" operator="equal">
      <formula>"Muy Baja"</formula>
    </cfRule>
  </conditionalFormatting>
  <conditionalFormatting sqref="AD75">
    <cfRule type="cellIs" dxfId="1941" priority="1959" operator="equal">
      <formula>"Catastrófico"</formula>
    </cfRule>
    <cfRule type="cellIs" dxfId="1940" priority="1960" operator="equal">
      <formula>"Mayor"</formula>
    </cfRule>
    <cfRule type="cellIs" dxfId="1939" priority="1961" operator="equal">
      <formula>"Moderado"</formula>
    </cfRule>
    <cfRule type="cellIs" dxfId="1938" priority="1962" operator="equal">
      <formula>"Menor"</formula>
    </cfRule>
    <cfRule type="cellIs" dxfId="1937" priority="1963" operator="equal">
      <formula>"Leve"</formula>
    </cfRule>
  </conditionalFormatting>
  <conditionalFormatting sqref="AF75">
    <cfRule type="cellIs" dxfId="1936" priority="1955" operator="equal">
      <formula>"Extremo"</formula>
    </cfRule>
    <cfRule type="cellIs" dxfId="1935" priority="1956" operator="equal">
      <formula>"Alto"</formula>
    </cfRule>
    <cfRule type="cellIs" dxfId="1934" priority="1957" operator="equal">
      <formula>"Moderado"</formula>
    </cfRule>
    <cfRule type="cellIs" dxfId="1933" priority="1958" operator="equal">
      <formula>"Bajo"</formula>
    </cfRule>
  </conditionalFormatting>
  <conditionalFormatting sqref="AB77">
    <cfRule type="cellIs" dxfId="1932" priority="1950" operator="equal">
      <formula>"Muy Alta"</formula>
    </cfRule>
    <cfRule type="cellIs" dxfId="1931" priority="1951" operator="equal">
      <formula>"Alta"</formula>
    </cfRule>
    <cfRule type="cellIs" dxfId="1930" priority="1952" operator="equal">
      <formula>"Media"</formula>
    </cfRule>
    <cfRule type="cellIs" dxfId="1929" priority="1953" operator="equal">
      <formula>"Baja"</formula>
    </cfRule>
    <cfRule type="cellIs" dxfId="1928" priority="1954" operator="equal">
      <formula>"Muy Baja"</formula>
    </cfRule>
  </conditionalFormatting>
  <conditionalFormatting sqref="AD77">
    <cfRule type="cellIs" dxfId="1927" priority="1945" operator="equal">
      <formula>"Catastrófico"</formula>
    </cfRule>
    <cfRule type="cellIs" dxfId="1926" priority="1946" operator="equal">
      <formula>"Mayor"</formula>
    </cfRule>
    <cfRule type="cellIs" dxfId="1925" priority="1947" operator="equal">
      <formula>"Moderado"</formula>
    </cfRule>
    <cfRule type="cellIs" dxfId="1924" priority="1948" operator="equal">
      <formula>"Menor"</formula>
    </cfRule>
    <cfRule type="cellIs" dxfId="1923" priority="1949" operator="equal">
      <formula>"Leve"</formula>
    </cfRule>
  </conditionalFormatting>
  <conditionalFormatting sqref="AF77">
    <cfRule type="cellIs" dxfId="1922" priority="1941" operator="equal">
      <formula>"Extremo"</formula>
    </cfRule>
    <cfRule type="cellIs" dxfId="1921" priority="1942" operator="equal">
      <formula>"Alto"</formula>
    </cfRule>
    <cfRule type="cellIs" dxfId="1920" priority="1943" operator="equal">
      <formula>"Moderado"</formula>
    </cfRule>
    <cfRule type="cellIs" dxfId="1919" priority="1944" operator="equal">
      <formula>"Bajo"</formula>
    </cfRule>
  </conditionalFormatting>
  <conditionalFormatting sqref="AB76">
    <cfRule type="cellIs" dxfId="1918" priority="1936" operator="equal">
      <formula>"Muy Alta"</formula>
    </cfRule>
    <cfRule type="cellIs" dxfId="1917" priority="1937" operator="equal">
      <formula>"Alta"</formula>
    </cfRule>
    <cfRule type="cellIs" dxfId="1916" priority="1938" operator="equal">
      <formula>"Media"</formula>
    </cfRule>
    <cfRule type="cellIs" dxfId="1915" priority="1939" operator="equal">
      <formula>"Baja"</formula>
    </cfRule>
    <cfRule type="cellIs" dxfId="1914" priority="1940" operator="equal">
      <formula>"Muy Baja"</formula>
    </cfRule>
  </conditionalFormatting>
  <conditionalFormatting sqref="AD76">
    <cfRule type="cellIs" dxfId="1913" priority="1931" operator="equal">
      <formula>"Catastrófico"</formula>
    </cfRule>
    <cfRule type="cellIs" dxfId="1912" priority="1932" operator="equal">
      <formula>"Mayor"</formula>
    </cfRule>
    <cfRule type="cellIs" dxfId="1911" priority="1933" operator="equal">
      <formula>"Moderado"</formula>
    </cfRule>
    <cfRule type="cellIs" dxfId="1910" priority="1934" operator="equal">
      <formula>"Menor"</formula>
    </cfRule>
    <cfRule type="cellIs" dxfId="1909" priority="1935" operator="equal">
      <formula>"Leve"</formula>
    </cfRule>
  </conditionalFormatting>
  <conditionalFormatting sqref="AF76">
    <cfRule type="cellIs" dxfId="1908" priority="1927" operator="equal">
      <formula>"Extremo"</formula>
    </cfRule>
    <cfRule type="cellIs" dxfId="1907" priority="1928" operator="equal">
      <formula>"Alto"</formula>
    </cfRule>
    <cfRule type="cellIs" dxfId="1906" priority="1929" operator="equal">
      <formula>"Moderado"</formula>
    </cfRule>
    <cfRule type="cellIs" dxfId="1905" priority="1930" operator="equal">
      <formula>"Bajo"</formula>
    </cfRule>
  </conditionalFormatting>
  <conditionalFormatting sqref="AB78">
    <cfRule type="cellIs" dxfId="1904" priority="1922" operator="equal">
      <formula>"Muy Alta"</formula>
    </cfRule>
    <cfRule type="cellIs" dxfId="1903" priority="1923" operator="equal">
      <formula>"Alta"</formula>
    </cfRule>
    <cfRule type="cellIs" dxfId="1902" priority="1924" operator="equal">
      <formula>"Media"</formula>
    </cfRule>
    <cfRule type="cellIs" dxfId="1901" priority="1925" operator="equal">
      <formula>"Baja"</formula>
    </cfRule>
    <cfRule type="cellIs" dxfId="1900" priority="1926" operator="equal">
      <formula>"Muy Baja"</formula>
    </cfRule>
  </conditionalFormatting>
  <conditionalFormatting sqref="AD78">
    <cfRule type="cellIs" dxfId="1899" priority="1917" operator="equal">
      <formula>"Catastrófico"</formula>
    </cfRule>
    <cfRule type="cellIs" dxfId="1898" priority="1918" operator="equal">
      <formula>"Mayor"</formula>
    </cfRule>
    <cfRule type="cellIs" dxfId="1897" priority="1919" operator="equal">
      <formula>"Moderado"</formula>
    </cfRule>
    <cfRule type="cellIs" dxfId="1896" priority="1920" operator="equal">
      <formula>"Menor"</formula>
    </cfRule>
    <cfRule type="cellIs" dxfId="1895" priority="1921" operator="equal">
      <formula>"Leve"</formula>
    </cfRule>
  </conditionalFormatting>
  <conditionalFormatting sqref="AF78">
    <cfRule type="cellIs" dxfId="1894" priority="1913" operator="equal">
      <formula>"Extremo"</formula>
    </cfRule>
    <cfRule type="cellIs" dxfId="1893" priority="1914" operator="equal">
      <formula>"Alto"</formula>
    </cfRule>
    <cfRule type="cellIs" dxfId="1892" priority="1915" operator="equal">
      <formula>"Moderado"</formula>
    </cfRule>
    <cfRule type="cellIs" dxfId="1891" priority="1916" operator="equal">
      <formula>"Bajo"</formula>
    </cfRule>
  </conditionalFormatting>
  <conditionalFormatting sqref="AB80">
    <cfRule type="cellIs" dxfId="1890" priority="1908" operator="equal">
      <formula>"Muy Alta"</formula>
    </cfRule>
    <cfRule type="cellIs" dxfId="1889" priority="1909" operator="equal">
      <formula>"Alta"</formula>
    </cfRule>
    <cfRule type="cellIs" dxfId="1888" priority="1910" operator="equal">
      <formula>"Media"</formula>
    </cfRule>
    <cfRule type="cellIs" dxfId="1887" priority="1911" operator="equal">
      <formula>"Baja"</formula>
    </cfRule>
    <cfRule type="cellIs" dxfId="1886" priority="1912" operator="equal">
      <formula>"Muy Baja"</formula>
    </cfRule>
  </conditionalFormatting>
  <conditionalFormatting sqref="AD80">
    <cfRule type="cellIs" dxfId="1885" priority="1903" operator="equal">
      <formula>"Catastrófico"</formula>
    </cfRule>
    <cfRule type="cellIs" dxfId="1884" priority="1904" operator="equal">
      <formula>"Mayor"</formula>
    </cfRule>
    <cfRule type="cellIs" dxfId="1883" priority="1905" operator="equal">
      <formula>"Moderado"</formula>
    </cfRule>
    <cfRule type="cellIs" dxfId="1882" priority="1906" operator="equal">
      <formula>"Menor"</formula>
    </cfRule>
    <cfRule type="cellIs" dxfId="1881" priority="1907" operator="equal">
      <formula>"Leve"</formula>
    </cfRule>
  </conditionalFormatting>
  <conditionalFormatting sqref="AF80">
    <cfRule type="cellIs" dxfId="1880" priority="1899" operator="equal">
      <formula>"Extremo"</formula>
    </cfRule>
    <cfRule type="cellIs" dxfId="1879" priority="1900" operator="equal">
      <formula>"Alto"</formula>
    </cfRule>
    <cfRule type="cellIs" dxfId="1878" priority="1901" operator="equal">
      <formula>"Moderado"</formula>
    </cfRule>
    <cfRule type="cellIs" dxfId="1877" priority="1902" operator="equal">
      <formula>"Bajo"</formula>
    </cfRule>
  </conditionalFormatting>
  <conditionalFormatting sqref="AB81">
    <cfRule type="cellIs" dxfId="1876" priority="1894" operator="equal">
      <formula>"Muy Alta"</formula>
    </cfRule>
    <cfRule type="cellIs" dxfId="1875" priority="1895" operator="equal">
      <formula>"Alta"</formula>
    </cfRule>
    <cfRule type="cellIs" dxfId="1874" priority="1896" operator="equal">
      <formula>"Media"</formula>
    </cfRule>
    <cfRule type="cellIs" dxfId="1873" priority="1897" operator="equal">
      <formula>"Baja"</formula>
    </cfRule>
    <cfRule type="cellIs" dxfId="1872" priority="1898" operator="equal">
      <formula>"Muy Baja"</formula>
    </cfRule>
  </conditionalFormatting>
  <conditionalFormatting sqref="AD81">
    <cfRule type="cellIs" dxfId="1871" priority="1889" operator="equal">
      <formula>"Catastrófico"</formula>
    </cfRule>
    <cfRule type="cellIs" dxfId="1870" priority="1890" operator="equal">
      <formula>"Mayor"</formula>
    </cfRule>
    <cfRule type="cellIs" dxfId="1869" priority="1891" operator="equal">
      <formula>"Moderado"</formula>
    </cfRule>
    <cfRule type="cellIs" dxfId="1868" priority="1892" operator="equal">
      <formula>"Menor"</formula>
    </cfRule>
    <cfRule type="cellIs" dxfId="1867" priority="1893" operator="equal">
      <formula>"Leve"</formula>
    </cfRule>
  </conditionalFormatting>
  <conditionalFormatting sqref="AF81">
    <cfRule type="cellIs" dxfId="1866" priority="1885" operator="equal">
      <formula>"Extremo"</formula>
    </cfRule>
    <cfRule type="cellIs" dxfId="1865" priority="1886" operator="equal">
      <formula>"Alto"</formula>
    </cfRule>
    <cfRule type="cellIs" dxfId="1864" priority="1887" operator="equal">
      <formula>"Moderado"</formula>
    </cfRule>
    <cfRule type="cellIs" dxfId="1863" priority="1888" operator="equal">
      <formula>"Bajo"</formula>
    </cfRule>
  </conditionalFormatting>
  <conditionalFormatting sqref="AB83">
    <cfRule type="cellIs" dxfId="1862" priority="1880" operator="equal">
      <formula>"Muy Alta"</formula>
    </cfRule>
    <cfRule type="cellIs" dxfId="1861" priority="1881" operator="equal">
      <formula>"Alta"</formula>
    </cfRule>
    <cfRule type="cellIs" dxfId="1860" priority="1882" operator="equal">
      <formula>"Media"</formula>
    </cfRule>
    <cfRule type="cellIs" dxfId="1859" priority="1883" operator="equal">
      <formula>"Baja"</formula>
    </cfRule>
    <cfRule type="cellIs" dxfId="1858" priority="1884" operator="equal">
      <formula>"Muy Baja"</formula>
    </cfRule>
  </conditionalFormatting>
  <conditionalFormatting sqref="AD83">
    <cfRule type="cellIs" dxfId="1857" priority="1875" operator="equal">
      <formula>"Catastrófico"</formula>
    </cfRule>
    <cfRule type="cellIs" dxfId="1856" priority="1876" operator="equal">
      <formula>"Mayor"</formula>
    </cfRule>
    <cfRule type="cellIs" dxfId="1855" priority="1877" operator="equal">
      <formula>"Moderado"</formula>
    </cfRule>
    <cfRule type="cellIs" dxfId="1854" priority="1878" operator="equal">
      <formula>"Menor"</formula>
    </cfRule>
    <cfRule type="cellIs" dxfId="1853" priority="1879" operator="equal">
      <formula>"Leve"</formula>
    </cfRule>
  </conditionalFormatting>
  <conditionalFormatting sqref="AF83">
    <cfRule type="cellIs" dxfId="1852" priority="1871" operator="equal">
      <formula>"Extremo"</formula>
    </cfRule>
    <cfRule type="cellIs" dxfId="1851" priority="1872" operator="equal">
      <formula>"Alto"</formula>
    </cfRule>
    <cfRule type="cellIs" dxfId="1850" priority="1873" operator="equal">
      <formula>"Moderado"</formula>
    </cfRule>
    <cfRule type="cellIs" dxfId="1849" priority="1874" operator="equal">
      <formula>"Bajo"</formula>
    </cfRule>
  </conditionalFormatting>
  <conditionalFormatting sqref="AB84">
    <cfRule type="cellIs" dxfId="1848" priority="1866" operator="equal">
      <formula>"Muy Alta"</formula>
    </cfRule>
    <cfRule type="cellIs" dxfId="1847" priority="1867" operator="equal">
      <formula>"Alta"</formula>
    </cfRule>
    <cfRule type="cellIs" dxfId="1846" priority="1868" operator="equal">
      <formula>"Media"</formula>
    </cfRule>
    <cfRule type="cellIs" dxfId="1845" priority="1869" operator="equal">
      <formula>"Baja"</formula>
    </cfRule>
    <cfRule type="cellIs" dxfId="1844" priority="1870" operator="equal">
      <formula>"Muy Baja"</formula>
    </cfRule>
  </conditionalFormatting>
  <conditionalFormatting sqref="AD84">
    <cfRule type="cellIs" dxfId="1843" priority="1861" operator="equal">
      <formula>"Catastrófico"</formula>
    </cfRule>
    <cfRule type="cellIs" dxfId="1842" priority="1862" operator="equal">
      <formula>"Mayor"</formula>
    </cfRule>
    <cfRule type="cellIs" dxfId="1841" priority="1863" operator="equal">
      <formula>"Moderado"</formula>
    </cfRule>
    <cfRule type="cellIs" dxfId="1840" priority="1864" operator="equal">
      <formula>"Menor"</formula>
    </cfRule>
    <cfRule type="cellIs" dxfId="1839" priority="1865" operator="equal">
      <formula>"Leve"</formula>
    </cfRule>
  </conditionalFormatting>
  <conditionalFormatting sqref="AF84">
    <cfRule type="cellIs" dxfId="1838" priority="1857" operator="equal">
      <formula>"Extremo"</formula>
    </cfRule>
    <cfRule type="cellIs" dxfId="1837" priority="1858" operator="equal">
      <formula>"Alto"</formula>
    </cfRule>
    <cfRule type="cellIs" dxfId="1836" priority="1859" operator="equal">
      <formula>"Moderado"</formula>
    </cfRule>
    <cfRule type="cellIs" dxfId="1835" priority="1860" operator="equal">
      <formula>"Bajo"</formula>
    </cfRule>
  </conditionalFormatting>
  <conditionalFormatting sqref="AB86">
    <cfRule type="cellIs" dxfId="1834" priority="1852" operator="equal">
      <formula>"Muy Alta"</formula>
    </cfRule>
    <cfRule type="cellIs" dxfId="1833" priority="1853" operator="equal">
      <formula>"Alta"</formula>
    </cfRule>
    <cfRule type="cellIs" dxfId="1832" priority="1854" operator="equal">
      <formula>"Media"</formula>
    </cfRule>
    <cfRule type="cellIs" dxfId="1831" priority="1855" operator="equal">
      <formula>"Baja"</formula>
    </cfRule>
    <cfRule type="cellIs" dxfId="1830" priority="1856" operator="equal">
      <formula>"Muy Baja"</formula>
    </cfRule>
  </conditionalFormatting>
  <conditionalFormatting sqref="AD86">
    <cfRule type="cellIs" dxfId="1829" priority="1847" operator="equal">
      <formula>"Catastrófico"</formula>
    </cfRule>
    <cfRule type="cellIs" dxfId="1828" priority="1848" operator="equal">
      <formula>"Mayor"</formula>
    </cfRule>
    <cfRule type="cellIs" dxfId="1827" priority="1849" operator="equal">
      <formula>"Moderado"</formula>
    </cfRule>
    <cfRule type="cellIs" dxfId="1826" priority="1850" operator="equal">
      <formula>"Menor"</formula>
    </cfRule>
    <cfRule type="cellIs" dxfId="1825" priority="1851" operator="equal">
      <formula>"Leve"</formula>
    </cfRule>
  </conditionalFormatting>
  <conditionalFormatting sqref="AF86">
    <cfRule type="cellIs" dxfId="1824" priority="1843" operator="equal">
      <formula>"Extremo"</formula>
    </cfRule>
    <cfRule type="cellIs" dxfId="1823" priority="1844" operator="equal">
      <formula>"Alto"</formula>
    </cfRule>
    <cfRule type="cellIs" dxfId="1822" priority="1845" operator="equal">
      <formula>"Moderado"</formula>
    </cfRule>
    <cfRule type="cellIs" dxfId="1821" priority="1846" operator="equal">
      <formula>"Bajo"</formula>
    </cfRule>
  </conditionalFormatting>
  <conditionalFormatting sqref="AB87">
    <cfRule type="cellIs" dxfId="1820" priority="1838" operator="equal">
      <formula>"Muy Alta"</formula>
    </cfRule>
    <cfRule type="cellIs" dxfId="1819" priority="1839" operator="equal">
      <formula>"Alta"</formula>
    </cfRule>
    <cfRule type="cellIs" dxfId="1818" priority="1840" operator="equal">
      <formula>"Media"</formula>
    </cfRule>
    <cfRule type="cellIs" dxfId="1817" priority="1841" operator="equal">
      <formula>"Baja"</formula>
    </cfRule>
    <cfRule type="cellIs" dxfId="1816" priority="1842" operator="equal">
      <formula>"Muy Baja"</formula>
    </cfRule>
  </conditionalFormatting>
  <conditionalFormatting sqref="AD87">
    <cfRule type="cellIs" dxfId="1815" priority="1833" operator="equal">
      <formula>"Catastrófico"</formula>
    </cfRule>
    <cfRule type="cellIs" dxfId="1814" priority="1834" operator="equal">
      <formula>"Mayor"</formula>
    </cfRule>
    <cfRule type="cellIs" dxfId="1813" priority="1835" operator="equal">
      <formula>"Moderado"</formula>
    </cfRule>
    <cfRule type="cellIs" dxfId="1812" priority="1836" operator="equal">
      <formula>"Menor"</formula>
    </cfRule>
    <cfRule type="cellIs" dxfId="1811" priority="1837" operator="equal">
      <formula>"Leve"</formula>
    </cfRule>
  </conditionalFormatting>
  <conditionalFormatting sqref="AF87">
    <cfRule type="cellIs" dxfId="1810" priority="1829" operator="equal">
      <formula>"Extremo"</formula>
    </cfRule>
    <cfRule type="cellIs" dxfId="1809" priority="1830" operator="equal">
      <formula>"Alto"</formula>
    </cfRule>
    <cfRule type="cellIs" dxfId="1808" priority="1831" operator="equal">
      <formula>"Moderado"</formula>
    </cfRule>
    <cfRule type="cellIs" dxfId="1807" priority="1832" operator="equal">
      <formula>"Bajo"</formula>
    </cfRule>
  </conditionalFormatting>
  <conditionalFormatting sqref="AB89">
    <cfRule type="cellIs" dxfId="1806" priority="1824" operator="equal">
      <formula>"Muy Alta"</formula>
    </cfRule>
    <cfRule type="cellIs" dxfId="1805" priority="1825" operator="equal">
      <formula>"Alta"</formula>
    </cfRule>
    <cfRule type="cellIs" dxfId="1804" priority="1826" operator="equal">
      <formula>"Media"</formula>
    </cfRule>
    <cfRule type="cellIs" dxfId="1803" priority="1827" operator="equal">
      <formula>"Baja"</formula>
    </cfRule>
    <cfRule type="cellIs" dxfId="1802" priority="1828" operator="equal">
      <formula>"Muy Baja"</formula>
    </cfRule>
  </conditionalFormatting>
  <conditionalFormatting sqref="AD89">
    <cfRule type="cellIs" dxfId="1801" priority="1819" operator="equal">
      <formula>"Catastrófico"</formula>
    </cfRule>
    <cfRule type="cellIs" dxfId="1800" priority="1820" operator="equal">
      <formula>"Mayor"</formula>
    </cfRule>
    <cfRule type="cellIs" dxfId="1799" priority="1821" operator="equal">
      <formula>"Moderado"</formula>
    </cfRule>
    <cfRule type="cellIs" dxfId="1798" priority="1822" operator="equal">
      <formula>"Menor"</formula>
    </cfRule>
    <cfRule type="cellIs" dxfId="1797" priority="1823" operator="equal">
      <formula>"Leve"</formula>
    </cfRule>
  </conditionalFormatting>
  <conditionalFormatting sqref="AF89">
    <cfRule type="cellIs" dxfId="1796" priority="1815" operator="equal">
      <formula>"Extremo"</formula>
    </cfRule>
    <cfRule type="cellIs" dxfId="1795" priority="1816" operator="equal">
      <formula>"Alto"</formula>
    </cfRule>
    <cfRule type="cellIs" dxfId="1794" priority="1817" operator="equal">
      <formula>"Moderado"</formula>
    </cfRule>
    <cfRule type="cellIs" dxfId="1793" priority="1818" operator="equal">
      <formula>"Bajo"</formula>
    </cfRule>
  </conditionalFormatting>
  <conditionalFormatting sqref="AB91">
    <cfRule type="cellIs" dxfId="1792" priority="1810" operator="equal">
      <formula>"Muy Alta"</formula>
    </cfRule>
    <cfRule type="cellIs" dxfId="1791" priority="1811" operator="equal">
      <formula>"Alta"</formula>
    </cfRule>
    <cfRule type="cellIs" dxfId="1790" priority="1812" operator="equal">
      <formula>"Media"</formula>
    </cfRule>
    <cfRule type="cellIs" dxfId="1789" priority="1813" operator="equal">
      <formula>"Baja"</formula>
    </cfRule>
    <cfRule type="cellIs" dxfId="1788" priority="1814" operator="equal">
      <formula>"Muy Baja"</formula>
    </cfRule>
  </conditionalFormatting>
  <conditionalFormatting sqref="AD91">
    <cfRule type="cellIs" dxfId="1787" priority="1805" operator="equal">
      <formula>"Catastrófico"</formula>
    </cfRule>
    <cfRule type="cellIs" dxfId="1786" priority="1806" operator="equal">
      <formula>"Mayor"</formula>
    </cfRule>
    <cfRule type="cellIs" dxfId="1785" priority="1807" operator="equal">
      <formula>"Moderado"</formula>
    </cfRule>
    <cfRule type="cellIs" dxfId="1784" priority="1808" operator="equal">
      <formula>"Menor"</formula>
    </cfRule>
    <cfRule type="cellIs" dxfId="1783" priority="1809" operator="equal">
      <formula>"Leve"</formula>
    </cfRule>
  </conditionalFormatting>
  <conditionalFormatting sqref="AF91">
    <cfRule type="cellIs" dxfId="1782" priority="1801" operator="equal">
      <formula>"Extremo"</formula>
    </cfRule>
    <cfRule type="cellIs" dxfId="1781" priority="1802" operator="equal">
      <formula>"Alto"</formula>
    </cfRule>
    <cfRule type="cellIs" dxfId="1780" priority="1803" operator="equal">
      <formula>"Moderado"</formula>
    </cfRule>
    <cfRule type="cellIs" dxfId="1779" priority="1804" operator="equal">
      <formula>"Bajo"</formula>
    </cfRule>
  </conditionalFormatting>
  <conditionalFormatting sqref="AB90">
    <cfRule type="cellIs" dxfId="1778" priority="1796" operator="equal">
      <formula>"Muy Alta"</formula>
    </cfRule>
    <cfRule type="cellIs" dxfId="1777" priority="1797" operator="equal">
      <formula>"Alta"</formula>
    </cfRule>
    <cfRule type="cellIs" dxfId="1776" priority="1798" operator="equal">
      <formula>"Media"</formula>
    </cfRule>
    <cfRule type="cellIs" dxfId="1775" priority="1799" operator="equal">
      <formula>"Baja"</formula>
    </cfRule>
    <cfRule type="cellIs" dxfId="1774" priority="1800" operator="equal">
      <formula>"Muy Baja"</formula>
    </cfRule>
  </conditionalFormatting>
  <conditionalFormatting sqref="AD90">
    <cfRule type="cellIs" dxfId="1773" priority="1791" operator="equal">
      <formula>"Catastrófico"</formula>
    </cfRule>
    <cfRule type="cellIs" dxfId="1772" priority="1792" operator="equal">
      <formula>"Mayor"</formula>
    </cfRule>
    <cfRule type="cellIs" dxfId="1771" priority="1793" operator="equal">
      <formula>"Moderado"</formula>
    </cfRule>
    <cfRule type="cellIs" dxfId="1770" priority="1794" operator="equal">
      <formula>"Menor"</formula>
    </cfRule>
    <cfRule type="cellIs" dxfId="1769" priority="1795" operator="equal">
      <formula>"Leve"</formula>
    </cfRule>
  </conditionalFormatting>
  <conditionalFormatting sqref="AF90">
    <cfRule type="cellIs" dxfId="1768" priority="1787" operator="equal">
      <formula>"Extremo"</formula>
    </cfRule>
    <cfRule type="cellIs" dxfId="1767" priority="1788" operator="equal">
      <formula>"Alto"</formula>
    </cfRule>
    <cfRule type="cellIs" dxfId="1766" priority="1789" operator="equal">
      <formula>"Moderado"</formula>
    </cfRule>
    <cfRule type="cellIs" dxfId="1765" priority="1790" operator="equal">
      <formula>"Bajo"</formula>
    </cfRule>
  </conditionalFormatting>
  <conditionalFormatting sqref="AB92">
    <cfRule type="cellIs" dxfId="1764" priority="1782" operator="equal">
      <formula>"Muy Alta"</formula>
    </cfRule>
    <cfRule type="cellIs" dxfId="1763" priority="1783" operator="equal">
      <formula>"Alta"</formula>
    </cfRule>
    <cfRule type="cellIs" dxfId="1762" priority="1784" operator="equal">
      <formula>"Media"</formula>
    </cfRule>
    <cfRule type="cellIs" dxfId="1761" priority="1785" operator="equal">
      <formula>"Baja"</formula>
    </cfRule>
    <cfRule type="cellIs" dxfId="1760" priority="1786" operator="equal">
      <formula>"Muy Baja"</formula>
    </cfRule>
  </conditionalFormatting>
  <conditionalFormatting sqref="AD92">
    <cfRule type="cellIs" dxfId="1759" priority="1777" operator="equal">
      <formula>"Catastrófico"</formula>
    </cfRule>
    <cfRule type="cellIs" dxfId="1758" priority="1778" operator="equal">
      <formula>"Mayor"</formula>
    </cfRule>
    <cfRule type="cellIs" dxfId="1757" priority="1779" operator="equal">
      <formula>"Moderado"</formula>
    </cfRule>
    <cfRule type="cellIs" dxfId="1756" priority="1780" operator="equal">
      <formula>"Menor"</formula>
    </cfRule>
    <cfRule type="cellIs" dxfId="1755" priority="1781" operator="equal">
      <formula>"Leve"</formula>
    </cfRule>
  </conditionalFormatting>
  <conditionalFormatting sqref="AF92">
    <cfRule type="cellIs" dxfId="1754" priority="1773" operator="equal">
      <formula>"Extremo"</formula>
    </cfRule>
    <cfRule type="cellIs" dxfId="1753" priority="1774" operator="equal">
      <formula>"Alto"</formula>
    </cfRule>
    <cfRule type="cellIs" dxfId="1752" priority="1775" operator="equal">
      <formula>"Moderado"</formula>
    </cfRule>
    <cfRule type="cellIs" dxfId="1751" priority="1776" operator="equal">
      <formula>"Bajo"</formula>
    </cfRule>
  </conditionalFormatting>
  <conditionalFormatting sqref="AB93">
    <cfRule type="cellIs" dxfId="1750" priority="1768" operator="equal">
      <formula>"Muy Alta"</formula>
    </cfRule>
    <cfRule type="cellIs" dxfId="1749" priority="1769" operator="equal">
      <formula>"Alta"</formula>
    </cfRule>
    <cfRule type="cellIs" dxfId="1748" priority="1770" operator="equal">
      <formula>"Media"</formula>
    </cfRule>
    <cfRule type="cellIs" dxfId="1747" priority="1771" operator="equal">
      <formula>"Baja"</formula>
    </cfRule>
    <cfRule type="cellIs" dxfId="1746" priority="1772" operator="equal">
      <formula>"Muy Baja"</formula>
    </cfRule>
  </conditionalFormatting>
  <conditionalFormatting sqref="AD93">
    <cfRule type="cellIs" dxfId="1745" priority="1763" operator="equal">
      <formula>"Catastrófico"</formula>
    </cfRule>
    <cfRule type="cellIs" dxfId="1744" priority="1764" operator="equal">
      <formula>"Mayor"</formula>
    </cfRule>
    <cfRule type="cellIs" dxfId="1743" priority="1765" operator="equal">
      <formula>"Moderado"</formula>
    </cfRule>
    <cfRule type="cellIs" dxfId="1742" priority="1766" operator="equal">
      <formula>"Menor"</formula>
    </cfRule>
    <cfRule type="cellIs" dxfId="1741" priority="1767" operator="equal">
      <formula>"Leve"</formula>
    </cfRule>
  </conditionalFormatting>
  <conditionalFormatting sqref="AF93">
    <cfRule type="cellIs" dxfId="1740" priority="1759" operator="equal">
      <formula>"Extremo"</formula>
    </cfRule>
    <cfRule type="cellIs" dxfId="1739" priority="1760" operator="equal">
      <formula>"Alto"</formula>
    </cfRule>
    <cfRule type="cellIs" dxfId="1738" priority="1761" operator="equal">
      <formula>"Moderado"</formula>
    </cfRule>
    <cfRule type="cellIs" dxfId="1737" priority="1762" operator="equal">
      <formula>"Bajo"</formula>
    </cfRule>
  </conditionalFormatting>
  <conditionalFormatting sqref="AB95">
    <cfRule type="cellIs" dxfId="1736" priority="1754" operator="equal">
      <formula>"Muy Alta"</formula>
    </cfRule>
    <cfRule type="cellIs" dxfId="1735" priority="1755" operator="equal">
      <formula>"Alta"</formula>
    </cfRule>
    <cfRule type="cellIs" dxfId="1734" priority="1756" operator="equal">
      <formula>"Media"</formula>
    </cfRule>
    <cfRule type="cellIs" dxfId="1733" priority="1757" operator="equal">
      <formula>"Baja"</formula>
    </cfRule>
    <cfRule type="cellIs" dxfId="1732" priority="1758" operator="equal">
      <formula>"Muy Baja"</formula>
    </cfRule>
  </conditionalFormatting>
  <conditionalFormatting sqref="AD95">
    <cfRule type="cellIs" dxfId="1731" priority="1749" operator="equal">
      <formula>"Catastrófico"</formula>
    </cfRule>
    <cfRule type="cellIs" dxfId="1730" priority="1750" operator="equal">
      <formula>"Mayor"</formula>
    </cfRule>
    <cfRule type="cellIs" dxfId="1729" priority="1751" operator="equal">
      <formula>"Moderado"</formula>
    </cfRule>
    <cfRule type="cellIs" dxfId="1728" priority="1752" operator="equal">
      <formula>"Menor"</formula>
    </cfRule>
    <cfRule type="cellIs" dxfId="1727" priority="1753" operator="equal">
      <formula>"Leve"</formula>
    </cfRule>
  </conditionalFormatting>
  <conditionalFormatting sqref="AF95">
    <cfRule type="cellIs" dxfId="1726" priority="1745" operator="equal">
      <formula>"Extremo"</formula>
    </cfRule>
    <cfRule type="cellIs" dxfId="1725" priority="1746" operator="equal">
      <formula>"Alto"</formula>
    </cfRule>
    <cfRule type="cellIs" dxfId="1724" priority="1747" operator="equal">
      <formula>"Moderado"</formula>
    </cfRule>
    <cfRule type="cellIs" dxfId="1723" priority="1748" operator="equal">
      <formula>"Bajo"</formula>
    </cfRule>
  </conditionalFormatting>
  <conditionalFormatting sqref="AB96">
    <cfRule type="cellIs" dxfId="1722" priority="1740" operator="equal">
      <formula>"Muy Alta"</formula>
    </cfRule>
    <cfRule type="cellIs" dxfId="1721" priority="1741" operator="equal">
      <formula>"Alta"</formula>
    </cfRule>
    <cfRule type="cellIs" dxfId="1720" priority="1742" operator="equal">
      <formula>"Media"</formula>
    </cfRule>
    <cfRule type="cellIs" dxfId="1719" priority="1743" operator="equal">
      <formula>"Baja"</formula>
    </cfRule>
    <cfRule type="cellIs" dxfId="1718" priority="1744" operator="equal">
      <formula>"Muy Baja"</formula>
    </cfRule>
  </conditionalFormatting>
  <conditionalFormatting sqref="AD96">
    <cfRule type="cellIs" dxfId="1717" priority="1735" operator="equal">
      <formula>"Catastrófico"</formula>
    </cfRule>
    <cfRule type="cellIs" dxfId="1716" priority="1736" operator="equal">
      <formula>"Mayor"</formula>
    </cfRule>
    <cfRule type="cellIs" dxfId="1715" priority="1737" operator="equal">
      <formula>"Moderado"</formula>
    </cfRule>
    <cfRule type="cellIs" dxfId="1714" priority="1738" operator="equal">
      <formula>"Menor"</formula>
    </cfRule>
    <cfRule type="cellIs" dxfId="1713" priority="1739" operator="equal">
      <formula>"Leve"</formula>
    </cfRule>
  </conditionalFormatting>
  <conditionalFormatting sqref="AF96">
    <cfRule type="cellIs" dxfId="1712" priority="1731" operator="equal">
      <formula>"Extremo"</formula>
    </cfRule>
    <cfRule type="cellIs" dxfId="1711" priority="1732" operator="equal">
      <formula>"Alto"</formula>
    </cfRule>
    <cfRule type="cellIs" dxfId="1710" priority="1733" operator="equal">
      <formula>"Moderado"</formula>
    </cfRule>
    <cfRule type="cellIs" dxfId="1709" priority="1734" operator="equal">
      <formula>"Bajo"</formula>
    </cfRule>
  </conditionalFormatting>
  <conditionalFormatting sqref="AB97">
    <cfRule type="cellIs" dxfId="1708" priority="1726" operator="equal">
      <formula>"Muy Alta"</formula>
    </cfRule>
    <cfRule type="cellIs" dxfId="1707" priority="1727" operator="equal">
      <formula>"Alta"</formula>
    </cfRule>
    <cfRule type="cellIs" dxfId="1706" priority="1728" operator="equal">
      <formula>"Media"</formula>
    </cfRule>
    <cfRule type="cellIs" dxfId="1705" priority="1729" operator="equal">
      <formula>"Baja"</formula>
    </cfRule>
    <cfRule type="cellIs" dxfId="1704" priority="1730" operator="equal">
      <formula>"Muy Baja"</formula>
    </cfRule>
  </conditionalFormatting>
  <conditionalFormatting sqref="AD97">
    <cfRule type="cellIs" dxfId="1703" priority="1721" operator="equal">
      <formula>"Catastrófico"</formula>
    </cfRule>
    <cfRule type="cellIs" dxfId="1702" priority="1722" operator="equal">
      <formula>"Mayor"</formula>
    </cfRule>
    <cfRule type="cellIs" dxfId="1701" priority="1723" operator="equal">
      <formula>"Moderado"</formula>
    </cfRule>
    <cfRule type="cellIs" dxfId="1700" priority="1724" operator="equal">
      <formula>"Menor"</formula>
    </cfRule>
    <cfRule type="cellIs" dxfId="1699" priority="1725" operator="equal">
      <formula>"Leve"</formula>
    </cfRule>
  </conditionalFormatting>
  <conditionalFormatting sqref="AF97">
    <cfRule type="cellIs" dxfId="1698" priority="1717" operator="equal">
      <formula>"Extremo"</formula>
    </cfRule>
    <cfRule type="cellIs" dxfId="1697" priority="1718" operator="equal">
      <formula>"Alto"</formula>
    </cfRule>
    <cfRule type="cellIs" dxfId="1696" priority="1719" operator="equal">
      <formula>"Moderado"</formula>
    </cfRule>
    <cfRule type="cellIs" dxfId="1695" priority="1720" operator="equal">
      <formula>"Bajo"</formula>
    </cfRule>
  </conditionalFormatting>
  <conditionalFormatting sqref="AB100">
    <cfRule type="cellIs" dxfId="1694" priority="1712" operator="equal">
      <formula>"Muy Alta"</formula>
    </cfRule>
    <cfRule type="cellIs" dxfId="1693" priority="1713" operator="equal">
      <formula>"Alta"</formula>
    </cfRule>
    <cfRule type="cellIs" dxfId="1692" priority="1714" operator="equal">
      <formula>"Media"</formula>
    </cfRule>
    <cfRule type="cellIs" dxfId="1691" priority="1715" operator="equal">
      <formula>"Baja"</formula>
    </cfRule>
    <cfRule type="cellIs" dxfId="1690" priority="1716" operator="equal">
      <formula>"Muy Baja"</formula>
    </cfRule>
  </conditionalFormatting>
  <conditionalFormatting sqref="AD100">
    <cfRule type="cellIs" dxfId="1689" priority="1707" operator="equal">
      <formula>"Catastrófico"</formula>
    </cfRule>
    <cfRule type="cellIs" dxfId="1688" priority="1708" operator="equal">
      <formula>"Mayor"</formula>
    </cfRule>
    <cfRule type="cellIs" dxfId="1687" priority="1709" operator="equal">
      <formula>"Moderado"</formula>
    </cfRule>
    <cfRule type="cellIs" dxfId="1686" priority="1710" operator="equal">
      <formula>"Menor"</formula>
    </cfRule>
    <cfRule type="cellIs" dxfId="1685" priority="1711" operator="equal">
      <formula>"Leve"</formula>
    </cfRule>
  </conditionalFormatting>
  <conditionalFormatting sqref="AF100">
    <cfRule type="cellIs" dxfId="1684" priority="1703" operator="equal">
      <formula>"Extremo"</formula>
    </cfRule>
    <cfRule type="cellIs" dxfId="1683" priority="1704" operator="equal">
      <formula>"Alto"</formula>
    </cfRule>
    <cfRule type="cellIs" dxfId="1682" priority="1705" operator="equal">
      <formula>"Moderado"</formula>
    </cfRule>
    <cfRule type="cellIs" dxfId="1681" priority="1706" operator="equal">
      <formula>"Bajo"</formula>
    </cfRule>
  </conditionalFormatting>
  <conditionalFormatting sqref="AB98">
    <cfRule type="cellIs" dxfId="1680" priority="1698" operator="equal">
      <formula>"Muy Alta"</formula>
    </cfRule>
    <cfRule type="cellIs" dxfId="1679" priority="1699" operator="equal">
      <formula>"Alta"</formula>
    </cfRule>
    <cfRule type="cellIs" dxfId="1678" priority="1700" operator="equal">
      <formula>"Media"</formula>
    </cfRule>
    <cfRule type="cellIs" dxfId="1677" priority="1701" operator="equal">
      <formula>"Baja"</formula>
    </cfRule>
    <cfRule type="cellIs" dxfId="1676" priority="1702" operator="equal">
      <formula>"Muy Baja"</formula>
    </cfRule>
  </conditionalFormatting>
  <conditionalFormatting sqref="AD98">
    <cfRule type="cellIs" dxfId="1675" priority="1693" operator="equal">
      <formula>"Catastrófico"</formula>
    </cfRule>
    <cfRule type="cellIs" dxfId="1674" priority="1694" operator="equal">
      <formula>"Mayor"</formula>
    </cfRule>
    <cfRule type="cellIs" dxfId="1673" priority="1695" operator="equal">
      <formula>"Moderado"</formula>
    </cfRule>
    <cfRule type="cellIs" dxfId="1672" priority="1696" operator="equal">
      <formula>"Menor"</formula>
    </cfRule>
    <cfRule type="cellIs" dxfId="1671" priority="1697" operator="equal">
      <formula>"Leve"</formula>
    </cfRule>
  </conditionalFormatting>
  <conditionalFormatting sqref="AF98">
    <cfRule type="cellIs" dxfId="1670" priority="1689" operator="equal">
      <formula>"Extremo"</formula>
    </cfRule>
    <cfRule type="cellIs" dxfId="1669" priority="1690" operator="equal">
      <formula>"Alto"</formula>
    </cfRule>
    <cfRule type="cellIs" dxfId="1668" priority="1691" operator="equal">
      <formula>"Moderado"</formula>
    </cfRule>
    <cfRule type="cellIs" dxfId="1667" priority="1692" operator="equal">
      <formula>"Bajo"</formula>
    </cfRule>
  </conditionalFormatting>
  <conditionalFormatting sqref="AB99">
    <cfRule type="cellIs" dxfId="1666" priority="1684" operator="equal">
      <formula>"Muy Alta"</formula>
    </cfRule>
    <cfRule type="cellIs" dxfId="1665" priority="1685" operator="equal">
      <formula>"Alta"</formula>
    </cfRule>
    <cfRule type="cellIs" dxfId="1664" priority="1686" operator="equal">
      <formula>"Media"</formula>
    </cfRule>
    <cfRule type="cellIs" dxfId="1663" priority="1687" operator="equal">
      <formula>"Baja"</formula>
    </cfRule>
    <cfRule type="cellIs" dxfId="1662" priority="1688" operator="equal">
      <formula>"Muy Baja"</formula>
    </cfRule>
  </conditionalFormatting>
  <conditionalFormatting sqref="AD99">
    <cfRule type="cellIs" dxfId="1661" priority="1679" operator="equal">
      <formula>"Catastrófico"</formula>
    </cfRule>
    <cfRule type="cellIs" dxfId="1660" priority="1680" operator="equal">
      <formula>"Mayor"</formula>
    </cfRule>
    <cfRule type="cellIs" dxfId="1659" priority="1681" operator="equal">
      <formula>"Moderado"</formula>
    </cfRule>
    <cfRule type="cellIs" dxfId="1658" priority="1682" operator="equal">
      <formula>"Menor"</formula>
    </cfRule>
    <cfRule type="cellIs" dxfId="1657" priority="1683" operator="equal">
      <formula>"Leve"</formula>
    </cfRule>
  </conditionalFormatting>
  <conditionalFormatting sqref="AF99">
    <cfRule type="cellIs" dxfId="1656" priority="1675" operator="equal">
      <formula>"Extremo"</formula>
    </cfRule>
    <cfRule type="cellIs" dxfId="1655" priority="1676" operator="equal">
      <formula>"Alto"</formula>
    </cfRule>
    <cfRule type="cellIs" dxfId="1654" priority="1677" operator="equal">
      <formula>"Moderado"</formula>
    </cfRule>
    <cfRule type="cellIs" dxfId="1653" priority="1678" operator="equal">
      <formula>"Bajo"</formula>
    </cfRule>
  </conditionalFormatting>
  <conditionalFormatting sqref="AB101">
    <cfRule type="cellIs" dxfId="1652" priority="1670" operator="equal">
      <formula>"Muy Alta"</formula>
    </cfRule>
    <cfRule type="cellIs" dxfId="1651" priority="1671" operator="equal">
      <formula>"Alta"</formula>
    </cfRule>
    <cfRule type="cellIs" dxfId="1650" priority="1672" operator="equal">
      <formula>"Media"</formula>
    </cfRule>
    <cfRule type="cellIs" dxfId="1649" priority="1673" operator="equal">
      <formula>"Baja"</formula>
    </cfRule>
    <cfRule type="cellIs" dxfId="1648" priority="1674" operator="equal">
      <formula>"Muy Baja"</formula>
    </cfRule>
  </conditionalFormatting>
  <conditionalFormatting sqref="AD101">
    <cfRule type="cellIs" dxfId="1647" priority="1665" operator="equal">
      <formula>"Catastrófico"</formula>
    </cfRule>
    <cfRule type="cellIs" dxfId="1646" priority="1666" operator="equal">
      <formula>"Mayor"</formula>
    </cfRule>
    <cfRule type="cellIs" dxfId="1645" priority="1667" operator="equal">
      <formula>"Moderado"</formula>
    </cfRule>
    <cfRule type="cellIs" dxfId="1644" priority="1668" operator="equal">
      <formula>"Menor"</formula>
    </cfRule>
    <cfRule type="cellIs" dxfId="1643" priority="1669" operator="equal">
      <formula>"Leve"</formula>
    </cfRule>
  </conditionalFormatting>
  <conditionalFormatting sqref="AF101">
    <cfRule type="cellIs" dxfId="1642" priority="1661" operator="equal">
      <formula>"Extremo"</formula>
    </cfRule>
    <cfRule type="cellIs" dxfId="1641" priority="1662" operator="equal">
      <formula>"Alto"</formula>
    </cfRule>
    <cfRule type="cellIs" dxfId="1640" priority="1663" operator="equal">
      <formula>"Moderado"</formula>
    </cfRule>
    <cfRule type="cellIs" dxfId="1639" priority="1664" operator="equal">
      <formula>"Bajo"</formula>
    </cfRule>
  </conditionalFormatting>
  <conditionalFormatting sqref="AB102">
    <cfRule type="cellIs" dxfId="1638" priority="1656" operator="equal">
      <formula>"Muy Alta"</formula>
    </cfRule>
    <cfRule type="cellIs" dxfId="1637" priority="1657" operator="equal">
      <formula>"Alta"</formula>
    </cfRule>
    <cfRule type="cellIs" dxfId="1636" priority="1658" operator="equal">
      <formula>"Media"</formula>
    </cfRule>
    <cfRule type="cellIs" dxfId="1635" priority="1659" operator="equal">
      <formula>"Baja"</formula>
    </cfRule>
    <cfRule type="cellIs" dxfId="1634" priority="1660" operator="equal">
      <formula>"Muy Baja"</formula>
    </cfRule>
  </conditionalFormatting>
  <conditionalFormatting sqref="AD102">
    <cfRule type="cellIs" dxfId="1633" priority="1651" operator="equal">
      <formula>"Catastrófico"</formula>
    </cfRule>
    <cfRule type="cellIs" dxfId="1632" priority="1652" operator="equal">
      <formula>"Mayor"</formula>
    </cfRule>
    <cfRule type="cellIs" dxfId="1631" priority="1653" operator="equal">
      <formula>"Moderado"</formula>
    </cfRule>
    <cfRule type="cellIs" dxfId="1630" priority="1654" operator="equal">
      <formula>"Menor"</formula>
    </cfRule>
    <cfRule type="cellIs" dxfId="1629" priority="1655" operator="equal">
      <formula>"Leve"</formula>
    </cfRule>
  </conditionalFormatting>
  <conditionalFormatting sqref="AF102">
    <cfRule type="cellIs" dxfId="1628" priority="1647" operator="equal">
      <formula>"Extremo"</formula>
    </cfRule>
    <cfRule type="cellIs" dxfId="1627" priority="1648" operator="equal">
      <formula>"Alto"</formula>
    </cfRule>
    <cfRule type="cellIs" dxfId="1626" priority="1649" operator="equal">
      <formula>"Moderado"</formula>
    </cfRule>
    <cfRule type="cellIs" dxfId="1625" priority="1650" operator="equal">
      <formula>"Bajo"</formula>
    </cfRule>
  </conditionalFormatting>
  <conditionalFormatting sqref="AB104">
    <cfRule type="cellIs" dxfId="1624" priority="1642" operator="equal">
      <formula>"Muy Alta"</formula>
    </cfRule>
    <cfRule type="cellIs" dxfId="1623" priority="1643" operator="equal">
      <formula>"Alta"</formula>
    </cfRule>
    <cfRule type="cellIs" dxfId="1622" priority="1644" operator="equal">
      <formula>"Media"</formula>
    </cfRule>
    <cfRule type="cellIs" dxfId="1621" priority="1645" operator="equal">
      <formula>"Baja"</formula>
    </cfRule>
    <cfRule type="cellIs" dxfId="1620" priority="1646" operator="equal">
      <formula>"Muy Baja"</formula>
    </cfRule>
  </conditionalFormatting>
  <conditionalFormatting sqref="AD104">
    <cfRule type="cellIs" dxfId="1619" priority="1637" operator="equal">
      <formula>"Catastrófico"</formula>
    </cfRule>
    <cfRule type="cellIs" dxfId="1618" priority="1638" operator="equal">
      <formula>"Mayor"</formula>
    </cfRule>
    <cfRule type="cellIs" dxfId="1617" priority="1639" operator="equal">
      <formula>"Moderado"</formula>
    </cfRule>
    <cfRule type="cellIs" dxfId="1616" priority="1640" operator="equal">
      <formula>"Menor"</formula>
    </cfRule>
    <cfRule type="cellIs" dxfId="1615" priority="1641" operator="equal">
      <formula>"Leve"</formula>
    </cfRule>
  </conditionalFormatting>
  <conditionalFormatting sqref="AF104">
    <cfRule type="cellIs" dxfId="1614" priority="1633" operator="equal">
      <formula>"Extremo"</formula>
    </cfRule>
    <cfRule type="cellIs" dxfId="1613" priority="1634" operator="equal">
      <formula>"Alto"</formula>
    </cfRule>
    <cfRule type="cellIs" dxfId="1612" priority="1635" operator="equal">
      <formula>"Moderado"</formula>
    </cfRule>
    <cfRule type="cellIs" dxfId="1611" priority="1636" operator="equal">
      <formula>"Bajo"</formula>
    </cfRule>
  </conditionalFormatting>
  <conditionalFormatting sqref="AB105">
    <cfRule type="cellIs" dxfId="1610" priority="1628" operator="equal">
      <formula>"Muy Alta"</formula>
    </cfRule>
    <cfRule type="cellIs" dxfId="1609" priority="1629" operator="equal">
      <formula>"Alta"</formula>
    </cfRule>
    <cfRule type="cellIs" dxfId="1608" priority="1630" operator="equal">
      <formula>"Media"</formula>
    </cfRule>
    <cfRule type="cellIs" dxfId="1607" priority="1631" operator="equal">
      <formula>"Baja"</formula>
    </cfRule>
    <cfRule type="cellIs" dxfId="1606" priority="1632" operator="equal">
      <formula>"Muy Baja"</formula>
    </cfRule>
  </conditionalFormatting>
  <conditionalFormatting sqref="AD105">
    <cfRule type="cellIs" dxfId="1605" priority="1623" operator="equal">
      <formula>"Catastrófico"</formula>
    </cfRule>
    <cfRule type="cellIs" dxfId="1604" priority="1624" operator="equal">
      <formula>"Mayor"</formula>
    </cfRule>
    <cfRule type="cellIs" dxfId="1603" priority="1625" operator="equal">
      <formula>"Moderado"</formula>
    </cfRule>
    <cfRule type="cellIs" dxfId="1602" priority="1626" operator="equal">
      <formula>"Menor"</formula>
    </cfRule>
    <cfRule type="cellIs" dxfId="1601" priority="1627" operator="equal">
      <formula>"Leve"</formula>
    </cfRule>
  </conditionalFormatting>
  <conditionalFormatting sqref="AF105">
    <cfRule type="cellIs" dxfId="1600" priority="1619" operator="equal">
      <formula>"Extremo"</formula>
    </cfRule>
    <cfRule type="cellIs" dxfId="1599" priority="1620" operator="equal">
      <formula>"Alto"</formula>
    </cfRule>
    <cfRule type="cellIs" dxfId="1598" priority="1621" operator="equal">
      <formula>"Moderado"</formula>
    </cfRule>
    <cfRule type="cellIs" dxfId="1597" priority="1622" operator="equal">
      <formula>"Bajo"</formula>
    </cfRule>
  </conditionalFormatting>
  <conditionalFormatting sqref="AB121">
    <cfRule type="cellIs" dxfId="1596" priority="1614" operator="equal">
      <formula>"Muy Alta"</formula>
    </cfRule>
    <cfRule type="cellIs" dxfId="1595" priority="1615" operator="equal">
      <formula>"Alta"</formula>
    </cfRule>
    <cfRule type="cellIs" dxfId="1594" priority="1616" operator="equal">
      <formula>"Media"</formula>
    </cfRule>
    <cfRule type="cellIs" dxfId="1593" priority="1617" operator="equal">
      <formula>"Baja"</formula>
    </cfRule>
    <cfRule type="cellIs" dxfId="1592" priority="1618" operator="equal">
      <formula>"Muy Baja"</formula>
    </cfRule>
  </conditionalFormatting>
  <conditionalFormatting sqref="AD121">
    <cfRule type="cellIs" dxfId="1591" priority="1609" operator="equal">
      <formula>"Catastrófico"</formula>
    </cfRule>
    <cfRule type="cellIs" dxfId="1590" priority="1610" operator="equal">
      <formula>"Mayor"</formula>
    </cfRule>
    <cfRule type="cellIs" dxfId="1589" priority="1611" operator="equal">
      <formula>"Moderado"</formula>
    </cfRule>
    <cfRule type="cellIs" dxfId="1588" priority="1612" operator="equal">
      <formula>"Menor"</formula>
    </cfRule>
    <cfRule type="cellIs" dxfId="1587" priority="1613" operator="equal">
      <formula>"Leve"</formula>
    </cfRule>
  </conditionalFormatting>
  <conditionalFormatting sqref="AF121">
    <cfRule type="cellIs" dxfId="1586" priority="1605" operator="equal">
      <formula>"Extremo"</formula>
    </cfRule>
    <cfRule type="cellIs" dxfId="1585" priority="1606" operator="equal">
      <formula>"Alto"</formula>
    </cfRule>
    <cfRule type="cellIs" dxfId="1584" priority="1607" operator="equal">
      <formula>"Moderado"</formula>
    </cfRule>
    <cfRule type="cellIs" dxfId="1583" priority="1608" operator="equal">
      <formula>"Bajo"</formula>
    </cfRule>
  </conditionalFormatting>
  <conditionalFormatting sqref="AB122">
    <cfRule type="cellIs" dxfId="1582" priority="1600" operator="equal">
      <formula>"Muy Alta"</formula>
    </cfRule>
    <cfRule type="cellIs" dxfId="1581" priority="1601" operator="equal">
      <formula>"Alta"</formula>
    </cfRule>
    <cfRule type="cellIs" dxfId="1580" priority="1602" operator="equal">
      <formula>"Media"</formula>
    </cfRule>
    <cfRule type="cellIs" dxfId="1579" priority="1603" operator="equal">
      <formula>"Baja"</formula>
    </cfRule>
    <cfRule type="cellIs" dxfId="1578" priority="1604" operator="equal">
      <formula>"Muy Baja"</formula>
    </cfRule>
  </conditionalFormatting>
  <conditionalFormatting sqref="AD122">
    <cfRule type="cellIs" dxfId="1577" priority="1595" operator="equal">
      <formula>"Catastrófico"</formula>
    </cfRule>
    <cfRule type="cellIs" dxfId="1576" priority="1596" operator="equal">
      <formula>"Mayor"</formula>
    </cfRule>
    <cfRule type="cellIs" dxfId="1575" priority="1597" operator="equal">
      <formula>"Moderado"</formula>
    </cfRule>
    <cfRule type="cellIs" dxfId="1574" priority="1598" operator="equal">
      <formula>"Menor"</formula>
    </cfRule>
    <cfRule type="cellIs" dxfId="1573" priority="1599" operator="equal">
      <formula>"Leve"</formula>
    </cfRule>
  </conditionalFormatting>
  <conditionalFormatting sqref="AF122">
    <cfRule type="cellIs" dxfId="1572" priority="1591" operator="equal">
      <formula>"Extremo"</formula>
    </cfRule>
    <cfRule type="cellIs" dxfId="1571" priority="1592" operator="equal">
      <formula>"Alto"</formula>
    </cfRule>
    <cfRule type="cellIs" dxfId="1570" priority="1593" operator="equal">
      <formula>"Moderado"</formula>
    </cfRule>
    <cfRule type="cellIs" dxfId="1569" priority="1594" operator="equal">
      <formula>"Bajo"</formula>
    </cfRule>
  </conditionalFormatting>
  <conditionalFormatting sqref="AB123">
    <cfRule type="cellIs" dxfId="1568" priority="1586" operator="equal">
      <formula>"Muy Alta"</formula>
    </cfRule>
    <cfRule type="cellIs" dxfId="1567" priority="1587" operator="equal">
      <formula>"Alta"</formula>
    </cfRule>
    <cfRule type="cellIs" dxfId="1566" priority="1588" operator="equal">
      <formula>"Media"</formula>
    </cfRule>
    <cfRule type="cellIs" dxfId="1565" priority="1589" operator="equal">
      <formula>"Baja"</formula>
    </cfRule>
    <cfRule type="cellIs" dxfId="1564" priority="1590" operator="equal">
      <formula>"Muy Baja"</formula>
    </cfRule>
  </conditionalFormatting>
  <conditionalFormatting sqref="AD123">
    <cfRule type="cellIs" dxfId="1563" priority="1581" operator="equal">
      <formula>"Catastrófico"</formula>
    </cfRule>
    <cfRule type="cellIs" dxfId="1562" priority="1582" operator="equal">
      <formula>"Mayor"</formula>
    </cfRule>
    <cfRule type="cellIs" dxfId="1561" priority="1583" operator="equal">
      <formula>"Moderado"</formula>
    </cfRule>
    <cfRule type="cellIs" dxfId="1560" priority="1584" operator="equal">
      <formula>"Menor"</formula>
    </cfRule>
    <cfRule type="cellIs" dxfId="1559" priority="1585" operator="equal">
      <formula>"Leve"</formula>
    </cfRule>
  </conditionalFormatting>
  <conditionalFormatting sqref="AF123">
    <cfRule type="cellIs" dxfId="1558" priority="1577" operator="equal">
      <formula>"Extremo"</formula>
    </cfRule>
    <cfRule type="cellIs" dxfId="1557" priority="1578" operator="equal">
      <formula>"Alto"</formula>
    </cfRule>
    <cfRule type="cellIs" dxfId="1556" priority="1579" operator="equal">
      <formula>"Moderado"</formula>
    </cfRule>
    <cfRule type="cellIs" dxfId="1555" priority="1580" operator="equal">
      <formula>"Bajo"</formula>
    </cfRule>
  </conditionalFormatting>
  <conditionalFormatting sqref="K10">
    <cfRule type="cellIs" dxfId="1554" priority="1572" operator="equal">
      <formula>"Muy Alta"</formula>
    </cfRule>
    <cfRule type="cellIs" dxfId="1553" priority="1573" operator="equal">
      <formula>"Alta"</formula>
    </cfRule>
    <cfRule type="cellIs" dxfId="1552" priority="1574" operator="equal">
      <formula>"Media"</formula>
    </cfRule>
    <cfRule type="cellIs" dxfId="1551" priority="1575" operator="equal">
      <formula>"Baja"</formula>
    </cfRule>
    <cfRule type="cellIs" dxfId="1550" priority="1576" operator="equal">
      <formula>"Muy Baja"</formula>
    </cfRule>
  </conditionalFormatting>
  <conditionalFormatting sqref="O10">
    <cfRule type="cellIs" dxfId="1549" priority="1567" operator="equal">
      <formula>"Catastrófico"</formula>
    </cfRule>
    <cfRule type="cellIs" dxfId="1548" priority="1568" operator="equal">
      <formula>"Mayor"</formula>
    </cfRule>
    <cfRule type="cellIs" dxfId="1547" priority="1569" operator="equal">
      <formula>"Moderado"</formula>
    </cfRule>
    <cfRule type="cellIs" dxfId="1546" priority="1570" operator="equal">
      <formula>"Menor"</formula>
    </cfRule>
    <cfRule type="cellIs" dxfId="1545" priority="1571" operator="equal">
      <formula>"Leve"</formula>
    </cfRule>
  </conditionalFormatting>
  <conditionalFormatting sqref="Q10">
    <cfRule type="cellIs" dxfId="1544" priority="1563" operator="equal">
      <formula>"Extremo"</formula>
    </cfRule>
    <cfRule type="cellIs" dxfId="1543" priority="1564" operator="equal">
      <formula>"Alto"</formula>
    </cfRule>
    <cfRule type="cellIs" dxfId="1542" priority="1565" operator="equal">
      <formula>"Moderado"</formula>
    </cfRule>
    <cfRule type="cellIs" dxfId="1541" priority="1566" operator="equal">
      <formula>"Bajo"</formula>
    </cfRule>
  </conditionalFormatting>
  <conditionalFormatting sqref="N10:N12">
    <cfRule type="containsText" dxfId="1540" priority="1562" operator="containsText" text="❌">
      <formula>NOT(ISERROR(SEARCH("❌",N10)))</formula>
    </cfRule>
  </conditionalFormatting>
  <conditionalFormatting sqref="K13">
    <cfRule type="cellIs" dxfId="1539" priority="1557" operator="equal">
      <formula>"Muy Alta"</formula>
    </cfRule>
    <cfRule type="cellIs" dxfId="1538" priority="1558" operator="equal">
      <formula>"Alta"</formula>
    </cfRule>
    <cfRule type="cellIs" dxfId="1537" priority="1559" operator="equal">
      <formula>"Media"</formula>
    </cfRule>
    <cfRule type="cellIs" dxfId="1536" priority="1560" operator="equal">
      <formula>"Baja"</formula>
    </cfRule>
    <cfRule type="cellIs" dxfId="1535" priority="1561" operator="equal">
      <formula>"Muy Baja"</formula>
    </cfRule>
  </conditionalFormatting>
  <conditionalFormatting sqref="O13">
    <cfRule type="cellIs" dxfId="1534" priority="1552" operator="equal">
      <formula>"Catastrófico"</formula>
    </cfRule>
    <cfRule type="cellIs" dxfId="1533" priority="1553" operator="equal">
      <formula>"Mayor"</formula>
    </cfRule>
    <cfRule type="cellIs" dxfId="1532" priority="1554" operator="equal">
      <formula>"Moderado"</formula>
    </cfRule>
    <cfRule type="cellIs" dxfId="1531" priority="1555" operator="equal">
      <formula>"Menor"</formula>
    </cfRule>
    <cfRule type="cellIs" dxfId="1530" priority="1556" operator="equal">
      <formula>"Leve"</formula>
    </cfRule>
  </conditionalFormatting>
  <conditionalFormatting sqref="Q13">
    <cfRule type="cellIs" dxfId="1529" priority="1548" operator="equal">
      <formula>"Extremo"</formula>
    </cfRule>
    <cfRule type="cellIs" dxfId="1528" priority="1549" operator="equal">
      <formula>"Alto"</formula>
    </cfRule>
    <cfRule type="cellIs" dxfId="1527" priority="1550" operator="equal">
      <formula>"Moderado"</formula>
    </cfRule>
    <cfRule type="cellIs" dxfId="1526" priority="1551" operator="equal">
      <formula>"Bajo"</formula>
    </cfRule>
  </conditionalFormatting>
  <conditionalFormatting sqref="N13:N15">
    <cfRule type="containsText" dxfId="1525" priority="1547" operator="containsText" text="❌">
      <formula>NOT(ISERROR(SEARCH("❌",N13)))</formula>
    </cfRule>
  </conditionalFormatting>
  <conditionalFormatting sqref="K16">
    <cfRule type="cellIs" dxfId="1524" priority="1542" operator="equal">
      <formula>"Muy Alta"</formula>
    </cfRule>
    <cfRule type="cellIs" dxfId="1523" priority="1543" operator="equal">
      <formula>"Alta"</formula>
    </cfRule>
    <cfRule type="cellIs" dxfId="1522" priority="1544" operator="equal">
      <formula>"Media"</formula>
    </cfRule>
    <cfRule type="cellIs" dxfId="1521" priority="1545" operator="equal">
      <formula>"Baja"</formula>
    </cfRule>
    <cfRule type="cellIs" dxfId="1520" priority="1546" operator="equal">
      <formula>"Muy Baja"</formula>
    </cfRule>
  </conditionalFormatting>
  <conditionalFormatting sqref="O16">
    <cfRule type="cellIs" dxfId="1519" priority="1537" operator="equal">
      <formula>"Catastrófico"</formula>
    </cfRule>
    <cfRule type="cellIs" dxfId="1518" priority="1538" operator="equal">
      <formula>"Mayor"</formula>
    </cfRule>
    <cfRule type="cellIs" dxfId="1517" priority="1539" operator="equal">
      <formula>"Moderado"</formula>
    </cfRule>
    <cfRule type="cellIs" dxfId="1516" priority="1540" operator="equal">
      <formula>"Menor"</formula>
    </cfRule>
    <cfRule type="cellIs" dxfId="1515" priority="1541" operator="equal">
      <formula>"Leve"</formula>
    </cfRule>
  </conditionalFormatting>
  <conditionalFormatting sqref="Q16">
    <cfRule type="cellIs" dxfId="1514" priority="1533" operator="equal">
      <formula>"Extremo"</formula>
    </cfRule>
    <cfRule type="cellIs" dxfId="1513" priority="1534" operator="equal">
      <formula>"Alto"</formula>
    </cfRule>
    <cfRule type="cellIs" dxfId="1512" priority="1535" operator="equal">
      <formula>"Moderado"</formula>
    </cfRule>
    <cfRule type="cellIs" dxfId="1511" priority="1536" operator="equal">
      <formula>"Bajo"</formula>
    </cfRule>
  </conditionalFormatting>
  <conditionalFormatting sqref="N16:N18">
    <cfRule type="containsText" dxfId="1510" priority="1532" operator="containsText" text="❌">
      <formula>NOT(ISERROR(SEARCH("❌",N16)))</formula>
    </cfRule>
  </conditionalFormatting>
  <conditionalFormatting sqref="K19">
    <cfRule type="cellIs" dxfId="1509" priority="1527" operator="equal">
      <formula>"Muy Alta"</formula>
    </cfRule>
    <cfRule type="cellIs" dxfId="1508" priority="1528" operator="equal">
      <formula>"Alta"</formula>
    </cfRule>
    <cfRule type="cellIs" dxfId="1507" priority="1529" operator="equal">
      <formula>"Media"</formula>
    </cfRule>
    <cfRule type="cellIs" dxfId="1506" priority="1530" operator="equal">
      <formula>"Baja"</formula>
    </cfRule>
    <cfRule type="cellIs" dxfId="1505" priority="1531" operator="equal">
      <formula>"Muy Baja"</formula>
    </cfRule>
  </conditionalFormatting>
  <conditionalFormatting sqref="O19">
    <cfRule type="cellIs" dxfId="1504" priority="1522" operator="equal">
      <formula>"Catastrófico"</formula>
    </cfRule>
    <cfRule type="cellIs" dxfId="1503" priority="1523" operator="equal">
      <formula>"Mayor"</formula>
    </cfRule>
    <cfRule type="cellIs" dxfId="1502" priority="1524" operator="equal">
      <formula>"Moderado"</formula>
    </cfRule>
    <cfRule type="cellIs" dxfId="1501" priority="1525" operator="equal">
      <formula>"Menor"</formula>
    </cfRule>
    <cfRule type="cellIs" dxfId="1500" priority="1526" operator="equal">
      <formula>"Leve"</formula>
    </cfRule>
  </conditionalFormatting>
  <conditionalFormatting sqref="Q19">
    <cfRule type="cellIs" dxfId="1499" priority="1518" operator="equal">
      <formula>"Extremo"</formula>
    </cfRule>
    <cfRule type="cellIs" dxfId="1498" priority="1519" operator="equal">
      <formula>"Alto"</formula>
    </cfRule>
    <cfRule type="cellIs" dxfId="1497" priority="1520" operator="equal">
      <formula>"Moderado"</formula>
    </cfRule>
    <cfRule type="cellIs" dxfId="1496" priority="1521" operator="equal">
      <formula>"Bajo"</formula>
    </cfRule>
  </conditionalFormatting>
  <conditionalFormatting sqref="N19:N21">
    <cfRule type="containsText" dxfId="1495" priority="1517" operator="containsText" text="❌">
      <formula>NOT(ISERROR(SEARCH("❌",N19)))</formula>
    </cfRule>
  </conditionalFormatting>
  <conditionalFormatting sqref="K22">
    <cfRule type="cellIs" dxfId="1494" priority="1512" operator="equal">
      <formula>"Muy Alta"</formula>
    </cfRule>
    <cfRule type="cellIs" dxfId="1493" priority="1513" operator="equal">
      <formula>"Alta"</formula>
    </cfRule>
    <cfRule type="cellIs" dxfId="1492" priority="1514" operator="equal">
      <formula>"Media"</formula>
    </cfRule>
    <cfRule type="cellIs" dxfId="1491" priority="1515" operator="equal">
      <formula>"Baja"</formula>
    </cfRule>
    <cfRule type="cellIs" dxfId="1490" priority="1516" operator="equal">
      <formula>"Muy Baja"</formula>
    </cfRule>
  </conditionalFormatting>
  <conditionalFormatting sqref="O22">
    <cfRule type="cellIs" dxfId="1489" priority="1507" operator="equal">
      <formula>"Catastrófico"</formula>
    </cfRule>
    <cfRule type="cellIs" dxfId="1488" priority="1508" operator="equal">
      <formula>"Mayor"</formula>
    </cfRule>
    <cfRule type="cellIs" dxfId="1487" priority="1509" operator="equal">
      <formula>"Moderado"</formula>
    </cfRule>
    <cfRule type="cellIs" dxfId="1486" priority="1510" operator="equal">
      <formula>"Menor"</formula>
    </cfRule>
    <cfRule type="cellIs" dxfId="1485" priority="1511" operator="equal">
      <formula>"Leve"</formula>
    </cfRule>
  </conditionalFormatting>
  <conditionalFormatting sqref="Q22">
    <cfRule type="cellIs" dxfId="1484" priority="1503" operator="equal">
      <formula>"Extremo"</formula>
    </cfRule>
    <cfRule type="cellIs" dxfId="1483" priority="1504" operator="equal">
      <formula>"Alto"</formula>
    </cfRule>
    <cfRule type="cellIs" dxfId="1482" priority="1505" operator="equal">
      <formula>"Moderado"</formula>
    </cfRule>
    <cfRule type="cellIs" dxfId="1481" priority="1506" operator="equal">
      <formula>"Bajo"</formula>
    </cfRule>
  </conditionalFormatting>
  <conditionalFormatting sqref="N22:N24">
    <cfRule type="containsText" dxfId="1480" priority="1502" operator="containsText" text="❌">
      <formula>NOT(ISERROR(SEARCH("❌",N22)))</formula>
    </cfRule>
  </conditionalFormatting>
  <conditionalFormatting sqref="K25">
    <cfRule type="cellIs" dxfId="1479" priority="1497" operator="equal">
      <formula>"Muy Alta"</formula>
    </cfRule>
    <cfRule type="cellIs" dxfId="1478" priority="1498" operator="equal">
      <formula>"Alta"</formula>
    </cfRule>
    <cfRule type="cellIs" dxfId="1477" priority="1499" operator="equal">
      <formula>"Media"</formula>
    </cfRule>
    <cfRule type="cellIs" dxfId="1476" priority="1500" operator="equal">
      <formula>"Baja"</formula>
    </cfRule>
    <cfRule type="cellIs" dxfId="1475" priority="1501" operator="equal">
      <formula>"Muy Baja"</formula>
    </cfRule>
  </conditionalFormatting>
  <conditionalFormatting sqref="O25">
    <cfRule type="cellIs" dxfId="1474" priority="1492" operator="equal">
      <formula>"Catastrófico"</formula>
    </cfRule>
    <cfRule type="cellIs" dxfId="1473" priority="1493" operator="equal">
      <formula>"Mayor"</formula>
    </cfRule>
    <cfRule type="cellIs" dxfId="1472" priority="1494" operator="equal">
      <formula>"Moderado"</formula>
    </cfRule>
    <cfRule type="cellIs" dxfId="1471" priority="1495" operator="equal">
      <formula>"Menor"</formula>
    </cfRule>
    <cfRule type="cellIs" dxfId="1470" priority="1496" operator="equal">
      <formula>"Leve"</formula>
    </cfRule>
  </conditionalFormatting>
  <conditionalFormatting sqref="Q25">
    <cfRule type="cellIs" dxfId="1469" priority="1488" operator="equal">
      <formula>"Extremo"</formula>
    </cfRule>
    <cfRule type="cellIs" dxfId="1468" priority="1489" operator="equal">
      <formula>"Alto"</formula>
    </cfRule>
    <cfRule type="cellIs" dxfId="1467" priority="1490" operator="equal">
      <formula>"Moderado"</formula>
    </cfRule>
    <cfRule type="cellIs" dxfId="1466" priority="1491" operator="equal">
      <formula>"Bajo"</formula>
    </cfRule>
  </conditionalFormatting>
  <conditionalFormatting sqref="N25:N27">
    <cfRule type="containsText" dxfId="1465" priority="1487" operator="containsText" text="❌">
      <formula>NOT(ISERROR(SEARCH("❌",N25)))</formula>
    </cfRule>
  </conditionalFormatting>
  <conditionalFormatting sqref="K28">
    <cfRule type="cellIs" dxfId="1464" priority="1482" operator="equal">
      <formula>"Muy Alta"</formula>
    </cfRule>
    <cfRule type="cellIs" dxfId="1463" priority="1483" operator="equal">
      <formula>"Alta"</formula>
    </cfRule>
    <cfRule type="cellIs" dxfId="1462" priority="1484" operator="equal">
      <formula>"Media"</formula>
    </cfRule>
    <cfRule type="cellIs" dxfId="1461" priority="1485" operator="equal">
      <formula>"Baja"</formula>
    </cfRule>
    <cfRule type="cellIs" dxfId="1460" priority="1486" operator="equal">
      <formula>"Muy Baja"</formula>
    </cfRule>
  </conditionalFormatting>
  <conditionalFormatting sqref="O28">
    <cfRule type="cellIs" dxfId="1459" priority="1477" operator="equal">
      <formula>"Catastrófico"</formula>
    </cfRule>
    <cfRule type="cellIs" dxfId="1458" priority="1478" operator="equal">
      <formula>"Mayor"</formula>
    </cfRule>
    <cfRule type="cellIs" dxfId="1457" priority="1479" operator="equal">
      <formula>"Moderado"</formula>
    </cfRule>
    <cfRule type="cellIs" dxfId="1456" priority="1480" operator="equal">
      <formula>"Menor"</formula>
    </cfRule>
    <cfRule type="cellIs" dxfId="1455" priority="1481" operator="equal">
      <formula>"Leve"</formula>
    </cfRule>
  </conditionalFormatting>
  <conditionalFormatting sqref="Q28">
    <cfRule type="cellIs" dxfId="1454" priority="1473" operator="equal">
      <formula>"Extremo"</formula>
    </cfRule>
    <cfRule type="cellIs" dxfId="1453" priority="1474" operator="equal">
      <formula>"Alto"</formula>
    </cfRule>
    <cfRule type="cellIs" dxfId="1452" priority="1475" operator="equal">
      <formula>"Moderado"</formula>
    </cfRule>
    <cfRule type="cellIs" dxfId="1451" priority="1476" operator="equal">
      <formula>"Bajo"</formula>
    </cfRule>
  </conditionalFormatting>
  <conditionalFormatting sqref="N28:N30">
    <cfRule type="containsText" dxfId="1450" priority="1472" operator="containsText" text="❌">
      <formula>NOT(ISERROR(SEARCH("❌",N28)))</formula>
    </cfRule>
  </conditionalFormatting>
  <conditionalFormatting sqref="K31">
    <cfRule type="cellIs" dxfId="1449" priority="1467" operator="equal">
      <formula>"Muy Alta"</formula>
    </cfRule>
    <cfRule type="cellIs" dxfId="1448" priority="1468" operator="equal">
      <formula>"Alta"</formula>
    </cfRule>
    <cfRule type="cellIs" dxfId="1447" priority="1469" operator="equal">
      <formula>"Media"</formula>
    </cfRule>
    <cfRule type="cellIs" dxfId="1446" priority="1470" operator="equal">
      <formula>"Baja"</formula>
    </cfRule>
    <cfRule type="cellIs" dxfId="1445" priority="1471" operator="equal">
      <formula>"Muy Baja"</formula>
    </cfRule>
  </conditionalFormatting>
  <conditionalFormatting sqref="O31">
    <cfRule type="cellIs" dxfId="1444" priority="1462" operator="equal">
      <formula>"Catastrófico"</formula>
    </cfRule>
    <cfRule type="cellIs" dxfId="1443" priority="1463" operator="equal">
      <formula>"Mayor"</formula>
    </cfRule>
    <cfRule type="cellIs" dxfId="1442" priority="1464" operator="equal">
      <formula>"Moderado"</formula>
    </cfRule>
    <cfRule type="cellIs" dxfId="1441" priority="1465" operator="equal">
      <formula>"Menor"</formula>
    </cfRule>
    <cfRule type="cellIs" dxfId="1440" priority="1466" operator="equal">
      <formula>"Leve"</formula>
    </cfRule>
  </conditionalFormatting>
  <conditionalFormatting sqref="Q31">
    <cfRule type="cellIs" dxfId="1439" priority="1458" operator="equal">
      <formula>"Extremo"</formula>
    </cfRule>
    <cfRule type="cellIs" dxfId="1438" priority="1459" operator="equal">
      <formula>"Alto"</formula>
    </cfRule>
    <cfRule type="cellIs" dxfId="1437" priority="1460" operator="equal">
      <formula>"Moderado"</formula>
    </cfRule>
    <cfRule type="cellIs" dxfId="1436" priority="1461" operator="equal">
      <formula>"Bajo"</formula>
    </cfRule>
  </conditionalFormatting>
  <conditionalFormatting sqref="N31:N33">
    <cfRule type="containsText" dxfId="1435" priority="1457" operator="containsText" text="❌">
      <formula>NOT(ISERROR(SEARCH("❌",N31)))</formula>
    </cfRule>
  </conditionalFormatting>
  <conditionalFormatting sqref="K34">
    <cfRule type="cellIs" dxfId="1434" priority="1452" operator="equal">
      <formula>"Muy Alta"</formula>
    </cfRule>
    <cfRule type="cellIs" dxfId="1433" priority="1453" operator="equal">
      <formula>"Alta"</formula>
    </cfRule>
    <cfRule type="cellIs" dxfId="1432" priority="1454" operator="equal">
      <formula>"Media"</formula>
    </cfRule>
    <cfRule type="cellIs" dxfId="1431" priority="1455" operator="equal">
      <formula>"Baja"</formula>
    </cfRule>
    <cfRule type="cellIs" dxfId="1430" priority="1456" operator="equal">
      <formula>"Muy Baja"</formula>
    </cfRule>
  </conditionalFormatting>
  <conditionalFormatting sqref="O34">
    <cfRule type="cellIs" dxfId="1429" priority="1447" operator="equal">
      <formula>"Catastrófico"</formula>
    </cfRule>
    <cfRule type="cellIs" dxfId="1428" priority="1448" operator="equal">
      <formula>"Mayor"</formula>
    </cfRule>
    <cfRule type="cellIs" dxfId="1427" priority="1449" operator="equal">
      <formula>"Moderado"</formula>
    </cfRule>
    <cfRule type="cellIs" dxfId="1426" priority="1450" operator="equal">
      <formula>"Menor"</formula>
    </cfRule>
    <cfRule type="cellIs" dxfId="1425" priority="1451" operator="equal">
      <formula>"Leve"</formula>
    </cfRule>
  </conditionalFormatting>
  <conditionalFormatting sqref="Q34">
    <cfRule type="cellIs" dxfId="1424" priority="1443" operator="equal">
      <formula>"Extremo"</formula>
    </cfRule>
    <cfRule type="cellIs" dxfId="1423" priority="1444" operator="equal">
      <formula>"Alto"</formula>
    </cfRule>
    <cfRule type="cellIs" dxfId="1422" priority="1445" operator="equal">
      <formula>"Moderado"</formula>
    </cfRule>
    <cfRule type="cellIs" dxfId="1421" priority="1446" operator="equal">
      <formula>"Bajo"</formula>
    </cfRule>
  </conditionalFormatting>
  <conditionalFormatting sqref="N34:N36">
    <cfRule type="containsText" dxfId="1420" priority="1442" operator="containsText" text="❌">
      <formula>NOT(ISERROR(SEARCH("❌",N34)))</formula>
    </cfRule>
  </conditionalFormatting>
  <conditionalFormatting sqref="K37">
    <cfRule type="cellIs" dxfId="1419" priority="1437" operator="equal">
      <formula>"Muy Alta"</formula>
    </cfRule>
    <cfRule type="cellIs" dxfId="1418" priority="1438" operator="equal">
      <formula>"Alta"</formula>
    </cfRule>
    <cfRule type="cellIs" dxfId="1417" priority="1439" operator="equal">
      <formula>"Media"</formula>
    </cfRule>
    <cfRule type="cellIs" dxfId="1416" priority="1440" operator="equal">
      <formula>"Baja"</formula>
    </cfRule>
    <cfRule type="cellIs" dxfId="1415" priority="1441" operator="equal">
      <formula>"Muy Baja"</formula>
    </cfRule>
  </conditionalFormatting>
  <conditionalFormatting sqref="O37">
    <cfRule type="cellIs" dxfId="1414" priority="1432" operator="equal">
      <formula>"Catastrófico"</formula>
    </cfRule>
    <cfRule type="cellIs" dxfId="1413" priority="1433" operator="equal">
      <formula>"Mayor"</formula>
    </cfRule>
    <cfRule type="cellIs" dxfId="1412" priority="1434" operator="equal">
      <formula>"Moderado"</formula>
    </cfRule>
    <cfRule type="cellIs" dxfId="1411" priority="1435" operator="equal">
      <formula>"Menor"</formula>
    </cfRule>
    <cfRule type="cellIs" dxfId="1410" priority="1436" operator="equal">
      <formula>"Leve"</formula>
    </cfRule>
  </conditionalFormatting>
  <conditionalFormatting sqref="Q37">
    <cfRule type="cellIs" dxfId="1409" priority="1428" operator="equal">
      <formula>"Extremo"</formula>
    </cfRule>
    <cfRule type="cellIs" dxfId="1408" priority="1429" operator="equal">
      <formula>"Alto"</formula>
    </cfRule>
    <cfRule type="cellIs" dxfId="1407" priority="1430" operator="equal">
      <formula>"Moderado"</formula>
    </cfRule>
    <cfRule type="cellIs" dxfId="1406" priority="1431" operator="equal">
      <formula>"Bajo"</formula>
    </cfRule>
  </conditionalFormatting>
  <conditionalFormatting sqref="N37:N39">
    <cfRule type="containsText" dxfId="1405" priority="1427" operator="containsText" text="❌">
      <formula>NOT(ISERROR(SEARCH("❌",N37)))</formula>
    </cfRule>
  </conditionalFormatting>
  <conditionalFormatting sqref="K40">
    <cfRule type="cellIs" dxfId="1404" priority="1422" operator="equal">
      <formula>"Muy Alta"</formula>
    </cfRule>
    <cfRule type="cellIs" dxfId="1403" priority="1423" operator="equal">
      <formula>"Alta"</formula>
    </cfRule>
    <cfRule type="cellIs" dxfId="1402" priority="1424" operator="equal">
      <formula>"Media"</formula>
    </cfRule>
    <cfRule type="cellIs" dxfId="1401" priority="1425" operator="equal">
      <formula>"Baja"</formula>
    </cfRule>
    <cfRule type="cellIs" dxfId="1400" priority="1426" operator="equal">
      <formula>"Muy Baja"</formula>
    </cfRule>
  </conditionalFormatting>
  <conditionalFormatting sqref="O40">
    <cfRule type="cellIs" dxfId="1399" priority="1417" operator="equal">
      <formula>"Catastrófico"</formula>
    </cfRule>
    <cfRule type="cellIs" dxfId="1398" priority="1418" operator="equal">
      <formula>"Mayor"</formula>
    </cfRule>
    <cfRule type="cellIs" dxfId="1397" priority="1419" operator="equal">
      <formula>"Moderado"</formula>
    </cfRule>
    <cfRule type="cellIs" dxfId="1396" priority="1420" operator="equal">
      <formula>"Menor"</formula>
    </cfRule>
    <cfRule type="cellIs" dxfId="1395" priority="1421" operator="equal">
      <formula>"Leve"</formula>
    </cfRule>
  </conditionalFormatting>
  <conditionalFormatting sqref="Q40">
    <cfRule type="cellIs" dxfId="1394" priority="1413" operator="equal">
      <formula>"Extremo"</formula>
    </cfRule>
    <cfRule type="cellIs" dxfId="1393" priority="1414" operator="equal">
      <formula>"Alto"</formula>
    </cfRule>
    <cfRule type="cellIs" dxfId="1392" priority="1415" operator="equal">
      <formula>"Moderado"</formula>
    </cfRule>
    <cfRule type="cellIs" dxfId="1391" priority="1416" operator="equal">
      <formula>"Bajo"</formula>
    </cfRule>
  </conditionalFormatting>
  <conditionalFormatting sqref="N40:N42">
    <cfRule type="containsText" dxfId="1390" priority="1412" operator="containsText" text="❌">
      <formula>NOT(ISERROR(SEARCH("❌",N40)))</formula>
    </cfRule>
  </conditionalFormatting>
  <conditionalFormatting sqref="K43">
    <cfRule type="cellIs" dxfId="1389" priority="1407" operator="equal">
      <formula>"Muy Alta"</formula>
    </cfRule>
    <cfRule type="cellIs" dxfId="1388" priority="1408" operator="equal">
      <formula>"Alta"</formula>
    </cfRule>
    <cfRule type="cellIs" dxfId="1387" priority="1409" operator="equal">
      <formula>"Media"</formula>
    </cfRule>
    <cfRule type="cellIs" dxfId="1386" priority="1410" operator="equal">
      <formula>"Baja"</formula>
    </cfRule>
    <cfRule type="cellIs" dxfId="1385" priority="1411" operator="equal">
      <formula>"Muy Baja"</formula>
    </cfRule>
  </conditionalFormatting>
  <conditionalFormatting sqref="O43">
    <cfRule type="cellIs" dxfId="1384" priority="1402" operator="equal">
      <formula>"Catastrófico"</formula>
    </cfRule>
    <cfRule type="cellIs" dxfId="1383" priority="1403" operator="equal">
      <formula>"Mayor"</formula>
    </cfRule>
    <cfRule type="cellIs" dxfId="1382" priority="1404" operator="equal">
      <formula>"Moderado"</formula>
    </cfRule>
    <cfRule type="cellIs" dxfId="1381" priority="1405" operator="equal">
      <formula>"Menor"</formula>
    </cfRule>
    <cfRule type="cellIs" dxfId="1380" priority="1406" operator="equal">
      <formula>"Leve"</formula>
    </cfRule>
  </conditionalFormatting>
  <conditionalFormatting sqref="Q43">
    <cfRule type="cellIs" dxfId="1379" priority="1398" operator="equal">
      <formula>"Extremo"</formula>
    </cfRule>
    <cfRule type="cellIs" dxfId="1378" priority="1399" operator="equal">
      <formula>"Alto"</formula>
    </cfRule>
    <cfRule type="cellIs" dxfId="1377" priority="1400" operator="equal">
      <formula>"Moderado"</formula>
    </cfRule>
    <cfRule type="cellIs" dxfId="1376" priority="1401" operator="equal">
      <formula>"Bajo"</formula>
    </cfRule>
  </conditionalFormatting>
  <conditionalFormatting sqref="N43:N45">
    <cfRule type="containsText" dxfId="1375" priority="1397" operator="containsText" text="❌">
      <formula>NOT(ISERROR(SEARCH("❌",N43)))</formula>
    </cfRule>
  </conditionalFormatting>
  <conditionalFormatting sqref="K46">
    <cfRule type="cellIs" dxfId="1374" priority="1377" operator="equal">
      <formula>"Muy Alta"</formula>
    </cfRule>
    <cfRule type="cellIs" dxfId="1373" priority="1378" operator="equal">
      <formula>"Alta"</formula>
    </cfRule>
    <cfRule type="cellIs" dxfId="1372" priority="1379" operator="equal">
      <formula>"Media"</formula>
    </cfRule>
    <cfRule type="cellIs" dxfId="1371" priority="1380" operator="equal">
      <formula>"Baja"</formula>
    </cfRule>
    <cfRule type="cellIs" dxfId="1370" priority="1381" operator="equal">
      <formula>"Muy Baja"</formula>
    </cfRule>
  </conditionalFormatting>
  <conditionalFormatting sqref="O46">
    <cfRule type="cellIs" dxfId="1369" priority="1372" operator="equal">
      <formula>"Catastrófico"</formula>
    </cfRule>
    <cfRule type="cellIs" dxfId="1368" priority="1373" operator="equal">
      <formula>"Mayor"</formula>
    </cfRule>
    <cfRule type="cellIs" dxfId="1367" priority="1374" operator="equal">
      <formula>"Moderado"</formula>
    </cfRule>
    <cfRule type="cellIs" dxfId="1366" priority="1375" operator="equal">
      <formula>"Menor"</formula>
    </cfRule>
    <cfRule type="cellIs" dxfId="1365" priority="1376" operator="equal">
      <formula>"Leve"</formula>
    </cfRule>
  </conditionalFormatting>
  <conditionalFormatting sqref="Q46">
    <cfRule type="cellIs" dxfId="1364" priority="1368" operator="equal">
      <formula>"Extremo"</formula>
    </cfRule>
    <cfRule type="cellIs" dxfId="1363" priority="1369" operator="equal">
      <formula>"Alto"</formula>
    </cfRule>
    <cfRule type="cellIs" dxfId="1362" priority="1370" operator="equal">
      <formula>"Moderado"</formula>
    </cfRule>
    <cfRule type="cellIs" dxfId="1361" priority="1371" operator="equal">
      <formula>"Bajo"</formula>
    </cfRule>
  </conditionalFormatting>
  <conditionalFormatting sqref="N46:N48">
    <cfRule type="containsText" dxfId="1360" priority="1367" operator="containsText" text="❌">
      <formula>NOT(ISERROR(SEARCH("❌",N46)))</formula>
    </cfRule>
  </conditionalFormatting>
  <conditionalFormatting sqref="K49">
    <cfRule type="cellIs" dxfId="1359" priority="1362" operator="equal">
      <formula>"Muy Alta"</formula>
    </cfRule>
    <cfRule type="cellIs" dxfId="1358" priority="1363" operator="equal">
      <formula>"Alta"</formula>
    </cfRule>
    <cfRule type="cellIs" dxfId="1357" priority="1364" operator="equal">
      <formula>"Media"</formula>
    </cfRule>
    <cfRule type="cellIs" dxfId="1356" priority="1365" operator="equal">
      <formula>"Baja"</formula>
    </cfRule>
    <cfRule type="cellIs" dxfId="1355" priority="1366" operator="equal">
      <formula>"Muy Baja"</formula>
    </cfRule>
  </conditionalFormatting>
  <conditionalFormatting sqref="O49">
    <cfRule type="cellIs" dxfId="1354" priority="1357" operator="equal">
      <formula>"Catastrófico"</formula>
    </cfRule>
    <cfRule type="cellIs" dxfId="1353" priority="1358" operator="equal">
      <formula>"Mayor"</formula>
    </cfRule>
    <cfRule type="cellIs" dxfId="1352" priority="1359" operator="equal">
      <formula>"Moderado"</formula>
    </cfRule>
    <cfRule type="cellIs" dxfId="1351" priority="1360" operator="equal">
      <formula>"Menor"</formula>
    </cfRule>
    <cfRule type="cellIs" dxfId="1350" priority="1361" operator="equal">
      <formula>"Leve"</formula>
    </cfRule>
  </conditionalFormatting>
  <conditionalFormatting sqref="Q49">
    <cfRule type="cellIs" dxfId="1349" priority="1353" operator="equal">
      <formula>"Extremo"</formula>
    </cfRule>
    <cfRule type="cellIs" dxfId="1348" priority="1354" operator="equal">
      <formula>"Alto"</formula>
    </cfRule>
    <cfRule type="cellIs" dxfId="1347" priority="1355" operator="equal">
      <formula>"Moderado"</formula>
    </cfRule>
    <cfRule type="cellIs" dxfId="1346" priority="1356" operator="equal">
      <formula>"Bajo"</formula>
    </cfRule>
  </conditionalFormatting>
  <conditionalFormatting sqref="N49:N51">
    <cfRule type="containsText" dxfId="1345" priority="1352" operator="containsText" text="❌">
      <formula>NOT(ISERROR(SEARCH("❌",N49)))</formula>
    </cfRule>
  </conditionalFormatting>
  <conditionalFormatting sqref="K52">
    <cfRule type="cellIs" dxfId="1344" priority="1347" operator="equal">
      <formula>"Muy Alta"</formula>
    </cfRule>
    <cfRule type="cellIs" dxfId="1343" priority="1348" operator="equal">
      <formula>"Alta"</formula>
    </cfRule>
    <cfRule type="cellIs" dxfId="1342" priority="1349" operator="equal">
      <formula>"Media"</formula>
    </cfRule>
    <cfRule type="cellIs" dxfId="1341" priority="1350" operator="equal">
      <formula>"Baja"</formula>
    </cfRule>
    <cfRule type="cellIs" dxfId="1340" priority="1351" operator="equal">
      <formula>"Muy Baja"</formula>
    </cfRule>
  </conditionalFormatting>
  <conditionalFormatting sqref="O52">
    <cfRule type="cellIs" dxfId="1339" priority="1342" operator="equal">
      <formula>"Catastrófico"</formula>
    </cfRule>
    <cfRule type="cellIs" dxfId="1338" priority="1343" operator="equal">
      <formula>"Mayor"</formula>
    </cfRule>
    <cfRule type="cellIs" dxfId="1337" priority="1344" operator="equal">
      <formula>"Moderado"</formula>
    </cfRule>
    <cfRule type="cellIs" dxfId="1336" priority="1345" operator="equal">
      <formula>"Menor"</formula>
    </cfRule>
    <cfRule type="cellIs" dxfId="1335" priority="1346" operator="equal">
      <formula>"Leve"</formula>
    </cfRule>
  </conditionalFormatting>
  <conditionalFormatting sqref="Q52">
    <cfRule type="cellIs" dxfId="1334" priority="1338" operator="equal">
      <formula>"Extremo"</formula>
    </cfRule>
    <cfRule type="cellIs" dxfId="1333" priority="1339" operator="equal">
      <formula>"Alto"</formula>
    </cfRule>
    <cfRule type="cellIs" dxfId="1332" priority="1340" operator="equal">
      <formula>"Moderado"</formula>
    </cfRule>
    <cfRule type="cellIs" dxfId="1331" priority="1341" operator="equal">
      <formula>"Bajo"</formula>
    </cfRule>
  </conditionalFormatting>
  <conditionalFormatting sqref="N52:N54">
    <cfRule type="containsText" dxfId="1330" priority="1337" operator="containsText" text="❌">
      <formula>NOT(ISERROR(SEARCH("❌",N52)))</formula>
    </cfRule>
  </conditionalFormatting>
  <conditionalFormatting sqref="K55">
    <cfRule type="cellIs" dxfId="1329" priority="1332" operator="equal">
      <formula>"Muy Alta"</formula>
    </cfRule>
    <cfRule type="cellIs" dxfId="1328" priority="1333" operator="equal">
      <formula>"Alta"</formula>
    </cfRule>
    <cfRule type="cellIs" dxfId="1327" priority="1334" operator="equal">
      <formula>"Media"</formula>
    </cfRule>
    <cfRule type="cellIs" dxfId="1326" priority="1335" operator="equal">
      <formula>"Baja"</formula>
    </cfRule>
    <cfRule type="cellIs" dxfId="1325" priority="1336" operator="equal">
      <formula>"Muy Baja"</formula>
    </cfRule>
  </conditionalFormatting>
  <conditionalFormatting sqref="O55">
    <cfRule type="cellIs" dxfId="1324" priority="1327" operator="equal">
      <formula>"Catastrófico"</formula>
    </cfRule>
    <cfRule type="cellIs" dxfId="1323" priority="1328" operator="equal">
      <formula>"Mayor"</formula>
    </cfRule>
    <cfRule type="cellIs" dxfId="1322" priority="1329" operator="equal">
      <formula>"Moderado"</formula>
    </cfRule>
    <cfRule type="cellIs" dxfId="1321" priority="1330" operator="equal">
      <formula>"Menor"</formula>
    </cfRule>
    <cfRule type="cellIs" dxfId="1320" priority="1331" operator="equal">
      <formula>"Leve"</formula>
    </cfRule>
  </conditionalFormatting>
  <conditionalFormatting sqref="Q55">
    <cfRule type="cellIs" dxfId="1319" priority="1323" operator="equal">
      <formula>"Extremo"</formula>
    </cfRule>
    <cfRule type="cellIs" dxfId="1318" priority="1324" operator="equal">
      <formula>"Alto"</formula>
    </cfRule>
    <cfRule type="cellIs" dxfId="1317" priority="1325" operator="equal">
      <formula>"Moderado"</formula>
    </cfRule>
    <cfRule type="cellIs" dxfId="1316" priority="1326" operator="equal">
      <formula>"Bajo"</formula>
    </cfRule>
  </conditionalFormatting>
  <conditionalFormatting sqref="N55:N57">
    <cfRule type="containsText" dxfId="1315" priority="1322" operator="containsText" text="❌">
      <formula>NOT(ISERROR(SEARCH("❌",N55)))</formula>
    </cfRule>
  </conditionalFormatting>
  <conditionalFormatting sqref="K58">
    <cfRule type="cellIs" dxfId="1314" priority="1317" operator="equal">
      <formula>"Muy Alta"</formula>
    </cfRule>
    <cfRule type="cellIs" dxfId="1313" priority="1318" operator="equal">
      <formula>"Alta"</formula>
    </cfRule>
    <cfRule type="cellIs" dxfId="1312" priority="1319" operator="equal">
      <formula>"Media"</formula>
    </cfRule>
    <cfRule type="cellIs" dxfId="1311" priority="1320" operator="equal">
      <formula>"Baja"</formula>
    </cfRule>
    <cfRule type="cellIs" dxfId="1310" priority="1321" operator="equal">
      <formula>"Muy Baja"</formula>
    </cfRule>
  </conditionalFormatting>
  <conditionalFormatting sqref="O58">
    <cfRule type="cellIs" dxfId="1309" priority="1312" operator="equal">
      <formula>"Catastrófico"</formula>
    </cfRule>
    <cfRule type="cellIs" dxfId="1308" priority="1313" operator="equal">
      <formula>"Mayor"</formula>
    </cfRule>
    <cfRule type="cellIs" dxfId="1307" priority="1314" operator="equal">
      <formula>"Moderado"</formula>
    </cfRule>
    <cfRule type="cellIs" dxfId="1306" priority="1315" operator="equal">
      <formula>"Menor"</formula>
    </cfRule>
    <cfRule type="cellIs" dxfId="1305" priority="1316" operator="equal">
      <formula>"Leve"</formula>
    </cfRule>
  </conditionalFormatting>
  <conditionalFormatting sqref="Q58">
    <cfRule type="cellIs" dxfId="1304" priority="1308" operator="equal">
      <formula>"Extremo"</formula>
    </cfRule>
    <cfRule type="cellIs" dxfId="1303" priority="1309" operator="equal">
      <formula>"Alto"</formula>
    </cfRule>
    <cfRule type="cellIs" dxfId="1302" priority="1310" operator="equal">
      <formula>"Moderado"</formula>
    </cfRule>
    <cfRule type="cellIs" dxfId="1301" priority="1311" operator="equal">
      <formula>"Bajo"</formula>
    </cfRule>
  </conditionalFormatting>
  <conditionalFormatting sqref="N58:N60">
    <cfRule type="containsText" dxfId="1300" priority="1307" operator="containsText" text="❌">
      <formula>NOT(ISERROR(SEARCH("❌",N58)))</formula>
    </cfRule>
  </conditionalFormatting>
  <conditionalFormatting sqref="K61">
    <cfRule type="cellIs" dxfId="1299" priority="1302" operator="equal">
      <formula>"Muy Alta"</formula>
    </cfRule>
    <cfRule type="cellIs" dxfId="1298" priority="1303" operator="equal">
      <formula>"Alta"</formula>
    </cfRule>
    <cfRule type="cellIs" dxfId="1297" priority="1304" operator="equal">
      <formula>"Media"</formula>
    </cfRule>
    <cfRule type="cellIs" dxfId="1296" priority="1305" operator="equal">
      <formula>"Baja"</formula>
    </cfRule>
    <cfRule type="cellIs" dxfId="1295" priority="1306" operator="equal">
      <formula>"Muy Baja"</formula>
    </cfRule>
  </conditionalFormatting>
  <conditionalFormatting sqref="O61">
    <cfRule type="cellIs" dxfId="1294" priority="1297" operator="equal">
      <formula>"Catastrófico"</formula>
    </cfRule>
    <cfRule type="cellIs" dxfId="1293" priority="1298" operator="equal">
      <formula>"Mayor"</formula>
    </cfRule>
    <cfRule type="cellIs" dxfId="1292" priority="1299" operator="equal">
      <formula>"Moderado"</formula>
    </cfRule>
    <cfRule type="cellIs" dxfId="1291" priority="1300" operator="equal">
      <formula>"Menor"</formula>
    </cfRule>
    <cfRule type="cellIs" dxfId="1290" priority="1301" operator="equal">
      <formula>"Leve"</formula>
    </cfRule>
  </conditionalFormatting>
  <conditionalFormatting sqref="Q61">
    <cfRule type="cellIs" dxfId="1289" priority="1293" operator="equal">
      <formula>"Extremo"</formula>
    </cfRule>
    <cfRule type="cellIs" dxfId="1288" priority="1294" operator="equal">
      <formula>"Alto"</formula>
    </cfRule>
    <cfRule type="cellIs" dxfId="1287" priority="1295" operator="equal">
      <formula>"Moderado"</formula>
    </cfRule>
    <cfRule type="cellIs" dxfId="1286" priority="1296" operator="equal">
      <formula>"Bajo"</formula>
    </cfRule>
  </conditionalFormatting>
  <conditionalFormatting sqref="N61:N63">
    <cfRule type="containsText" dxfId="1285" priority="1292" operator="containsText" text="❌">
      <formula>NOT(ISERROR(SEARCH("❌",N61)))</formula>
    </cfRule>
  </conditionalFormatting>
  <conditionalFormatting sqref="K64">
    <cfRule type="cellIs" dxfId="1284" priority="1287" operator="equal">
      <formula>"Muy Alta"</formula>
    </cfRule>
    <cfRule type="cellIs" dxfId="1283" priority="1288" operator="equal">
      <formula>"Alta"</formula>
    </cfRule>
    <cfRule type="cellIs" dxfId="1282" priority="1289" operator="equal">
      <formula>"Media"</formula>
    </cfRule>
    <cfRule type="cellIs" dxfId="1281" priority="1290" operator="equal">
      <formula>"Baja"</formula>
    </cfRule>
    <cfRule type="cellIs" dxfId="1280" priority="1291" operator="equal">
      <formula>"Muy Baja"</formula>
    </cfRule>
  </conditionalFormatting>
  <conditionalFormatting sqref="O64">
    <cfRule type="cellIs" dxfId="1279" priority="1282" operator="equal">
      <formula>"Catastrófico"</formula>
    </cfRule>
    <cfRule type="cellIs" dxfId="1278" priority="1283" operator="equal">
      <formula>"Mayor"</formula>
    </cfRule>
    <cfRule type="cellIs" dxfId="1277" priority="1284" operator="equal">
      <formula>"Moderado"</formula>
    </cfRule>
    <cfRule type="cellIs" dxfId="1276" priority="1285" operator="equal">
      <formula>"Menor"</formula>
    </cfRule>
    <cfRule type="cellIs" dxfId="1275" priority="1286" operator="equal">
      <formula>"Leve"</formula>
    </cfRule>
  </conditionalFormatting>
  <conditionalFormatting sqref="Q64">
    <cfRule type="cellIs" dxfId="1274" priority="1278" operator="equal">
      <formula>"Extremo"</formula>
    </cfRule>
    <cfRule type="cellIs" dxfId="1273" priority="1279" operator="equal">
      <formula>"Alto"</formula>
    </cfRule>
    <cfRule type="cellIs" dxfId="1272" priority="1280" operator="equal">
      <formula>"Moderado"</formula>
    </cfRule>
    <cfRule type="cellIs" dxfId="1271" priority="1281" operator="equal">
      <formula>"Bajo"</formula>
    </cfRule>
  </conditionalFormatting>
  <conditionalFormatting sqref="N64:N66">
    <cfRule type="containsText" dxfId="1270" priority="1277" operator="containsText" text="❌">
      <formula>NOT(ISERROR(SEARCH("❌",N64)))</formula>
    </cfRule>
  </conditionalFormatting>
  <conditionalFormatting sqref="K67">
    <cfRule type="cellIs" dxfId="1269" priority="1272" operator="equal">
      <formula>"Muy Alta"</formula>
    </cfRule>
    <cfRule type="cellIs" dxfId="1268" priority="1273" operator="equal">
      <formula>"Alta"</formula>
    </cfRule>
    <cfRule type="cellIs" dxfId="1267" priority="1274" operator="equal">
      <formula>"Media"</formula>
    </cfRule>
    <cfRule type="cellIs" dxfId="1266" priority="1275" operator="equal">
      <formula>"Baja"</formula>
    </cfRule>
    <cfRule type="cellIs" dxfId="1265" priority="1276" operator="equal">
      <formula>"Muy Baja"</formula>
    </cfRule>
  </conditionalFormatting>
  <conditionalFormatting sqref="O67">
    <cfRule type="cellIs" dxfId="1264" priority="1267" operator="equal">
      <formula>"Catastrófico"</formula>
    </cfRule>
    <cfRule type="cellIs" dxfId="1263" priority="1268" operator="equal">
      <formula>"Mayor"</formula>
    </cfRule>
    <cfRule type="cellIs" dxfId="1262" priority="1269" operator="equal">
      <formula>"Moderado"</formula>
    </cfRule>
    <cfRule type="cellIs" dxfId="1261" priority="1270" operator="equal">
      <formula>"Menor"</formula>
    </cfRule>
    <cfRule type="cellIs" dxfId="1260" priority="1271" operator="equal">
      <formula>"Leve"</formula>
    </cfRule>
  </conditionalFormatting>
  <conditionalFormatting sqref="Q67">
    <cfRule type="cellIs" dxfId="1259" priority="1263" operator="equal">
      <formula>"Extremo"</formula>
    </cfRule>
    <cfRule type="cellIs" dxfId="1258" priority="1264" operator="equal">
      <formula>"Alto"</formula>
    </cfRule>
    <cfRule type="cellIs" dxfId="1257" priority="1265" operator="equal">
      <formula>"Moderado"</formula>
    </cfRule>
    <cfRule type="cellIs" dxfId="1256" priority="1266" operator="equal">
      <formula>"Bajo"</formula>
    </cfRule>
  </conditionalFormatting>
  <conditionalFormatting sqref="N67:N69">
    <cfRule type="containsText" dxfId="1255" priority="1262" operator="containsText" text="❌">
      <formula>NOT(ISERROR(SEARCH("❌",N67)))</formula>
    </cfRule>
  </conditionalFormatting>
  <conditionalFormatting sqref="K70">
    <cfRule type="cellIs" dxfId="1254" priority="1257" operator="equal">
      <formula>"Muy Alta"</formula>
    </cfRule>
    <cfRule type="cellIs" dxfId="1253" priority="1258" operator="equal">
      <formula>"Alta"</formula>
    </cfRule>
    <cfRule type="cellIs" dxfId="1252" priority="1259" operator="equal">
      <formula>"Media"</formula>
    </cfRule>
    <cfRule type="cellIs" dxfId="1251" priority="1260" operator="equal">
      <formula>"Baja"</formula>
    </cfRule>
    <cfRule type="cellIs" dxfId="1250" priority="1261" operator="equal">
      <formula>"Muy Baja"</formula>
    </cfRule>
  </conditionalFormatting>
  <conditionalFormatting sqref="O70">
    <cfRule type="cellIs" dxfId="1249" priority="1252" operator="equal">
      <formula>"Catastrófico"</formula>
    </cfRule>
    <cfRule type="cellIs" dxfId="1248" priority="1253" operator="equal">
      <formula>"Mayor"</formula>
    </cfRule>
    <cfRule type="cellIs" dxfId="1247" priority="1254" operator="equal">
      <formula>"Moderado"</formula>
    </cfRule>
    <cfRule type="cellIs" dxfId="1246" priority="1255" operator="equal">
      <formula>"Menor"</formula>
    </cfRule>
    <cfRule type="cellIs" dxfId="1245" priority="1256" operator="equal">
      <formula>"Leve"</formula>
    </cfRule>
  </conditionalFormatting>
  <conditionalFormatting sqref="Q70">
    <cfRule type="cellIs" dxfId="1244" priority="1248" operator="equal">
      <formula>"Extremo"</formula>
    </cfRule>
    <cfRule type="cellIs" dxfId="1243" priority="1249" operator="equal">
      <formula>"Alto"</formula>
    </cfRule>
    <cfRule type="cellIs" dxfId="1242" priority="1250" operator="equal">
      <formula>"Moderado"</formula>
    </cfRule>
    <cfRule type="cellIs" dxfId="1241" priority="1251" operator="equal">
      <formula>"Bajo"</formula>
    </cfRule>
  </conditionalFormatting>
  <conditionalFormatting sqref="N70:N72">
    <cfRule type="containsText" dxfId="1240" priority="1247" operator="containsText" text="❌">
      <formula>NOT(ISERROR(SEARCH("❌",N70)))</formula>
    </cfRule>
  </conditionalFormatting>
  <conditionalFormatting sqref="K73">
    <cfRule type="cellIs" dxfId="1239" priority="1242" operator="equal">
      <formula>"Muy Alta"</formula>
    </cfRule>
    <cfRule type="cellIs" dxfId="1238" priority="1243" operator="equal">
      <formula>"Alta"</formula>
    </cfRule>
    <cfRule type="cellIs" dxfId="1237" priority="1244" operator="equal">
      <formula>"Media"</formula>
    </cfRule>
    <cfRule type="cellIs" dxfId="1236" priority="1245" operator="equal">
      <formula>"Baja"</formula>
    </cfRule>
    <cfRule type="cellIs" dxfId="1235" priority="1246" operator="equal">
      <formula>"Muy Baja"</formula>
    </cfRule>
  </conditionalFormatting>
  <conditionalFormatting sqref="O73">
    <cfRule type="cellIs" dxfId="1234" priority="1237" operator="equal">
      <formula>"Catastrófico"</formula>
    </cfRule>
    <cfRule type="cellIs" dxfId="1233" priority="1238" operator="equal">
      <formula>"Mayor"</formula>
    </cfRule>
    <cfRule type="cellIs" dxfId="1232" priority="1239" operator="equal">
      <formula>"Moderado"</formula>
    </cfRule>
    <cfRule type="cellIs" dxfId="1231" priority="1240" operator="equal">
      <formula>"Menor"</formula>
    </cfRule>
    <cfRule type="cellIs" dxfId="1230" priority="1241" operator="equal">
      <formula>"Leve"</formula>
    </cfRule>
  </conditionalFormatting>
  <conditionalFormatting sqref="Q73">
    <cfRule type="cellIs" dxfId="1229" priority="1233" operator="equal">
      <formula>"Extremo"</formula>
    </cfRule>
    <cfRule type="cellIs" dxfId="1228" priority="1234" operator="equal">
      <formula>"Alto"</formula>
    </cfRule>
    <cfRule type="cellIs" dxfId="1227" priority="1235" operator="equal">
      <formula>"Moderado"</formula>
    </cfRule>
    <cfRule type="cellIs" dxfId="1226" priority="1236" operator="equal">
      <formula>"Bajo"</formula>
    </cfRule>
  </conditionalFormatting>
  <conditionalFormatting sqref="N73:N75">
    <cfRule type="containsText" dxfId="1225" priority="1232" operator="containsText" text="❌">
      <formula>NOT(ISERROR(SEARCH("❌",N73)))</formula>
    </cfRule>
  </conditionalFormatting>
  <conditionalFormatting sqref="K76">
    <cfRule type="cellIs" dxfId="1224" priority="1227" operator="equal">
      <formula>"Muy Alta"</formula>
    </cfRule>
    <cfRule type="cellIs" dxfId="1223" priority="1228" operator="equal">
      <formula>"Alta"</formula>
    </cfRule>
    <cfRule type="cellIs" dxfId="1222" priority="1229" operator="equal">
      <formula>"Media"</formula>
    </cfRule>
    <cfRule type="cellIs" dxfId="1221" priority="1230" operator="equal">
      <formula>"Baja"</formula>
    </cfRule>
    <cfRule type="cellIs" dxfId="1220" priority="1231" operator="equal">
      <formula>"Muy Baja"</formula>
    </cfRule>
  </conditionalFormatting>
  <conditionalFormatting sqref="O76">
    <cfRule type="cellIs" dxfId="1219" priority="1222" operator="equal">
      <formula>"Catastrófico"</formula>
    </cfRule>
    <cfRule type="cellIs" dxfId="1218" priority="1223" operator="equal">
      <formula>"Mayor"</formula>
    </cfRule>
    <cfRule type="cellIs" dxfId="1217" priority="1224" operator="equal">
      <formula>"Moderado"</formula>
    </cfRule>
    <cfRule type="cellIs" dxfId="1216" priority="1225" operator="equal">
      <formula>"Menor"</formula>
    </cfRule>
    <cfRule type="cellIs" dxfId="1215" priority="1226" operator="equal">
      <formula>"Leve"</formula>
    </cfRule>
  </conditionalFormatting>
  <conditionalFormatting sqref="Q76">
    <cfRule type="cellIs" dxfId="1214" priority="1218" operator="equal">
      <formula>"Extremo"</formula>
    </cfRule>
    <cfRule type="cellIs" dxfId="1213" priority="1219" operator="equal">
      <formula>"Alto"</formula>
    </cfRule>
    <cfRule type="cellIs" dxfId="1212" priority="1220" operator="equal">
      <formula>"Moderado"</formula>
    </cfRule>
    <cfRule type="cellIs" dxfId="1211" priority="1221" operator="equal">
      <formula>"Bajo"</formula>
    </cfRule>
  </conditionalFormatting>
  <conditionalFormatting sqref="N76:N78">
    <cfRule type="containsText" dxfId="1210" priority="1217" operator="containsText" text="❌">
      <formula>NOT(ISERROR(SEARCH("❌",N76)))</formula>
    </cfRule>
  </conditionalFormatting>
  <conditionalFormatting sqref="K79">
    <cfRule type="cellIs" dxfId="1209" priority="1212" operator="equal">
      <formula>"Muy Alta"</formula>
    </cfRule>
    <cfRule type="cellIs" dxfId="1208" priority="1213" operator="equal">
      <formula>"Alta"</formula>
    </cfRule>
    <cfRule type="cellIs" dxfId="1207" priority="1214" operator="equal">
      <formula>"Media"</formula>
    </cfRule>
    <cfRule type="cellIs" dxfId="1206" priority="1215" operator="equal">
      <formula>"Baja"</formula>
    </cfRule>
    <cfRule type="cellIs" dxfId="1205" priority="1216" operator="equal">
      <formula>"Muy Baja"</formula>
    </cfRule>
  </conditionalFormatting>
  <conditionalFormatting sqref="O79">
    <cfRule type="cellIs" dxfId="1204" priority="1207" operator="equal">
      <formula>"Catastrófico"</formula>
    </cfRule>
    <cfRule type="cellIs" dxfId="1203" priority="1208" operator="equal">
      <formula>"Mayor"</formula>
    </cfRule>
    <cfRule type="cellIs" dxfId="1202" priority="1209" operator="equal">
      <formula>"Moderado"</formula>
    </cfRule>
    <cfRule type="cellIs" dxfId="1201" priority="1210" operator="equal">
      <formula>"Menor"</formula>
    </cfRule>
    <cfRule type="cellIs" dxfId="1200" priority="1211" operator="equal">
      <formula>"Leve"</formula>
    </cfRule>
  </conditionalFormatting>
  <conditionalFormatting sqref="Q79">
    <cfRule type="cellIs" dxfId="1199" priority="1203" operator="equal">
      <formula>"Extremo"</formula>
    </cfRule>
    <cfRule type="cellIs" dxfId="1198" priority="1204" operator="equal">
      <formula>"Alto"</formula>
    </cfRule>
    <cfRule type="cellIs" dxfId="1197" priority="1205" operator="equal">
      <formula>"Moderado"</formula>
    </cfRule>
    <cfRule type="cellIs" dxfId="1196" priority="1206" operator="equal">
      <formula>"Bajo"</formula>
    </cfRule>
  </conditionalFormatting>
  <conditionalFormatting sqref="N79:N81">
    <cfRule type="containsText" dxfId="1195" priority="1202" operator="containsText" text="❌">
      <formula>NOT(ISERROR(SEARCH("❌",N79)))</formula>
    </cfRule>
  </conditionalFormatting>
  <conditionalFormatting sqref="O82">
    <cfRule type="cellIs" dxfId="1194" priority="1192" operator="equal">
      <formula>"Catastrófico"</formula>
    </cfRule>
    <cfRule type="cellIs" dxfId="1193" priority="1193" operator="equal">
      <formula>"Mayor"</formula>
    </cfRule>
    <cfRule type="cellIs" dxfId="1192" priority="1194" operator="equal">
      <formula>"Moderado"</formula>
    </cfRule>
    <cfRule type="cellIs" dxfId="1191" priority="1195" operator="equal">
      <formula>"Menor"</formula>
    </cfRule>
    <cfRule type="cellIs" dxfId="1190" priority="1196" operator="equal">
      <formula>"Leve"</formula>
    </cfRule>
  </conditionalFormatting>
  <conditionalFormatting sqref="Q82">
    <cfRule type="cellIs" dxfId="1189" priority="1188" operator="equal">
      <formula>"Extremo"</formula>
    </cfRule>
    <cfRule type="cellIs" dxfId="1188" priority="1189" operator="equal">
      <formula>"Alto"</formula>
    </cfRule>
    <cfRule type="cellIs" dxfId="1187" priority="1190" operator="equal">
      <formula>"Moderado"</formula>
    </cfRule>
    <cfRule type="cellIs" dxfId="1186" priority="1191" operator="equal">
      <formula>"Bajo"</formula>
    </cfRule>
  </conditionalFormatting>
  <conditionalFormatting sqref="N82:N84">
    <cfRule type="containsText" dxfId="1185" priority="1187" operator="containsText" text="❌">
      <formula>NOT(ISERROR(SEARCH("❌",N82)))</formula>
    </cfRule>
  </conditionalFormatting>
  <conditionalFormatting sqref="K85">
    <cfRule type="cellIs" dxfId="1184" priority="1182" operator="equal">
      <formula>"Muy Alta"</formula>
    </cfRule>
    <cfRule type="cellIs" dxfId="1183" priority="1183" operator="equal">
      <formula>"Alta"</formula>
    </cfRule>
    <cfRule type="cellIs" dxfId="1182" priority="1184" operator="equal">
      <formula>"Media"</formula>
    </cfRule>
    <cfRule type="cellIs" dxfId="1181" priority="1185" operator="equal">
      <formula>"Baja"</formula>
    </cfRule>
    <cfRule type="cellIs" dxfId="1180" priority="1186" operator="equal">
      <formula>"Muy Baja"</formula>
    </cfRule>
  </conditionalFormatting>
  <conditionalFormatting sqref="O85">
    <cfRule type="cellIs" dxfId="1179" priority="1177" operator="equal">
      <formula>"Catastrófico"</formula>
    </cfRule>
    <cfRule type="cellIs" dxfId="1178" priority="1178" operator="equal">
      <formula>"Mayor"</formula>
    </cfRule>
    <cfRule type="cellIs" dxfId="1177" priority="1179" operator="equal">
      <formula>"Moderado"</formula>
    </cfRule>
    <cfRule type="cellIs" dxfId="1176" priority="1180" operator="equal">
      <formula>"Menor"</formula>
    </cfRule>
    <cfRule type="cellIs" dxfId="1175" priority="1181" operator="equal">
      <formula>"Leve"</formula>
    </cfRule>
  </conditionalFormatting>
  <conditionalFormatting sqref="Q85">
    <cfRule type="cellIs" dxfId="1174" priority="1173" operator="equal">
      <formula>"Extremo"</formula>
    </cfRule>
    <cfRule type="cellIs" dxfId="1173" priority="1174" operator="equal">
      <formula>"Alto"</formula>
    </cfRule>
    <cfRule type="cellIs" dxfId="1172" priority="1175" operator="equal">
      <formula>"Moderado"</formula>
    </cfRule>
    <cfRule type="cellIs" dxfId="1171" priority="1176" operator="equal">
      <formula>"Bajo"</formula>
    </cfRule>
  </conditionalFormatting>
  <conditionalFormatting sqref="N85:N87">
    <cfRule type="containsText" dxfId="1170" priority="1172" operator="containsText" text="❌">
      <formula>NOT(ISERROR(SEARCH("❌",N85)))</formula>
    </cfRule>
  </conditionalFormatting>
  <conditionalFormatting sqref="K88">
    <cfRule type="cellIs" dxfId="1169" priority="1167" operator="equal">
      <formula>"Muy Alta"</formula>
    </cfRule>
    <cfRule type="cellIs" dxfId="1168" priority="1168" operator="equal">
      <formula>"Alta"</formula>
    </cfRule>
    <cfRule type="cellIs" dxfId="1167" priority="1169" operator="equal">
      <formula>"Media"</formula>
    </cfRule>
    <cfRule type="cellIs" dxfId="1166" priority="1170" operator="equal">
      <formula>"Baja"</formula>
    </cfRule>
    <cfRule type="cellIs" dxfId="1165" priority="1171" operator="equal">
      <formula>"Muy Baja"</formula>
    </cfRule>
  </conditionalFormatting>
  <conditionalFormatting sqref="O88">
    <cfRule type="cellIs" dxfId="1164" priority="1162" operator="equal">
      <formula>"Catastrófico"</formula>
    </cfRule>
    <cfRule type="cellIs" dxfId="1163" priority="1163" operator="equal">
      <formula>"Mayor"</formula>
    </cfRule>
    <cfRule type="cellIs" dxfId="1162" priority="1164" operator="equal">
      <formula>"Moderado"</formula>
    </cfRule>
    <cfRule type="cellIs" dxfId="1161" priority="1165" operator="equal">
      <formula>"Menor"</formula>
    </cfRule>
    <cfRule type="cellIs" dxfId="1160" priority="1166" operator="equal">
      <formula>"Leve"</formula>
    </cfRule>
  </conditionalFormatting>
  <conditionalFormatting sqref="Q88">
    <cfRule type="cellIs" dxfId="1159" priority="1158" operator="equal">
      <formula>"Extremo"</formula>
    </cfRule>
    <cfRule type="cellIs" dxfId="1158" priority="1159" operator="equal">
      <formula>"Alto"</formula>
    </cfRule>
    <cfRule type="cellIs" dxfId="1157" priority="1160" operator="equal">
      <formula>"Moderado"</formula>
    </cfRule>
    <cfRule type="cellIs" dxfId="1156" priority="1161" operator="equal">
      <formula>"Bajo"</formula>
    </cfRule>
  </conditionalFormatting>
  <conditionalFormatting sqref="N88:N90">
    <cfRule type="containsText" dxfId="1155" priority="1157" operator="containsText" text="❌">
      <formula>NOT(ISERROR(SEARCH("❌",N88)))</formula>
    </cfRule>
  </conditionalFormatting>
  <conditionalFormatting sqref="K91">
    <cfRule type="cellIs" dxfId="1154" priority="1152" operator="equal">
      <formula>"Muy Alta"</formula>
    </cfRule>
    <cfRule type="cellIs" dxfId="1153" priority="1153" operator="equal">
      <formula>"Alta"</formula>
    </cfRule>
    <cfRule type="cellIs" dxfId="1152" priority="1154" operator="equal">
      <formula>"Media"</formula>
    </cfRule>
    <cfRule type="cellIs" dxfId="1151" priority="1155" operator="equal">
      <formula>"Baja"</formula>
    </cfRule>
    <cfRule type="cellIs" dxfId="1150" priority="1156" operator="equal">
      <formula>"Muy Baja"</formula>
    </cfRule>
  </conditionalFormatting>
  <conditionalFormatting sqref="O91">
    <cfRule type="cellIs" dxfId="1149" priority="1147" operator="equal">
      <formula>"Catastrófico"</formula>
    </cfRule>
    <cfRule type="cellIs" dxfId="1148" priority="1148" operator="equal">
      <formula>"Mayor"</formula>
    </cfRule>
    <cfRule type="cellIs" dxfId="1147" priority="1149" operator="equal">
      <formula>"Moderado"</formula>
    </cfRule>
    <cfRule type="cellIs" dxfId="1146" priority="1150" operator="equal">
      <formula>"Menor"</formula>
    </cfRule>
    <cfRule type="cellIs" dxfId="1145" priority="1151" operator="equal">
      <formula>"Leve"</formula>
    </cfRule>
  </conditionalFormatting>
  <conditionalFormatting sqref="Q91">
    <cfRule type="cellIs" dxfId="1144" priority="1143" operator="equal">
      <formula>"Extremo"</formula>
    </cfRule>
    <cfRule type="cellIs" dxfId="1143" priority="1144" operator="equal">
      <formula>"Alto"</formula>
    </cfRule>
    <cfRule type="cellIs" dxfId="1142" priority="1145" operator="equal">
      <formula>"Moderado"</formula>
    </cfRule>
    <cfRule type="cellIs" dxfId="1141" priority="1146" operator="equal">
      <formula>"Bajo"</formula>
    </cfRule>
  </conditionalFormatting>
  <conditionalFormatting sqref="N91:N93">
    <cfRule type="containsText" dxfId="1140" priority="1142" operator="containsText" text="❌">
      <formula>NOT(ISERROR(SEARCH("❌",N91)))</formula>
    </cfRule>
  </conditionalFormatting>
  <conditionalFormatting sqref="O94">
    <cfRule type="cellIs" dxfId="1139" priority="1132" operator="equal">
      <formula>"Catastrófico"</formula>
    </cfRule>
    <cfRule type="cellIs" dxfId="1138" priority="1133" operator="equal">
      <formula>"Mayor"</formula>
    </cfRule>
    <cfRule type="cellIs" dxfId="1137" priority="1134" operator="equal">
      <formula>"Moderado"</formula>
    </cfRule>
    <cfRule type="cellIs" dxfId="1136" priority="1135" operator="equal">
      <formula>"Menor"</formula>
    </cfRule>
    <cfRule type="cellIs" dxfId="1135" priority="1136" operator="equal">
      <formula>"Leve"</formula>
    </cfRule>
  </conditionalFormatting>
  <conditionalFormatting sqref="Q94">
    <cfRule type="cellIs" dxfId="1134" priority="1128" operator="equal">
      <formula>"Extremo"</formula>
    </cfRule>
    <cfRule type="cellIs" dxfId="1133" priority="1129" operator="equal">
      <formula>"Alto"</formula>
    </cfRule>
    <cfRule type="cellIs" dxfId="1132" priority="1130" operator="equal">
      <formula>"Moderado"</formula>
    </cfRule>
    <cfRule type="cellIs" dxfId="1131" priority="1131" operator="equal">
      <formula>"Bajo"</formula>
    </cfRule>
  </conditionalFormatting>
  <conditionalFormatting sqref="N94:N96">
    <cfRule type="containsText" dxfId="1130" priority="1127" operator="containsText" text="❌">
      <formula>NOT(ISERROR(SEARCH("❌",N94)))</formula>
    </cfRule>
  </conditionalFormatting>
  <conditionalFormatting sqref="K97">
    <cfRule type="cellIs" dxfId="1129" priority="1122" operator="equal">
      <formula>"Muy Alta"</formula>
    </cfRule>
    <cfRule type="cellIs" dxfId="1128" priority="1123" operator="equal">
      <formula>"Alta"</formula>
    </cfRule>
    <cfRule type="cellIs" dxfId="1127" priority="1124" operator="equal">
      <formula>"Media"</formula>
    </cfRule>
    <cfRule type="cellIs" dxfId="1126" priority="1125" operator="equal">
      <formula>"Baja"</formula>
    </cfRule>
    <cfRule type="cellIs" dxfId="1125" priority="1126" operator="equal">
      <formula>"Muy Baja"</formula>
    </cfRule>
  </conditionalFormatting>
  <conditionalFormatting sqref="O97">
    <cfRule type="cellIs" dxfId="1124" priority="1117" operator="equal">
      <formula>"Catastrófico"</formula>
    </cfRule>
    <cfRule type="cellIs" dxfId="1123" priority="1118" operator="equal">
      <formula>"Mayor"</formula>
    </cfRule>
    <cfRule type="cellIs" dxfId="1122" priority="1119" operator="equal">
      <formula>"Moderado"</formula>
    </cfRule>
    <cfRule type="cellIs" dxfId="1121" priority="1120" operator="equal">
      <formula>"Menor"</formula>
    </cfRule>
    <cfRule type="cellIs" dxfId="1120" priority="1121" operator="equal">
      <formula>"Leve"</formula>
    </cfRule>
  </conditionalFormatting>
  <conditionalFormatting sqref="Q97">
    <cfRule type="cellIs" dxfId="1119" priority="1113" operator="equal">
      <formula>"Extremo"</formula>
    </cfRule>
    <cfRule type="cellIs" dxfId="1118" priority="1114" operator="equal">
      <formula>"Alto"</formula>
    </cfRule>
    <cfRule type="cellIs" dxfId="1117" priority="1115" operator="equal">
      <formula>"Moderado"</formula>
    </cfRule>
    <cfRule type="cellIs" dxfId="1116" priority="1116" operator="equal">
      <formula>"Bajo"</formula>
    </cfRule>
  </conditionalFormatting>
  <conditionalFormatting sqref="N97:N99">
    <cfRule type="containsText" dxfId="1115" priority="1112" operator="containsText" text="❌">
      <formula>NOT(ISERROR(SEARCH("❌",N97)))</formula>
    </cfRule>
  </conditionalFormatting>
  <conditionalFormatting sqref="K100">
    <cfRule type="cellIs" dxfId="1114" priority="1107" operator="equal">
      <formula>"Muy Alta"</formula>
    </cfRule>
    <cfRule type="cellIs" dxfId="1113" priority="1108" operator="equal">
      <formula>"Alta"</formula>
    </cfRule>
    <cfRule type="cellIs" dxfId="1112" priority="1109" operator="equal">
      <formula>"Media"</formula>
    </cfRule>
    <cfRule type="cellIs" dxfId="1111" priority="1110" operator="equal">
      <formula>"Baja"</formula>
    </cfRule>
    <cfRule type="cellIs" dxfId="1110" priority="1111" operator="equal">
      <formula>"Muy Baja"</formula>
    </cfRule>
  </conditionalFormatting>
  <conditionalFormatting sqref="O100">
    <cfRule type="cellIs" dxfId="1109" priority="1102" operator="equal">
      <formula>"Catastrófico"</formula>
    </cfRule>
    <cfRule type="cellIs" dxfId="1108" priority="1103" operator="equal">
      <formula>"Mayor"</formula>
    </cfRule>
    <cfRule type="cellIs" dxfId="1107" priority="1104" operator="equal">
      <formula>"Moderado"</formula>
    </cfRule>
    <cfRule type="cellIs" dxfId="1106" priority="1105" operator="equal">
      <formula>"Menor"</formula>
    </cfRule>
    <cfRule type="cellIs" dxfId="1105" priority="1106" operator="equal">
      <formula>"Leve"</formula>
    </cfRule>
  </conditionalFormatting>
  <conditionalFormatting sqref="Q100">
    <cfRule type="cellIs" dxfId="1104" priority="1098" operator="equal">
      <formula>"Extremo"</formula>
    </cfRule>
    <cfRule type="cellIs" dxfId="1103" priority="1099" operator="equal">
      <formula>"Alto"</formula>
    </cfRule>
    <cfRule type="cellIs" dxfId="1102" priority="1100" operator="equal">
      <formula>"Moderado"</formula>
    </cfRule>
    <cfRule type="cellIs" dxfId="1101" priority="1101" operator="equal">
      <formula>"Bajo"</formula>
    </cfRule>
  </conditionalFormatting>
  <conditionalFormatting sqref="N100:N102">
    <cfRule type="containsText" dxfId="1100" priority="1097" operator="containsText" text="❌">
      <formula>NOT(ISERROR(SEARCH("❌",N100)))</formula>
    </cfRule>
  </conditionalFormatting>
  <conditionalFormatting sqref="K103">
    <cfRule type="cellIs" dxfId="1099" priority="1092" operator="equal">
      <formula>"Muy Alta"</formula>
    </cfRule>
    <cfRule type="cellIs" dxfId="1098" priority="1093" operator="equal">
      <formula>"Alta"</formula>
    </cfRule>
    <cfRule type="cellIs" dxfId="1097" priority="1094" operator="equal">
      <formula>"Media"</formula>
    </cfRule>
    <cfRule type="cellIs" dxfId="1096" priority="1095" operator="equal">
      <formula>"Baja"</formula>
    </cfRule>
    <cfRule type="cellIs" dxfId="1095" priority="1096" operator="equal">
      <formula>"Muy Baja"</formula>
    </cfRule>
  </conditionalFormatting>
  <conditionalFormatting sqref="O103">
    <cfRule type="cellIs" dxfId="1094" priority="1087" operator="equal">
      <formula>"Catastrófico"</formula>
    </cfRule>
    <cfRule type="cellIs" dxfId="1093" priority="1088" operator="equal">
      <formula>"Mayor"</formula>
    </cfRule>
    <cfRule type="cellIs" dxfId="1092" priority="1089" operator="equal">
      <formula>"Moderado"</formula>
    </cfRule>
    <cfRule type="cellIs" dxfId="1091" priority="1090" operator="equal">
      <formula>"Menor"</formula>
    </cfRule>
    <cfRule type="cellIs" dxfId="1090" priority="1091" operator="equal">
      <formula>"Leve"</formula>
    </cfRule>
  </conditionalFormatting>
  <conditionalFormatting sqref="Q103">
    <cfRule type="cellIs" dxfId="1089" priority="1083" operator="equal">
      <formula>"Extremo"</formula>
    </cfRule>
    <cfRule type="cellIs" dxfId="1088" priority="1084" operator="equal">
      <formula>"Alto"</formula>
    </cfRule>
    <cfRule type="cellIs" dxfId="1087" priority="1085" operator="equal">
      <formula>"Moderado"</formula>
    </cfRule>
    <cfRule type="cellIs" dxfId="1086" priority="1086" operator="equal">
      <formula>"Bajo"</formula>
    </cfRule>
  </conditionalFormatting>
  <conditionalFormatting sqref="N103:N105">
    <cfRule type="containsText" dxfId="1085" priority="1082" operator="containsText" text="❌">
      <formula>NOT(ISERROR(SEARCH("❌",N103)))</formula>
    </cfRule>
  </conditionalFormatting>
  <conditionalFormatting sqref="K121">
    <cfRule type="cellIs" dxfId="1084" priority="1077" operator="equal">
      <formula>"Muy Alta"</formula>
    </cfRule>
    <cfRule type="cellIs" dxfId="1083" priority="1078" operator="equal">
      <formula>"Alta"</formula>
    </cfRule>
    <cfRule type="cellIs" dxfId="1082" priority="1079" operator="equal">
      <formula>"Media"</formula>
    </cfRule>
    <cfRule type="cellIs" dxfId="1081" priority="1080" operator="equal">
      <formula>"Baja"</formula>
    </cfRule>
    <cfRule type="cellIs" dxfId="1080" priority="1081" operator="equal">
      <formula>"Muy Baja"</formula>
    </cfRule>
  </conditionalFormatting>
  <conditionalFormatting sqref="O121">
    <cfRule type="cellIs" dxfId="1079" priority="1072" operator="equal">
      <formula>"Catastrófico"</formula>
    </cfRule>
    <cfRule type="cellIs" dxfId="1078" priority="1073" operator="equal">
      <formula>"Mayor"</formula>
    </cfRule>
    <cfRule type="cellIs" dxfId="1077" priority="1074" operator="equal">
      <formula>"Moderado"</formula>
    </cfRule>
    <cfRule type="cellIs" dxfId="1076" priority="1075" operator="equal">
      <formula>"Menor"</formula>
    </cfRule>
    <cfRule type="cellIs" dxfId="1075" priority="1076" operator="equal">
      <formula>"Leve"</formula>
    </cfRule>
  </conditionalFormatting>
  <conditionalFormatting sqref="Q121">
    <cfRule type="cellIs" dxfId="1074" priority="1068" operator="equal">
      <formula>"Extremo"</formula>
    </cfRule>
    <cfRule type="cellIs" dxfId="1073" priority="1069" operator="equal">
      <formula>"Alto"</formula>
    </cfRule>
    <cfRule type="cellIs" dxfId="1072" priority="1070" operator="equal">
      <formula>"Moderado"</formula>
    </cfRule>
    <cfRule type="cellIs" dxfId="1071" priority="1071" operator="equal">
      <formula>"Bajo"</formula>
    </cfRule>
  </conditionalFormatting>
  <conditionalFormatting sqref="N121:N123">
    <cfRule type="containsText" dxfId="1070" priority="1067" operator="containsText" text="❌">
      <formula>NOT(ISERROR(SEARCH("❌",N121)))</formula>
    </cfRule>
  </conditionalFormatting>
  <conditionalFormatting sqref="AB106">
    <cfRule type="cellIs" dxfId="1069" priority="1062" operator="equal">
      <formula>"Muy Alta"</formula>
    </cfRule>
    <cfRule type="cellIs" dxfId="1068" priority="1063" operator="equal">
      <formula>"Alta"</formula>
    </cfRule>
    <cfRule type="cellIs" dxfId="1067" priority="1064" operator="equal">
      <formula>"Media"</formula>
    </cfRule>
    <cfRule type="cellIs" dxfId="1066" priority="1065" operator="equal">
      <formula>"Baja"</formula>
    </cfRule>
    <cfRule type="cellIs" dxfId="1065" priority="1066" operator="equal">
      <formula>"Muy Baja"</formula>
    </cfRule>
  </conditionalFormatting>
  <conditionalFormatting sqref="AD106">
    <cfRule type="cellIs" dxfId="1064" priority="1057" operator="equal">
      <formula>"Catastrófico"</formula>
    </cfRule>
    <cfRule type="cellIs" dxfId="1063" priority="1058" operator="equal">
      <formula>"Mayor"</formula>
    </cfRule>
    <cfRule type="cellIs" dxfId="1062" priority="1059" operator="equal">
      <formula>"Moderado"</formula>
    </cfRule>
    <cfRule type="cellIs" dxfId="1061" priority="1060" operator="equal">
      <formula>"Menor"</formula>
    </cfRule>
    <cfRule type="cellIs" dxfId="1060" priority="1061" operator="equal">
      <formula>"Leve"</formula>
    </cfRule>
  </conditionalFormatting>
  <conditionalFormatting sqref="AF106">
    <cfRule type="cellIs" dxfId="1059" priority="1053" operator="equal">
      <formula>"Extremo"</formula>
    </cfRule>
    <cfRule type="cellIs" dxfId="1058" priority="1054" operator="equal">
      <formula>"Alto"</formula>
    </cfRule>
    <cfRule type="cellIs" dxfId="1057" priority="1055" operator="equal">
      <formula>"Moderado"</formula>
    </cfRule>
    <cfRule type="cellIs" dxfId="1056" priority="1056" operator="equal">
      <formula>"Bajo"</formula>
    </cfRule>
  </conditionalFormatting>
  <conditionalFormatting sqref="AB107">
    <cfRule type="cellIs" dxfId="1055" priority="1048" operator="equal">
      <formula>"Muy Alta"</formula>
    </cfRule>
    <cfRule type="cellIs" dxfId="1054" priority="1049" operator="equal">
      <formula>"Alta"</formula>
    </cfRule>
    <cfRule type="cellIs" dxfId="1053" priority="1050" operator="equal">
      <formula>"Media"</formula>
    </cfRule>
    <cfRule type="cellIs" dxfId="1052" priority="1051" operator="equal">
      <formula>"Baja"</formula>
    </cfRule>
    <cfRule type="cellIs" dxfId="1051" priority="1052" operator="equal">
      <formula>"Muy Baja"</formula>
    </cfRule>
  </conditionalFormatting>
  <conditionalFormatting sqref="AD107">
    <cfRule type="cellIs" dxfId="1050" priority="1043" operator="equal">
      <formula>"Catastrófico"</formula>
    </cfRule>
    <cfRule type="cellIs" dxfId="1049" priority="1044" operator="equal">
      <formula>"Mayor"</formula>
    </cfRule>
    <cfRule type="cellIs" dxfId="1048" priority="1045" operator="equal">
      <formula>"Moderado"</formula>
    </cfRule>
    <cfRule type="cellIs" dxfId="1047" priority="1046" operator="equal">
      <formula>"Menor"</formula>
    </cfRule>
    <cfRule type="cellIs" dxfId="1046" priority="1047" operator="equal">
      <formula>"Leve"</formula>
    </cfRule>
  </conditionalFormatting>
  <conditionalFormatting sqref="AF107">
    <cfRule type="cellIs" dxfId="1045" priority="1039" operator="equal">
      <formula>"Extremo"</formula>
    </cfRule>
    <cfRule type="cellIs" dxfId="1044" priority="1040" operator="equal">
      <formula>"Alto"</formula>
    </cfRule>
    <cfRule type="cellIs" dxfId="1043" priority="1041" operator="equal">
      <formula>"Moderado"</formula>
    </cfRule>
    <cfRule type="cellIs" dxfId="1042" priority="1042" operator="equal">
      <formula>"Bajo"</formula>
    </cfRule>
  </conditionalFormatting>
  <conditionalFormatting sqref="AB108">
    <cfRule type="cellIs" dxfId="1041" priority="1034" operator="equal">
      <formula>"Muy Alta"</formula>
    </cfRule>
    <cfRule type="cellIs" dxfId="1040" priority="1035" operator="equal">
      <formula>"Alta"</formula>
    </cfRule>
    <cfRule type="cellIs" dxfId="1039" priority="1036" operator="equal">
      <formula>"Media"</formula>
    </cfRule>
    <cfRule type="cellIs" dxfId="1038" priority="1037" operator="equal">
      <formula>"Baja"</formula>
    </cfRule>
    <cfRule type="cellIs" dxfId="1037" priority="1038" operator="equal">
      <formula>"Muy Baja"</formula>
    </cfRule>
  </conditionalFormatting>
  <conditionalFormatting sqref="AD108">
    <cfRule type="cellIs" dxfId="1036" priority="1029" operator="equal">
      <formula>"Catastrófico"</formula>
    </cfRule>
    <cfRule type="cellIs" dxfId="1035" priority="1030" operator="equal">
      <formula>"Mayor"</formula>
    </cfRule>
    <cfRule type="cellIs" dxfId="1034" priority="1031" operator="equal">
      <formula>"Moderado"</formula>
    </cfRule>
    <cfRule type="cellIs" dxfId="1033" priority="1032" operator="equal">
      <formula>"Menor"</formula>
    </cfRule>
    <cfRule type="cellIs" dxfId="1032" priority="1033" operator="equal">
      <formula>"Leve"</formula>
    </cfRule>
  </conditionalFormatting>
  <conditionalFormatting sqref="AF108">
    <cfRule type="cellIs" dxfId="1031" priority="1025" operator="equal">
      <formula>"Extremo"</formula>
    </cfRule>
    <cfRule type="cellIs" dxfId="1030" priority="1026" operator="equal">
      <formula>"Alto"</formula>
    </cfRule>
    <cfRule type="cellIs" dxfId="1029" priority="1027" operator="equal">
      <formula>"Moderado"</formula>
    </cfRule>
    <cfRule type="cellIs" dxfId="1028" priority="1028" operator="equal">
      <formula>"Bajo"</formula>
    </cfRule>
  </conditionalFormatting>
  <conditionalFormatting sqref="K106">
    <cfRule type="cellIs" dxfId="1027" priority="1020" operator="equal">
      <formula>"Muy Alta"</formula>
    </cfRule>
    <cfRule type="cellIs" dxfId="1026" priority="1021" operator="equal">
      <formula>"Alta"</formula>
    </cfRule>
    <cfRule type="cellIs" dxfId="1025" priority="1022" operator="equal">
      <formula>"Media"</formula>
    </cfRule>
    <cfRule type="cellIs" dxfId="1024" priority="1023" operator="equal">
      <formula>"Baja"</formula>
    </cfRule>
    <cfRule type="cellIs" dxfId="1023" priority="1024" operator="equal">
      <formula>"Muy Baja"</formula>
    </cfRule>
  </conditionalFormatting>
  <conditionalFormatting sqref="O106">
    <cfRule type="cellIs" dxfId="1022" priority="1015" operator="equal">
      <formula>"Catastrófico"</formula>
    </cfRule>
    <cfRule type="cellIs" dxfId="1021" priority="1016" operator="equal">
      <formula>"Mayor"</formula>
    </cfRule>
    <cfRule type="cellIs" dxfId="1020" priority="1017" operator="equal">
      <formula>"Moderado"</formula>
    </cfRule>
    <cfRule type="cellIs" dxfId="1019" priority="1018" operator="equal">
      <formula>"Menor"</formula>
    </cfRule>
    <cfRule type="cellIs" dxfId="1018" priority="1019" operator="equal">
      <formula>"Leve"</formula>
    </cfRule>
  </conditionalFormatting>
  <conditionalFormatting sqref="Q106">
    <cfRule type="cellIs" dxfId="1017" priority="1011" operator="equal">
      <formula>"Extremo"</formula>
    </cfRule>
    <cfRule type="cellIs" dxfId="1016" priority="1012" operator="equal">
      <formula>"Alto"</formula>
    </cfRule>
    <cfRule type="cellIs" dxfId="1015" priority="1013" operator="equal">
      <formula>"Moderado"</formula>
    </cfRule>
    <cfRule type="cellIs" dxfId="1014" priority="1014" operator="equal">
      <formula>"Bajo"</formula>
    </cfRule>
  </conditionalFormatting>
  <conditionalFormatting sqref="N106:N108">
    <cfRule type="containsText" dxfId="1013" priority="1010" operator="containsText" text="❌">
      <formula>NOT(ISERROR(SEARCH("❌",N106)))</formula>
    </cfRule>
  </conditionalFormatting>
  <conditionalFormatting sqref="AB109">
    <cfRule type="cellIs" dxfId="1012" priority="1005" operator="equal">
      <formula>"Muy Alta"</formula>
    </cfRule>
    <cfRule type="cellIs" dxfId="1011" priority="1006" operator="equal">
      <formula>"Alta"</formula>
    </cfRule>
    <cfRule type="cellIs" dxfId="1010" priority="1007" operator="equal">
      <formula>"Media"</formula>
    </cfRule>
    <cfRule type="cellIs" dxfId="1009" priority="1008" operator="equal">
      <formula>"Baja"</formula>
    </cfRule>
    <cfRule type="cellIs" dxfId="1008" priority="1009" operator="equal">
      <formula>"Muy Baja"</formula>
    </cfRule>
  </conditionalFormatting>
  <conditionalFormatting sqref="AD109">
    <cfRule type="cellIs" dxfId="1007" priority="1000" operator="equal">
      <formula>"Catastrófico"</formula>
    </cfRule>
    <cfRule type="cellIs" dxfId="1006" priority="1001" operator="equal">
      <formula>"Mayor"</formula>
    </cfRule>
    <cfRule type="cellIs" dxfId="1005" priority="1002" operator="equal">
      <formula>"Moderado"</formula>
    </cfRule>
    <cfRule type="cellIs" dxfId="1004" priority="1003" operator="equal">
      <formula>"Menor"</formula>
    </cfRule>
    <cfRule type="cellIs" dxfId="1003" priority="1004" operator="equal">
      <formula>"Leve"</formula>
    </cfRule>
  </conditionalFormatting>
  <conditionalFormatting sqref="AF109">
    <cfRule type="cellIs" dxfId="1002" priority="996" operator="equal">
      <formula>"Extremo"</formula>
    </cfRule>
    <cfRule type="cellIs" dxfId="1001" priority="997" operator="equal">
      <formula>"Alto"</formula>
    </cfRule>
    <cfRule type="cellIs" dxfId="1000" priority="998" operator="equal">
      <formula>"Moderado"</formula>
    </cfRule>
    <cfRule type="cellIs" dxfId="999" priority="999" operator="equal">
      <formula>"Bajo"</formula>
    </cfRule>
  </conditionalFormatting>
  <conditionalFormatting sqref="AB110">
    <cfRule type="cellIs" dxfId="998" priority="991" operator="equal">
      <formula>"Muy Alta"</formula>
    </cfRule>
    <cfRule type="cellIs" dxfId="997" priority="992" operator="equal">
      <formula>"Alta"</formula>
    </cfRule>
    <cfRule type="cellIs" dxfId="996" priority="993" operator="equal">
      <formula>"Media"</formula>
    </cfRule>
    <cfRule type="cellIs" dxfId="995" priority="994" operator="equal">
      <formula>"Baja"</formula>
    </cfRule>
    <cfRule type="cellIs" dxfId="994" priority="995" operator="equal">
      <formula>"Muy Baja"</formula>
    </cfRule>
  </conditionalFormatting>
  <conditionalFormatting sqref="AD110">
    <cfRule type="cellIs" dxfId="993" priority="986" operator="equal">
      <formula>"Catastrófico"</formula>
    </cfRule>
    <cfRule type="cellIs" dxfId="992" priority="987" operator="equal">
      <formula>"Mayor"</formula>
    </cfRule>
    <cfRule type="cellIs" dxfId="991" priority="988" operator="equal">
      <formula>"Moderado"</formula>
    </cfRule>
    <cfRule type="cellIs" dxfId="990" priority="989" operator="equal">
      <formula>"Menor"</formula>
    </cfRule>
    <cfRule type="cellIs" dxfId="989" priority="990" operator="equal">
      <formula>"Leve"</formula>
    </cfRule>
  </conditionalFormatting>
  <conditionalFormatting sqref="AF110">
    <cfRule type="cellIs" dxfId="988" priority="982" operator="equal">
      <formula>"Extremo"</formula>
    </cfRule>
    <cfRule type="cellIs" dxfId="987" priority="983" operator="equal">
      <formula>"Alto"</formula>
    </cfRule>
    <cfRule type="cellIs" dxfId="986" priority="984" operator="equal">
      <formula>"Moderado"</formula>
    </cfRule>
    <cfRule type="cellIs" dxfId="985" priority="985" operator="equal">
      <formula>"Bajo"</formula>
    </cfRule>
  </conditionalFormatting>
  <conditionalFormatting sqref="AB111">
    <cfRule type="cellIs" dxfId="984" priority="977" operator="equal">
      <formula>"Muy Alta"</formula>
    </cfRule>
    <cfRule type="cellIs" dxfId="983" priority="978" operator="equal">
      <formula>"Alta"</formula>
    </cfRule>
    <cfRule type="cellIs" dxfId="982" priority="979" operator="equal">
      <formula>"Media"</formula>
    </cfRule>
    <cfRule type="cellIs" dxfId="981" priority="980" operator="equal">
      <formula>"Baja"</formula>
    </cfRule>
    <cfRule type="cellIs" dxfId="980" priority="981" operator="equal">
      <formula>"Muy Baja"</formula>
    </cfRule>
  </conditionalFormatting>
  <conditionalFormatting sqref="AD111">
    <cfRule type="cellIs" dxfId="979" priority="972" operator="equal">
      <formula>"Catastrófico"</formula>
    </cfRule>
    <cfRule type="cellIs" dxfId="978" priority="973" operator="equal">
      <formula>"Mayor"</formula>
    </cfRule>
    <cfRule type="cellIs" dxfId="977" priority="974" operator="equal">
      <formula>"Moderado"</formula>
    </cfRule>
    <cfRule type="cellIs" dxfId="976" priority="975" operator="equal">
      <formula>"Menor"</formula>
    </cfRule>
    <cfRule type="cellIs" dxfId="975" priority="976" operator="equal">
      <formula>"Leve"</formula>
    </cfRule>
  </conditionalFormatting>
  <conditionalFormatting sqref="AF111">
    <cfRule type="cellIs" dxfId="974" priority="968" operator="equal">
      <formula>"Extremo"</formula>
    </cfRule>
    <cfRule type="cellIs" dxfId="973" priority="969" operator="equal">
      <formula>"Alto"</formula>
    </cfRule>
    <cfRule type="cellIs" dxfId="972" priority="970" operator="equal">
      <formula>"Moderado"</formula>
    </cfRule>
    <cfRule type="cellIs" dxfId="971" priority="971" operator="equal">
      <formula>"Bajo"</formula>
    </cfRule>
  </conditionalFormatting>
  <conditionalFormatting sqref="K109">
    <cfRule type="cellIs" dxfId="970" priority="963" operator="equal">
      <formula>"Muy Alta"</formula>
    </cfRule>
    <cfRule type="cellIs" dxfId="969" priority="964" operator="equal">
      <formula>"Alta"</formula>
    </cfRule>
    <cfRule type="cellIs" dxfId="968" priority="965" operator="equal">
      <formula>"Media"</formula>
    </cfRule>
    <cfRule type="cellIs" dxfId="967" priority="966" operator="equal">
      <formula>"Baja"</formula>
    </cfRule>
    <cfRule type="cellIs" dxfId="966" priority="967" operator="equal">
      <formula>"Muy Baja"</formula>
    </cfRule>
  </conditionalFormatting>
  <conditionalFormatting sqref="O109">
    <cfRule type="cellIs" dxfId="965" priority="958" operator="equal">
      <formula>"Catastrófico"</formula>
    </cfRule>
    <cfRule type="cellIs" dxfId="964" priority="959" operator="equal">
      <formula>"Mayor"</formula>
    </cfRule>
    <cfRule type="cellIs" dxfId="963" priority="960" operator="equal">
      <formula>"Moderado"</formula>
    </cfRule>
    <cfRule type="cellIs" dxfId="962" priority="961" operator="equal">
      <formula>"Menor"</formula>
    </cfRule>
    <cfRule type="cellIs" dxfId="961" priority="962" operator="equal">
      <formula>"Leve"</formula>
    </cfRule>
  </conditionalFormatting>
  <conditionalFormatting sqref="Q109">
    <cfRule type="cellIs" dxfId="960" priority="954" operator="equal">
      <formula>"Extremo"</formula>
    </cfRule>
    <cfRule type="cellIs" dxfId="959" priority="955" operator="equal">
      <formula>"Alto"</formula>
    </cfRule>
    <cfRule type="cellIs" dxfId="958" priority="956" operator="equal">
      <formula>"Moderado"</formula>
    </cfRule>
    <cfRule type="cellIs" dxfId="957" priority="957" operator="equal">
      <formula>"Bajo"</formula>
    </cfRule>
  </conditionalFormatting>
  <conditionalFormatting sqref="N109:N111">
    <cfRule type="containsText" dxfId="956" priority="953" operator="containsText" text="❌">
      <formula>NOT(ISERROR(SEARCH("❌",N109)))</formula>
    </cfRule>
  </conditionalFormatting>
  <conditionalFormatting sqref="AB112">
    <cfRule type="cellIs" dxfId="955" priority="948" operator="equal">
      <formula>"Muy Alta"</formula>
    </cfRule>
    <cfRule type="cellIs" dxfId="954" priority="949" operator="equal">
      <formula>"Alta"</formula>
    </cfRule>
    <cfRule type="cellIs" dxfId="953" priority="950" operator="equal">
      <formula>"Media"</formula>
    </cfRule>
    <cfRule type="cellIs" dxfId="952" priority="951" operator="equal">
      <formula>"Baja"</formula>
    </cfRule>
    <cfRule type="cellIs" dxfId="951" priority="952" operator="equal">
      <formula>"Muy Baja"</formula>
    </cfRule>
  </conditionalFormatting>
  <conditionalFormatting sqref="AD112">
    <cfRule type="cellIs" dxfId="950" priority="943" operator="equal">
      <formula>"Catastrófico"</formula>
    </cfRule>
    <cfRule type="cellIs" dxfId="949" priority="944" operator="equal">
      <formula>"Mayor"</formula>
    </cfRule>
    <cfRule type="cellIs" dxfId="948" priority="945" operator="equal">
      <formula>"Moderado"</formula>
    </cfRule>
    <cfRule type="cellIs" dxfId="947" priority="946" operator="equal">
      <formula>"Menor"</formula>
    </cfRule>
    <cfRule type="cellIs" dxfId="946" priority="947" operator="equal">
      <formula>"Leve"</formula>
    </cfRule>
  </conditionalFormatting>
  <conditionalFormatting sqref="AF112">
    <cfRule type="cellIs" dxfId="945" priority="939" operator="equal">
      <formula>"Extremo"</formula>
    </cfRule>
    <cfRule type="cellIs" dxfId="944" priority="940" operator="equal">
      <formula>"Alto"</formula>
    </cfRule>
    <cfRule type="cellIs" dxfId="943" priority="941" operator="equal">
      <formula>"Moderado"</formula>
    </cfRule>
    <cfRule type="cellIs" dxfId="942" priority="942" operator="equal">
      <formula>"Bajo"</formula>
    </cfRule>
  </conditionalFormatting>
  <conditionalFormatting sqref="AB113">
    <cfRule type="cellIs" dxfId="941" priority="934" operator="equal">
      <formula>"Muy Alta"</formula>
    </cfRule>
    <cfRule type="cellIs" dxfId="940" priority="935" operator="equal">
      <formula>"Alta"</formula>
    </cfRule>
    <cfRule type="cellIs" dxfId="939" priority="936" operator="equal">
      <formula>"Media"</formula>
    </cfRule>
    <cfRule type="cellIs" dxfId="938" priority="937" operator="equal">
      <formula>"Baja"</formula>
    </cfRule>
    <cfRule type="cellIs" dxfId="937" priority="938" operator="equal">
      <formula>"Muy Baja"</formula>
    </cfRule>
  </conditionalFormatting>
  <conditionalFormatting sqref="AD113">
    <cfRule type="cellIs" dxfId="936" priority="929" operator="equal">
      <formula>"Catastrófico"</formula>
    </cfRule>
    <cfRule type="cellIs" dxfId="935" priority="930" operator="equal">
      <formula>"Mayor"</formula>
    </cfRule>
    <cfRule type="cellIs" dxfId="934" priority="931" operator="equal">
      <formula>"Moderado"</formula>
    </cfRule>
    <cfRule type="cellIs" dxfId="933" priority="932" operator="equal">
      <formula>"Menor"</formula>
    </cfRule>
    <cfRule type="cellIs" dxfId="932" priority="933" operator="equal">
      <formula>"Leve"</formula>
    </cfRule>
  </conditionalFormatting>
  <conditionalFormatting sqref="AF113">
    <cfRule type="cellIs" dxfId="931" priority="925" operator="equal">
      <formula>"Extremo"</formula>
    </cfRule>
    <cfRule type="cellIs" dxfId="930" priority="926" operator="equal">
      <formula>"Alto"</formula>
    </cfRule>
    <cfRule type="cellIs" dxfId="929" priority="927" operator="equal">
      <formula>"Moderado"</formula>
    </cfRule>
    <cfRule type="cellIs" dxfId="928" priority="928" operator="equal">
      <formula>"Bajo"</formula>
    </cfRule>
  </conditionalFormatting>
  <conditionalFormatting sqref="AB114">
    <cfRule type="cellIs" dxfId="927" priority="920" operator="equal">
      <formula>"Muy Alta"</formula>
    </cfRule>
    <cfRule type="cellIs" dxfId="926" priority="921" operator="equal">
      <formula>"Alta"</formula>
    </cfRule>
    <cfRule type="cellIs" dxfId="925" priority="922" operator="equal">
      <formula>"Media"</formula>
    </cfRule>
    <cfRule type="cellIs" dxfId="924" priority="923" operator="equal">
      <formula>"Baja"</formula>
    </cfRule>
    <cfRule type="cellIs" dxfId="923" priority="924" operator="equal">
      <formula>"Muy Baja"</formula>
    </cfRule>
  </conditionalFormatting>
  <conditionalFormatting sqref="AD114">
    <cfRule type="cellIs" dxfId="922" priority="915" operator="equal">
      <formula>"Catastrófico"</formula>
    </cfRule>
    <cfRule type="cellIs" dxfId="921" priority="916" operator="equal">
      <formula>"Mayor"</formula>
    </cfRule>
    <cfRule type="cellIs" dxfId="920" priority="917" operator="equal">
      <formula>"Moderado"</formula>
    </cfRule>
    <cfRule type="cellIs" dxfId="919" priority="918" operator="equal">
      <formula>"Menor"</formula>
    </cfRule>
    <cfRule type="cellIs" dxfId="918" priority="919" operator="equal">
      <formula>"Leve"</formula>
    </cfRule>
  </conditionalFormatting>
  <conditionalFormatting sqref="AF114">
    <cfRule type="cellIs" dxfId="917" priority="911" operator="equal">
      <formula>"Extremo"</formula>
    </cfRule>
    <cfRule type="cellIs" dxfId="916" priority="912" operator="equal">
      <formula>"Alto"</formula>
    </cfRule>
    <cfRule type="cellIs" dxfId="915" priority="913" operator="equal">
      <formula>"Moderado"</formula>
    </cfRule>
    <cfRule type="cellIs" dxfId="914" priority="914" operator="equal">
      <formula>"Bajo"</formula>
    </cfRule>
  </conditionalFormatting>
  <conditionalFormatting sqref="K112">
    <cfRule type="cellIs" dxfId="913" priority="906" operator="equal">
      <formula>"Muy Alta"</formula>
    </cfRule>
    <cfRule type="cellIs" dxfId="912" priority="907" operator="equal">
      <formula>"Alta"</formula>
    </cfRule>
    <cfRule type="cellIs" dxfId="911" priority="908" operator="equal">
      <formula>"Media"</formula>
    </cfRule>
    <cfRule type="cellIs" dxfId="910" priority="909" operator="equal">
      <formula>"Baja"</formula>
    </cfRule>
    <cfRule type="cellIs" dxfId="909" priority="910" operator="equal">
      <formula>"Muy Baja"</formula>
    </cfRule>
  </conditionalFormatting>
  <conditionalFormatting sqref="O112">
    <cfRule type="cellIs" dxfId="908" priority="901" operator="equal">
      <formula>"Catastrófico"</formula>
    </cfRule>
    <cfRule type="cellIs" dxfId="907" priority="902" operator="equal">
      <formula>"Mayor"</formula>
    </cfRule>
    <cfRule type="cellIs" dxfId="906" priority="903" operator="equal">
      <formula>"Moderado"</formula>
    </cfRule>
    <cfRule type="cellIs" dxfId="905" priority="904" operator="equal">
      <formula>"Menor"</formula>
    </cfRule>
    <cfRule type="cellIs" dxfId="904" priority="905" operator="equal">
      <formula>"Leve"</formula>
    </cfRule>
  </conditionalFormatting>
  <conditionalFormatting sqref="Q112">
    <cfRule type="cellIs" dxfId="903" priority="897" operator="equal">
      <formula>"Extremo"</formula>
    </cfRule>
    <cfRule type="cellIs" dxfId="902" priority="898" operator="equal">
      <formula>"Alto"</formula>
    </cfRule>
    <cfRule type="cellIs" dxfId="901" priority="899" operator="equal">
      <formula>"Moderado"</formula>
    </cfRule>
    <cfRule type="cellIs" dxfId="900" priority="900" operator="equal">
      <formula>"Bajo"</formula>
    </cfRule>
  </conditionalFormatting>
  <conditionalFormatting sqref="N112:N114">
    <cfRule type="containsText" dxfId="899" priority="896" operator="containsText" text="❌">
      <formula>NOT(ISERROR(SEARCH("❌",N112)))</formula>
    </cfRule>
  </conditionalFormatting>
  <conditionalFormatting sqref="AB115">
    <cfRule type="cellIs" dxfId="898" priority="891" operator="equal">
      <formula>"Muy Alta"</formula>
    </cfRule>
    <cfRule type="cellIs" dxfId="897" priority="892" operator="equal">
      <formula>"Alta"</formula>
    </cfRule>
    <cfRule type="cellIs" dxfId="896" priority="893" operator="equal">
      <formula>"Media"</formula>
    </cfRule>
    <cfRule type="cellIs" dxfId="895" priority="894" operator="equal">
      <formula>"Baja"</formula>
    </cfRule>
    <cfRule type="cellIs" dxfId="894" priority="895" operator="equal">
      <formula>"Muy Baja"</formula>
    </cfRule>
  </conditionalFormatting>
  <conditionalFormatting sqref="AD115">
    <cfRule type="cellIs" dxfId="893" priority="886" operator="equal">
      <formula>"Catastrófico"</formula>
    </cfRule>
    <cfRule type="cellIs" dxfId="892" priority="887" operator="equal">
      <formula>"Mayor"</formula>
    </cfRule>
    <cfRule type="cellIs" dxfId="891" priority="888" operator="equal">
      <formula>"Moderado"</formula>
    </cfRule>
    <cfRule type="cellIs" dxfId="890" priority="889" operator="equal">
      <formula>"Menor"</formula>
    </cfRule>
    <cfRule type="cellIs" dxfId="889" priority="890" operator="equal">
      <formula>"Leve"</formula>
    </cfRule>
  </conditionalFormatting>
  <conditionalFormatting sqref="AF115">
    <cfRule type="cellIs" dxfId="888" priority="882" operator="equal">
      <formula>"Extremo"</formula>
    </cfRule>
    <cfRule type="cellIs" dxfId="887" priority="883" operator="equal">
      <formula>"Alto"</formula>
    </cfRule>
    <cfRule type="cellIs" dxfId="886" priority="884" operator="equal">
      <formula>"Moderado"</formula>
    </cfRule>
    <cfRule type="cellIs" dxfId="885" priority="885" operator="equal">
      <formula>"Bajo"</formula>
    </cfRule>
  </conditionalFormatting>
  <conditionalFormatting sqref="AB116">
    <cfRule type="cellIs" dxfId="884" priority="877" operator="equal">
      <formula>"Muy Alta"</formula>
    </cfRule>
    <cfRule type="cellIs" dxfId="883" priority="878" operator="equal">
      <formula>"Alta"</formula>
    </cfRule>
    <cfRule type="cellIs" dxfId="882" priority="879" operator="equal">
      <formula>"Media"</formula>
    </cfRule>
    <cfRule type="cellIs" dxfId="881" priority="880" operator="equal">
      <formula>"Baja"</formula>
    </cfRule>
    <cfRule type="cellIs" dxfId="880" priority="881" operator="equal">
      <formula>"Muy Baja"</formula>
    </cfRule>
  </conditionalFormatting>
  <conditionalFormatting sqref="AD116">
    <cfRule type="cellIs" dxfId="879" priority="872" operator="equal">
      <formula>"Catastrófico"</formula>
    </cfRule>
    <cfRule type="cellIs" dxfId="878" priority="873" operator="equal">
      <formula>"Mayor"</formula>
    </cfRule>
    <cfRule type="cellIs" dxfId="877" priority="874" operator="equal">
      <formula>"Moderado"</formula>
    </cfRule>
    <cfRule type="cellIs" dxfId="876" priority="875" operator="equal">
      <formula>"Menor"</formula>
    </cfRule>
    <cfRule type="cellIs" dxfId="875" priority="876" operator="equal">
      <formula>"Leve"</formula>
    </cfRule>
  </conditionalFormatting>
  <conditionalFormatting sqref="AF116">
    <cfRule type="cellIs" dxfId="874" priority="868" operator="equal">
      <formula>"Extremo"</formula>
    </cfRule>
    <cfRule type="cellIs" dxfId="873" priority="869" operator="equal">
      <formula>"Alto"</formula>
    </cfRule>
    <cfRule type="cellIs" dxfId="872" priority="870" operator="equal">
      <formula>"Moderado"</formula>
    </cfRule>
    <cfRule type="cellIs" dxfId="871" priority="871" operator="equal">
      <formula>"Bajo"</formula>
    </cfRule>
  </conditionalFormatting>
  <conditionalFormatting sqref="AB117">
    <cfRule type="cellIs" dxfId="870" priority="863" operator="equal">
      <formula>"Muy Alta"</formula>
    </cfRule>
    <cfRule type="cellIs" dxfId="869" priority="864" operator="equal">
      <formula>"Alta"</formula>
    </cfRule>
    <cfRule type="cellIs" dxfId="868" priority="865" operator="equal">
      <formula>"Media"</formula>
    </cfRule>
    <cfRule type="cellIs" dxfId="867" priority="866" operator="equal">
      <formula>"Baja"</formula>
    </cfRule>
    <cfRule type="cellIs" dxfId="866" priority="867" operator="equal">
      <formula>"Muy Baja"</formula>
    </cfRule>
  </conditionalFormatting>
  <conditionalFormatting sqref="AD117">
    <cfRule type="cellIs" dxfId="865" priority="858" operator="equal">
      <formula>"Catastrófico"</formula>
    </cfRule>
    <cfRule type="cellIs" dxfId="864" priority="859" operator="equal">
      <formula>"Mayor"</formula>
    </cfRule>
    <cfRule type="cellIs" dxfId="863" priority="860" operator="equal">
      <formula>"Moderado"</formula>
    </cfRule>
    <cfRule type="cellIs" dxfId="862" priority="861" operator="equal">
      <formula>"Menor"</formula>
    </cfRule>
    <cfRule type="cellIs" dxfId="861" priority="862" operator="equal">
      <formula>"Leve"</formula>
    </cfRule>
  </conditionalFormatting>
  <conditionalFormatting sqref="AF117">
    <cfRule type="cellIs" dxfId="860" priority="854" operator="equal">
      <formula>"Extremo"</formula>
    </cfRule>
    <cfRule type="cellIs" dxfId="859" priority="855" operator="equal">
      <formula>"Alto"</formula>
    </cfRule>
    <cfRule type="cellIs" dxfId="858" priority="856" operator="equal">
      <formula>"Moderado"</formula>
    </cfRule>
    <cfRule type="cellIs" dxfId="857" priority="857" operator="equal">
      <formula>"Bajo"</formula>
    </cfRule>
  </conditionalFormatting>
  <conditionalFormatting sqref="K115">
    <cfRule type="cellIs" dxfId="856" priority="849" operator="equal">
      <formula>"Muy Alta"</formula>
    </cfRule>
    <cfRule type="cellIs" dxfId="855" priority="850" operator="equal">
      <formula>"Alta"</formula>
    </cfRule>
    <cfRule type="cellIs" dxfId="854" priority="851" operator="equal">
      <formula>"Media"</formula>
    </cfRule>
    <cfRule type="cellIs" dxfId="853" priority="852" operator="equal">
      <formula>"Baja"</formula>
    </cfRule>
    <cfRule type="cellIs" dxfId="852" priority="853" operator="equal">
      <formula>"Muy Baja"</formula>
    </cfRule>
  </conditionalFormatting>
  <conditionalFormatting sqref="O115">
    <cfRule type="cellIs" dxfId="851" priority="844" operator="equal">
      <formula>"Catastrófico"</formula>
    </cfRule>
    <cfRule type="cellIs" dxfId="850" priority="845" operator="equal">
      <formula>"Mayor"</formula>
    </cfRule>
    <cfRule type="cellIs" dxfId="849" priority="846" operator="equal">
      <formula>"Moderado"</formula>
    </cfRule>
    <cfRule type="cellIs" dxfId="848" priority="847" operator="equal">
      <formula>"Menor"</formula>
    </cfRule>
    <cfRule type="cellIs" dxfId="847" priority="848" operator="equal">
      <formula>"Leve"</formula>
    </cfRule>
  </conditionalFormatting>
  <conditionalFormatting sqref="Q115">
    <cfRule type="cellIs" dxfId="846" priority="840" operator="equal">
      <formula>"Extremo"</formula>
    </cfRule>
    <cfRule type="cellIs" dxfId="845" priority="841" operator="equal">
      <formula>"Alto"</formula>
    </cfRule>
    <cfRule type="cellIs" dxfId="844" priority="842" operator="equal">
      <formula>"Moderado"</formula>
    </cfRule>
    <cfRule type="cellIs" dxfId="843" priority="843" operator="equal">
      <formula>"Bajo"</formula>
    </cfRule>
  </conditionalFormatting>
  <conditionalFormatting sqref="N115:N117">
    <cfRule type="containsText" dxfId="842" priority="839" operator="containsText" text="❌">
      <formula>NOT(ISERROR(SEARCH("❌",N115)))</formula>
    </cfRule>
  </conditionalFormatting>
  <conditionalFormatting sqref="AB118">
    <cfRule type="cellIs" dxfId="841" priority="834" operator="equal">
      <formula>"Muy Alta"</formula>
    </cfRule>
    <cfRule type="cellIs" dxfId="840" priority="835" operator="equal">
      <formula>"Alta"</formula>
    </cfRule>
    <cfRule type="cellIs" dxfId="839" priority="836" operator="equal">
      <formula>"Media"</formula>
    </cfRule>
    <cfRule type="cellIs" dxfId="838" priority="837" operator="equal">
      <formula>"Baja"</formula>
    </cfRule>
    <cfRule type="cellIs" dxfId="837" priority="838" operator="equal">
      <formula>"Muy Baja"</formula>
    </cfRule>
  </conditionalFormatting>
  <conditionalFormatting sqref="AD118">
    <cfRule type="cellIs" dxfId="836" priority="829" operator="equal">
      <formula>"Catastrófico"</formula>
    </cfRule>
    <cfRule type="cellIs" dxfId="835" priority="830" operator="equal">
      <formula>"Mayor"</formula>
    </cfRule>
    <cfRule type="cellIs" dxfId="834" priority="831" operator="equal">
      <formula>"Moderado"</formula>
    </cfRule>
    <cfRule type="cellIs" dxfId="833" priority="832" operator="equal">
      <formula>"Menor"</formula>
    </cfRule>
    <cfRule type="cellIs" dxfId="832" priority="833" operator="equal">
      <formula>"Leve"</formula>
    </cfRule>
  </conditionalFormatting>
  <conditionalFormatting sqref="AF118">
    <cfRule type="cellIs" dxfId="831" priority="825" operator="equal">
      <formula>"Extremo"</formula>
    </cfRule>
    <cfRule type="cellIs" dxfId="830" priority="826" operator="equal">
      <formula>"Alto"</formula>
    </cfRule>
    <cfRule type="cellIs" dxfId="829" priority="827" operator="equal">
      <formula>"Moderado"</formula>
    </cfRule>
    <cfRule type="cellIs" dxfId="828" priority="828" operator="equal">
      <formula>"Bajo"</formula>
    </cfRule>
  </conditionalFormatting>
  <conditionalFormatting sqref="AB119">
    <cfRule type="cellIs" dxfId="827" priority="820" operator="equal">
      <formula>"Muy Alta"</formula>
    </cfRule>
    <cfRule type="cellIs" dxfId="826" priority="821" operator="equal">
      <formula>"Alta"</formula>
    </cfRule>
    <cfRule type="cellIs" dxfId="825" priority="822" operator="equal">
      <formula>"Media"</formula>
    </cfRule>
    <cfRule type="cellIs" dxfId="824" priority="823" operator="equal">
      <formula>"Baja"</formula>
    </cfRule>
    <cfRule type="cellIs" dxfId="823" priority="824" operator="equal">
      <formula>"Muy Baja"</formula>
    </cfRule>
  </conditionalFormatting>
  <conditionalFormatting sqref="AD119">
    <cfRule type="cellIs" dxfId="822" priority="815" operator="equal">
      <formula>"Catastrófico"</formula>
    </cfRule>
    <cfRule type="cellIs" dxfId="821" priority="816" operator="equal">
      <formula>"Mayor"</formula>
    </cfRule>
    <cfRule type="cellIs" dxfId="820" priority="817" operator="equal">
      <formula>"Moderado"</formula>
    </cfRule>
    <cfRule type="cellIs" dxfId="819" priority="818" operator="equal">
      <formula>"Menor"</formula>
    </cfRule>
    <cfRule type="cellIs" dxfId="818" priority="819" operator="equal">
      <formula>"Leve"</formula>
    </cfRule>
  </conditionalFormatting>
  <conditionalFormatting sqref="AF119">
    <cfRule type="cellIs" dxfId="817" priority="811" operator="equal">
      <formula>"Extremo"</formula>
    </cfRule>
    <cfRule type="cellIs" dxfId="816" priority="812" operator="equal">
      <formula>"Alto"</formula>
    </cfRule>
    <cfRule type="cellIs" dxfId="815" priority="813" operator="equal">
      <formula>"Moderado"</formula>
    </cfRule>
    <cfRule type="cellIs" dxfId="814" priority="814" operator="equal">
      <formula>"Bajo"</formula>
    </cfRule>
  </conditionalFormatting>
  <conditionalFormatting sqref="AB120:AB123">
    <cfRule type="cellIs" dxfId="813" priority="806" operator="equal">
      <formula>"Muy Alta"</formula>
    </cfRule>
    <cfRule type="cellIs" dxfId="812" priority="807" operator="equal">
      <formula>"Alta"</formula>
    </cfRule>
    <cfRule type="cellIs" dxfId="811" priority="808" operator="equal">
      <formula>"Media"</formula>
    </cfRule>
    <cfRule type="cellIs" dxfId="810" priority="809" operator="equal">
      <formula>"Baja"</formula>
    </cfRule>
    <cfRule type="cellIs" dxfId="809" priority="810" operator="equal">
      <formula>"Muy Baja"</formula>
    </cfRule>
  </conditionalFormatting>
  <conditionalFormatting sqref="AD120:AD123">
    <cfRule type="cellIs" dxfId="808" priority="801" operator="equal">
      <formula>"Catastrófico"</formula>
    </cfRule>
    <cfRule type="cellIs" dxfId="807" priority="802" operator="equal">
      <formula>"Mayor"</formula>
    </cfRule>
    <cfRule type="cellIs" dxfId="806" priority="803" operator="equal">
      <formula>"Moderado"</formula>
    </cfRule>
    <cfRule type="cellIs" dxfId="805" priority="804" operator="equal">
      <formula>"Menor"</formula>
    </cfRule>
    <cfRule type="cellIs" dxfId="804" priority="805" operator="equal">
      <formula>"Leve"</formula>
    </cfRule>
  </conditionalFormatting>
  <conditionalFormatting sqref="AF120:AF123">
    <cfRule type="cellIs" dxfId="803" priority="797" operator="equal">
      <formula>"Extremo"</formula>
    </cfRule>
    <cfRule type="cellIs" dxfId="802" priority="798" operator="equal">
      <formula>"Alto"</formula>
    </cfRule>
    <cfRule type="cellIs" dxfId="801" priority="799" operator="equal">
      <formula>"Moderado"</formula>
    </cfRule>
    <cfRule type="cellIs" dxfId="800" priority="800" operator="equal">
      <formula>"Bajo"</formula>
    </cfRule>
  </conditionalFormatting>
  <conditionalFormatting sqref="K118">
    <cfRule type="cellIs" dxfId="799" priority="792" operator="equal">
      <formula>"Muy Alta"</formula>
    </cfRule>
    <cfRule type="cellIs" dxfId="798" priority="793" operator="equal">
      <formula>"Alta"</formula>
    </cfRule>
    <cfRule type="cellIs" dxfId="797" priority="794" operator="equal">
      <formula>"Media"</formula>
    </cfRule>
    <cfRule type="cellIs" dxfId="796" priority="795" operator="equal">
      <formula>"Baja"</formula>
    </cfRule>
    <cfRule type="cellIs" dxfId="795" priority="796" operator="equal">
      <formula>"Muy Baja"</formula>
    </cfRule>
  </conditionalFormatting>
  <conditionalFormatting sqref="O118">
    <cfRule type="cellIs" dxfId="794" priority="787" operator="equal">
      <formula>"Catastrófico"</formula>
    </cfRule>
    <cfRule type="cellIs" dxfId="793" priority="788" operator="equal">
      <formula>"Mayor"</formula>
    </cfRule>
    <cfRule type="cellIs" dxfId="792" priority="789" operator="equal">
      <formula>"Moderado"</formula>
    </cfRule>
    <cfRule type="cellIs" dxfId="791" priority="790" operator="equal">
      <formula>"Menor"</formula>
    </cfRule>
    <cfRule type="cellIs" dxfId="790" priority="791" operator="equal">
      <formula>"Leve"</formula>
    </cfRule>
  </conditionalFormatting>
  <conditionalFormatting sqref="Q118">
    <cfRule type="cellIs" dxfId="789" priority="783" operator="equal">
      <formula>"Extremo"</formula>
    </cfRule>
    <cfRule type="cellIs" dxfId="788" priority="784" operator="equal">
      <formula>"Alto"</formula>
    </cfRule>
    <cfRule type="cellIs" dxfId="787" priority="785" operator="equal">
      <formula>"Moderado"</formula>
    </cfRule>
    <cfRule type="cellIs" dxfId="786" priority="786" operator="equal">
      <formula>"Bajo"</formula>
    </cfRule>
  </conditionalFormatting>
  <conditionalFormatting sqref="N118:N123">
    <cfRule type="containsText" dxfId="785" priority="782" operator="containsText" text="❌">
      <formula>NOT(ISERROR(SEARCH("❌",N118)))</formula>
    </cfRule>
  </conditionalFormatting>
  <conditionalFormatting sqref="AB124">
    <cfRule type="cellIs" dxfId="784" priority="777" operator="equal">
      <formula>"Muy Alta"</formula>
    </cfRule>
    <cfRule type="cellIs" dxfId="783" priority="778" operator="equal">
      <formula>"Alta"</formula>
    </cfRule>
    <cfRule type="cellIs" dxfId="782" priority="779" operator="equal">
      <formula>"Media"</formula>
    </cfRule>
    <cfRule type="cellIs" dxfId="781" priority="780" operator="equal">
      <formula>"Baja"</formula>
    </cfRule>
    <cfRule type="cellIs" dxfId="780" priority="781" operator="equal">
      <formula>"Muy Baja"</formula>
    </cfRule>
  </conditionalFormatting>
  <conditionalFormatting sqref="AD124">
    <cfRule type="cellIs" dxfId="779" priority="772" operator="equal">
      <formula>"Catastrófico"</formula>
    </cfRule>
    <cfRule type="cellIs" dxfId="778" priority="773" operator="equal">
      <formula>"Mayor"</formula>
    </cfRule>
    <cfRule type="cellIs" dxfId="777" priority="774" operator="equal">
      <formula>"Moderado"</formula>
    </cfRule>
    <cfRule type="cellIs" dxfId="776" priority="775" operator="equal">
      <formula>"Menor"</formula>
    </cfRule>
    <cfRule type="cellIs" dxfId="775" priority="776" operator="equal">
      <formula>"Leve"</formula>
    </cfRule>
  </conditionalFormatting>
  <conditionalFormatting sqref="AF124">
    <cfRule type="cellIs" dxfId="774" priority="768" operator="equal">
      <formula>"Extremo"</formula>
    </cfRule>
    <cfRule type="cellIs" dxfId="773" priority="769" operator="equal">
      <formula>"Alto"</formula>
    </cfRule>
    <cfRule type="cellIs" dxfId="772" priority="770" operator="equal">
      <formula>"Moderado"</formula>
    </cfRule>
    <cfRule type="cellIs" dxfId="771" priority="771" operator="equal">
      <formula>"Bajo"</formula>
    </cfRule>
  </conditionalFormatting>
  <conditionalFormatting sqref="AB125">
    <cfRule type="cellIs" dxfId="770" priority="763" operator="equal">
      <formula>"Muy Alta"</formula>
    </cfRule>
    <cfRule type="cellIs" dxfId="769" priority="764" operator="equal">
      <formula>"Alta"</formula>
    </cfRule>
    <cfRule type="cellIs" dxfId="768" priority="765" operator="equal">
      <formula>"Media"</formula>
    </cfRule>
    <cfRule type="cellIs" dxfId="767" priority="766" operator="equal">
      <formula>"Baja"</formula>
    </cfRule>
    <cfRule type="cellIs" dxfId="766" priority="767" operator="equal">
      <formula>"Muy Baja"</formula>
    </cfRule>
  </conditionalFormatting>
  <conditionalFormatting sqref="AD125">
    <cfRule type="cellIs" dxfId="765" priority="758" operator="equal">
      <formula>"Catastrófico"</formula>
    </cfRule>
    <cfRule type="cellIs" dxfId="764" priority="759" operator="equal">
      <formula>"Mayor"</formula>
    </cfRule>
    <cfRule type="cellIs" dxfId="763" priority="760" operator="equal">
      <formula>"Moderado"</formula>
    </cfRule>
    <cfRule type="cellIs" dxfId="762" priority="761" operator="equal">
      <formula>"Menor"</formula>
    </cfRule>
    <cfRule type="cellIs" dxfId="761" priority="762" operator="equal">
      <formula>"Leve"</formula>
    </cfRule>
  </conditionalFormatting>
  <conditionalFormatting sqref="AF125">
    <cfRule type="cellIs" dxfId="760" priority="754" operator="equal">
      <formula>"Extremo"</formula>
    </cfRule>
    <cfRule type="cellIs" dxfId="759" priority="755" operator="equal">
      <formula>"Alto"</formula>
    </cfRule>
    <cfRule type="cellIs" dxfId="758" priority="756" operator="equal">
      <formula>"Moderado"</formula>
    </cfRule>
    <cfRule type="cellIs" dxfId="757" priority="757" operator="equal">
      <formula>"Bajo"</formula>
    </cfRule>
  </conditionalFormatting>
  <conditionalFormatting sqref="AB126">
    <cfRule type="cellIs" dxfId="756" priority="749" operator="equal">
      <formula>"Muy Alta"</formula>
    </cfRule>
    <cfRule type="cellIs" dxfId="755" priority="750" operator="equal">
      <formula>"Alta"</formula>
    </cfRule>
    <cfRule type="cellIs" dxfId="754" priority="751" operator="equal">
      <formula>"Media"</formula>
    </cfRule>
    <cfRule type="cellIs" dxfId="753" priority="752" operator="equal">
      <formula>"Baja"</formula>
    </cfRule>
    <cfRule type="cellIs" dxfId="752" priority="753" operator="equal">
      <formula>"Muy Baja"</formula>
    </cfRule>
  </conditionalFormatting>
  <conditionalFormatting sqref="AD126">
    <cfRule type="cellIs" dxfId="751" priority="744" operator="equal">
      <formula>"Catastrófico"</formula>
    </cfRule>
    <cfRule type="cellIs" dxfId="750" priority="745" operator="equal">
      <formula>"Mayor"</formula>
    </cfRule>
    <cfRule type="cellIs" dxfId="749" priority="746" operator="equal">
      <formula>"Moderado"</formula>
    </cfRule>
    <cfRule type="cellIs" dxfId="748" priority="747" operator="equal">
      <formula>"Menor"</formula>
    </cfRule>
    <cfRule type="cellIs" dxfId="747" priority="748" operator="equal">
      <formula>"Leve"</formula>
    </cfRule>
  </conditionalFormatting>
  <conditionalFormatting sqref="AF126">
    <cfRule type="cellIs" dxfId="746" priority="740" operator="equal">
      <formula>"Extremo"</formula>
    </cfRule>
    <cfRule type="cellIs" dxfId="745" priority="741" operator="equal">
      <formula>"Alto"</formula>
    </cfRule>
    <cfRule type="cellIs" dxfId="744" priority="742" operator="equal">
      <formula>"Moderado"</formula>
    </cfRule>
    <cfRule type="cellIs" dxfId="743" priority="743" operator="equal">
      <formula>"Bajo"</formula>
    </cfRule>
  </conditionalFormatting>
  <conditionalFormatting sqref="K124">
    <cfRule type="cellIs" dxfId="742" priority="735" operator="equal">
      <formula>"Muy Alta"</formula>
    </cfRule>
    <cfRule type="cellIs" dxfId="741" priority="736" operator="equal">
      <formula>"Alta"</formula>
    </cfRule>
    <cfRule type="cellIs" dxfId="740" priority="737" operator="equal">
      <formula>"Media"</formula>
    </cfRule>
    <cfRule type="cellIs" dxfId="739" priority="738" operator="equal">
      <formula>"Baja"</formula>
    </cfRule>
    <cfRule type="cellIs" dxfId="738" priority="739" operator="equal">
      <formula>"Muy Baja"</formula>
    </cfRule>
  </conditionalFormatting>
  <conditionalFormatting sqref="O124">
    <cfRule type="cellIs" dxfId="737" priority="730" operator="equal">
      <formula>"Catastrófico"</formula>
    </cfRule>
    <cfRule type="cellIs" dxfId="736" priority="731" operator="equal">
      <formula>"Mayor"</formula>
    </cfRule>
    <cfRule type="cellIs" dxfId="735" priority="732" operator="equal">
      <formula>"Moderado"</formula>
    </cfRule>
    <cfRule type="cellIs" dxfId="734" priority="733" operator="equal">
      <formula>"Menor"</formula>
    </cfRule>
    <cfRule type="cellIs" dxfId="733" priority="734" operator="equal">
      <formula>"Leve"</formula>
    </cfRule>
  </conditionalFormatting>
  <conditionalFormatting sqref="Q124">
    <cfRule type="cellIs" dxfId="732" priority="726" operator="equal">
      <formula>"Extremo"</formula>
    </cfRule>
    <cfRule type="cellIs" dxfId="731" priority="727" operator="equal">
      <formula>"Alto"</formula>
    </cfRule>
    <cfRule type="cellIs" dxfId="730" priority="728" operator="equal">
      <formula>"Moderado"</formula>
    </cfRule>
    <cfRule type="cellIs" dxfId="729" priority="729" operator="equal">
      <formula>"Bajo"</formula>
    </cfRule>
  </conditionalFormatting>
  <conditionalFormatting sqref="N124:N126">
    <cfRule type="containsText" dxfId="728" priority="725" operator="containsText" text="❌">
      <formula>NOT(ISERROR(SEARCH("❌",N124)))</formula>
    </cfRule>
  </conditionalFormatting>
  <conditionalFormatting sqref="AB124:AB126">
    <cfRule type="cellIs" dxfId="727" priority="720" operator="equal">
      <formula>"Muy Alta"</formula>
    </cfRule>
    <cfRule type="cellIs" dxfId="726" priority="721" operator="equal">
      <formula>"Alta"</formula>
    </cfRule>
    <cfRule type="cellIs" dxfId="725" priority="722" operator="equal">
      <formula>"Media"</formula>
    </cfRule>
    <cfRule type="cellIs" dxfId="724" priority="723" operator="equal">
      <formula>"Baja"</formula>
    </cfRule>
    <cfRule type="cellIs" dxfId="723" priority="724" operator="equal">
      <formula>"Muy Baja"</formula>
    </cfRule>
  </conditionalFormatting>
  <conditionalFormatting sqref="AD124:AD126">
    <cfRule type="cellIs" dxfId="722" priority="715" operator="equal">
      <formula>"Catastrófico"</formula>
    </cfRule>
    <cfRule type="cellIs" dxfId="721" priority="716" operator="equal">
      <formula>"Mayor"</formula>
    </cfRule>
    <cfRule type="cellIs" dxfId="720" priority="717" operator="equal">
      <formula>"Moderado"</formula>
    </cfRule>
    <cfRule type="cellIs" dxfId="719" priority="718" operator="equal">
      <formula>"Menor"</formula>
    </cfRule>
    <cfRule type="cellIs" dxfId="718" priority="719" operator="equal">
      <formula>"Leve"</formula>
    </cfRule>
  </conditionalFormatting>
  <conditionalFormatting sqref="AF124:AF126">
    <cfRule type="cellIs" dxfId="717" priority="711" operator="equal">
      <formula>"Extremo"</formula>
    </cfRule>
    <cfRule type="cellIs" dxfId="716" priority="712" operator="equal">
      <formula>"Alto"</formula>
    </cfRule>
    <cfRule type="cellIs" dxfId="715" priority="713" operator="equal">
      <formula>"Moderado"</formula>
    </cfRule>
    <cfRule type="cellIs" dxfId="714" priority="714" operator="equal">
      <formula>"Bajo"</formula>
    </cfRule>
  </conditionalFormatting>
  <conditionalFormatting sqref="N124:N126">
    <cfRule type="containsText" dxfId="713" priority="710" operator="containsText" text="❌">
      <formula>NOT(ISERROR(SEARCH("❌",N124)))</formula>
    </cfRule>
  </conditionalFormatting>
  <conditionalFormatting sqref="AB127">
    <cfRule type="cellIs" dxfId="712" priority="705" operator="equal">
      <formula>"Muy Alta"</formula>
    </cfRule>
    <cfRule type="cellIs" dxfId="711" priority="706" operator="equal">
      <formula>"Alta"</formula>
    </cfRule>
    <cfRule type="cellIs" dxfId="710" priority="707" operator="equal">
      <formula>"Media"</formula>
    </cfRule>
    <cfRule type="cellIs" dxfId="709" priority="708" operator="equal">
      <formula>"Baja"</formula>
    </cfRule>
    <cfRule type="cellIs" dxfId="708" priority="709" operator="equal">
      <formula>"Muy Baja"</formula>
    </cfRule>
  </conditionalFormatting>
  <conditionalFormatting sqref="AD127">
    <cfRule type="cellIs" dxfId="707" priority="700" operator="equal">
      <formula>"Catastrófico"</formula>
    </cfRule>
    <cfRule type="cellIs" dxfId="706" priority="701" operator="equal">
      <formula>"Mayor"</formula>
    </cfRule>
    <cfRule type="cellIs" dxfId="705" priority="702" operator="equal">
      <formula>"Moderado"</formula>
    </cfRule>
    <cfRule type="cellIs" dxfId="704" priority="703" operator="equal">
      <formula>"Menor"</formula>
    </cfRule>
    <cfRule type="cellIs" dxfId="703" priority="704" operator="equal">
      <formula>"Leve"</formula>
    </cfRule>
  </conditionalFormatting>
  <conditionalFormatting sqref="AF127">
    <cfRule type="cellIs" dxfId="702" priority="696" operator="equal">
      <formula>"Extremo"</formula>
    </cfRule>
    <cfRule type="cellIs" dxfId="701" priority="697" operator="equal">
      <formula>"Alto"</formula>
    </cfRule>
    <cfRule type="cellIs" dxfId="700" priority="698" operator="equal">
      <formula>"Moderado"</formula>
    </cfRule>
    <cfRule type="cellIs" dxfId="699" priority="699" operator="equal">
      <formula>"Bajo"</formula>
    </cfRule>
  </conditionalFormatting>
  <conditionalFormatting sqref="AB128">
    <cfRule type="cellIs" dxfId="698" priority="691" operator="equal">
      <formula>"Muy Alta"</formula>
    </cfRule>
    <cfRule type="cellIs" dxfId="697" priority="692" operator="equal">
      <formula>"Alta"</formula>
    </cfRule>
    <cfRule type="cellIs" dxfId="696" priority="693" operator="equal">
      <formula>"Media"</formula>
    </cfRule>
    <cfRule type="cellIs" dxfId="695" priority="694" operator="equal">
      <formula>"Baja"</formula>
    </cfRule>
    <cfRule type="cellIs" dxfId="694" priority="695" operator="equal">
      <formula>"Muy Baja"</formula>
    </cfRule>
  </conditionalFormatting>
  <conditionalFormatting sqref="AD128">
    <cfRule type="cellIs" dxfId="693" priority="686" operator="equal">
      <formula>"Catastrófico"</formula>
    </cfRule>
    <cfRule type="cellIs" dxfId="692" priority="687" operator="equal">
      <formula>"Mayor"</formula>
    </cfRule>
    <cfRule type="cellIs" dxfId="691" priority="688" operator="equal">
      <formula>"Moderado"</formula>
    </cfRule>
    <cfRule type="cellIs" dxfId="690" priority="689" operator="equal">
      <formula>"Menor"</formula>
    </cfRule>
    <cfRule type="cellIs" dxfId="689" priority="690" operator="equal">
      <formula>"Leve"</formula>
    </cfRule>
  </conditionalFormatting>
  <conditionalFormatting sqref="AF128">
    <cfRule type="cellIs" dxfId="688" priority="682" operator="equal">
      <formula>"Extremo"</formula>
    </cfRule>
    <cfRule type="cellIs" dxfId="687" priority="683" operator="equal">
      <formula>"Alto"</formula>
    </cfRule>
    <cfRule type="cellIs" dxfId="686" priority="684" operator="equal">
      <formula>"Moderado"</formula>
    </cfRule>
    <cfRule type="cellIs" dxfId="685" priority="685" operator="equal">
      <formula>"Bajo"</formula>
    </cfRule>
  </conditionalFormatting>
  <conditionalFormatting sqref="AB129">
    <cfRule type="cellIs" dxfId="684" priority="677" operator="equal">
      <formula>"Muy Alta"</formula>
    </cfRule>
    <cfRule type="cellIs" dxfId="683" priority="678" operator="equal">
      <formula>"Alta"</formula>
    </cfRule>
    <cfRule type="cellIs" dxfId="682" priority="679" operator="equal">
      <formula>"Media"</formula>
    </cfRule>
    <cfRule type="cellIs" dxfId="681" priority="680" operator="equal">
      <formula>"Baja"</formula>
    </cfRule>
    <cfRule type="cellIs" dxfId="680" priority="681" operator="equal">
      <formula>"Muy Baja"</formula>
    </cfRule>
  </conditionalFormatting>
  <conditionalFormatting sqref="AD129">
    <cfRule type="cellIs" dxfId="679" priority="672" operator="equal">
      <formula>"Catastrófico"</formula>
    </cfRule>
    <cfRule type="cellIs" dxfId="678" priority="673" operator="equal">
      <formula>"Mayor"</formula>
    </cfRule>
    <cfRule type="cellIs" dxfId="677" priority="674" operator="equal">
      <formula>"Moderado"</formula>
    </cfRule>
    <cfRule type="cellIs" dxfId="676" priority="675" operator="equal">
      <formula>"Menor"</formula>
    </cfRule>
    <cfRule type="cellIs" dxfId="675" priority="676" operator="equal">
      <formula>"Leve"</formula>
    </cfRule>
  </conditionalFormatting>
  <conditionalFormatting sqref="AF129">
    <cfRule type="cellIs" dxfId="674" priority="668" operator="equal">
      <formula>"Extremo"</formula>
    </cfRule>
    <cfRule type="cellIs" dxfId="673" priority="669" operator="equal">
      <formula>"Alto"</formula>
    </cfRule>
    <cfRule type="cellIs" dxfId="672" priority="670" operator="equal">
      <formula>"Moderado"</formula>
    </cfRule>
    <cfRule type="cellIs" dxfId="671" priority="671" operator="equal">
      <formula>"Bajo"</formula>
    </cfRule>
  </conditionalFormatting>
  <conditionalFormatting sqref="K127">
    <cfRule type="cellIs" dxfId="670" priority="663" operator="equal">
      <formula>"Muy Alta"</formula>
    </cfRule>
    <cfRule type="cellIs" dxfId="669" priority="664" operator="equal">
      <formula>"Alta"</formula>
    </cfRule>
    <cfRule type="cellIs" dxfId="668" priority="665" operator="equal">
      <formula>"Media"</formula>
    </cfRule>
    <cfRule type="cellIs" dxfId="667" priority="666" operator="equal">
      <formula>"Baja"</formula>
    </cfRule>
    <cfRule type="cellIs" dxfId="666" priority="667" operator="equal">
      <formula>"Muy Baja"</formula>
    </cfRule>
  </conditionalFormatting>
  <conditionalFormatting sqref="O127">
    <cfRule type="cellIs" dxfId="665" priority="658" operator="equal">
      <formula>"Catastrófico"</formula>
    </cfRule>
    <cfRule type="cellIs" dxfId="664" priority="659" operator="equal">
      <formula>"Mayor"</formula>
    </cfRule>
    <cfRule type="cellIs" dxfId="663" priority="660" operator="equal">
      <formula>"Moderado"</formula>
    </cfRule>
    <cfRule type="cellIs" dxfId="662" priority="661" operator="equal">
      <formula>"Menor"</formula>
    </cfRule>
    <cfRule type="cellIs" dxfId="661" priority="662" operator="equal">
      <formula>"Leve"</formula>
    </cfRule>
  </conditionalFormatting>
  <conditionalFormatting sqref="Q127">
    <cfRule type="cellIs" dxfId="660" priority="654" operator="equal">
      <formula>"Extremo"</formula>
    </cfRule>
    <cfRule type="cellIs" dxfId="659" priority="655" operator="equal">
      <formula>"Alto"</formula>
    </cfRule>
    <cfRule type="cellIs" dxfId="658" priority="656" operator="equal">
      <formula>"Moderado"</formula>
    </cfRule>
    <cfRule type="cellIs" dxfId="657" priority="657" operator="equal">
      <formula>"Bajo"</formula>
    </cfRule>
  </conditionalFormatting>
  <conditionalFormatting sqref="N127:N129">
    <cfRule type="containsText" dxfId="656" priority="653" operator="containsText" text="❌">
      <formula>NOT(ISERROR(SEARCH("❌",N127)))</formula>
    </cfRule>
  </conditionalFormatting>
  <conditionalFormatting sqref="AB127:AB129">
    <cfRule type="cellIs" dxfId="655" priority="648" operator="equal">
      <formula>"Muy Alta"</formula>
    </cfRule>
    <cfRule type="cellIs" dxfId="654" priority="649" operator="equal">
      <formula>"Alta"</formula>
    </cfRule>
    <cfRule type="cellIs" dxfId="653" priority="650" operator="equal">
      <formula>"Media"</formula>
    </cfRule>
    <cfRule type="cellIs" dxfId="652" priority="651" operator="equal">
      <formula>"Baja"</formula>
    </cfRule>
    <cfRule type="cellIs" dxfId="651" priority="652" operator="equal">
      <formula>"Muy Baja"</formula>
    </cfRule>
  </conditionalFormatting>
  <conditionalFormatting sqref="AD127:AD129">
    <cfRule type="cellIs" dxfId="650" priority="643" operator="equal">
      <formula>"Catastrófico"</formula>
    </cfRule>
    <cfRule type="cellIs" dxfId="649" priority="644" operator="equal">
      <formula>"Mayor"</formula>
    </cfRule>
    <cfRule type="cellIs" dxfId="648" priority="645" operator="equal">
      <formula>"Moderado"</formula>
    </cfRule>
    <cfRule type="cellIs" dxfId="647" priority="646" operator="equal">
      <formula>"Menor"</formula>
    </cfRule>
    <cfRule type="cellIs" dxfId="646" priority="647" operator="equal">
      <formula>"Leve"</formula>
    </cfRule>
  </conditionalFormatting>
  <conditionalFormatting sqref="AF127:AF129">
    <cfRule type="cellIs" dxfId="645" priority="639" operator="equal">
      <formula>"Extremo"</formula>
    </cfRule>
    <cfRule type="cellIs" dxfId="644" priority="640" operator="equal">
      <formula>"Alto"</formula>
    </cfRule>
    <cfRule type="cellIs" dxfId="643" priority="641" operator="equal">
      <formula>"Moderado"</formula>
    </cfRule>
    <cfRule type="cellIs" dxfId="642" priority="642" operator="equal">
      <formula>"Bajo"</formula>
    </cfRule>
  </conditionalFormatting>
  <conditionalFormatting sqref="N127:N129">
    <cfRule type="containsText" dxfId="641" priority="638" operator="containsText" text="❌">
      <formula>NOT(ISERROR(SEARCH("❌",N127)))</formula>
    </cfRule>
  </conditionalFormatting>
  <conditionalFormatting sqref="AB130">
    <cfRule type="cellIs" dxfId="640" priority="633" operator="equal">
      <formula>"Muy Alta"</formula>
    </cfRule>
    <cfRule type="cellIs" dxfId="639" priority="634" operator="equal">
      <formula>"Alta"</formula>
    </cfRule>
    <cfRule type="cellIs" dxfId="638" priority="635" operator="equal">
      <formula>"Media"</formula>
    </cfRule>
    <cfRule type="cellIs" dxfId="637" priority="636" operator="equal">
      <formula>"Baja"</formula>
    </cfRule>
    <cfRule type="cellIs" dxfId="636" priority="637" operator="equal">
      <formula>"Muy Baja"</formula>
    </cfRule>
  </conditionalFormatting>
  <conditionalFormatting sqref="AD130">
    <cfRule type="cellIs" dxfId="635" priority="628" operator="equal">
      <formula>"Catastrófico"</formula>
    </cfRule>
    <cfRule type="cellIs" dxfId="634" priority="629" operator="equal">
      <formula>"Mayor"</formula>
    </cfRule>
    <cfRule type="cellIs" dxfId="633" priority="630" operator="equal">
      <formula>"Moderado"</formula>
    </cfRule>
    <cfRule type="cellIs" dxfId="632" priority="631" operator="equal">
      <formula>"Menor"</formula>
    </cfRule>
    <cfRule type="cellIs" dxfId="631" priority="632" operator="equal">
      <formula>"Leve"</formula>
    </cfRule>
  </conditionalFormatting>
  <conditionalFormatting sqref="AF130">
    <cfRule type="cellIs" dxfId="630" priority="624" operator="equal">
      <formula>"Extremo"</formula>
    </cfRule>
    <cfRule type="cellIs" dxfId="629" priority="625" operator="equal">
      <formula>"Alto"</formula>
    </cfRule>
    <cfRule type="cellIs" dxfId="628" priority="626" operator="equal">
      <formula>"Moderado"</formula>
    </cfRule>
    <cfRule type="cellIs" dxfId="627" priority="627" operator="equal">
      <formula>"Bajo"</formula>
    </cfRule>
  </conditionalFormatting>
  <conditionalFormatting sqref="AB131">
    <cfRule type="cellIs" dxfId="626" priority="619" operator="equal">
      <formula>"Muy Alta"</formula>
    </cfRule>
    <cfRule type="cellIs" dxfId="625" priority="620" operator="equal">
      <formula>"Alta"</formula>
    </cfRule>
    <cfRule type="cellIs" dxfId="624" priority="621" operator="equal">
      <formula>"Media"</formula>
    </cfRule>
    <cfRule type="cellIs" dxfId="623" priority="622" operator="equal">
      <formula>"Baja"</formula>
    </cfRule>
    <cfRule type="cellIs" dxfId="622" priority="623" operator="equal">
      <formula>"Muy Baja"</formula>
    </cfRule>
  </conditionalFormatting>
  <conditionalFormatting sqref="AD131">
    <cfRule type="cellIs" dxfId="621" priority="614" operator="equal">
      <formula>"Catastrófico"</formula>
    </cfRule>
    <cfRule type="cellIs" dxfId="620" priority="615" operator="equal">
      <formula>"Mayor"</formula>
    </cfRule>
    <cfRule type="cellIs" dxfId="619" priority="616" operator="equal">
      <formula>"Moderado"</formula>
    </cfRule>
    <cfRule type="cellIs" dxfId="618" priority="617" operator="equal">
      <formula>"Menor"</formula>
    </cfRule>
    <cfRule type="cellIs" dxfId="617" priority="618" operator="equal">
      <formula>"Leve"</formula>
    </cfRule>
  </conditionalFormatting>
  <conditionalFormatting sqref="AF131">
    <cfRule type="cellIs" dxfId="616" priority="610" operator="equal">
      <formula>"Extremo"</formula>
    </cfRule>
    <cfRule type="cellIs" dxfId="615" priority="611" operator="equal">
      <formula>"Alto"</formula>
    </cfRule>
    <cfRule type="cellIs" dxfId="614" priority="612" operator="equal">
      <formula>"Moderado"</formula>
    </cfRule>
    <cfRule type="cellIs" dxfId="613" priority="613" operator="equal">
      <formula>"Bajo"</formula>
    </cfRule>
  </conditionalFormatting>
  <conditionalFormatting sqref="AB132">
    <cfRule type="cellIs" dxfId="612" priority="605" operator="equal">
      <formula>"Muy Alta"</formula>
    </cfRule>
    <cfRule type="cellIs" dxfId="611" priority="606" operator="equal">
      <formula>"Alta"</formula>
    </cfRule>
    <cfRule type="cellIs" dxfId="610" priority="607" operator="equal">
      <formula>"Media"</formula>
    </cfRule>
    <cfRule type="cellIs" dxfId="609" priority="608" operator="equal">
      <formula>"Baja"</formula>
    </cfRule>
    <cfRule type="cellIs" dxfId="608" priority="609" operator="equal">
      <formula>"Muy Baja"</formula>
    </cfRule>
  </conditionalFormatting>
  <conditionalFormatting sqref="AD132">
    <cfRule type="cellIs" dxfId="607" priority="600" operator="equal">
      <formula>"Catastrófico"</formula>
    </cfRule>
    <cfRule type="cellIs" dxfId="606" priority="601" operator="equal">
      <formula>"Mayor"</formula>
    </cfRule>
    <cfRule type="cellIs" dxfId="605" priority="602" operator="equal">
      <formula>"Moderado"</formula>
    </cfRule>
    <cfRule type="cellIs" dxfId="604" priority="603" operator="equal">
      <formula>"Menor"</formula>
    </cfRule>
    <cfRule type="cellIs" dxfId="603" priority="604" operator="equal">
      <formula>"Leve"</formula>
    </cfRule>
  </conditionalFormatting>
  <conditionalFormatting sqref="AF132">
    <cfRule type="cellIs" dxfId="602" priority="596" operator="equal">
      <formula>"Extremo"</formula>
    </cfRule>
    <cfRule type="cellIs" dxfId="601" priority="597" operator="equal">
      <formula>"Alto"</formula>
    </cfRule>
    <cfRule type="cellIs" dxfId="600" priority="598" operator="equal">
      <formula>"Moderado"</formula>
    </cfRule>
    <cfRule type="cellIs" dxfId="599" priority="599" operator="equal">
      <formula>"Bajo"</formula>
    </cfRule>
  </conditionalFormatting>
  <conditionalFormatting sqref="K130">
    <cfRule type="cellIs" dxfId="598" priority="591" operator="equal">
      <formula>"Muy Alta"</formula>
    </cfRule>
    <cfRule type="cellIs" dxfId="597" priority="592" operator="equal">
      <formula>"Alta"</formula>
    </cfRule>
    <cfRule type="cellIs" dxfId="596" priority="593" operator="equal">
      <formula>"Media"</formula>
    </cfRule>
    <cfRule type="cellIs" dxfId="595" priority="594" operator="equal">
      <formula>"Baja"</formula>
    </cfRule>
    <cfRule type="cellIs" dxfId="594" priority="595" operator="equal">
      <formula>"Muy Baja"</formula>
    </cfRule>
  </conditionalFormatting>
  <conditionalFormatting sqref="O130">
    <cfRule type="cellIs" dxfId="593" priority="586" operator="equal">
      <formula>"Catastrófico"</formula>
    </cfRule>
    <cfRule type="cellIs" dxfId="592" priority="587" operator="equal">
      <formula>"Mayor"</formula>
    </cfRule>
    <cfRule type="cellIs" dxfId="591" priority="588" operator="equal">
      <formula>"Moderado"</formula>
    </cfRule>
    <cfRule type="cellIs" dxfId="590" priority="589" operator="equal">
      <formula>"Menor"</formula>
    </cfRule>
    <cfRule type="cellIs" dxfId="589" priority="590" operator="equal">
      <formula>"Leve"</formula>
    </cfRule>
  </conditionalFormatting>
  <conditionalFormatting sqref="Q130">
    <cfRule type="cellIs" dxfId="588" priority="582" operator="equal">
      <formula>"Extremo"</formula>
    </cfRule>
    <cfRule type="cellIs" dxfId="587" priority="583" operator="equal">
      <formula>"Alto"</formula>
    </cfRule>
    <cfRule type="cellIs" dxfId="586" priority="584" operator="equal">
      <formula>"Moderado"</formula>
    </cfRule>
    <cfRule type="cellIs" dxfId="585" priority="585" operator="equal">
      <formula>"Bajo"</formula>
    </cfRule>
  </conditionalFormatting>
  <conditionalFormatting sqref="N130:N132">
    <cfRule type="containsText" dxfId="584" priority="581" operator="containsText" text="❌">
      <formula>NOT(ISERROR(SEARCH("❌",N130)))</formula>
    </cfRule>
  </conditionalFormatting>
  <conditionalFormatting sqref="AB130:AB132">
    <cfRule type="cellIs" dxfId="583" priority="576" operator="equal">
      <formula>"Muy Alta"</formula>
    </cfRule>
    <cfRule type="cellIs" dxfId="582" priority="577" operator="equal">
      <formula>"Alta"</formula>
    </cfRule>
    <cfRule type="cellIs" dxfId="581" priority="578" operator="equal">
      <formula>"Media"</formula>
    </cfRule>
    <cfRule type="cellIs" dxfId="580" priority="579" operator="equal">
      <formula>"Baja"</formula>
    </cfRule>
    <cfRule type="cellIs" dxfId="579" priority="580" operator="equal">
      <formula>"Muy Baja"</formula>
    </cfRule>
  </conditionalFormatting>
  <conditionalFormatting sqref="AD130:AD132">
    <cfRule type="cellIs" dxfId="578" priority="571" operator="equal">
      <formula>"Catastrófico"</formula>
    </cfRule>
    <cfRule type="cellIs" dxfId="577" priority="572" operator="equal">
      <formula>"Mayor"</formula>
    </cfRule>
    <cfRule type="cellIs" dxfId="576" priority="573" operator="equal">
      <formula>"Moderado"</formula>
    </cfRule>
    <cfRule type="cellIs" dxfId="575" priority="574" operator="equal">
      <formula>"Menor"</formula>
    </cfRule>
    <cfRule type="cellIs" dxfId="574" priority="575" operator="equal">
      <formula>"Leve"</formula>
    </cfRule>
  </conditionalFormatting>
  <conditionalFormatting sqref="AF130:AF132">
    <cfRule type="cellIs" dxfId="573" priority="567" operator="equal">
      <formula>"Extremo"</formula>
    </cfRule>
    <cfRule type="cellIs" dxfId="572" priority="568" operator="equal">
      <formula>"Alto"</formula>
    </cfRule>
    <cfRule type="cellIs" dxfId="571" priority="569" operator="equal">
      <formula>"Moderado"</formula>
    </cfRule>
    <cfRule type="cellIs" dxfId="570" priority="570" operator="equal">
      <formula>"Bajo"</formula>
    </cfRule>
  </conditionalFormatting>
  <conditionalFormatting sqref="N130:N132">
    <cfRule type="containsText" dxfId="569" priority="566" operator="containsText" text="❌">
      <formula>NOT(ISERROR(SEARCH("❌",N130)))</formula>
    </cfRule>
  </conditionalFormatting>
  <conditionalFormatting sqref="AB133">
    <cfRule type="cellIs" dxfId="568" priority="561" operator="equal">
      <formula>"Muy Alta"</formula>
    </cfRule>
    <cfRule type="cellIs" dxfId="567" priority="562" operator="equal">
      <formula>"Alta"</formula>
    </cfRule>
    <cfRule type="cellIs" dxfId="566" priority="563" operator="equal">
      <formula>"Media"</formula>
    </cfRule>
    <cfRule type="cellIs" dxfId="565" priority="564" operator="equal">
      <formula>"Baja"</formula>
    </cfRule>
    <cfRule type="cellIs" dxfId="564" priority="565" operator="equal">
      <formula>"Muy Baja"</formula>
    </cfRule>
  </conditionalFormatting>
  <conditionalFormatting sqref="AD133">
    <cfRule type="cellIs" dxfId="563" priority="556" operator="equal">
      <formula>"Catastrófico"</formula>
    </cfRule>
    <cfRule type="cellIs" dxfId="562" priority="557" operator="equal">
      <formula>"Mayor"</formula>
    </cfRule>
    <cfRule type="cellIs" dxfId="561" priority="558" operator="equal">
      <formula>"Moderado"</formula>
    </cfRule>
    <cfRule type="cellIs" dxfId="560" priority="559" operator="equal">
      <formula>"Menor"</formula>
    </cfRule>
    <cfRule type="cellIs" dxfId="559" priority="560" operator="equal">
      <formula>"Leve"</formula>
    </cfRule>
  </conditionalFormatting>
  <conditionalFormatting sqref="AF133">
    <cfRule type="cellIs" dxfId="558" priority="552" operator="equal">
      <formula>"Extremo"</formula>
    </cfRule>
    <cfRule type="cellIs" dxfId="557" priority="553" operator="equal">
      <formula>"Alto"</formula>
    </cfRule>
    <cfRule type="cellIs" dxfId="556" priority="554" operator="equal">
      <formula>"Moderado"</formula>
    </cfRule>
    <cfRule type="cellIs" dxfId="555" priority="555" operator="equal">
      <formula>"Bajo"</formula>
    </cfRule>
  </conditionalFormatting>
  <conditionalFormatting sqref="AB134">
    <cfRule type="cellIs" dxfId="554" priority="547" operator="equal">
      <formula>"Muy Alta"</formula>
    </cfRule>
    <cfRule type="cellIs" dxfId="553" priority="548" operator="equal">
      <formula>"Alta"</formula>
    </cfRule>
    <cfRule type="cellIs" dxfId="552" priority="549" operator="equal">
      <formula>"Media"</formula>
    </cfRule>
    <cfRule type="cellIs" dxfId="551" priority="550" operator="equal">
      <formula>"Baja"</formula>
    </cfRule>
    <cfRule type="cellIs" dxfId="550" priority="551" operator="equal">
      <formula>"Muy Baja"</formula>
    </cfRule>
  </conditionalFormatting>
  <conditionalFormatting sqref="AD134">
    <cfRule type="cellIs" dxfId="549" priority="542" operator="equal">
      <formula>"Catastrófico"</formula>
    </cfRule>
    <cfRule type="cellIs" dxfId="548" priority="543" operator="equal">
      <formula>"Mayor"</formula>
    </cfRule>
    <cfRule type="cellIs" dxfId="547" priority="544" operator="equal">
      <formula>"Moderado"</formula>
    </cfRule>
    <cfRule type="cellIs" dxfId="546" priority="545" operator="equal">
      <formula>"Menor"</formula>
    </cfRule>
    <cfRule type="cellIs" dxfId="545" priority="546" operator="equal">
      <formula>"Leve"</formula>
    </cfRule>
  </conditionalFormatting>
  <conditionalFormatting sqref="AF134">
    <cfRule type="cellIs" dxfId="544" priority="538" operator="equal">
      <formula>"Extremo"</formula>
    </cfRule>
    <cfRule type="cellIs" dxfId="543" priority="539" operator="equal">
      <formula>"Alto"</formula>
    </cfRule>
    <cfRule type="cellIs" dxfId="542" priority="540" operator="equal">
      <formula>"Moderado"</formula>
    </cfRule>
    <cfRule type="cellIs" dxfId="541" priority="541" operator="equal">
      <formula>"Bajo"</formula>
    </cfRule>
  </conditionalFormatting>
  <conditionalFormatting sqref="AB135">
    <cfRule type="cellIs" dxfId="540" priority="533" operator="equal">
      <formula>"Muy Alta"</formula>
    </cfRule>
    <cfRule type="cellIs" dxfId="539" priority="534" operator="equal">
      <formula>"Alta"</formula>
    </cfRule>
    <cfRule type="cellIs" dxfId="538" priority="535" operator="equal">
      <formula>"Media"</formula>
    </cfRule>
    <cfRule type="cellIs" dxfId="537" priority="536" operator="equal">
      <formula>"Baja"</formula>
    </cfRule>
    <cfRule type="cellIs" dxfId="536" priority="537" operator="equal">
      <formula>"Muy Baja"</formula>
    </cfRule>
  </conditionalFormatting>
  <conditionalFormatting sqref="AD135">
    <cfRule type="cellIs" dxfId="535" priority="528" operator="equal">
      <formula>"Catastrófico"</formula>
    </cfRule>
    <cfRule type="cellIs" dxfId="534" priority="529" operator="equal">
      <formula>"Mayor"</formula>
    </cfRule>
    <cfRule type="cellIs" dxfId="533" priority="530" operator="equal">
      <formula>"Moderado"</formula>
    </cfRule>
    <cfRule type="cellIs" dxfId="532" priority="531" operator="equal">
      <formula>"Menor"</formula>
    </cfRule>
    <cfRule type="cellIs" dxfId="531" priority="532" operator="equal">
      <formula>"Leve"</formula>
    </cfRule>
  </conditionalFormatting>
  <conditionalFormatting sqref="AF135">
    <cfRule type="cellIs" dxfId="530" priority="524" operator="equal">
      <formula>"Extremo"</formula>
    </cfRule>
    <cfRule type="cellIs" dxfId="529" priority="525" operator="equal">
      <formula>"Alto"</formula>
    </cfRule>
    <cfRule type="cellIs" dxfId="528" priority="526" operator="equal">
      <formula>"Moderado"</formula>
    </cfRule>
    <cfRule type="cellIs" dxfId="527" priority="527" operator="equal">
      <formula>"Bajo"</formula>
    </cfRule>
  </conditionalFormatting>
  <conditionalFormatting sqref="K133">
    <cfRule type="cellIs" dxfId="526" priority="519" operator="equal">
      <formula>"Muy Alta"</formula>
    </cfRule>
    <cfRule type="cellIs" dxfId="525" priority="520" operator="equal">
      <formula>"Alta"</formula>
    </cfRule>
    <cfRule type="cellIs" dxfId="524" priority="521" operator="equal">
      <formula>"Media"</formula>
    </cfRule>
    <cfRule type="cellIs" dxfId="523" priority="522" operator="equal">
      <formula>"Baja"</formula>
    </cfRule>
    <cfRule type="cellIs" dxfId="522" priority="523" operator="equal">
      <formula>"Muy Baja"</formula>
    </cfRule>
  </conditionalFormatting>
  <conditionalFormatting sqref="O133">
    <cfRule type="cellIs" dxfId="521" priority="514" operator="equal">
      <formula>"Catastrófico"</formula>
    </cfRule>
    <cfRule type="cellIs" dxfId="520" priority="515" operator="equal">
      <formula>"Mayor"</formula>
    </cfRule>
    <cfRule type="cellIs" dxfId="519" priority="516" operator="equal">
      <formula>"Moderado"</formula>
    </cfRule>
    <cfRule type="cellIs" dxfId="518" priority="517" operator="equal">
      <formula>"Menor"</formula>
    </cfRule>
    <cfRule type="cellIs" dxfId="517" priority="518" operator="equal">
      <formula>"Leve"</formula>
    </cfRule>
  </conditionalFormatting>
  <conditionalFormatting sqref="Q133">
    <cfRule type="cellIs" dxfId="516" priority="510" operator="equal">
      <formula>"Extremo"</formula>
    </cfRule>
    <cfRule type="cellIs" dxfId="515" priority="511" operator="equal">
      <formula>"Alto"</formula>
    </cfRule>
    <cfRule type="cellIs" dxfId="514" priority="512" operator="equal">
      <formula>"Moderado"</formula>
    </cfRule>
    <cfRule type="cellIs" dxfId="513" priority="513" operator="equal">
      <formula>"Bajo"</formula>
    </cfRule>
  </conditionalFormatting>
  <conditionalFormatting sqref="N133:N135">
    <cfRule type="containsText" dxfId="512" priority="509" operator="containsText" text="❌">
      <formula>NOT(ISERROR(SEARCH("❌",N133)))</formula>
    </cfRule>
  </conditionalFormatting>
  <conditionalFormatting sqref="AB133:AB135">
    <cfRule type="cellIs" dxfId="511" priority="504" operator="equal">
      <formula>"Muy Alta"</formula>
    </cfRule>
    <cfRule type="cellIs" dxfId="510" priority="505" operator="equal">
      <formula>"Alta"</formula>
    </cfRule>
    <cfRule type="cellIs" dxfId="509" priority="506" operator="equal">
      <formula>"Media"</formula>
    </cfRule>
    <cfRule type="cellIs" dxfId="508" priority="507" operator="equal">
      <formula>"Baja"</formula>
    </cfRule>
    <cfRule type="cellIs" dxfId="507" priority="508" operator="equal">
      <formula>"Muy Baja"</formula>
    </cfRule>
  </conditionalFormatting>
  <conditionalFormatting sqref="AD133:AD135">
    <cfRule type="cellIs" dxfId="506" priority="499" operator="equal">
      <formula>"Catastrófico"</formula>
    </cfRule>
    <cfRule type="cellIs" dxfId="505" priority="500" operator="equal">
      <formula>"Mayor"</formula>
    </cfRule>
    <cfRule type="cellIs" dxfId="504" priority="501" operator="equal">
      <formula>"Moderado"</formula>
    </cfRule>
    <cfRule type="cellIs" dxfId="503" priority="502" operator="equal">
      <formula>"Menor"</formula>
    </cfRule>
    <cfRule type="cellIs" dxfId="502" priority="503" operator="equal">
      <formula>"Leve"</formula>
    </cfRule>
  </conditionalFormatting>
  <conditionalFormatting sqref="AF133:AF135">
    <cfRule type="cellIs" dxfId="501" priority="495" operator="equal">
      <formula>"Extremo"</formula>
    </cfRule>
    <cfRule type="cellIs" dxfId="500" priority="496" operator="equal">
      <formula>"Alto"</formula>
    </cfRule>
    <cfRule type="cellIs" dxfId="499" priority="497" operator="equal">
      <formula>"Moderado"</formula>
    </cfRule>
    <cfRule type="cellIs" dxfId="498" priority="498" operator="equal">
      <formula>"Bajo"</formula>
    </cfRule>
  </conditionalFormatting>
  <conditionalFormatting sqref="N133:N135">
    <cfRule type="containsText" dxfId="497" priority="494" operator="containsText" text="❌">
      <formula>NOT(ISERROR(SEARCH("❌",N133)))</formula>
    </cfRule>
  </conditionalFormatting>
  <conditionalFormatting sqref="AB136">
    <cfRule type="cellIs" dxfId="496" priority="489" operator="equal">
      <formula>"Muy Alta"</formula>
    </cfRule>
    <cfRule type="cellIs" dxfId="495" priority="490" operator="equal">
      <formula>"Alta"</formula>
    </cfRule>
    <cfRule type="cellIs" dxfId="494" priority="491" operator="equal">
      <formula>"Media"</formula>
    </cfRule>
    <cfRule type="cellIs" dxfId="493" priority="492" operator="equal">
      <formula>"Baja"</formula>
    </cfRule>
    <cfRule type="cellIs" dxfId="492" priority="493" operator="equal">
      <formula>"Muy Baja"</formula>
    </cfRule>
  </conditionalFormatting>
  <conditionalFormatting sqref="AD136">
    <cfRule type="cellIs" dxfId="491" priority="484" operator="equal">
      <formula>"Catastrófico"</formula>
    </cfRule>
    <cfRule type="cellIs" dxfId="490" priority="485" operator="equal">
      <formula>"Mayor"</formula>
    </cfRule>
    <cfRule type="cellIs" dxfId="489" priority="486" operator="equal">
      <formula>"Moderado"</formula>
    </cfRule>
    <cfRule type="cellIs" dxfId="488" priority="487" operator="equal">
      <formula>"Menor"</formula>
    </cfRule>
    <cfRule type="cellIs" dxfId="487" priority="488" operator="equal">
      <formula>"Leve"</formula>
    </cfRule>
  </conditionalFormatting>
  <conditionalFormatting sqref="AF136">
    <cfRule type="cellIs" dxfId="486" priority="480" operator="equal">
      <formula>"Extremo"</formula>
    </cfRule>
    <cfRule type="cellIs" dxfId="485" priority="481" operator="equal">
      <formula>"Alto"</formula>
    </cfRule>
    <cfRule type="cellIs" dxfId="484" priority="482" operator="equal">
      <formula>"Moderado"</formula>
    </cfRule>
    <cfRule type="cellIs" dxfId="483" priority="483" operator="equal">
      <formula>"Bajo"</formula>
    </cfRule>
  </conditionalFormatting>
  <conditionalFormatting sqref="AB137">
    <cfRule type="cellIs" dxfId="482" priority="475" operator="equal">
      <formula>"Muy Alta"</formula>
    </cfRule>
    <cfRule type="cellIs" dxfId="481" priority="476" operator="equal">
      <formula>"Alta"</formula>
    </cfRule>
    <cfRule type="cellIs" dxfId="480" priority="477" operator="equal">
      <formula>"Media"</formula>
    </cfRule>
    <cfRule type="cellIs" dxfId="479" priority="478" operator="equal">
      <formula>"Baja"</formula>
    </cfRule>
    <cfRule type="cellIs" dxfId="478" priority="479" operator="equal">
      <formula>"Muy Baja"</formula>
    </cfRule>
  </conditionalFormatting>
  <conditionalFormatting sqref="AD137">
    <cfRule type="cellIs" dxfId="477" priority="470" operator="equal">
      <formula>"Catastrófico"</formula>
    </cfRule>
    <cfRule type="cellIs" dxfId="476" priority="471" operator="equal">
      <formula>"Mayor"</formula>
    </cfRule>
    <cfRule type="cellIs" dxfId="475" priority="472" operator="equal">
      <formula>"Moderado"</formula>
    </cfRule>
    <cfRule type="cellIs" dxfId="474" priority="473" operator="equal">
      <formula>"Menor"</formula>
    </cfRule>
    <cfRule type="cellIs" dxfId="473" priority="474" operator="equal">
      <formula>"Leve"</formula>
    </cfRule>
  </conditionalFormatting>
  <conditionalFormatting sqref="AF137">
    <cfRule type="cellIs" dxfId="472" priority="466" operator="equal">
      <formula>"Extremo"</formula>
    </cfRule>
    <cfRule type="cellIs" dxfId="471" priority="467" operator="equal">
      <formula>"Alto"</formula>
    </cfRule>
    <cfRule type="cellIs" dxfId="470" priority="468" operator="equal">
      <formula>"Moderado"</formula>
    </cfRule>
    <cfRule type="cellIs" dxfId="469" priority="469" operator="equal">
      <formula>"Bajo"</formula>
    </cfRule>
  </conditionalFormatting>
  <conditionalFormatting sqref="AB138">
    <cfRule type="cellIs" dxfId="468" priority="461" operator="equal">
      <formula>"Muy Alta"</formula>
    </cfRule>
    <cfRule type="cellIs" dxfId="467" priority="462" operator="equal">
      <formula>"Alta"</formula>
    </cfRule>
    <cfRule type="cellIs" dxfId="466" priority="463" operator="equal">
      <formula>"Media"</formula>
    </cfRule>
    <cfRule type="cellIs" dxfId="465" priority="464" operator="equal">
      <formula>"Baja"</formula>
    </cfRule>
    <cfRule type="cellIs" dxfId="464" priority="465" operator="equal">
      <formula>"Muy Baja"</formula>
    </cfRule>
  </conditionalFormatting>
  <conditionalFormatting sqref="AD138">
    <cfRule type="cellIs" dxfId="463" priority="456" operator="equal">
      <formula>"Catastrófico"</formula>
    </cfRule>
    <cfRule type="cellIs" dxfId="462" priority="457" operator="equal">
      <formula>"Mayor"</formula>
    </cfRule>
    <cfRule type="cellIs" dxfId="461" priority="458" operator="equal">
      <formula>"Moderado"</formula>
    </cfRule>
    <cfRule type="cellIs" dxfId="460" priority="459" operator="equal">
      <formula>"Menor"</formula>
    </cfRule>
    <cfRule type="cellIs" dxfId="459" priority="460" operator="equal">
      <formula>"Leve"</formula>
    </cfRule>
  </conditionalFormatting>
  <conditionalFormatting sqref="AF138">
    <cfRule type="cellIs" dxfId="458" priority="452" operator="equal">
      <formula>"Extremo"</formula>
    </cfRule>
    <cfRule type="cellIs" dxfId="457" priority="453" operator="equal">
      <formula>"Alto"</formula>
    </cfRule>
    <cfRule type="cellIs" dxfId="456" priority="454" operator="equal">
      <formula>"Moderado"</formula>
    </cfRule>
    <cfRule type="cellIs" dxfId="455" priority="455" operator="equal">
      <formula>"Bajo"</formula>
    </cfRule>
  </conditionalFormatting>
  <conditionalFormatting sqref="K136">
    <cfRule type="cellIs" dxfId="454" priority="447" operator="equal">
      <formula>"Muy Alta"</formula>
    </cfRule>
    <cfRule type="cellIs" dxfId="453" priority="448" operator="equal">
      <formula>"Alta"</formula>
    </cfRule>
    <cfRule type="cellIs" dxfId="452" priority="449" operator="equal">
      <formula>"Media"</formula>
    </cfRule>
    <cfRule type="cellIs" dxfId="451" priority="450" operator="equal">
      <formula>"Baja"</formula>
    </cfRule>
    <cfRule type="cellIs" dxfId="450" priority="451" operator="equal">
      <formula>"Muy Baja"</formula>
    </cfRule>
  </conditionalFormatting>
  <conditionalFormatting sqref="O136">
    <cfRule type="cellIs" dxfId="449" priority="442" operator="equal">
      <formula>"Catastrófico"</formula>
    </cfRule>
    <cfRule type="cellIs" dxfId="448" priority="443" operator="equal">
      <formula>"Mayor"</formula>
    </cfRule>
    <cfRule type="cellIs" dxfId="447" priority="444" operator="equal">
      <formula>"Moderado"</formula>
    </cfRule>
    <cfRule type="cellIs" dxfId="446" priority="445" operator="equal">
      <formula>"Menor"</formula>
    </cfRule>
    <cfRule type="cellIs" dxfId="445" priority="446" operator="equal">
      <formula>"Leve"</formula>
    </cfRule>
  </conditionalFormatting>
  <conditionalFormatting sqref="Q136">
    <cfRule type="cellIs" dxfId="444" priority="438" operator="equal">
      <formula>"Extremo"</formula>
    </cfRule>
    <cfRule type="cellIs" dxfId="443" priority="439" operator="equal">
      <formula>"Alto"</formula>
    </cfRule>
    <cfRule type="cellIs" dxfId="442" priority="440" operator="equal">
      <formula>"Moderado"</formula>
    </cfRule>
    <cfRule type="cellIs" dxfId="441" priority="441" operator="equal">
      <formula>"Bajo"</formula>
    </cfRule>
  </conditionalFormatting>
  <conditionalFormatting sqref="N136:N138">
    <cfRule type="containsText" dxfId="440" priority="437" operator="containsText" text="❌">
      <formula>NOT(ISERROR(SEARCH("❌",N136)))</formula>
    </cfRule>
  </conditionalFormatting>
  <conditionalFormatting sqref="AB136:AB138">
    <cfRule type="cellIs" dxfId="439" priority="432" operator="equal">
      <formula>"Muy Alta"</formula>
    </cfRule>
    <cfRule type="cellIs" dxfId="438" priority="433" operator="equal">
      <formula>"Alta"</formula>
    </cfRule>
    <cfRule type="cellIs" dxfId="437" priority="434" operator="equal">
      <formula>"Media"</formula>
    </cfRule>
    <cfRule type="cellIs" dxfId="436" priority="435" operator="equal">
      <formula>"Baja"</formula>
    </cfRule>
    <cfRule type="cellIs" dxfId="435" priority="436" operator="equal">
      <formula>"Muy Baja"</formula>
    </cfRule>
  </conditionalFormatting>
  <conditionalFormatting sqref="AD136:AD138">
    <cfRule type="cellIs" dxfId="434" priority="427" operator="equal">
      <formula>"Catastrófico"</formula>
    </cfRule>
    <cfRule type="cellIs" dxfId="433" priority="428" operator="equal">
      <formula>"Mayor"</formula>
    </cfRule>
    <cfRule type="cellIs" dxfId="432" priority="429" operator="equal">
      <formula>"Moderado"</formula>
    </cfRule>
    <cfRule type="cellIs" dxfId="431" priority="430" operator="equal">
      <formula>"Menor"</formula>
    </cfRule>
    <cfRule type="cellIs" dxfId="430" priority="431" operator="equal">
      <formula>"Leve"</formula>
    </cfRule>
  </conditionalFormatting>
  <conditionalFormatting sqref="AF136:AF138">
    <cfRule type="cellIs" dxfId="429" priority="423" operator="equal">
      <formula>"Extremo"</formula>
    </cfRule>
    <cfRule type="cellIs" dxfId="428" priority="424" operator="equal">
      <formula>"Alto"</formula>
    </cfRule>
    <cfRule type="cellIs" dxfId="427" priority="425" operator="equal">
      <formula>"Moderado"</formula>
    </cfRule>
    <cfRule type="cellIs" dxfId="426" priority="426" operator="equal">
      <formula>"Bajo"</formula>
    </cfRule>
  </conditionalFormatting>
  <conditionalFormatting sqref="N136:N138">
    <cfRule type="containsText" dxfId="425" priority="422" operator="containsText" text="❌">
      <formula>NOT(ISERROR(SEARCH("❌",N136)))</formula>
    </cfRule>
  </conditionalFormatting>
  <conditionalFormatting sqref="AB139">
    <cfRule type="cellIs" dxfId="424" priority="417" operator="equal">
      <formula>"Muy Alta"</formula>
    </cfRule>
    <cfRule type="cellIs" dxfId="423" priority="418" operator="equal">
      <formula>"Alta"</formula>
    </cfRule>
    <cfRule type="cellIs" dxfId="422" priority="419" operator="equal">
      <formula>"Media"</formula>
    </cfRule>
    <cfRule type="cellIs" dxfId="421" priority="420" operator="equal">
      <formula>"Baja"</formula>
    </cfRule>
    <cfRule type="cellIs" dxfId="420" priority="421" operator="equal">
      <formula>"Muy Baja"</formula>
    </cfRule>
  </conditionalFormatting>
  <conditionalFormatting sqref="AD139">
    <cfRule type="cellIs" dxfId="419" priority="412" operator="equal">
      <formula>"Catastrófico"</formula>
    </cfRule>
    <cfRule type="cellIs" dxfId="418" priority="413" operator="equal">
      <formula>"Mayor"</formula>
    </cfRule>
    <cfRule type="cellIs" dxfId="417" priority="414" operator="equal">
      <formula>"Moderado"</formula>
    </cfRule>
    <cfRule type="cellIs" dxfId="416" priority="415" operator="equal">
      <formula>"Menor"</formula>
    </cfRule>
    <cfRule type="cellIs" dxfId="415" priority="416" operator="equal">
      <formula>"Leve"</formula>
    </cfRule>
  </conditionalFormatting>
  <conditionalFormatting sqref="AF139">
    <cfRule type="cellIs" dxfId="414" priority="408" operator="equal">
      <formula>"Extremo"</formula>
    </cfRule>
    <cfRule type="cellIs" dxfId="413" priority="409" operator="equal">
      <formula>"Alto"</formula>
    </cfRule>
    <cfRule type="cellIs" dxfId="412" priority="410" operator="equal">
      <formula>"Moderado"</formula>
    </cfRule>
    <cfRule type="cellIs" dxfId="411" priority="411" operator="equal">
      <formula>"Bajo"</formula>
    </cfRule>
  </conditionalFormatting>
  <conditionalFormatting sqref="AB140">
    <cfRule type="cellIs" dxfId="410" priority="403" operator="equal">
      <formula>"Muy Alta"</formula>
    </cfRule>
    <cfRule type="cellIs" dxfId="409" priority="404" operator="equal">
      <formula>"Alta"</formula>
    </cfRule>
    <cfRule type="cellIs" dxfId="408" priority="405" operator="equal">
      <formula>"Media"</formula>
    </cfRule>
    <cfRule type="cellIs" dxfId="407" priority="406" operator="equal">
      <formula>"Baja"</formula>
    </cfRule>
    <cfRule type="cellIs" dxfId="406" priority="407" operator="equal">
      <formula>"Muy Baja"</formula>
    </cfRule>
  </conditionalFormatting>
  <conditionalFormatting sqref="AD140">
    <cfRule type="cellIs" dxfId="405" priority="398" operator="equal">
      <formula>"Catastrófico"</formula>
    </cfRule>
    <cfRule type="cellIs" dxfId="404" priority="399" operator="equal">
      <formula>"Mayor"</formula>
    </cfRule>
    <cfRule type="cellIs" dxfId="403" priority="400" operator="equal">
      <formula>"Moderado"</formula>
    </cfRule>
    <cfRule type="cellIs" dxfId="402" priority="401" operator="equal">
      <formula>"Menor"</formula>
    </cfRule>
    <cfRule type="cellIs" dxfId="401" priority="402" operator="equal">
      <formula>"Leve"</formula>
    </cfRule>
  </conditionalFormatting>
  <conditionalFormatting sqref="AF140">
    <cfRule type="cellIs" dxfId="400" priority="394" operator="equal">
      <formula>"Extremo"</formula>
    </cfRule>
    <cfRule type="cellIs" dxfId="399" priority="395" operator="equal">
      <formula>"Alto"</formula>
    </cfRule>
    <cfRule type="cellIs" dxfId="398" priority="396" operator="equal">
      <formula>"Moderado"</formula>
    </cfRule>
    <cfRule type="cellIs" dxfId="397" priority="397" operator="equal">
      <formula>"Bajo"</formula>
    </cfRule>
  </conditionalFormatting>
  <conditionalFormatting sqref="AB141">
    <cfRule type="cellIs" dxfId="396" priority="389" operator="equal">
      <formula>"Muy Alta"</formula>
    </cfRule>
    <cfRule type="cellIs" dxfId="395" priority="390" operator="equal">
      <formula>"Alta"</formula>
    </cfRule>
    <cfRule type="cellIs" dxfId="394" priority="391" operator="equal">
      <formula>"Media"</formula>
    </cfRule>
    <cfRule type="cellIs" dxfId="393" priority="392" operator="equal">
      <formula>"Baja"</formula>
    </cfRule>
    <cfRule type="cellIs" dxfId="392" priority="393" operator="equal">
      <formula>"Muy Baja"</formula>
    </cfRule>
  </conditionalFormatting>
  <conditionalFormatting sqref="AD141">
    <cfRule type="cellIs" dxfId="391" priority="384" operator="equal">
      <formula>"Catastrófico"</formula>
    </cfRule>
    <cfRule type="cellIs" dxfId="390" priority="385" operator="equal">
      <formula>"Mayor"</formula>
    </cfRule>
    <cfRule type="cellIs" dxfId="389" priority="386" operator="equal">
      <formula>"Moderado"</formula>
    </cfRule>
    <cfRule type="cellIs" dxfId="388" priority="387" operator="equal">
      <formula>"Menor"</formula>
    </cfRule>
    <cfRule type="cellIs" dxfId="387" priority="388" operator="equal">
      <formula>"Leve"</formula>
    </cfRule>
  </conditionalFormatting>
  <conditionalFormatting sqref="AF141">
    <cfRule type="cellIs" dxfId="386" priority="380" operator="equal">
      <formula>"Extremo"</formula>
    </cfRule>
    <cfRule type="cellIs" dxfId="385" priority="381" operator="equal">
      <formula>"Alto"</formula>
    </cfRule>
    <cfRule type="cellIs" dxfId="384" priority="382" operator="equal">
      <formula>"Moderado"</formula>
    </cfRule>
    <cfRule type="cellIs" dxfId="383" priority="383" operator="equal">
      <formula>"Bajo"</formula>
    </cfRule>
  </conditionalFormatting>
  <conditionalFormatting sqref="K139">
    <cfRule type="cellIs" dxfId="382" priority="375" operator="equal">
      <formula>"Muy Alta"</formula>
    </cfRule>
    <cfRule type="cellIs" dxfId="381" priority="376" operator="equal">
      <formula>"Alta"</formula>
    </cfRule>
    <cfRule type="cellIs" dxfId="380" priority="377" operator="equal">
      <formula>"Media"</formula>
    </cfRule>
    <cfRule type="cellIs" dxfId="379" priority="378" operator="equal">
      <formula>"Baja"</formula>
    </cfRule>
    <cfRule type="cellIs" dxfId="378" priority="379" operator="equal">
      <formula>"Muy Baja"</formula>
    </cfRule>
  </conditionalFormatting>
  <conditionalFormatting sqref="O139">
    <cfRule type="cellIs" dxfId="377" priority="370" operator="equal">
      <formula>"Catastrófico"</formula>
    </cfRule>
    <cfRule type="cellIs" dxfId="376" priority="371" operator="equal">
      <formula>"Mayor"</formula>
    </cfRule>
    <cfRule type="cellIs" dxfId="375" priority="372" operator="equal">
      <formula>"Moderado"</formula>
    </cfRule>
    <cfRule type="cellIs" dxfId="374" priority="373" operator="equal">
      <formula>"Menor"</formula>
    </cfRule>
    <cfRule type="cellIs" dxfId="373" priority="374" operator="equal">
      <formula>"Leve"</formula>
    </cfRule>
  </conditionalFormatting>
  <conditionalFormatting sqref="Q139">
    <cfRule type="cellIs" dxfId="372" priority="366" operator="equal">
      <formula>"Extremo"</formula>
    </cfRule>
    <cfRule type="cellIs" dxfId="371" priority="367" operator="equal">
      <formula>"Alto"</formula>
    </cfRule>
    <cfRule type="cellIs" dxfId="370" priority="368" operator="equal">
      <formula>"Moderado"</formula>
    </cfRule>
    <cfRule type="cellIs" dxfId="369" priority="369" operator="equal">
      <formula>"Bajo"</formula>
    </cfRule>
  </conditionalFormatting>
  <conditionalFormatting sqref="N139:N141">
    <cfRule type="containsText" dxfId="368" priority="365" operator="containsText" text="❌">
      <formula>NOT(ISERROR(SEARCH("❌",N139)))</formula>
    </cfRule>
  </conditionalFormatting>
  <conditionalFormatting sqref="AB139:AB141">
    <cfRule type="cellIs" dxfId="367" priority="360" operator="equal">
      <formula>"Muy Alta"</formula>
    </cfRule>
    <cfRule type="cellIs" dxfId="366" priority="361" operator="equal">
      <formula>"Alta"</formula>
    </cfRule>
    <cfRule type="cellIs" dxfId="365" priority="362" operator="equal">
      <formula>"Media"</formula>
    </cfRule>
    <cfRule type="cellIs" dxfId="364" priority="363" operator="equal">
      <formula>"Baja"</formula>
    </cfRule>
    <cfRule type="cellIs" dxfId="363" priority="364" operator="equal">
      <formula>"Muy Baja"</formula>
    </cfRule>
  </conditionalFormatting>
  <conditionalFormatting sqref="AD139:AD141">
    <cfRule type="cellIs" dxfId="362" priority="355" operator="equal">
      <formula>"Catastrófico"</formula>
    </cfRule>
    <cfRule type="cellIs" dxfId="361" priority="356" operator="equal">
      <formula>"Mayor"</formula>
    </cfRule>
    <cfRule type="cellIs" dxfId="360" priority="357" operator="equal">
      <formula>"Moderado"</formula>
    </cfRule>
    <cfRule type="cellIs" dxfId="359" priority="358" operator="equal">
      <formula>"Menor"</formula>
    </cfRule>
    <cfRule type="cellIs" dxfId="358" priority="359" operator="equal">
      <formula>"Leve"</formula>
    </cfRule>
  </conditionalFormatting>
  <conditionalFormatting sqref="AF139:AF141">
    <cfRule type="cellIs" dxfId="357" priority="351" operator="equal">
      <formula>"Extremo"</formula>
    </cfRule>
    <cfRule type="cellIs" dxfId="356" priority="352" operator="equal">
      <formula>"Alto"</formula>
    </cfRule>
    <cfRule type="cellIs" dxfId="355" priority="353" operator="equal">
      <formula>"Moderado"</formula>
    </cfRule>
    <cfRule type="cellIs" dxfId="354" priority="354" operator="equal">
      <formula>"Bajo"</formula>
    </cfRule>
  </conditionalFormatting>
  <conditionalFormatting sqref="N139:N141">
    <cfRule type="containsText" dxfId="353" priority="350" operator="containsText" text="❌">
      <formula>NOT(ISERROR(SEARCH("❌",N139)))</formula>
    </cfRule>
  </conditionalFormatting>
  <conditionalFormatting sqref="AB142">
    <cfRule type="cellIs" dxfId="352" priority="345" operator="equal">
      <formula>"Muy Alta"</formula>
    </cfRule>
    <cfRule type="cellIs" dxfId="351" priority="346" operator="equal">
      <formula>"Alta"</formula>
    </cfRule>
    <cfRule type="cellIs" dxfId="350" priority="347" operator="equal">
      <formula>"Media"</formula>
    </cfRule>
    <cfRule type="cellIs" dxfId="349" priority="348" operator="equal">
      <formula>"Baja"</formula>
    </cfRule>
    <cfRule type="cellIs" dxfId="348" priority="349" operator="equal">
      <formula>"Muy Baja"</formula>
    </cfRule>
  </conditionalFormatting>
  <conditionalFormatting sqref="AD142">
    <cfRule type="cellIs" dxfId="347" priority="340" operator="equal">
      <formula>"Catastrófico"</formula>
    </cfRule>
    <cfRule type="cellIs" dxfId="346" priority="341" operator="equal">
      <formula>"Mayor"</formula>
    </cfRule>
    <cfRule type="cellIs" dxfId="345" priority="342" operator="equal">
      <formula>"Moderado"</formula>
    </cfRule>
    <cfRule type="cellIs" dxfId="344" priority="343" operator="equal">
      <formula>"Menor"</formula>
    </cfRule>
    <cfRule type="cellIs" dxfId="343" priority="344" operator="equal">
      <formula>"Leve"</formula>
    </cfRule>
  </conditionalFormatting>
  <conditionalFormatting sqref="AF142">
    <cfRule type="cellIs" dxfId="342" priority="336" operator="equal">
      <formula>"Extremo"</formula>
    </cfRule>
    <cfRule type="cellIs" dxfId="341" priority="337" operator="equal">
      <formula>"Alto"</formula>
    </cfRule>
    <cfRule type="cellIs" dxfId="340" priority="338" operator="equal">
      <formula>"Moderado"</formula>
    </cfRule>
    <cfRule type="cellIs" dxfId="339" priority="339" operator="equal">
      <formula>"Bajo"</formula>
    </cfRule>
  </conditionalFormatting>
  <conditionalFormatting sqref="AB143">
    <cfRule type="cellIs" dxfId="338" priority="331" operator="equal">
      <formula>"Muy Alta"</formula>
    </cfRule>
    <cfRule type="cellIs" dxfId="337" priority="332" operator="equal">
      <formula>"Alta"</formula>
    </cfRule>
    <cfRule type="cellIs" dxfId="336" priority="333" operator="equal">
      <formula>"Media"</formula>
    </cfRule>
    <cfRule type="cellIs" dxfId="335" priority="334" operator="equal">
      <formula>"Baja"</formula>
    </cfRule>
    <cfRule type="cellIs" dxfId="334" priority="335" operator="equal">
      <formula>"Muy Baja"</formula>
    </cfRule>
  </conditionalFormatting>
  <conditionalFormatting sqref="AD143">
    <cfRule type="cellIs" dxfId="333" priority="326" operator="equal">
      <formula>"Catastrófico"</formula>
    </cfRule>
    <cfRule type="cellIs" dxfId="332" priority="327" operator="equal">
      <formula>"Mayor"</formula>
    </cfRule>
    <cfRule type="cellIs" dxfId="331" priority="328" operator="equal">
      <formula>"Moderado"</formula>
    </cfRule>
    <cfRule type="cellIs" dxfId="330" priority="329" operator="equal">
      <formula>"Menor"</formula>
    </cfRule>
    <cfRule type="cellIs" dxfId="329" priority="330" operator="equal">
      <formula>"Leve"</formula>
    </cfRule>
  </conditionalFormatting>
  <conditionalFormatting sqref="AF143">
    <cfRule type="cellIs" dxfId="328" priority="322" operator="equal">
      <formula>"Extremo"</formula>
    </cfRule>
    <cfRule type="cellIs" dxfId="327" priority="323" operator="equal">
      <formula>"Alto"</formula>
    </cfRule>
    <cfRule type="cellIs" dxfId="326" priority="324" operator="equal">
      <formula>"Moderado"</formula>
    </cfRule>
    <cfRule type="cellIs" dxfId="325" priority="325" operator="equal">
      <formula>"Bajo"</formula>
    </cfRule>
  </conditionalFormatting>
  <conditionalFormatting sqref="AB144">
    <cfRule type="cellIs" dxfId="324" priority="317" operator="equal">
      <formula>"Muy Alta"</formula>
    </cfRule>
    <cfRule type="cellIs" dxfId="323" priority="318" operator="equal">
      <formula>"Alta"</formula>
    </cfRule>
    <cfRule type="cellIs" dxfId="322" priority="319" operator="equal">
      <formula>"Media"</formula>
    </cfRule>
    <cfRule type="cellIs" dxfId="321" priority="320" operator="equal">
      <formula>"Baja"</formula>
    </cfRule>
    <cfRule type="cellIs" dxfId="320" priority="321" operator="equal">
      <formula>"Muy Baja"</formula>
    </cfRule>
  </conditionalFormatting>
  <conditionalFormatting sqref="AD144">
    <cfRule type="cellIs" dxfId="319" priority="312" operator="equal">
      <formula>"Catastrófico"</formula>
    </cfRule>
    <cfRule type="cellIs" dxfId="318" priority="313" operator="equal">
      <formula>"Mayor"</formula>
    </cfRule>
    <cfRule type="cellIs" dxfId="317" priority="314" operator="equal">
      <formula>"Moderado"</formula>
    </cfRule>
    <cfRule type="cellIs" dxfId="316" priority="315" operator="equal">
      <formula>"Menor"</formula>
    </cfRule>
    <cfRule type="cellIs" dxfId="315" priority="316" operator="equal">
      <formula>"Leve"</formula>
    </cfRule>
  </conditionalFormatting>
  <conditionalFormatting sqref="AF144">
    <cfRule type="cellIs" dxfId="314" priority="308" operator="equal">
      <formula>"Extremo"</formula>
    </cfRule>
    <cfRule type="cellIs" dxfId="313" priority="309" operator="equal">
      <formula>"Alto"</formula>
    </cfRule>
    <cfRule type="cellIs" dxfId="312" priority="310" operator="equal">
      <formula>"Moderado"</formula>
    </cfRule>
    <cfRule type="cellIs" dxfId="311" priority="311" operator="equal">
      <formula>"Bajo"</formula>
    </cfRule>
  </conditionalFormatting>
  <conditionalFormatting sqref="K142">
    <cfRule type="cellIs" dxfId="310" priority="303" operator="equal">
      <formula>"Muy Alta"</formula>
    </cfRule>
    <cfRule type="cellIs" dxfId="309" priority="304" operator="equal">
      <formula>"Alta"</formula>
    </cfRule>
    <cfRule type="cellIs" dxfId="308" priority="305" operator="equal">
      <formula>"Media"</formula>
    </cfRule>
    <cfRule type="cellIs" dxfId="307" priority="306" operator="equal">
      <formula>"Baja"</formula>
    </cfRule>
    <cfRule type="cellIs" dxfId="306" priority="307" operator="equal">
      <formula>"Muy Baja"</formula>
    </cfRule>
  </conditionalFormatting>
  <conditionalFormatting sqref="O142">
    <cfRule type="cellIs" dxfId="305" priority="298" operator="equal">
      <formula>"Catastrófico"</formula>
    </cfRule>
    <cfRule type="cellIs" dxfId="304" priority="299" operator="equal">
      <formula>"Mayor"</formula>
    </cfRule>
    <cfRule type="cellIs" dxfId="303" priority="300" operator="equal">
      <formula>"Moderado"</formula>
    </cfRule>
    <cfRule type="cellIs" dxfId="302" priority="301" operator="equal">
      <formula>"Menor"</formula>
    </cfRule>
    <cfRule type="cellIs" dxfId="301" priority="302" operator="equal">
      <formula>"Leve"</formula>
    </cfRule>
  </conditionalFormatting>
  <conditionalFormatting sqref="Q142">
    <cfRule type="cellIs" dxfId="300" priority="294" operator="equal">
      <formula>"Extremo"</formula>
    </cfRule>
    <cfRule type="cellIs" dxfId="299" priority="295" operator="equal">
      <formula>"Alto"</formula>
    </cfRule>
    <cfRule type="cellIs" dxfId="298" priority="296" operator="equal">
      <formula>"Moderado"</formula>
    </cfRule>
    <cfRule type="cellIs" dxfId="297" priority="297" operator="equal">
      <formula>"Bajo"</formula>
    </cfRule>
  </conditionalFormatting>
  <conditionalFormatting sqref="N142:N144">
    <cfRule type="containsText" dxfId="296" priority="293" operator="containsText" text="❌">
      <formula>NOT(ISERROR(SEARCH("❌",N142)))</formula>
    </cfRule>
  </conditionalFormatting>
  <conditionalFormatting sqref="AB142:AB144">
    <cfRule type="cellIs" dxfId="295" priority="288" operator="equal">
      <formula>"Muy Alta"</formula>
    </cfRule>
    <cfRule type="cellIs" dxfId="294" priority="289" operator="equal">
      <formula>"Alta"</formula>
    </cfRule>
    <cfRule type="cellIs" dxfId="293" priority="290" operator="equal">
      <formula>"Media"</formula>
    </cfRule>
    <cfRule type="cellIs" dxfId="292" priority="291" operator="equal">
      <formula>"Baja"</formula>
    </cfRule>
    <cfRule type="cellIs" dxfId="291" priority="292" operator="equal">
      <formula>"Muy Baja"</formula>
    </cfRule>
  </conditionalFormatting>
  <conditionalFormatting sqref="AD142:AD144">
    <cfRule type="cellIs" dxfId="290" priority="283" operator="equal">
      <formula>"Catastrófico"</formula>
    </cfRule>
    <cfRule type="cellIs" dxfId="289" priority="284" operator="equal">
      <formula>"Mayor"</formula>
    </cfRule>
    <cfRule type="cellIs" dxfId="288" priority="285" operator="equal">
      <formula>"Moderado"</formula>
    </cfRule>
    <cfRule type="cellIs" dxfId="287" priority="286" operator="equal">
      <formula>"Menor"</formula>
    </cfRule>
    <cfRule type="cellIs" dxfId="286" priority="287" operator="equal">
      <formula>"Leve"</formula>
    </cfRule>
  </conditionalFormatting>
  <conditionalFormatting sqref="AF142:AF144">
    <cfRule type="cellIs" dxfId="285" priority="279" operator="equal">
      <formula>"Extremo"</formula>
    </cfRule>
    <cfRule type="cellIs" dxfId="284" priority="280" operator="equal">
      <formula>"Alto"</formula>
    </cfRule>
    <cfRule type="cellIs" dxfId="283" priority="281" operator="equal">
      <formula>"Moderado"</formula>
    </cfRule>
    <cfRule type="cellIs" dxfId="282" priority="282" operator="equal">
      <formula>"Bajo"</formula>
    </cfRule>
  </conditionalFormatting>
  <conditionalFormatting sqref="N142:N144">
    <cfRule type="containsText" dxfId="281" priority="278" operator="containsText" text="❌">
      <formula>NOT(ISERROR(SEARCH("❌",N142)))</formula>
    </cfRule>
  </conditionalFormatting>
  <conditionalFormatting sqref="AB145">
    <cfRule type="cellIs" dxfId="280" priority="273" operator="equal">
      <formula>"Muy Alta"</formula>
    </cfRule>
    <cfRule type="cellIs" dxfId="279" priority="274" operator="equal">
      <formula>"Alta"</formula>
    </cfRule>
    <cfRule type="cellIs" dxfId="278" priority="275" operator="equal">
      <formula>"Media"</formula>
    </cfRule>
    <cfRule type="cellIs" dxfId="277" priority="276" operator="equal">
      <formula>"Baja"</formula>
    </cfRule>
    <cfRule type="cellIs" dxfId="276" priority="277" operator="equal">
      <formula>"Muy Baja"</formula>
    </cfRule>
  </conditionalFormatting>
  <conditionalFormatting sqref="AD145">
    <cfRule type="cellIs" dxfId="275" priority="268" operator="equal">
      <formula>"Catastrófico"</formula>
    </cfRule>
    <cfRule type="cellIs" dxfId="274" priority="269" operator="equal">
      <formula>"Mayor"</formula>
    </cfRule>
    <cfRule type="cellIs" dxfId="273" priority="270" operator="equal">
      <formula>"Moderado"</formula>
    </cfRule>
    <cfRule type="cellIs" dxfId="272" priority="271" operator="equal">
      <formula>"Menor"</formula>
    </cfRule>
    <cfRule type="cellIs" dxfId="271" priority="272" operator="equal">
      <formula>"Leve"</formula>
    </cfRule>
  </conditionalFormatting>
  <conditionalFormatting sqref="AF145">
    <cfRule type="cellIs" dxfId="270" priority="264" operator="equal">
      <formula>"Extremo"</formula>
    </cfRule>
    <cfRule type="cellIs" dxfId="269" priority="265" operator="equal">
      <formula>"Alto"</formula>
    </cfRule>
    <cfRule type="cellIs" dxfId="268" priority="266" operator="equal">
      <formula>"Moderado"</formula>
    </cfRule>
    <cfRule type="cellIs" dxfId="267" priority="267" operator="equal">
      <formula>"Bajo"</formula>
    </cfRule>
  </conditionalFormatting>
  <conditionalFormatting sqref="AB146">
    <cfRule type="cellIs" dxfId="266" priority="259" operator="equal">
      <formula>"Muy Alta"</formula>
    </cfRule>
    <cfRule type="cellIs" dxfId="265" priority="260" operator="equal">
      <formula>"Alta"</formula>
    </cfRule>
    <cfRule type="cellIs" dxfId="264" priority="261" operator="equal">
      <formula>"Media"</formula>
    </cfRule>
    <cfRule type="cellIs" dxfId="263" priority="262" operator="equal">
      <formula>"Baja"</formula>
    </cfRule>
    <cfRule type="cellIs" dxfId="262" priority="263" operator="equal">
      <formula>"Muy Baja"</formula>
    </cfRule>
  </conditionalFormatting>
  <conditionalFormatting sqref="AD146">
    <cfRule type="cellIs" dxfId="261" priority="254" operator="equal">
      <formula>"Catastrófico"</formula>
    </cfRule>
    <cfRule type="cellIs" dxfId="260" priority="255" operator="equal">
      <formula>"Mayor"</formula>
    </cfRule>
    <cfRule type="cellIs" dxfId="259" priority="256" operator="equal">
      <formula>"Moderado"</formula>
    </cfRule>
    <cfRule type="cellIs" dxfId="258" priority="257" operator="equal">
      <formula>"Menor"</formula>
    </cfRule>
    <cfRule type="cellIs" dxfId="257" priority="258" operator="equal">
      <formula>"Leve"</formula>
    </cfRule>
  </conditionalFormatting>
  <conditionalFormatting sqref="AF146">
    <cfRule type="cellIs" dxfId="256" priority="250" operator="equal">
      <formula>"Extremo"</formula>
    </cfRule>
    <cfRule type="cellIs" dxfId="255" priority="251" operator="equal">
      <formula>"Alto"</formula>
    </cfRule>
    <cfRule type="cellIs" dxfId="254" priority="252" operator="equal">
      <formula>"Moderado"</formula>
    </cfRule>
    <cfRule type="cellIs" dxfId="253" priority="253" operator="equal">
      <formula>"Bajo"</formula>
    </cfRule>
  </conditionalFormatting>
  <conditionalFormatting sqref="AB147">
    <cfRule type="cellIs" dxfId="252" priority="245" operator="equal">
      <formula>"Muy Alta"</formula>
    </cfRule>
    <cfRule type="cellIs" dxfId="251" priority="246" operator="equal">
      <formula>"Alta"</formula>
    </cfRule>
    <cfRule type="cellIs" dxfId="250" priority="247" operator="equal">
      <formula>"Media"</formula>
    </cfRule>
    <cfRule type="cellIs" dxfId="249" priority="248" operator="equal">
      <formula>"Baja"</formula>
    </cfRule>
    <cfRule type="cellIs" dxfId="248" priority="249" operator="equal">
      <formula>"Muy Baja"</formula>
    </cfRule>
  </conditionalFormatting>
  <conditionalFormatting sqref="AD147">
    <cfRule type="cellIs" dxfId="247" priority="240" operator="equal">
      <formula>"Catastrófico"</formula>
    </cfRule>
    <cfRule type="cellIs" dxfId="246" priority="241" operator="equal">
      <formula>"Mayor"</formula>
    </cfRule>
    <cfRule type="cellIs" dxfId="245" priority="242" operator="equal">
      <formula>"Moderado"</formula>
    </cfRule>
    <cfRule type="cellIs" dxfId="244" priority="243" operator="equal">
      <formula>"Menor"</formula>
    </cfRule>
    <cfRule type="cellIs" dxfId="243" priority="244" operator="equal">
      <formula>"Leve"</formula>
    </cfRule>
  </conditionalFormatting>
  <conditionalFormatting sqref="AF147">
    <cfRule type="cellIs" dxfId="242" priority="236" operator="equal">
      <formula>"Extremo"</formula>
    </cfRule>
    <cfRule type="cellIs" dxfId="241" priority="237" operator="equal">
      <formula>"Alto"</formula>
    </cfRule>
    <cfRule type="cellIs" dxfId="240" priority="238" operator="equal">
      <formula>"Moderado"</formula>
    </cfRule>
    <cfRule type="cellIs" dxfId="239" priority="239" operator="equal">
      <formula>"Bajo"</formula>
    </cfRule>
  </conditionalFormatting>
  <conditionalFormatting sqref="K145">
    <cfRule type="cellIs" dxfId="238" priority="231" operator="equal">
      <formula>"Muy Alta"</formula>
    </cfRule>
    <cfRule type="cellIs" dxfId="237" priority="232" operator="equal">
      <formula>"Alta"</formula>
    </cfRule>
    <cfRule type="cellIs" dxfId="236" priority="233" operator="equal">
      <formula>"Media"</formula>
    </cfRule>
    <cfRule type="cellIs" dxfId="235" priority="234" operator="equal">
      <formula>"Baja"</formula>
    </cfRule>
    <cfRule type="cellIs" dxfId="234" priority="235" operator="equal">
      <formula>"Muy Baja"</formula>
    </cfRule>
  </conditionalFormatting>
  <conditionalFormatting sqref="O145">
    <cfRule type="cellIs" dxfId="233" priority="226" operator="equal">
      <formula>"Catastrófico"</formula>
    </cfRule>
    <cfRule type="cellIs" dxfId="232" priority="227" operator="equal">
      <formula>"Mayor"</formula>
    </cfRule>
    <cfRule type="cellIs" dxfId="231" priority="228" operator="equal">
      <formula>"Moderado"</formula>
    </cfRule>
    <cfRule type="cellIs" dxfId="230" priority="229" operator="equal">
      <formula>"Menor"</formula>
    </cfRule>
    <cfRule type="cellIs" dxfId="229" priority="230" operator="equal">
      <formula>"Leve"</formula>
    </cfRule>
  </conditionalFormatting>
  <conditionalFormatting sqref="Q145">
    <cfRule type="cellIs" dxfId="228" priority="222" operator="equal">
      <formula>"Extremo"</formula>
    </cfRule>
    <cfRule type="cellIs" dxfId="227" priority="223" operator="equal">
      <formula>"Alto"</formula>
    </cfRule>
    <cfRule type="cellIs" dxfId="226" priority="224" operator="equal">
      <formula>"Moderado"</formula>
    </cfRule>
    <cfRule type="cellIs" dxfId="225" priority="225" operator="equal">
      <formula>"Bajo"</formula>
    </cfRule>
  </conditionalFormatting>
  <conditionalFormatting sqref="N145:N147">
    <cfRule type="containsText" dxfId="224" priority="221" operator="containsText" text="❌">
      <formula>NOT(ISERROR(SEARCH("❌",N145)))</formula>
    </cfRule>
  </conditionalFormatting>
  <conditionalFormatting sqref="AB145:AB147">
    <cfRule type="cellIs" dxfId="223" priority="216" operator="equal">
      <formula>"Muy Alta"</formula>
    </cfRule>
    <cfRule type="cellIs" dxfId="222" priority="217" operator="equal">
      <formula>"Alta"</formula>
    </cfRule>
    <cfRule type="cellIs" dxfId="221" priority="218" operator="equal">
      <formula>"Media"</formula>
    </cfRule>
    <cfRule type="cellIs" dxfId="220" priority="219" operator="equal">
      <formula>"Baja"</formula>
    </cfRule>
    <cfRule type="cellIs" dxfId="219" priority="220" operator="equal">
      <formula>"Muy Baja"</formula>
    </cfRule>
  </conditionalFormatting>
  <conditionalFormatting sqref="AD145:AD147">
    <cfRule type="cellIs" dxfId="218" priority="211" operator="equal">
      <formula>"Catastrófico"</formula>
    </cfRule>
    <cfRule type="cellIs" dxfId="217" priority="212" operator="equal">
      <formula>"Mayor"</formula>
    </cfRule>
    <cfRule type="cellIs" dxfId="216" priority="213" operator="equal">
      <formula>"Moderado"</formula>
    </cfRule>
    <cfRule type="cellIs" dxfId="215" priority="214" operator="equal">
      <formula>"Menor"</formula>
    </cfRule>
    <cfRule type="cellIs" dxfId="214" priority="215" operator="equal">
      <formula>"Leve"</formula>
    </cfRule>
  </conditionalFormatting>
  <conditionalFormatting sqref="AF145:AF147">
    <cfRule type="cellIs" dxfId="213" priority="207" operator="equal">
      <formula>"Extremo"</formula>
    </cfRule>
    <cfRule type="cellIs" dxfId="212" priority="208" operator="equal">
      <formula>"Alto"</formula>
    </cfRule>
    <cfRule type="cellIs" dxfId="211" priority="209" operator="equal">
      <formula>"Moderado"</formula>
    </cfRule>
    <cfRule type="cellIs" dxfId="210" priority="210" operator="equal">
      <formula>"Bajo"</formula>
    </cfRule>
  </conditionalFormatting>
  <conditionalFormatting sqref="N145:N147">
    <cfRule type="containsText" dxfId="209" priority="206" operator="containsText" text="❌">
      <formula>NOT(ISERROR(SEARCH("❌",N145)))</formula>
    </cfRule>
  </conditionalFormatting>
  <conditionalFormatting sqref="AB148">
    <cfRule type="cellIs" dxfId="208" priority="201" operator="equal">
      <formula>"Muy Alta"</formula>
    </cfRule>
    <cfRule type="cellIs" dxfId="207" priority="202" operator="equal">
      <formula>"Alta"</formula>
    </cfRule>
    <cfRule type="cellIs" dxfId="206" priority="203" operator="equal">
      <formula>"Media"</formula>
    </cfRule>
    <cfRule type="cellIs" dxfId="205" priority="204" operator="equal">
      <formula>"Baja"</formula>
    </cfRule>
    <cfRule type="cellIs" dxfId="204" priority="205" operator="equal">
      <formula>"Muy Baja"</formula>
    </cfRule>
  </conditionalFormatting>
  <conditionalFormatting sqref="AD148">
    <cfRule type="cellIs" dxfId="203" priority="196" operator="equal">
      <formula>"Catastrófico"</formula>
    </cfRule>
    <cfRule type="cellIs" dxfId="202" priority="197" operator="equal">
      <formula>"Mayor"</formula>
    </cfRule>
    <cfRule type="cellIs" dxfId="201" priority="198" operator="equal">
      <formula>"Moderado"</formula>
    </cfRule>
    <cfRule type="cellIs" dxfId="200" priority="199" operator="equal">
      <formula>"Menor"</formula>
    </cfRule>
    <cfRule type="cellIs" dxfId="199" priority="200" operator="equal">
      <formula>"Leve"</formula>
    </cfRule>
  </conditionalFormatting>
  <conditionalFormatting sqref="AF148">
    <cfRule type="cellIs" dxfId="198" priority="192" operator="equal">
      <formula>"Extremo"</formula>
    </cfRule>
    <cfRule type="cellIs" dxfId="197" priority="193" operator="equal">
      <formula>"Alto"</formula>
    </cfRule>
    <cfRule type="cellIs" dxfId="196" priority="194" operator="equal">
      <formula>"Moderado"</formula>
    </cfRule>
    <cfRule type="cellIs" dxfId="195" priority="195" operator="equal">
      <formula>"Bajo"</formula>
    </cfRule>
  </conditionalFormatting>
  <conditionalFormatting sqref="AB149">
    <cfRule type="cellIs" dxfId="194" priority="187" operator="equal">
      <formula>"Muy Alta"</formula>
    </cfRule>
    <cfRule type="cellIs" dxfId="193" priority="188" operator="equal">
      <formula>"Alta"</formula>
    </cfRule>
    <cfRule type="cellIs" dxfId="192" priority="189" operator="equal">
      <formula>"Media"</formula>
    </cfRule>
    <cfRule type="cellIs" dxfId="191" priority="190" operator="equal">
      <formula>"Baja"</formula>
    </cfRule>
    <cfRule type="cellIs" dxfId="190" priority="191" operator="equal">
      <formula>"Muy Baja"</formula>
    </cfRule>
  </conditionalFormatting>
  <conditionalFormatting sqref="AD149">
    <cfRule type="cellIs" dxfId="189" priority="182" operator="equal">
      <formula>"Catastrófico"</formula>
    </cfRule>
    <cfRule type="cellIs" dxfId="188" priority="183" operator="equal">
      <formula>"Mayor"</formula>
    </cfRule>
    <cfRule type="cellIs" dxfId="187" priority="184" operator="equal">
      <formula>"Moderado"</formula>
    </cfRule>
    <cfRule type="cellIs" dxfId="186" priority="185" operator="equal">
      <formula>"Menor"</formula>
    </cfRule>
    <cfRule type="cellIs" dxfId="185" priority="186" operator="equal">
      <formula>"Leve"</formula>
    </cfRule>
  </conditionalFormatting>
  <conditionalFormatting sqref="AF149">
    <cfRule type="cellIs" dxfId="184" priority="178" operator="equal">
      <formula>"Extremo"</formula>
    </cfRule>
    <cfRule type="cellIs" dxfId="183" priority="179" operator="equal">
      <formula>"Alto"</formula>
    </cfRule>
    <cfRule type="cellIs" dxfId="182" priority="180" operator="equal">
      <formula>"Moderado"</formula>
    </cfRule>
    <cfRule type="cellIs" dxfId="181" priority="181" operator="equal">
      <formula>"Bajo"</formula>
    </cfRule>
  </conditionalFormatting>
  <conditionalFormatting sqref="AB150">
    <cfRule type="cellIs" dxfId="180" priority="173" operator="equal">
      <formula>"Muy Alta"</formula>
    </cfRule>
    <cfRule type="cellIs" dxfId="179" priority="174" operator="equal">
      <formula>"Alta"</formula>
    </cfRule>
    <cfRule type="cellIs" dxfId="178" priority="175" operator="equal">
      <formula>"Media"</formula>
    </cfRule>
    <cfRule type="cellIs" dxfId="177" priority="176" operator="equal">
      <formula>"Baja"</formula>
    </cfRule>
    <cfRule type="cellIs" dxfId="176" priority="177" operator="equal">
      <formula>"Muy Baja"</formula>
    </cfRule>
  </conditionalFormatting>
  <conditionalFormatting sqref="AD150">
    <cfRule type="cellIs" dxfId="175" priority="168" operator="equal">
      <formula>"Catastrófico"</formula>
    </cfRule>
    <cfRule type="cellIs" dxfId="174" priority="169" operator="equal">
      <formula>"Mayor"</formula>
    </cfRule>
    <cfRule type="cellIs" dxfId="173" priority="170" operator="equal">
      <formula>"Moderado"</formula>
    </cfRule>
    <cfRule type="cellIs" dxfId="172" priority="171" operator="equal">
      <formula>"Menor"</formula>
    </cfRule>
    <cfRule type="cellIs" dxfId="171" priority="172" operator="equal">
      <formula>"Leve"</formula>
    </cfRule>
  </conditionalFormatting>
  <conditionalFormatting sqref="AF150">
    <cfRule type="cellIs" dxfId="170" priority="164" operator="equal">
      <formula>"Extremo"</formula>
    </cfRule>
    <cfRule type="cellIs" dxfId="169" priority="165" operator="equal">
      <formula>"Alto"</formula>
    </cfRule>
    <cfRule type="cellIs" dxfId="168" priority="166" operator="equal">
      <formula>"Moderado"</formula>
    </cfRule>
    <cfRule type="cellIs" dxfId="167" priority="167" operator="equal">
      <formula>"Bajo"</formula>
    </cfRule>
  </conditionalFormatting>
  <conditionalFormatting sqref="K148">
    <cfRule type="cellIs" dxfId="166" priority="159" operator="equal">
      <formula>"Muy Alta"</formula>
    </cfRule>
    <cfRule type="cellIs" dxfId="165" priority="160" operator="equal">
      <formula>"Alta"</formula>
    </cfRule>
    <cfRule type="cellIs" dxfId="164" priority="161" operator="equal">
      <formula>"Media"</formula>
    </cfRule>
    <cfRule type="cellIs" dxfId="163" priority="162" operator="equal">
      <formula>"Baja"</formula>
    </cfRule>
    <cfRule type="cellIs" dxfId="162" priority="163" operator="equal">
      <formula>"Muy Baja"</formula>
    </cfRule>
  </conditionalFormatting>
  <conditionalFormatting sqref="O148">
    <cfRule type="cellIs" dxfId="161" priority="154" operator="equal">
      <formula>"Catastrófico"</formula>
    </cfRule>
    <cfRule type="cellIs" dxfId="160" priority="155" operator="equal">
      <formula>"Mayor"</formula>
    </cfRule>
    <cfRule type="cellIs" dxfId="159" priority="156" operator="equal">
      <formula>"Moderado"</formula>
    </cfRule>
    <cfRule type="cellIs" dxfId="158" priority="157" operator="equal">
      <formula>"Menor"</formula>
    </cfRule>
    <cfRule type="cellIs" dxfId="157" priority="158" operator="equal">
      <formula>"Leve"</formula>
    </cfRule>
  </conditionalFormatting>
  <conditionalFormatting sqref="Q148">
    <cfRule type="cellIs" dxfId="156" priority="150" operator="equal">
      <formula>"Extremo"</formula>
    </cfRule>
    <cfRule type="cellIs" dxfId="155" priority="151" operator="equal">
      <formula>"Alto"</formula>
    </cfRule>
    <cfRule type="cellIs" dxfId="154" priority="152" operator="equal">
      <formula>"Moderado"</formula>
    </cfRule>
    <cfRule type="cellIs" dxfId="153" priority="153" operator="equal">
      <formula>"Bajo"</formula>
    </cfRule>
  </conditionalFormatting>
  <conditionalFormatting sqref="N148:N150">
    <cfRule type="containsText" dxfId="152" priority="149" operator="containsText" text="❌">
      <formula>NOT(ISERROR(SEARCH("❌",N148)))</formula>
    </cfRule>
  </conditionalFormatting>
  <conditionalFormatting sqref="AB148:AB150">
    <cfRule type="cellIs" dxfId="151" priority="144" operator="equal">
      <formula>"Muy Alta"</formula>
    </cfRule>
    <cfRule type="cellIs" dxfId="150" priority="145" operator="equal">
      <formula>"Alta"</formula>
    </cfRule>
    <cfRule type="cellIs" dxfId="149" priority="146" operator="equal">
      <formula>"Media"</formula>
    </cfRule>
    <cfRule type="cellIs" dxfId="148" priority="147" operator="equal">
      <formula>"Baja"</formula>
    </cfRule>
    <cfRule type="cellIs" dxfId="147" priority="148" operator="equal">
      <formula>"Muy Baja"</formula>
    </cfRule>
  </conditionalFormatting>
  <conditionalFormatting sqref="AD148:AD150">
    <cfRule type="cellIs" dxfId="146" priority="139" operator="equal">
      <formula>"Catastrófico"</formula>
    </cfRule>
    <cfRule type="cellIs" dxfId="145" priority="140" operator="equal">
      <formula>"Mayor"</formula>
    </cfRule>
    <cfRule type="cellIs" dxfId="144" priority="141" operator="equal">
      <formula>"Moderado"</formula>
    </cfRule>
    <cfRule type="cellIs" dxfId="143" priority="142" operator="equal">
      <formula>"Menor"</formula>
    </cfRule>
    <cfRule type="cellIs" dxfId="142" priority="143" operator="equal">
      <formula>"Leve"</formula>
    </cfRule>
  </conditionalFormatting>
  <conditionalFormatting sqref="AF148:AF150">
    <cfRule type="cellIs" dxfId="141" priority="135" operator="equal">
      <formula>"Extremo"</formula>
    </cfRule>
    <cfRule type="cellIs" dxfId="140" priority="136" operator="equal">
      <formula>"Alto"</formula>
    </cfRule>
    <cfRule type="cellIs" dxfId="139" priority="137" operator="equal">
      <formula>"Moderado"</formula>
    </cfRule>
    <cfRule type="cellIs" dxfId="138" priority="138" operator="equal">
      <formula>"Bajo"</formula>
    </cfRule>
  </conditionalFormatting>
  <conditionalFormatting sqref="N148:N150">
    <cfRule type="containsText" dxfId="137" priority="134" operator="containsText" text="❌">
      <formula>NOT(ISERROR(SEARCH("❌",N148)))</formula>
    </cfRule>
  </conditionalFormatting>
  <conditionalFormatting sqref="AB151">
    <cfRule type="cellIs" dxfId="136" priority="129" operator="equal">
      <formula>"Muy Alta"</formula>
    </cfRule>
    <cfRule type="cellIs" dxfId="135" priority="130" operator="equal">
      <formula>"Alta"</formula>
    </cfRule>
    <cfRule type="cellIs" dxfId="134" priority="131" operator="equal">
      <formula>"Media"</formula>
    </cfRule>
    <cfRule type="cellIs" dxfId="133" priority="132" operator="equal">
      <formula>"Baja"</formula>
    </cfRule>
    <cfRule type="cellIs" dxfId="132" priority="133" operator="equal">
      <formula>"Muy Baja"</formula>
    </cfRule>
  </conditionalFormatting>
  <conditionalFormatting sqref="AD151">
    <cfRule type="cellIs" dxfId="131" priority="124" operator="equal">
      <formula>"Catastrófico"</formula>
    </cfRule>
    <cfRule type="cellIs" dxfId="130" priority="125" operator="equal">
      <formula>"Mayor"</formula>
    </cfRule>
    <cfRule type="cellIs" dxfId="129" priority="126" operator="equal">
      <formula>"Moderado"</formula>
    </cfRule>
    <cfRule type="cellIs" dxfId="128" priority="127" operator="equal">
      <formula>"Menor"</formula>
    </cfRule>
    <cfRule type="cellIs" dxfId="127" priority="128" operator="equal">
      <formula>"Leve"</formula>
    </cfRule>
  </conditionalFormatting>
  <conditionalFormatting sqref="AF151">
    <cfRule type="cellIs" dxfId="126" priority="120" operator="equal">
      <formula>"Extremo"</formula>
    </cfRule>
    <cfRule type="cellIs" dxfId="125" priority="121" operator="equal">
      <formula>"Alto"</formula>
    </cfRule>
    <cfRule type="cellIs" dxfId="124" priority="122" operator="equal">
      <formula>"Moderado"</formula>
    </cfRule>
    <cfRule type="cellIs" dxfId="123" priority="123" operator="equal">
      <formula>"Bajo"</formula>
    </cfRule>
  </conditionalFormatting>
  <conditionalFormatting sqref="AB152">
    <cfRule type="cellIs" dxfId="122" priority="115" operator="equal">
      <formula>"Muy Alta"</formula>
    </cfRule>
    <cfRule type="cellIs" dxfId="121" priority="116" operator="equal">
      <formula>"Alta"</formula>
    </cfRule>
    <cfRule type="cellIs" dxfId="120" priority="117" operator="equal">
      <formula>"Media"</formula>
    </cfRule>
    <cfRule type="cellIs" dxfId="119" priority="118" operator="equal">
      <formula>"Baja"</formula>
    </cfRule>
    <cfRule type="cellIs" dxfId="118" priority="119" operator="equal">
      <formula>"Muy Baja"</formula>
    </cfRule>
  </conditionalFormatting>
  <conditionalFormatting sqref="AD152">
    <cfRule type="cellIs" dxfId="117" priority="110" operator="equal">
      <formula>"Catastrófico"</formula>
    </cfRule>
    <cfRule type="cellIs" dxfId="116" priority="111" operator="equal">
      <formula>"Mayor"</formula>
    </cfRule>
    <cfRule type="cellIs" dxfId="115" priority="112" operator="equal">
      <formula>"Moderado"</formula>
    </cfRule>
    <cfRule type="cellIs" dxfId="114" priority="113" operator="equal">
      <formula>"Menor"</formula>
    </cfRule>
    <cfRule type="cellIs" dxfId="113" priority="114" operator="equal">
      <formula>"Leve"</formula>
    </cfRule>
  </conditionalFormatting>
  <conditionalFormatting sqref="AF152">
    <cfRule type="cellIs" dxfId="112" priority="106" operator="equal">
      <formula>"Extremo"</formula>
    </cfRule>
    <cfRule type="cellIs" dxfId="111" priority="107" operator="equal">
      <formula>"Alto"</formula>
    </cfRule>
    <cfRule type="cellIs" dxfId="110" priority="108" operator="equal">
      <formula>"Moderado"</formula>
    </cfRule>
    <cfRule type="cellIs" dxfId="109" priority="109" operator="equal">
      <formula>"Bajo"</formula>
    </cfRule>
  </conditionalFormatting>
  <conditionalFormatting sqref="AB153">
    <cfRule type="cellIs" dxfId="108" priority="101" operator="equal">
      <formula>"Muy Alta"</formula>
    </cfRule>
    <cfRule type="cellIs" dxfId="107" priority="102" operator="equal">
      <formula>"Alta"</formula>
    </cfRule>
    <cfRule type="cellIs" dxfId="106" priority="103" operator="equal">
      <formula>"Media"</formula>
    </cfRule>
    <cfRule type="cellIs" dxfId="105" priority="104" operator="equal">
      <formula>"Baja"</formula>
    </cfRule>
    <cfRule type="cellIs" dxfId="104" priority="105" operator="equal">
      <formula>"Muy Baja"</formula>
    </cfRule>
  </conditionalFormatting>
  <conditionalFormatting sqref="AD153">
    <cfRule type="cellIs" dxfId="103" priority="96" operator="equal">
      <formula>"Catastrófico"</formula>
    </cfRule>
    <cfRule type="cellIs" dxfId="102" priority="97" operator="equal">
      <formula>"Mayor"</formula>
    </cfRule>
    <cfRule type="cellIs" dxfId="101" priority="98" operator="equal">
      <formula>"Moderado"</formula>
    </cfRule>
    <cfRule type="cellIs" dxfId="100" priority="99" operator="equal">
      <formula>"Menor"</formula>
    </cfRule>
    <cfRule type="cellIs" dxfId="99" priority="100" operator="equal">
      <formula>"Leve"</formula>
    </cfRule>
  </conditionalFormatting>
  <conditionalFormatting sqref="AF153">
    <cfRule type="cellIs" dxfId="98" priority="92" operator="equal">
      <formula>"Extremo"</formula>
    </cfRule>
    <cfRule type="cellIs" dxfId="97" priority="93" operator="equal">
      <formula>"Alto"</formula>
    </cfRule>
    <cfRule type="cellIs" dxfId="96" priority="94" operator="equal">
      <formula>"Moderado"</formula>
    </cfRule>
    <cfRule type="cellIs" dxfId="95" priority="95" operator="equal">
      <formula>"Bajo"</formula>
    </cfRule>
  </conditionalFormatting>
  <conditionalFormatting sqref="K151">
    <cfRule type="cellIs" dxfId="94" priority="87" operator="equal">
      <formula>"Muy Alta"</formula>
    </cfRule>
    <cfRule type="cellIs" dxfId="93" priority="88" operator="equal">
      <formula>"Alta"</formula>
    </cfRule>
    <cfRule type="cellIs" dxfId="92" priority="89" operator="equal">
      <formula>"Media"</formula>
    </cfRule>
    <cfRule type="cellIs" dxfId="91" priority="90" operator="equal">
      <formula>"Baja"</formula>
    </cfRule>
    <cfRule type="cellIs" dxfId="90" priority="91" operator="equal">
      <formula>"Muy Baja"</formula>
    </cfRule>
  </conditionalFormatting>
  <conditionalFormatting sqref="O151">
    <cfRule type="cellIs" dxfId="89" priority="82" operator="equal">
      <formula>"Catastrófico"</formula>
    </cfRule>
    <cfRule type="cellIs" dxfId="88" priority="83" operator="equal">
      <formula>"Mayor"</formula>
    </cfRule>
    <cfRule type="cellIs" dxfId="87" priority="84" operator="equal">
      <formula>"Moderado"</formula>
    </cfRule>
    <cfRule type="cellIs" dxfId="86" priority="85" operator="equal">
      <formula>"Menor"</formula>
    </cfRule>
    <cfRule type="cellIs" dxfId="85" priority="86" operator="equal">
      <formula>"Leve"</formula>
    </cfRule>
  </conditionalFormatting>
  <conditionalFormatting sqref="Q151">
    <cfRule type="cellIs" dxfId="84" priority="78" operator="equal">
      <formula>"Extremo"</formula>
    </cfRule>
    <cfRule type="cellIs" dxfId="83" priority="79" operator="equal">
      <formula>"Alto"</formula>
    </cfRule>
    <cfRule type="cellIs" dxfId="82" priority="80" operator="equal">
      <formula>"Moderado"</formula>
    </cfRule>
    <cfRule type="cellIs" dxfId="81" priority="81" operator="equal">
      <formula>"Bajo"</formula>
    </cfRule>
  </conditionalFormatting>
  <conditionalFormatting sqref="N151:N153">
    <cfRule type="containsText" dxfId="80" priority="77" operator="containsText" text="❌">
      <formula>NOT(ISERROR(SEARCH("❌",N151)))</formula>
    </cfRule>
  </conditionalFormatting>
  <conditionalFormatting sqref="AB151:AB153">
    <cfRule type="cellIs" dxfId="79" priority="72" operator="equal">
      <formula>"Muy Alta"</formula>
    </cfRule>
    <cfRule type="cellIs" dxfId="78" priority="73" operator="equal">
      <formula>"Alta"</formula>
    </cfRule>
    <cfRule type="cellIs" dxfId="77" priority="74" operator="equal">
      <formula>"Media"</formula>
    </cfRule>
    <cfRule type="cellIs" dxfId="76" priority="75" operator="equal">
      <formula>"Baja"</formula>
    </cfRule>
    <cfRule type="cellIs" dxfId="75" priority="76" operator="equal">
      <formula>"Muy Baja"</formula>
    </cfRule>
  </conditionalFormatting>
  <conditionalFormatting sqref="AD151:AD153">
    <cfRule type="cellIs" dxfId="74" priority="67" operator="equal">
      <formula>"Catastrófico"</formula>
    </cfRule>
    <cfRule type="cellIs" dxfId="73" priority="68" operator="equal">
      <formula>"Mayor"</formula>
    </cfRule>
    <cfRule type="cellIs" dxfId="72" priority="69" operator="equal">
      <formula>"Moderado"</formula>
    </cfRule>
    <cfRule type="cellIs" dxfId="71" priority="70" operator="equal">
      <formula>"Menor"</formula>
    </cfRule>
    <cfRule type="cellIs" dxfId="70" priority="71" operator="equal">
      <formula>"Leve"</formula>
    </cfRule>
  </conditionalFormatting>
  <conditionalFormatting sqref="AF151:AF153">
    <cfRule type="cellIs" dxfId="69" priority="63" operator="equal">
      <formula>"Extremo"</formula>
    </cfRule>
    <cfRule type="cellIs" dxfId="68" priority="64" operator="equal">
      <formula>"Alto"</formula>
    </cfRule>
    <cfRule type="cellIs" dxfId="67" priority="65" operator="equal">
      <formula>"Moderado"</formula>
    </cfRule>
    <cfRule type="cellIs" dxfId="66" priority="66" operator="equal">
      <formula>"Bajo"</formula>
    </cfRule>
  </conditionalFormatting>
  <conditionalFormatting sqref="N151:N153">
    <cfRule type="containsText" dxfId="65" priority="62" operator="containsText" text="❌">
      <formula>NOT(ISERROR(SEARCH("❌",N151)))</formula>
    </cfRule>
  </conditionalFormatting>
  <conditionalFormatting sqref="AB20">
    <cfRule type="cellIs" dxfId="64" priority="57" operator="equal">
      <formula>"Muy Alta"</formula>
    </cfRule>
    <cfRule type="cellIs" dxfId="63" priority="58" operator="equal">
      <formula>"Alta"</formula>
    </cfRule>
    <cfRule type="cellIs" dxfId="62" priority="59" operator="equal">
      <formula>"Media"</formula>
    </cfRule>
    <cfRule type="cellIs" dxfId="61" priority="60" operator="equal">
      <formula>"Baja"</formula>
    </cfRule>
    <cfRule type="cellIs" dxfId="60" priority="61" operator="equal">
      <formula>"Muy Baja"</formula>
    </cfRule>
  </conditionalFormatting>
  <conditionalFormatting sqref="AD20">
    <cfRule type="cellIs" dxfId="59" priority="52" operator="equal">
      <formula>"Catastrófico"</formula>
    </cfRule>
    <cfRule type="cellIs" dxfId="58" priority="53" operator="equal">
      <formula>"Mayor"</formula>
    </cfRule>
    <cfRule type="cellIs" dxfId="57" priority="54" operator="equal">
      <formula>"Moderado"</formula>
    </cfRule>
    <cfRule type="cellIs" dxfId="56" priority="55" operator="equal">
      <formula>"Menor"</formula>
    </cfRule>
    <cfRule type="cellIs" dxfId="55" priority="56" operator="equal">
      <formula>"Leve"</formula>
    </cfRule>
  </conditionalFormatting>
  <conditionalFormatting sqref="AF20">
    <cfRule type="cellIs" dxfId="54" priority="48" operator="equal">
      <formula>"Extremo"</formula>
    </cfRule>
    <cfRule type="cellIs" dxfId="53" priority="49" operator="equal">
      <formula>"Alto"</formula>
    </cfRule>
    <cfRule type="cellIs" dxfId="52" priority="50" operator="equal">
      <formula>"Moderado"</formula>
    </cfRule>
    <cfRule type="cellIs" dxfId="51" priority="51" operator="equal">
      <formula>"Bajo"</formula>
    </cfRule>
  </conditionalFormatting>
  <conditionalFormatting sqref="AB21">
    <cfRule type="cellIs" dxfId="50" priority="43" operator="equal">
      <formula>"Muy Alta"</formula>
    </cfRule>
    <cfRule type="cellIs" dxfId="49" priority="44" operator="equal">
      <formula>"Alta"</formula>
    </cfRule>
    <cfRule type="cellIs" dxfId="48" priority="45" operator="equal">
      <formula>"Media"</formula>
    </cfRule>
    <cfRule type="cellIs" dxfId="47" priority="46" operator="equal">
      <formula>"Baja"</formula>
    </cfRule>
    <cfRule type="cellIs" dxfId="46" priority="47" operator="equal">
      <formula>"Muy Baja"</formula>
    </cfRule>
  </conditionalFormatting>
  <conditionalFormatting sqref="AD21">
    <cfRule type="cellIs" dxfId="45" priority="38" operator="equal">
      <formula>"Catastrófico"</formula>
    </cfRule>
    <cfRule type="cellIs" dxfId="44" priority="39" operator="equal">
      <formula>"Mayor"</formula>
    </cfRule>
    <cfRule type="cellIs" dxfId="43" priority="40" operator="equal">
      <formula>"Moderado"</formula>
    </cfRule>
    <cfRule type="cellIs" dxfId="42" priority="41" operator="equal">
      <formula>"Menor"</formula>
    </cfRule>
    <cfRule type="cellIs" dxfId="41" priority="42" operator="equal">
      <formula>"Leve"</formula>
    </cfRule>
  </conditionalFormatting>
  <conditionalFormatting sqref="AF21">
    <cfRule type="cellIs" dxfId="40" priority="34" operator="equal">
      <formula>"Extremo"</formula>
    </cfRule>
    <cfRule type="cellIs" dxfId="39" priority="35" operator="equal">
      <formula>"Alto"</formula>
    </cfRule>
    <cfRule type="cellIs" dxfId="38" priority="36" operator="equal">
      <formula>"Moderado"</formula>
    </cfRule>
    <cfRule type="cellIs" dxfId="37" priority="37" operator="equal">
      <formula>"Bajo"</formula>
    </cfRule>
  </conditionalFormatting>
  <conditionalFormatting sqref="AB23">
    <cfRule type="cellIs" dxfId="36" priority="29" operator="equal">
      <formula>"Muy Alta"</formula>
    </cfRule>
    <cfRule type="cellIs" dxfId="35" priority="30" operator="equal">
      <formula>"Alta"</formula>
    </cfRule>
    <cfRule type="cellIs" dxfId="34" priority="31" operator="equal">
      <formula>"Media"</formula>
    </cfRule>
    <cfRule type="cellIs" dxfId="33" priority="32" operator="equal">
      <formula>"Baja"</formula>
    </cfRule>
    <cfRule type="cellIs" dxfId="32" priority="33" operator="equal">
      <formula>"Muy Baja"</formula>
    </cfRule>
  </conditionalFormatting>
  <conditionalFormatting sqref="AD23">
    <cfRule type="cellIs" dxfId="31" priority="24" operator="equal">
      <formula>"Catastrófico"</formula>
    </cfRule>
    <cfRule type="cellIs" dxfId="30" priority="25" operator="equal">
      <formula>"Mayor"</formula>
    </cfRule>
    <cfRule type="cellIs" dxfId="29" priority="26" operator="equal">
      <formula>"Moderado"</formula>
    </cfRule>
    <cfRule type="cellIs" dxfId="28" priority="27" operator="equal">
      <formula>"Menor"</formula>
    </cfRule>
    <cfRule type="cellIs" dxfId="27" priority="28" operator="equal">
      <formula>"Leve"</formula>
    </cfRule>
  </conditionalFormatting>
  <conditionalFormatting sqref="AF23">
    <cfRule type="cellIs" dxfId="26" priority="20" operator="equal">
      <formula>"Extremo"</formula>
    </cfRule>
    <cfRule type="cellIs" dxfId="25" priority="21" operator="equal">
      <formula>"Alto"</formula>
    </cfRule>
    <cfRule type="cellIs" dxfId="24" priority="22" operator="equal">
      <formula>"Moderado"</formula>
    </cfRule>
    <cfRule type="cellIs" dxfId="23" priority="23" operator="equal">
      <formula>"Bajo"</formula>
    </cfRule>
  </conditionalFormatting>
  <conditionalFormatting sqref="AB24">
    <cfRule type="cellIs" dxfId="22" priority="15" operator="equal">
      <formula>"Muy Alta"</formula>
    </cfRule>
    <cfRule type="cellIs" dxfId="21" priority="16" operator="equal">
      <formula>"Alta"</formula>
    </cfRule>
    <cfRule type="cellIs" dxfId="20" priority="17" operator="equal">
      <formula>"Media"</formula>
    </cfRule>
    <cfRule type="cellIs" dxfId="19" priority="18" operator="equal">
      <formula>"Baja"</formula>
    </cfRule>
    <cfRule type="cellIs" dxfId="18" priority="19" operator="equal">
      <formula>"Muy Baja"</formula>
    </cfRule>
  </conditionalFormatting>
  <conditionalFormatting sqref="AD24">
    <cfRule type="cellIs" dxfId="17" priority="10" operator="equal">
      <formula>"Catastrófico"</formula>
    </cfRule>
    <cfRule type="cellIs" dxfId="16" priority="11" operator="equal">
      <formula>"Mayor"</formula>
    </cfRule>
    <cfRule type="cellIs" dxfId="15" priority="12" operator="equal">
      <formula>"Moderado"</formula>
    </cfRule>
    <cfRule type="cellIs" dxfId="14" priority="13" operator="equal">
      <formula>"Menor"</formula>
    </cfRule>
    <cfRule type="cellIs" dxfId="13" priority="14" operator="equal">
      <formula>"Leve"</formula>
    </cfRule>
  </conditionalFormatting>
  <conditionalFormatting sqref="AF24">
    <cfRule type="cellIs" dxfId="12" priority="6" operator="equal">
      <formula>"Extremo"</formula>
    </cfRule>
    <cfRule type="cellIs" dxfId="11" priority="7" operator="equal">
      <formula>"Alto"</formula>
    </cfRule>
    <cfRule type="cellIs" dxfId="10" priority="8" operator="equal">
      <formula>"Moderado"</formula>
    </cfRule>
    <cfRule type="cellIs" dxfId="9" priority="9" operator="equal">
      <formula>"Bajo"</formula>
    </cfRule>
  </conditionalFormatting>
  <conditionalFormatting sqref="O7">
    <cfRule type="cellIs" dxfId="8" priority="1" operator="equal">
      <formula>"Catastrófico"</formula>
    </cfRule>
    <cfRule type="cellIs" dxfId="7" priority="2" operator="equal">
      <formula>"Mayor"</formula>
    </cfRule>
    <cfRule type="cellIs" dxfId="6" priority="3" operator="equal">
      <formula>"Moderado"</formula>
    </cfRule>
    <cfRule type="cellIs" dxfId="5" priority="4" operator="equal">
      <formula>"Menor"</formula>
    </cfRule>
    <cfRule type="cellIs" dxfId="4" priority="5" operator="equal">
      <formula>"Leve"</formula>
    </cfRule>
  </conditionalFormatting>
  <dataValidations count="1">
    <dataValidation allowBlank="1" showInputMessage="1" showErrorMessage="1" error="Recuerde que las acciones se generan bajo la medida de mitigar el riesgo" sqref="AL22 AL25 AL64 AH64 AH92:AK92 AL37 AL40" xr:uid="{00000000-0002-0000-01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100-000001000000}">
          <x14:formula1>
            <xm:f>'Opciones Tratamiento'!$B$9:$B$10</xm:f>
          </x14:formula1>
          <xm:sqref>AM7:AM12 AM16:AM33 AM36:AM153</xm:sqref>
        </x14:dataValidation>
        <x14:dataValidation type="list" allowBlank="1" showInputMessage="1" showErrorMessage="1" xr:uid="{00000000-0002-0000-0100-000002000000}">
          <x14:formula1>
            <xm:f>'Opciones Tratamiento'!$B$13:$B$19</xm:f>
          </x14:formula1>
          <xm:sqref>I7 I10 I13 I100 I16 I19 I22 I25 I28 I31 I34 I37 I40 I43 I46 I49 I52 I55 I58 I103 I61 I64 I67 I70 I73 I76 I79 I82 I85 I88 I91 I94 I97 I121 I106 I109 I112 I115 I118 I124 I127 I130 I133 I136 I139 I142 I145 I148 I151</xm:sqref>
        </x14:dataValidation>
        <x14:dataValidation type="list" allowBlank="1" showInputMessage="1" showErrorMessage="1" xr:uid="{00000000-0002-0000-0100-000003000000}">
          <x14:formula1>
            <xm:f>'Opciones Tratamiento'!$E$2:$E$4</xm:f>
          </x14:formula1>
          <xm:sqref>E7 E10 E13 E100 E16 E19 E22 E25 E28 E31 E34 E37 E40 E43 E46 E49 E52 E55 E58 E103 E61 E64 E67 E70 E73 E76 E79 E82 E85 E88 E91 E94 E97 E121 E106 E109 E112 E115 E118 E124 E127 E130 E133 E136 E139 E142 E145 E148 E151</xm:sqref>
        </x14:dataValidation>
        <x14:dataValidation type="list" allowBlank="1" showInputMessage="1" showErrorMessage="1" xr:uid="{00000000-0002-0000-0100-000004000000}">
          <x14:formula1>
            <xm:f>'Tabla Impacto'!$F$210:$F$221</xm:f>
          </x14:formula1>
          <xm:sqref>M7 M10 M13 M148 M16 M19 M22 M25 M28 M31 M34 M37 M40 M43 M46 M49 M52 M55 M58 M151 M61 M64 M67 M70 M73 M136 M139 M142 M145</xm:sqref>
        </x14:dataValidation>
        <x14:dataValidation type="custom" allowBlank="1" showInputMessage="1" showErrorMessage="1" error="Recuerde que las acciones se generan bajo la medida de mitigar el riesgo" xr:uid="{00000000-0002-0000-0100-000005000000}">
          <x14:formula1>
            <xm:f>IF(OR(AG8='Opciones Tratamiento'!$B$2,AG8='Opciones Tratamiento'!$B$3,AG8='Opciones Tratamiento'!$B$4),ISBLANK(AG8),ISTEXT(AG8))</xm:f>
          </x14:formula1>
          <xm:sqref>AH8:AH9 AH11:AH12 AH14:AH15 AH17:AH18 AH20:AH21 AH23:AH27 AH29:AH30 AH33 AH37:AH39 AH41:AH42 AH44:AH45 AH48 AH50:AH51 AH53:AH54 AH56:AH57 AH60 AH62:AH63 AH65:AH66 AH69 AH77:AH78 AH82:AH84 AH86:AH87 AH89:AH90 AH93 AH96 AH99 AH102 AH105 AH132 AH128:AH129 AH136:AH153 AH108 AH110:AH111 AH113:AH114 AH116:AH126</xm:sqref>
        </x14:dataValidation>
        <x14:dataValidation type="custom" allowBlank="1" showInputMessage="1" showErrorMessage="1" error="Recuerde que las acciones se generan bajo la medida de mitigar el riesgo" xr:uid="{00000000-0002-0000-0100-000006000000}">
          <x14:formula1>
            <xm:f>IF(OR(AG8='Opciones Tratamiento'!$B$2,AG8='Opciones Tratamiento'!$B$3,AG8='Opciones Tratamiento'!$B$4),ISBLANK(AG8),ISTEXT(AG8))</xm:f>
          </x14:formula1>
          <xm:sqref>AI8:AI9 AI11:AI12 AI14:AI15 AI17:AI18 AI20:AI21 AI23:AI24 AI26:AI27 AI29:AI30 AI33 AI116:AI126 AI41:AI42 AI44:AI45 AI48 AI50:AI51 AI53:AI54 AI56:AI57 AI60 AI62:AI63 AI65:AI66 AI69 AI77:AI78 AI82:AI84 AI86:AI87 AI89:AI90 AI93 AI96 AI99 AI102 AI105 AI131:AI153 AI128:AI129 AI108 AI110:AI111 AI113:AI114 AI38:AI39</xm:sqref>
        </x14:dataValidation>
        <x14:dataValidation type="custom" allowBlank="1" showInputMessage="1" showErrorMessage="1" error="Recuerde que las acciones se generan bajo la medida de mitigar el riesgo" xr:uid="{00000000-0002-0000-0100-000007000000}">
          <x14:formula1>
            <xm:f>IF(OR(AG8='Opciones Tratamiento'!$B$2,AG8='Opciones Tratamiento'!$B$3,AG8='Opciones Tratamiento'!$B$4),ISBLANK(AG8),ISTEXT(AG8))</xm:f>
          </x14:formula1>
          <xm:sqref>AJ8:AJ9 AJ11:AJ12 AJ14:AJ15 AJ17:AJ18 AJ20:AJ21 AJ23:AJ24 AJ26:AJ27 AJ29:AJ30 AJ33 AJ116:AJ126 AJ41:AJ42 AJ44:AJ45 AJ48 AJ50:AJ51 AJ53:AJ54 AJ56:AJ57 AJ60 AJ62:AJ63 AJ65:AJ66 AJ69 AJ77:AJ78 AJ82:AJ84 AJ86:AJ87 AJ89:AJ90 AJ93 AJ96 AJ99 AJ102 AJ105 AJ131:AJ153 AJ128:AJ129 AJ108 AJ110:AJ111 AJ113:AJ114 AJ38:AJ39</xm:sqref>
        </x14:dataValidation>
        <x14:dataValidation type="custom" allowBlank="1" showInputMessage="1" showErrorMessage="1" error="Recuerde que las acciones se generan bajo la medida de mitigar el riesgo" xr:uid="{00000000-0002-0000-0100-000008000000}">
          <x14:formula1>
            <xm:f>IF(OR(AG8='Opciones Tratamiento'!$B$2,AG8='Opciones Tratamiento'!$B$3,AG8='Opciones Tratamiento'!$B$4),ISBLANK(AG8),ISTEXT(AG8))</xm:f>
          </x14:formula1>
          <xm:sqref>AK8:AK9 AK11:AK12 AK14:AK15 AK17:AK18 AK20:AK21 AK23:AK24 AK26:AK27 AK29:AK30 AK33 AK116:AK126 AK41:AK42 AK44:AK45 AK48 AK50:AK51 AK53:AK54 AK56:AK57 AK60 AK62:AK63 AK65:AK66 AK69 AK77:AK78 AK82:AK84 AK86:AK87 AK89:AK90 AK93 AK96 AK99 AK102 AK105 AK131:AK153 AK128:AK129 AK108 AK110:AK111 AK113:AK114 AK38:AK39</xm:sqref>
        </x14:dataValidation>
        <x14:dataValidation type="custom" allowBlank="1" showInputMessage="1" showErrorMessage="1" error="Recuerde que las acciones se generan bajo la medida de mitigar el riesgo" xr:uid="{00000000-0002-0000-0100-000009000000}">
          <x14:formula1>
            <xm:f>IF(OR(AG8='Opciones Tratamiento'!$B$2,AG8='Opciones Tratamiento'!$B$3,AG8='Opciones Tratamiento'!$B$4),ISBLANK(AG8),ISTEXT(AG8))</xm:f>
          </x14:formula1>
          <xm:sqref>AL8:AL9 AL11:AL12 AL14:AL15 AL17:AL18 AL20:AL21 AL23:AL24 AL26:AL27 AL29:AL30 AL33 AL116:AL126 AL41:AL45 AL48 AL50:AL51 AL53:AL54 AL56:AL57 AL60 AL62:AL63 AL65:AL66 AL69 AL77:AL78 AL82:AL84 AL86:AL87 AL89:AL90 AL93:AL96 AL99 AL102 AL105 AL131:AL153 AL128:AL129 AL108 AL110:AL111 AL113:AL114 AL38:AL39</xm:sqref>
        </x14:dataValidation>
        <x14:dataValidation type="list" allowBlank="1" showInputMessage="1" showErrorMessage="1" xr:uid="{00000000-0002-0000-0100-00000A000000}">
          <x14:formula1>
            <xm:f>'[Mapa de riesgos institucional - Consolidado 12.10.2021.xlsx]Tabla Impacto'!#REF!</xm:f>
          </x14:formula1>
          <xm:sqref>M100 M103 M76 M79 M82 M85 M88 M91 M94 M97 M121 M106 M109 M112 M115 M118 M124 M127 M130 M133</xm:sqref>
        </x14:dataValidation>
        <x14:dataValidation type="custom" allowBlank="1" showInputMessage="1" showErrorMessage="1" error="Recuerde que las acciones se generan bajo la medida de mitigar el riesgo" xr:uid="{00000000-0002-0000-0100-00000B000000}">
          <x14:formula1>
            <xm:f>IF(OR(AG37='C:\Users\HP.DESKTOP-EGJVJ8T\Documents\EPQ 130521\Documentos\EPQ\ERU\Mapas de riesgo\2021\Revision\[MR Ejec Proy 2021.xlsx]Opciones Tratamiento'!#REF!,AG37='C:\Users\HP.DESKTOP-EGJVJ8T\Documents\EPQ 130521\Documentos\EPQ\ERU\Mapas de riesgo\2021\Revision\[MR Ejec Proy 2021.xlsx]Opciones Tratamiento'!#REF!,AG37='C:\Users\HP.DESKTOP-EGJVJ8T\Documents\EPQ 130521\Documentos\EPQ\ERU\Mapas de riesgo\2021\Revision\[MR Ejec Proy 2021.xlsx]Opciones Tratamiento'!#REF!),ISBLANK(AG37),ISTEXT(AG37))</xm:f>
          </x14:formula1>
          <xm:sqref>AK37</xm:sqref>
        </x14:dataValidation>
        <x14:dataValidation type="custom" allowBlank="1" showInputMessage="1" showErrorMessage="1" error="Recuerde que las acciones se generan bajo la medida de mitigar el riesgo" xr:uid="{00000000-0002-0000-0100-00000C000000}">
          <x14:formula1>
            <xm:f>IF(OR(AG37='C:\Users\HP.DESKTOP-EGJVJ8T\Documents\EPQ 130521\Documentos\EPQ\ERU\Mapas de riesgo\2021\Revision\[MR Ejec Proy 2021.xlsx]Opciones Tratamiento'!#REF!,AG37='C:\Users\HP.DESKTOP-EGJVJ8T\Documents\EPQ 130521\Documentos\EPQ\ERU\Mapas de riesgo\2021\Revision\[MR Ejec Proy 2021.xlsx]Opciones Tratamiento'!#REF!,AG37='C:\Users\HP.DESKTOP-EGJVJ8T\Documents\EPQ 130521\Documentos\EPQ\ERU\Mapas de riesgo\2021\Revision\[MR Ejec Proy 2021.xlsx]Opciones Tratamiento'!#REF!),ISBLANK(AG37),ISTEXT(AG37))</xm:f>
          </x14:formula1>
          <xm:sqref>AJ37</xm:sqref>
        </x14:dataValidation>
        <x14:dataValidation type="custom" allowBlank="1" showInputMessage="1" showErrorMessage="1" error="Recuerde que las acciones se generan bajo la medida de mitigar el riesgo" xr:uid="{00000000-0002-0000-0100-00000D000000}">
          <x14:formula1>
            <xm:f>IF(OR(AG37='C:\Users\HP.DESKTOP-EGJVJ8T\Documents\EPQ 130521\Documentos\EPQ\ERU\Mapas de riesgo\2021\Revision\[MR Ejec Proy 2021.xlsx]Opciones Tratamiento'!#REF!,AG37='C:\Users\HP.DESKTOP-EGJVJ8T\Documents\EPQ 130521\Documentos\EPQ\ERU\Mapas de riesgo\2021\Revision\[MR Ejec Proy 2021.xlsx]Opciones Tratamiento'!#REF!,AG37='C:\Users\HP.DESKTOP-EGJVJ8T\Documents\EPQ 130521\Documentos\EPQ\ERU\Mapas de riesgo\2021\Revision\[MR Ejec Proy 2021.xlsx]Opciones Tratamiento'!#REF!),ISBLANK(AG37),ISTEXT(AG37))</xm:f>
          </x14:formula1>
          <xm:sqref>AI37</xm:sqref>
        </x14:dataValidation>
        <x14:dataValidation type="list" allowBlank="1" showInputMessage="1" showErrorMessage="1" xr:uid="{00000000-0002-0000-0100-00000E000000}">
          <x14:formula1>
            <xm:f>'Tabla Valoración controles'!$D$4:$D$6</xm:f>
          </x14:formula1>
          <xm:sqref>U7:U153</xm:sqref>
        </x14:dataValidation>
        <x14:dataValidation type="list" allowBlank="1" showInputMessage="1" showErrorMessage="1" xr:uid="{00000000-0002-0000-0100-00000F000000}">
          <x14:formula1>
            <xm:f>'Tabla Valoración controles'!$D$7:$D$8</xm:f>
          </x14:formula1>
          <xm:sqref>V7:V153</xm:sqref>
        </x14:dataValidation>
        <x14:dataValidation type="list" allowBlank="1" showInputMessage="1" showErrorMessage="1" xr:uid="{00000000-0002-0000-0100-000010000000}">
          <x14:formula1>
            <xm:f>'Tabla Valoración controles'!$D$9:$D$10</xm:f>
          </x14:formula1>
          <xm:sqref>X7:X153</xm:sqref>
        </x14:dataValidation>
        <x14:dataValidation type="list" allowBlank="1" showInputMessage="1" showErrorMessage="1" xr:uid="{00000000-0002-0000-0100-000011000000}">
          <x14:formula1>
            <xm:f>'Tabla Valoración controles'!$D$11:$D$12</xm:f>
          </x14:formula1>
          <xm:sqref>Y7:Y153</xm:sqref>
        </x14:dataValidation>
        <x14:dataValidation type="list" allowBlank="1" showInputMessage="1" showErrorMessage="1" xr:uid="{00000000-0002-0000-0100-000012000000}">
          <x14:formula1>
            <xm:f>'Tabla Valoración controles'!$D$13:$D$14</xm:f>
          </x14:formula1>
          <xm:sqref>Z7:Z153</xm:sqref>
        </x14:dataValidation>
        <x14:dataValidation type="list" allowBlank="1" showInputMessage="1" showErrorMessage="1" xr:uid="{00000000-0002-0000-0100-000013000000}">
          <x14:formula1>
            <xm:f>'Opciones Tratamiento'!$B$2:$B$5</xm:f>
          </x14:formula1>
          <xm:sqref>AG7:AG153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O204"/>
  <sheetViews>
    <sheetView zoomScale="20" zoomScaleNormal="20" workbookViewId="0">
      <selection activeCell="Z66" sqref="Z66:AA67"/>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row>
    <row r="2" spans="1:119" ht="18" customHeight="1" x14ac:dyDescent="0.25">
      <c r="A2" s="58"/>
      <c r="B2" s="354" t="s">
        <v>152</v>
      </c>
      <c r="C2" s="354"/>
      <c r="D2" s="354"/>
      <c r="E2" s="354"/>
      <c r="F2" s="354"/>
      <c r="G2" s="354"/>
      <c r="H2" s="354"/>
      <c r="I2" s="354"/>
      <c r="J2" s="355" t="s">
        <v>2</v>
      </c>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5"/>
      <c r="AQ2" s="355"/>
      <c r="AR2" s="355"/>
      <c r="AS2" s="355"/>
      <c r="AT2" s="355"/>
      <c r="AU2" s="355"/>
      <c r="AV2" s="355"/>
      <c r="AW2" s="355"/>
      <c r="AX2" s="355"/>
      <c r="AY2" s="355"/>
      <c r="AZ2" s="355"/>
      <c r="BA2" s="355"/>
      <c r="BB2" s="355"/>
      <c r="BC2" s="355"/>
      <c r="BD2" s="355"/>
      <c r="BE2" s="355"/>
      <c r="BF2" s="355"/>
      <c r="BG2" s="355"/>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row>
    <row r="3" spans="1:119" ht="18.75" customHeight="1" x14ac:dyDescent="0.25">
      <c r="A3" s="58"/>
      <c r="B3" s="354"/>
      <c r="C3" s="354"/>
      <c r="D3" s="354"/>
      <c r="E3" s="354"/>
      <c r="F3" s="354"/>
      <c r="G3" s="354"/>
      <c r="H3" s="354"/>
      <c r="I3" s="354"/>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355"/>
      <c r="BG3" s="355"/>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row>
    <row r="4" spans="1:119" ht="15" customHeight="1" x14ac:dyDescent="0.25">
      <c r="A4" s="58"/>
      <c r="B4" s="354"/>
      <c r="C4" s="354"/>
      <c r="D4" s="354"/>
      <c r="E4" s="354"/>
      <c r="F4" s="354"/>
      <c r="G4" s="354"/>
      <c r="H4" s="354"/>
      <c r="I4" s="354"/>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355"/>
      <c r="AM4" s="355"/>
      <c r="AN4" s="355"/>
      <c r="AO4" s="355"/>
      <c r="AP4" s="355"/>
      <c r="AQ4" s="355"/>
      <c r="AR4" s="355"/>
      <c r="AS4" s="355"/>
      <c r="AT4" s="355"/>
      <c r="AU4" s="355"/>
      <c r="AV4" s="355"/>
      <c r="AW4" s="355"/>
      <c r="AX4" s="355"/>
      <c r="AY4" s="355"/>
      <c r="AZ4" s="355"/>
      <c r="BA4" s="355"/>
      <c r="BB4" s="355"/>
      <c r="BC4" s="355"/>
      <c r="BD4" s="355"/>
      <c r="BE4" s="355"/>
      <c r="BF4" s="355"/>
      <c r="BG4" s="355"/>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row>
    <row r="5" spans="1:119" ht="15.75" thickBot="1" x14ac:dyDescent="0.3">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row>
    <row r="6" spans="1:119" ht="15" customHeight="1" x14ac:dyDescent="0.25">
      <c r="A6" s="58"/>
      <c r="B6" s="356" t="s">
        <v>4</v>
      </c>
      <c r="C6" s="356"/>
      <c r="D6" s="357"/>
      <c r="E6" s="329" t="s">
        <v>110</v>
      </c>
      <c r="F6" s="330"/>
      <c r="G6" s="330"/>
      <c r="H6" s="330"/>
      <c r="I6" s="336"/>
      <c r="J6" s="283" t="str">
        <f>IF(AND('Mapa final'!$K$7="Muy Alta",'Mapa final'!$O$7="Leve"),CONCATENATE("R",'Mapa final'!$A$7),"")</f>
        <v/>
      </c>
      <c r="K6" s="284"/>
      <c r="L6" s="284" t="str">
        <f>IF(AND('Mapa final'!$K$10="Muy Alta",'Mapa final'!$O$10="Leve"),CONCATENATE("R",'Mapa final'!$A$10),"")</f>
        <v/>
      </c>
      <c r="M6" s="284"/>
      <c r="N6" s="284" t="str">
        <f>IF(AND('Mapa final'!$K$13="Muy Alta",'Mapa final'!$O$13="Leve"),CONCATENATE("R",'Mapa final'!$A$13),"")</f>
        <v/>
      </c>
      <c r="O6" s="284"/>
      <c r="P6" s="284" t="str">
        <f>IF(AND('Mapa final'!$K$16="Muy Alta",'Mapa final'!$O$16="Leve"),CONCATENATE("R",'Mapa final'!$A$16),"")</f>
        <v/>
      </c>
      <c r="Q6" s="284"/>
      <c r="R6" s="284" t="str">
        <f>IF(AND('Mapa final'!$K$19="Muy Alta",'Mapa final'!$O$19="Leve"),CONCATENATE("R",'Mapa final'!$A$19),"")</f>
        <v/>
      </c>
      <c r="S6" s="284"/>
      <c r="T6" s="283" t="str">
        <f>IF(AND('Mapa final'!$K$7="Muy Alta",'Mapa final'!$O$7="Menor"),CONCATENATE("R",'Mapa final'!$A$7),"")</f>
        <v/>
      </c>
      <c r="U6" s="284"/>
      <c r="V6" s="284" t="str">
        <f>IF(AND('Mapa final'!$K$10="Muy Alta",'Mapa final'!$O$10="Menor"),CONCATENATE("R",'Mapa final'!$A$10),"")</f>
        <v/>
      </c>
      <c r="W6" s="284"/>
      <c r="X6" s="284" t="str">
        <f>IF(AND('Mapa final'!$K$13="Muy Alta",'Mapa final'!$O$13="Menor"),CONCATENATE("R",'Mapa final'!$A$13),"")</f>
        <v/>
      </c>
      <c r="Y6" s="284"/>
      <c r="Z6" s="284" t="str">
        <f>IF(AND('Mapa final'!$K$16="Muy Alta",'Mapa final'!$O$16="Menor"),CONCATENATE("R",'Mapa final'!$A$16),"")</f>
        <v/>
      </c>
      <c r="AA6" s="284"/>
      <c r="AB6" s="284" t="str">
        <f>IF(AND('Mapa final'!$K$19="Muy Alta",'Mapa final'!$O$19="Menor"),CONCATENATE("R",'Mapa final'!$A$19),"")</f>
        <v/>
      </c>
      <c r="AC6" s="284"/>
      <c r="AD6" s="283" t="str">
        <f>IF(AND('Mapa final'!$K$7="Muy Alta",'Mapa final'!$O$7="Moderado"),CONCATENATE("R",'Mapa final'!$A$7),"")</f>
        <v/>
      </c>
      <c r="AE6" s="284"/>
      <c r="AF6" s="284" t="str">
        <f>IF(AND('Mapa final'!$K$10="Muy Alta",'Mapa final'!$O$10="Moderado"),CONCATENATE("R",'Mapa final'!$A$10),"")</f>
        <v/>
      </c>
      <c r="AG6" s="284"/>
      <c r="AH6" s="284" t="str">
        <f>IF(AND('Mapa final'!$K$13="Muy Alta",'Mapa final'!$O$13="Moderado"),CONCATENATE("R",'Mapa final'!$A$13),"")</f>
        <v/>
      </c>
      <c r="AI6" s="284"/>
      <c r="AJ6" s="284" t="str">
        <f>IF(AND('Mapa final'!$K$16="Muy Alta",'Mapa final'!$O$16="Moderado"),CONCATENATE("R",'Mapa final'!$A$16),"")</f>
        <v/>
      </c>
      <c r="AK6" s="284"/>
      <c r="AL6" s="284" t="str">
        <f>IF(AND('Mapa final'!$K$19="Muy Alta",'Mapa final'!$O$19="Moderado"),CONCATENATE("R",'Mapa final'!$A$19),"")</f>
        <v/>
      </c>
      <c r="AM6" s="284"/>
      <c r="AN6" s="283" t="str">
        <f>IF(AND('Mapa final'!$K$7="Muy Alta",'Mapa final'!$O$7="Mayor"),CONCATENATE("R",'Mapa final'!$A$7),"")</f>
        <v/>
      </c>
      <c r="AO6" s="284"/>
      <c r="AP6" s="284" t="str">
        <f>IF(AND('Mapa final'!$K$10="Muy Alta",'Mapa final'!$O$10="Mayor"),CONCATENATE("R",'Mapa final'!$A$10),"")</f>
        <v/>
      </c>
      <c r="AQ6" s="284"/>
      <c r="AR6" s="284" t="str">
        <f>IF(AND('Mapa final'!$K$13="Muy Alta",'Mapa final'!$O$13="Mayor"),CONCATENATE("R",'Mapa final'!$A$13),"")</f>
        <v/>
      </c>
      <c r="AS6" s="284"/>
      <c r="AT6" s="284" t="str">
        <f>IF(AND('Mapa final'!$K$16="Muy Alta",'Mapa final'!$O$16="Mayor"),CONCATENATE("R",'Mapa final'!$A$16),"")</f>
        <v/>
      </c>
      <c r="AU6" s="284"/>
      <c r="AV6" s="284" t="str">
        <f>IF(AND('Mapa final'!$K$19="Muy Alta",'Mapa final'!$O$19="Mayor"),CONCATENATE("R",'Mapa final'!$A$19),"")</f>
        <v/>
      </c>
      <c r="AW6" s="284"/>
      <c r="AX6" s="288" t="str">
        <f>IF(AND('Mapa final'!$K$7="Muy Alta",'Mapa final'!$O$7="Catastrófico"),CONCATENATE("R",'Mapa final'!$A$7),"")</f>
        <v/>
      </c>
      <c r="AY6" s="289"/>
      <c r="AZ6" s="289" t="str">
        <f>IF(AND('Mapa final'!$K$10="Muy Alta",'Mapa final'!$O$10="Catastrófico"),CONCATENATE("R",'Mapa final'!$A$10),"")</f>
        <v/>
      </c>
      <c r="BA6" s="289"/>
      <c r="BB6" s="289" t="str">
        <f>IF(AND('Mapa final'!$K$13="Muy Alta",'Mapa final'!$O$13="Catastrófico"),CONCATENATE("R",'Mapa final'!$A$13),"")</f>
        <v/>
      </c>
      <c r="BC6" s="289"/>
      <c r="BD6" s="289" t="str">
        <f>IF(AND('Mapa final'!$K$16="Muy Alta",'Mapa final'!$O$16="Catastrófico"),CONCATENATE("R",'Mapa final'!$A$16),"")</f>
        <v/>
      </c>
      <c r="BE6" s="289"/>
      <c r="BF6" s="289" t="str">
        <f>IF(AND('Mapa final'!$K$19="Muy Alta",'Mapa final'!$O$19="Catastrófico"),CONCATENATE("R",'Mapa final'!$A$19),"")</f>
        <v/>
      </c>
      <c r="BG6" s="347"/>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row>
    <row r="7" spans="1:119" ht="15" customHeight="1" x14ac:dyDescent="0.25">
      <c r="A7" s="58"/>
      <c r="B7" s="356"/>
      <c r="C7" s="356"/>
      <c r="D7" s="357"/>
      <c r="E7" s="331"/>
      <c r="F7" s="332"/>
      <c r="G7" s="332"/>
      <c r="H7" s="332"/>
      <c r="I7" s="337"/>
      <c r="J7" s="275"/>
      <c r="K7" s="273"/>
      <c r="L7" s="273"/>
      <c r="M7" s="273"/>
      <c r="N7" s="273"/>
      <c r="O7" s="273"/>
      <c r="P7" s="273"/>
      <c r="Q7" s="273"/>
      <c r="R7" s="273"/>
      <c r="S7" s="273"/>
      <c r="T7" s="275"/>
      <c r="U7" s="273"/>
      <c r="V7" s="273"/>
      <c r="W7" s="273"/>
      <c r="X7" s="273"/>
      <c r="Y7" s="273"/>
      <c r="Z7" s="273"/>
      <c r="AA7" s="273"/>
      <c r="AB7" s="273"/>
      <c r="AC7" s="273"/>
      <c r="AD7" s="275"/>
      <c r="AE7" s="273"/>
      <c r="AF7" s="273"/>
      <c r="AG7" s="273"/>
      <c r="AH7" s="273"/>
      <c r="AI7" s="273"/>
      <c r="AJ7" s="273"/>
      <c r="AK7" s="273"/>
      <c r="AL7" s="273"/>
      <c r="AM7" s="273"/>
      <c r="AN7" s="275"/>
      <c r="AO7" s="273"/>
      <c r="AP7" s="273"/>
      <c r="AQ7" s="273"/>
      <c r="AR7" s="273"/>
      <c r="AS7" s="273"/>
      <c r="AT7" s="273"/>
      <c r="AU7" s="273"/>
      <c r="AV7" s="273"/>
      <c r="AW7" s="273"/>
      <c r="AX7" s="285"/>
      <c r="AY7" s="267"/>
      <c r="AZ7" s="267"/>
      <c r="BA7" s="267"/>
      <c r="BB7" s="267"/>
      <c r="BC7" s="267"/>
      <c r="BD7" s="267"/>
      <c r="BE7" s="267"/>
      <c r="BF7" s="267"/>
      <c r="BG7" s="286"/>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row>
    <row r="8" spans="1:119" ht="15" customHeight="1" x14ac:dyDescent="0.25">
      <c r="A8" s="58"/>
      <c r="B8" s="356"/>
      <c r="C8" s="356"/>
      <c r="D8" s="357"/>
      <c r="E8" s="331"/>
      <c r="F8" s="332"/>
      <c r="G8" s="332"/>
      <c r="H8" s="332"/>
      <c r="I8" s="337"/>
      <c r="J8" s="275" t="str">
        <f>IF(AND('Mapa final'!$K$22="Muy Alta",'Mapa final'!$O$22="Leve"),CONCATENATE("R",'Mapa final'!$A$22),"")</f>
        <v/>
      </c>
      <c r="K8" s="273"/>
      <c r="L8" s="273" t="str">
        <f>IF(AND('Mapa final'!$K$25="Muy Alta",'Mapa final'!$O$25="Leve"),CONCATENATE("R",'Mapa final'!$A$25),"")</f>
        <v/>
      </c>
      <c r="M8" s="273"/>
      <c r="N8" s="273" t="str">
        <f>IF(AND('Mapa final'!$K$28="Muy Alta",'Mapa final'!$O$28="Leve"),CONCATENATE("R",'Mapa final'!$A$28),"")</f>
        <v/>
      </c>
      <c r="O8" s="273"/>
      <c r="P8" s="273" t="str">
        <f>IF(AND('Mapa final'!$K$31="Muy Alta",'Mapa final'!$O$31="Leve"),CONCATENATE("R",'Mapa final'!$A$31),"")</f>
        <v/>
      </c>
      <c r="Q8" s="273"/>
      <c r="R8" s="273" t="str">
        <f>IF(AND('Mapa final'!$K$34="Muy Alta",'Mapa final'!$O$34="Leve"),CONCATENATE("R",'Mapa final'!$A$34),"")</f>
        <v/>
      </c>
      <c r="S8" s="273"/>
      <c r="T8" s="275" t="str">
        <f>IF(AND('Mapa final'!$K$22="Muy Alta",'Mapa final'!$O$22="Menor"),CONCATENATE("R",'Mapa final'!$A$22),"")</f>
        <v/>
      </c>
      <c r="U8" s="273"/>
      <c r="V8" s="273" t="str">
        <f>IF(AND('Mapa final'!$K$25="Muy Alta",'Mapa final'!$O$25="Menor"),CONCATENATE("R",'Mapa final'!$A$25),"")</f>
        <v/>
      </c>
      <c r="W8" s="273"/>
      <c r="X8" s="273" t="str">
        <f>IF(AND('Mapa final'!$K$28="Muy Alta",'Mapa final'!$O$28="Menor"),CONCATENATE("R",'Mapa final'!$A$28),"")</f>
        <v/>
      </c>
      <c r="Y8" s="273"/>
      <c r="Z8" s="273" t="str">
        <f>IF(AND('Mapa final'!$K$31="Muy Alta",'Mapa final'!$O$31="Menor"),CONCATENATE("R",'Mapa final'!$A$31),"")</f>
        <v/>
      </c>
      <c r="AA8" s="273"/>
      <c r="AB8" s="273" t="str">
        <f>IF(AND('Mapa final'!$K$34="Muy Alta",'Mapa final'!$O$34="Menor"),CONCATENATE("R",'Mapa final'!$A$34),"")</f>
        <v/>
      </c>
      <c r="AC8" s="273"/>
      <c r="AD8" s="275" t="str">
        <f>IF(AND('Mapa final'!$K$22="Muy Alta",'Mapa final'!$O$22="Moderado"),CONCATENATE("R",'Mapa final'!$A$22),"")</f>
        <v/>
      </c>
      <c r="AE8" s="273"/>
      <c r="AF8" s="273" t="str">
        <f>IF(AND('Mapa final'!$K$25="Muy Alta",'Mapa final'!$O$25="Moderado"),CONCATENATE("R",'Mapa final'!$A$25),"")</f>
        <v/>
      </c>
      <c r="AG8" s="273"/>
      <c r="AH8" s="273" t="str">
        <f>IF(AND('Mapa final'!$K$28="Muy Alta",'Mapa final'!$O$28="Moderado"),CONCATENATE("R",'Mapa final'!$A$28),"")</f>
        <v/>
      </c>
      <c r="AI8" s="273"/>
      <c r="AJ8" s="273" t="str">
        <f>IF(AND('Mapa final'!$K$31="Muy Alta",'Mapa final'!$O$31="Moderado"),CONCATENATE("R",'Mapa final'!$A$31),"")</f>
        <v/>
      </c>
      <c r="AK8" s="273"/>
      <c r="AL8" s="273" t="str">
        <f>IF(AND('Mapa final'!$K$34="Muy Alta",'Mapa final'!$O$34="Moderado"),CONCATENATE("R",'Mapa final'!$A$34),"")</f>
        <v/>
      </c>
      <c r="AM8" s="273"/>
      <c r="AN8" s="275" t="str">
        <f>IF(AND('Mapa final'!$K$22="Muy Alta",'Mapa final'!$O$22="Mayor"),CONCATENATE("R",'Mapa final'!$A$22),"")</f>
        <v/>
      </c>
      <c r="AO8" s="273"/>
      <c r="AP8" s="273" t="str">
        <f>IF(AND('Mapa final'!$K$25="Muy Alta",'Mapa final'!$O$25="Mayor"),CONCATENATE("R",'Mapa final'!$A$25),"")</f>
        <v/>
      </c>
      <c r="AQ8" s="273"/>
      <c r="AR8" s="273" t="str">
        <f>IF(AND('Mapa final'!$K$28="Muy Alta",'Mapa final'!$O$28="Mayor"),CONCATENATE("R",'Mapa final'!$A$28),"")</f>
        <v/>
      </c>
      <c r="AS8" s="273"/>
      <c r="AT8" s="273" t="str">
        <f>IF(AND('Mapa final'!$K$31="Muy Alta",'Mapa final'!$O$31="Mayor"),CONCATENATE("R",'Mapa final'!$A$31),"")</f>
        <v/>
      </c>
      <c r="AU8" s="273"/>
      <c r="AV8" s="273" t="str">
        <f>IF(AND('Mapa final'!$K$34="Muy Alta",'Mapa final'!$O$34="Mayor"),CONCATENATE("R",'Mapa final'!$A$34),"")</f>
        <v/>
      </c>
      <c r="AW8" s="273"/>
      <c r="AX8" s="285" t="str">
        <f>IF(AND('Mapa final'!$K$22="Muy Alta",'Mapa final'!$O$22="Catastrófico"),CONCATENATE("R",'Mapa final'!$A$22),"")</f>
        <v/>
      </c>
      <c r="AY8" s="267"/>
      <c r="AZ8" s="267" t="str">
        <f>IF(AND('Mapa final'!$K$25="Muy Alta",'Mapa final'!$O$25="Catastrófico"),CONCATENATE("R",'Mapa final'!$A$25),"")</f>
        <v/>
      </c>
      <c r="BA8" s="267"/>
      <c r="BB8" s="267" t="str">
        <f>IF(AND('Mapa final'!$K$28="Muy Alta",'Mapa final'!$O$28="Catastrófico"),CONCATENATE("R",'Mapa final'!$A$28),"")</f>
        <v/>
      </c>
      <c r="BC8" s="267"/>
      <c r="BD8" s="267" t="str">
        <f>IF(AND('Mapa final'!$K$31="Muy Alta",'Mapa final'!$O$31="Catastrófico"),CONCATENATE("R",'Mapa final'!$A$31),"")</f>
        <v/>
      </c>
      <c r="BE8" s="267"/>
      <c r="BF8" s="267" t="str">
        <f>IF(AND('Mapa final'!$K$34="Muy Alta",'Mapa final'!$O$34="Catastrófico"),CONCATENATE("R",'Mapa final'!$A$34),"")</f>
        <v/>
      </c>
      <c r="BG8" s="286"/>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row>
    <row r="9" spans="1:119" ht="15" customHeight="1" x14ac:dyDescent="0.25">
      <c r="A9" s="58"/>
      <c r="B9" s="356"/>
      <c r="C9" s="356"/>
      <c r="D9" s="357"/>
      <c r="E9" s="331"/>
      <c r="F9" s="332"/>
      <c r="G9" s="332"/>
      <c r="H9" s="332"/>
      <c r="I9" s="337"/>
      <c r="J9" s="275"/>
      <c r="K9" s="273"/>
      <c r="L9" s="273"/>
      <c r="M9" s="273"/>
      <c r="N9" s="273"/>
      <c r="O9" s="273"/>
      <c r="P9" s="273"/>
      <c r="Q9" s="273"/>
      <c r="R9" s="273"/>
      <c r="S9" s="273"/>
      <c r="T9" s="275"/>
      <c r="U9" s="273"/>
      <c r="V9" s="273"/>
      <c r="W9" s="273"/>
      <c r="X9" s="273"/>
      <c r="Y9" s="273"/>
      <c r="Z9" s="273"/>
      <c r="AA9" s="273"/>
      <c r="AB9" s="273"/>
      <c r="AC9" s="273"/>
      <c r="AD9" s="275"/>
      <c r="AE9" s="273"/>
      <c r="AF9" s="273"/>
      <c r="AG9" s="273"/>
      <c r="AH9" s="273"/>
      <c r="AI9" s="273"/>
      <c r="AJ9" s="273"/>
      <c r="AK9" s="273"/>
      <c r="AL9" s="273"/>
      <c r="AM9" s="273"/>
      <c r="AN9" s="275"/>
      <c r="AO9" s="273"/>
      <c r="AP9" s="273"/>
      <c r="AQ9" s="273"/>
      <c r="AR9" s="273"/>
      <c r="AS9" s="273"/>
      <c r="AT9" s="273"/>
      <c r="AU9" s="273"/>
      <c r="AV9" s="273"/>
      <c r="AW9" s="273"/>
      <c r="AX9" s="285"/>
      <c r="AY9" s="267"/>
      <c r="AZ9" s="267"/>
      <c r="BA9" s="267"/>
      <c r="BB9" s="267"/>
      <c r="BC9" s="267"/>
      <c r="BD9" s="267"/>
      <c r="BE9" s="267"/>
      <c r="BF9" s="267"/>
      <c r="BG9" s="286"/>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row>
    <row r="10" spans="1:119" ht="15" customHeight="1" x14ac:dyDescent="0.25">
      <c r="A10" s="58"/>
      <c r="B10" s="356"/>
      <c r="C10" s="356"/>
      <c r="D10" s="357"/>
      <c r="E10" s="331"/>
      <c r="F10" s="332"/>
      <c r="G10" s="332"/>
      <c r="H10" s="332"/>
      <c r="I10" s="337"/>
      <c r="J10" s="275" t="str">
        <f>IF(AND('Mapa final'!$K$37="Muy Alta",'Mapa final'!$O$37="Leve"),CONCATENATE("R",'Mapa final'!$A$37),"")</f>
        <v/>
      </c>
      <c r="K10" s="273"/>
      <c r="L10" s="273" t="str">
        <f>IF(AND('Mapa final'!$K$40="Muy Alta",'Mapa final'!$O$40="Leve"),CONCATENATE("R",'Mapa final'!$A$40),"")</f>
        <v/>
      </c>
      <c r="M10" s="273"/>
      <c r="N10" s="273" t="str">
        <f>IF(AND('Mapa final'!$K$43="Muy Alta",'Mapa final'!$O$43="Leve"),CONCATENATE("R",'Mapa final'!$A$43),"")</f>
        <v/>
      </c>
      <c r="O10" s="273"/>
      <c r="P10" s="273" t="e">
        <f>IF(AND('Mapa final'!#REF!="Muy Alta",'Mapa final'!#REF!="Leve"),CONCATENATE("R",'Mapa final'!#REF!),"")</f>
        <v>#REF!</v>
      </c>
      <c r="Q10" s="273"/>
      <c r="R10" s="273" t="str">
        <f>IF(AND('Mapa final'!$K$46="Muy Alta",'Mapa final'!$O$46="Leve"),CONCATENATE("R",'Mapa final'!$A$46),"")</f>
        <v/>
      </c>
      <c r="S10" s="273"/>
      <c r="T10" s="275" t="str">
        <f>IF(AND('Mapa final'!$K$37="Muy Alta",'Mapa final'!$O$37="Menor"),CONCATENATE("R",'Mapa final'!$A$37),"")</f>
        <v/>
      </c>
      <c r="U10" s="273"/>
      <c r="V10" s="273" t="str">
        <f>IF(AND('Mapa final'!$K$40="Muy Alta",'Mapa final'!$O$40="Menor"),CONCATENATE("R",'Mapa final'!$A$40),"")</f>
        <v/>
      </c>
      <c r="W10" s="273"/>
      <c r="X10" s="273" t="str">
        <f>IF(AND('Mapa final'!$K$43="Muy Alta",'Mapa final'!$O$43="Menor"),CONCATENATE("R",'Mapa final'!$A$43),"")</f>
        <v/>
      </c>
      <c r="Y10" s="273"/>
      <c r="Z10" s="273" t="e">
        <f>IF(AND('Mapa final'!#REF!="Muy Alta",'Mapa final'!#REF!="Menor"),CONCATENATE("R",'Mapa final'!#REF!),"")</f>
        <v>#REF!</v>
      </c>
      <c r="AA10" s="273"/>
      <c r="AB10" s="273" t="str">
        <f>IF(AND('Mapa final'!$K$46="Muy Alta",'Mapa final'!$O$46="Menor"),CONCATENATE("R",'Mapa final'!$A$46),"")</f>
        <v/>
      </c>
      <c r="AC10" s="273"/>
      <c r="AD10" s="275" t="str">
        <f>IF(AND('Mapa final'!$K$37="Muy Alta",'Mapa final'!$O$37="Moderado"),CONCATENATE("R",'Mapa final'!$A$37),"")</f>
        <v/>
      </c>
      <c r="AE10" s="273"/>
      <c r="AF10" s="273" t="str">
        <f>IF(AND('Mapa final'!$K$40="Muy Alta",'Mapa final'!$O$40="Moderado"),CONCATENATE("R",'Mapa final'!$A$40),"")</f>
        <v/>
      </c>
      <c r="AG10" s="273"/>
      <c r="AH10" s="273" t="str">
        <f>IF(AND('Mapa final'!$K$43="Muy Alta",'Mapa final'!$O$43="Moderado"),CONCATENATE("R",'Mapa final'!$A$43),"")</f>
        <v/>
      </c>
      <c r="AI10" s="273"/>
      <c r="AJ10" s="273" t="e">
        <f>IF(AND('Mapa final'!#REF!="Muy Alta",'Mapa final'!#REF!="Moderado"),CONCATENATE("R",'Mapa final'!#REF!),"")</f>
        <v>#REF!</v>
      </c>
      <c r="AK10" s="273"/>
      <c r="AL10" s="273" t="str">
        <f>IF(AND('Mapa final'!$K$46="Muy Alta",'Mapa final'!$O$46="Moderado"),CONCATENATE("R",'Mapa final'!$A$46),"")</f>
        <v/>
      </c>
      <c r="AM10" s="273"/>
      <c r="AN10" s="275" t="str">
        <f>IF(AND('Mapa final'!$K$37="Muy Alta",'Mapa final'!$O$37="Mayor"),CONCATENATE("R",'Mapa final'!$A$37),"")</f>
        <v/>
      </c>
      <c r="AO10" s="273"/>
      <c r="AP10" s="273" t="str">
        <f>IF(AND('Mapa final'!$K$40="Muy Alta",'Mapa final'!$O$40="Mayor"),CONCATENATE("R",'Mapa final'!$A$40),"")</f>
        <v/>
      </c>
      <c r="AQ10" s="273"/>
      <c r="AR10" s="273" t="str">
        <f>IF(AND('Mapa final'!$K$43="Muy Alta",'Mapa final'!$O$43="Mayor"),CONCATENATE("R",'Mapa final'!$A$43),"")</f>
        <v/>
      </c>
      <c r="AS10" s="273"/>
      <c r="AT10" s="273" t="e">
        <f>IF(AND('Mapa final'!#REF!="Muy Alta",'Mapa final'!#REF!="Mayor"),CONCATENATE("R",'Mapa final'!#REF!),"")</f>
        <v>#REF!</v>
      </c>
      <c r="AU10" s="273"/>
      <c r="AV10" s="273" t="str">
        <f>IF(AND('Mapa final'!$K$46="Muy Alta",'Mapa final'!$O$46="Mayor"),CONCATENATE("R",'Mapa final'!$A$46),"")</f>
        <v/>
      </c>
      <c r="AW10" s="273"/>
      <c r="AX10" s="285" t="str">
        <f>IF(AND('Mapa final'!$K$37="Muy Alta",'Mapa final'!$O$37="Catastrófico"),CONCATENATE("R",'Mapa final'!$A$37),"")</f>
        <v/>
      </c>
      <c r="AY10" s="267"/>
      <c r="AZ10" s="267" t="str">
        <f>IF(AND('Mapa final'!$K$40="Muy Alta",'Mapa final'!$O$40="Catastrófico"),CONCATENATE("R",'Mapa final'!$A$40),"")</f>
        <v/>
      </c>
      <c r="BA10" s="267"/>
      <c r="BB10" s="267" t="str">
        <f>IF(AND('Mapa final'!$K$43="Muy Alta",'Mapa final'!$O$43="Catastrófico"),CONCATENATE("R",'Mapa final'!$A$43),"")</f>
        <v/>
      </c>
      <c r="BC10" s="267"/>
      <c r="BD10" s="267" t="e">
        <f>IF(AND('Mapa final'!#REF!="Muy Alta",'Mapa final'!#REF!="Catastrófico"),CONCATENATE("R",'Mapa final'!#REF!),"")</f>
        <v>#REF!</v>
      </c>
      <c r="BE10" s="267"/>
      <c r="BF10" s="267" t="str">
        <f>IF(AND('Mapa final'!$K$46="Muy Alta",'Mapa final'!$O$46="Catastrófico"),CONCATENATE("R",'Mapa final'!$A$46),"")</f>
        <v/>
      </c>
      <c r="BG10" s="286"/>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row>
    <row r="11" spans="1:119" ht="15" customHeight="1" x14ac:dyDescent="0.25">
      <c r="A11" s="58"/>
      <c r="B11" s="356"/>
      <c r="C11" s="356"/>
      <c r="D11" s="357"/>
      <c r="E11" s="331"/>
      <c r="F11" s="332"/>
      <c r="G11" s="332"/>
      <c r="H11" s="332"/>
      <c r="I11" s="337"/>
      <c r="J11" s="275"/>
      <c r="K11" s="273"/>
      <c r="L11" s="273"/>
      <c r="M11" s="273"/>
      <c r="N11" s="273"/>
      <c r="O11" s="273"/>
      <c r="P11" s="273"/>
      <c r="Q11" s="273"/>
      <c r="R11" s="273"/>
      <c r="S11" s="273"/>
      <c r="T11" s="275"/>
      <c r="U11" s="273"/>
      <c r="V11" s="273"/>
      <c r="W11" s="273"/>
      <c r="X11" s="273"/>
      <c r="Y11" s="273"/>
      <c r="Z11" s="273"/>
      <c r="AA11" s="273"/>
      <c r="AB11" s="273"/>
      <c r="AC11" s="273"/>
      <c r="AD11" s="275"/>
      <c r="AE11" s="273"/>
      <c r="AF11" s="273"/>
      <c r="AG11" s="273"/>
      <c r="AH11" s="273"/>
      <c r="AI11" s="273"/>
      <c r="AJ11" s="273"/>
      <c r="AK11" s="273"/>
      <c r="AL11" s="273"/>
      <c r="AM11" s="273"/>
      <c r="AN11" s="275"/>
      <c r="AO11" s="273"/>
      <c r="AP11" s="273"/>
      <c r="AQ11" s="273"/>
      <c r="AR11" s="273"/>
      <c r="AS11" s="273"/>
      <c r="AT11" s="273"/>
      <c r="AU11" s="273"/>
      <c r="AV11" s="273"/>
      <c r="AW11" s="273"/>
      <c r="AX11" s="285"/>
      <c r="AY11" s="267"/>
      <c r="AZ11" s="267"/>
      <c r="BA11" s="267"/>
      <c r="BB11" s="267"/>
      <c r="BC11" s="267"/>
      <c r="BD11" s="267"/>
      <c r="BE11" s="267"/>
      <c r="BF11" s="267"/>
      <c r="BG11" s="286"/>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row>
    <row r="12" spans="1:119" ht="15" customHeight="1" x14ac:dyDescent="0.25">
      <c r="A12" s="58"/>
      <c r="B12" s="356"/>
      <c r="C12" s="356"/>
      <c r="D12" s="357"/>
      <c r="E12" s="331"/>
      <c r="F12" s="332"/>
      <c r="G12" s="332"/>
      <c r="H12" s="332"/>
      <c r="I12" s="337"/>
      <c r="J12" s="275" t="str">
        <f>IF(AND('Mapa final'!$K$49="Muy Alta",'Mapa final'!$O$49="Leve"),CONCATENATE("R",'Mapa final'!$A$49),"")</f>
        <v/>
      </c>
      <c r="K12" s="273"/>
      <c r="L12" s="273" t="str">
        <f>IF(AND('Mapa final'!$K$52="Muy Alta",'Mapa final'!$O$52="Leve"),CONCATENATE("R",'Mapa final'!$A$52),"")</f>
        <v/>
      </c>
      <c r="M12" s="273"/>
      <c r="N12" s="273" t="str">
        <f>IF(AND('Mapa final'!$K$55="Muy Alta",'Mapa final'!$O$55="Leve"),CONCATENATE("R",'Mapa final'!$A$55),"")</f>
        <v/>
      </c>
      <c r="O12" s="273"/>
      <c r="P12" s="273" t="str">
        <f>IF(AND('Mapa final'!$K$58="Muy Alta",'Mapa final'!$O$58="Leve"),CONCATENATE("R",'Mapa final'!$A$58),"")</f>
        <v/>
      </c>
      <c r="Q12" s="273"/>
      <c r="R12" s="273" t="str">
        <f>IF(AND('Mapa final'!$K$61="Muy Alta",'Mapa final'!$O$61="Leve"),CONCATENATE("R",'Mapa final'!$A$61),"")</f>
        <v/>
      </c>
      <c r="S12" s="273"/>
      <c r="T12" s="275" t="str">
        <f>IF(AND('Mapa final'!$K$49="Muy Alta",'Mapa final'!$O$49="Menor"),CONCATENATE("R",'Mapa final'!$A$49),"")</f>
        <v/>
      </c>
      <c r="U12" s="273"/>
      <c r="V12" s="273" t="str">
        <f>IF(AND('Mapa final'!$K$52="Muy Alta",'Mapa final'!$O$52="Menor"),CONCATENATE("R",'Mapa final'!$A$52),"")</f>
        <v>R16</v>
      </c>
      <c r="W12" s="273"/>
      <c r="X12" s="273" t="str">
        <f>IF(AND('Mapa final'!$K$55="Muy Alta",'Mapa final'!$O$55="Menor"),CONCATENATE("R",'Mapa final'!$A$55),"")</f>
        <v/>
      </c>
      <c r="Y12" s="273"/>
      <c r="Z12" s="273" t="str">
        <f>IF(AND('Mapa final'!$K$58="Muy Alta",'Mapa final'!$O$58="Menor"),CONCATENATE("R",'Mapa final'!$A$58),"")</f>
        <v/>
      </c>
      <c r="AA12" s="273"/>
      <c r="AB12" s="273" t="str">
        <f>IF(AND('Mapa final'!$K$61="Muy Alta",'Mapa final'!$O$61="Menor"),CONCATENATE("R",'Mapa final'!$A$61),"")</f>
        <v/>
      </c>
      <c r="AC12" s="273"/>
      <c r="AD12" s="275" t="str">
        <f>IF(AND('Mapa final'!$K$49="Muy Alta",'Mapa final'!$O$49="Moderado"),CONCATENATE("R",'Mapa final'!$A$49),"")</f>
        <v/>
      </c>
      <c r="AE12" s="273"/>
      <c r="AF12" s="273" t="str">
        <f>IF(AND('Mapa final'!$K$52="Muy Alta",'Mapa final'!$O$52="Moderado"),CONCATENATE("R",'Mapa final'!$A$52),"")</f>
        <v/>
      </c>
      <c r="AG12" s="273"/>
      <c r="AH12" s="273" t="str">
        <f>IF(AND('Mapa final'!$K$55="Muy Alta",'Mapa final'!$O$55="Moderado"),CONCATENATE("R",'Mapa final'!$A$55),"")</f>
        <v/>
      </c>
      <c r="AI12" s="273"/>
      <c r="AJ12" s="273" t="str">
        <f>IF(AND('Mapa final'!$K$58="Muy Alta",'Mapa final'!$O$58="Moderado"),CONCATENATE("R",'Mapa final'!$A$58),"")</f>
        <v/>
      </c>
      <c r="AK12" s="273"/>
      <c r="AL12" s="273" t="str">
        <f>IF(AND('Mapa final'!$K$61="Muy Alta",'Mapa final'!$O$61="Moderado"),CONCATENATE("R",'Mapa final'!$A$61),"")</f>
        <v/>
      </c>
      <c r="AM12" s="273"/>
      <c r="AN12" s="275" t="str">
        <f>IF(AND('Mapa final'!$K$49="Muy Alta",'Mapa final'!$O$49="Mayor"),CONCATENATE("R",'Mapa final'!$A$49),"")</f>
        <v/>
      </c>
      <c r="AO12" s="273"/>
      <c r="AP12" s="273" t="str">
        <f>IF(AND('Mapa final'!$K$52="Muy Alta",'Mapa final'!$O$52="Mayor"),CONCATENATE("R",'Mapa final'!$A$52),"")</f>
        <v/>
      </c>
      <c r="AQ12" s="273"/>
      <c r="AR12" s="273" t="str">
        <f>IF(AND('Mapa final'!$K$55="Muy Alta",'Mapa final'!$O$55="Mayor"),CONCATENATE("R",'Mapa final'!$A$55),"")</f>
        <v>R17</v>
      </c>
      <c r="AS12" s="273"/>
      <c r="AT12" s="273" t="str">
        <f>IF(AND('Mapa final'!$K$58="Muy Alta",'Mapa final'!$O$58="Mayor"),CONCATENATE("R",'Mapa final'!$A$58),"")</f>
        <v/>
      </c>
      <c r="AU12" s="273"/>
      <c r="AV12" s="273" t="str">
        <f>IF(AND('Mapa final'!$K$61="Muy Alta",'Mapa final'!$O$61="Mayor"),CONCATENATE("R",'Mapa final'!$A$61),"")</f>
        <v/>
      </c>
      <c r="AW12" s="273"/>
      <c r="AX12" s="285" t="str">
        <f>IF(AND('Mapa final'!$K$49="Muy Alta",'Mapa final'!$O$49="Catastrófico"),CONCATENATE("R",'Mapa final'!$A$49),"")</f>
        <v/>
      </c>
      <c r="AY12" s="267"/>
      <c r="AZ12" s="267" t="str">
        <f>IF(AND('Mapa final'!$K$52="Muy Alta",'Mapa final'!$O$52="Catastrófico"),CONCATENATE("R",'Mapa final'!$A$52),"")</f>
        <v/>
      </c>
      <c r="BA12" s="267"/>
      <c r="BB12" s="267" t="str">
        <f>IF(AND('Mapa final'!$K$55="Muy Alta",'Mapa final'!$O$55="Catastrófico"),CONCATENATE("R",'Mapa final'!$A$55),"")</f>
        <v/>
      </c>
      <c r="BC12" s="267"/>
      <c r="BD12" s="267" t="str">
        <f>IF(AND('Mapa final'!$K$58="Muy Alta",'Mapa final'!$O$58="Catastrófico"),CONCATENATE("R",'Mapa final'!$A$58),"")</f>
        <v/>
      </c>
      <c r="BE12" s="267"/>
      <c r="BF12" s="267" t="str">
        <f>IF(AND('Mapa final'!$K$61="Muy Alta",'Mapa final'!$O$61="Catastrófico"),CONCATENATE("R",'Mapa final'!$A$61),"")</f>
        <v/>
      </c>
      <c r="BG12" s="286"/>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row>
    <row r="13" spans="1:119" ht="15" customHeight="1" thickBot="1" x14ac:dyDescent="0.3">
      <c r="A13" s="58"/>
      <c r="B13" s="356"/>
      <c r="C13" s="356"/>
      <c r="D13" s="357"/>
      <c r="E13" s="331"/>
      <c r="F13" s="332"/>
      <c r="G13" s="332"/>
      <c r="H13" s="332"/>
      <c r="I13" s="337"/>
      <c r="J13" s="275"/>
      <c r="K13" s="273"/>
      <c r="L13" s="273"/>
      <c r="M13" s="273"/>
      <c r="N13" s="273"/>
      <c r="O13" s="273"/>
      <c r="P13" s="273"/>
      <c r="Q13" s="273"/>
      <c r="R13" s="273"/>
      <c r="S13" s="273"/>
      <c r="T13" s="275"/>
      <c r="U13" s="273"/>
      <c r="V13" s="273"/>
      <c r="W13" s="273"/>
      <c r="X13" s="273"/>
      <c r="Y13" s="273"/>
      <c r="Z13" s="273"/>
      <c r="AA13" s="273"/>
      <c r="AB13" s="273"/>
      <c r="AC13" s="273"/>
      <c r="AD13" s="275"/>
      <c r="AE13" s="273"/>
      <c r="AF13" s="273"/>
      <c r="AG13" s="273"/>
      <c r="AH13" s="273"/>
      <c r="AI13" s="273"/>
      <c r="AJ13" s="273"/>
      <c r="AK13" s="273"/>
      <c r="AL13" s="273"/>
      <c r="AM13" s="273"/>
      <c r="AN13" s="275"/>
      <c r="AO13" s="273"/>
      <c r="AP13" s="273"/>
      <c r="AQ13" s="273"/>
      <c r="AR13" s="273"/>
      <c r="AS13" s="273"/>
      <c r="AT13" s="273"/>
      <c r="AU13" s="273"/>
      <c r="AV13" s="273"/>
      <c r="AW13" s="273"/>
      <c r="AX13" s="285"/>
      <c r="AY13" s="267"/>
      <c r="AZ13" s="267"/>
      <c r="BA13" s="267"/>
      <c r="BB13" s="267"/>
      <c r="BC13" s="267"/>
      <c r="BD13" s="267"/>
      <c r="BE13" s="267"/>
      <c r="BF13" s="267"/>
      <c r="BG13" s="286"/>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row>
    <row r="14" spans="1:119" ht="15" customHeight="1" x14ac:dyDescent="0.25">
      <c r="A14" s="58"/>
      <c r="B14" s="356"/>
      <c r="C14" s="356"/>
      <c r="D14" s="357"/>
      <c r="E14" s="331"/>
      <c r="F14" s="332"/>
      <c r="G14" s="332"/>
      <c r="H14" s="332"/>
      <c r="I14" s="337"/>
      <c r="J14" s="275" t="str">
        <f>IF(AND('Mapa final'!$K$64="Muy Alta",'Mapa final'!$O$64="Leve"),CONCATENATE("R",'Mapa final'!$A$64),"")</f>
        <v/>
      </c>
      <c r="K14" s="273"/>
      <c r="L14" s="273" t="str">
        <f>IF(AND('Mapa final'!$K$67="Muy Alta",'Mapa final'!$O$67="Leve"),CONCATENATE("R",'Mapa final'!$A$67),"")</f>
        <v/>
      </c>
      <c r="M14" s="273"/>
      <c r="N14" s="273" t="str">
        <f>IF(AND('Mapa final'!$K$70="Muy Alta",'Mapa final'!$O$70="Leve"),CONCATENATE("R",'Mapa final'!$A$70),"")</f>
        <v/>
      </c>
      <c r="O14" s="273"/>
      <c r="P14" s="273" t="str">
        <f>IF(AND('Mapa final'!$K$73="Muy Alta",'Mapa final'!$O$73="Leve"),CONCATENATE("R",'Mapa final'!$A$73),"")</f>
        <v/>
      </c>
      <c r="Q14" s="273"/>
      <c r="R14" s="273" t="str">
        <f>IF(AND('Mapa final'!$K$76="Muy Alta",'Mapa final'!$O$76="Leve"),CONCATENATE("R",'Mapa final'!$A$76),"")</f>
        <v/>
      </c>
      <c r="S14" s="273"/>
      <c r="T14" s="275" t="str">
        <f>IF(AND('Mapa final'!$K$64="Muy Alta",'Mapa final'!$O$64="Menor"),CONCATENATE("R",'Mapa final'!$A$64),"")</f>
        <v/>
      </c>
      <c r="U14" s="273"/>
      <c r="V14" s="273" t="str">
        <f>IF(AND('Mapa final'!$K$67="Muy Alta",'Mapa final'!$O$67="Menor"),CONCATENATE("R",'Mapa final'!$A$67),"")</f>
        <v/>
      </c>
      <c r="W14" s="273"/>
      <c r="X14" s="273" t="str">
        <f>IF(AND('Mapa final'!$K$70="Muy Alta",'Mapa final'!$O$70="Menor"),CONCATENATE("R",'Mapa final'!$A$70),"")</f>
        <v/>
      </c>
      <c r="Y14" s="273"/>
      <c r="Z14" s="273" t="str">
        <f>IF(AND('Mapa final'!$K$73="Muy Alta",'Mapa final'!$O$73="Menor"),CONCATENATE("R",'Mapa final'!$A$73),"")</f>
        <v/>
      </c>
      <c r="AA14" s="273"/>
      <c r="AB14" s="273" t="str">
        <f>IF(AND('Mapa final'!$K$76="Muy Alta",'Mapa final'!$O$76="Menor"),CONCATENATE("R",'Mapa final'!$A$76),"")</f>
        <v/>
      </c>
      <c r="AC14" s="273"/>
      <c r="AD14" s="275" t="str">
        <f>IF(AND('Mapa final'!$K$64="Muy Alta",'Mapa final'!$O$64="Moderado"),CONCATENATE("R",'Mapa final'!$A$64),"")</f>
        <v/>
      </c>
      <c r="AE14" s="273"/>
      <c r="AF14" s="273" t="str">
        <f>IF(AND('Mapa final'!$K$67="Muy Alta",'Mapa final'!$O$67="Moderado"),CONCATENATE("R",'Mapa final'!$A$67),"")</f>
        <v/>
      </c>
      <c r="AG14" s="273"/>
      <c r="AH14" s="273" t="str">
        <f>IF(AND('Mapa final'!$K$70="Muy Alta",'Mapa final'!$O$70="Moderado"),CONCATENATE("R",'Mapa final'!$A$70),"")</f>
        <v/>
      </c>
      <c r="AI14" s="273"/>
      <c r="AJ14" s="273" t="str">
        <f>IF(AND('Mapa final'!$K$73="Muy Alta",'Mapa final'!$O$73="Moderado"),CONCATENATE("R",'Mapa final'!$A$73),"")</f>
        <v/>
      </c>
      <c r="AK14" s="273"/>
      <c r="AL14" s="273" t="str">
        <f>IF(AND('Mapa final'!$K$76="Muy Alta",'Mapa final'!$O$76="Moderado"),CONCATENATE("R",'Mapa final'!$A$76),"")</f>
        <v/>
      </c>
      <c r="AM14" s="273"/>
      <c r="AN14" s="275" t="str">
        <f>IF(AND('Mapa final'!$K$64="Muy Alta",'Mapa final'!$O$64="Mayor"),CONCATENATE("R",'Mapa final'!$A$64),"")</f>
        <v/>
      </c>
      <c r="AO14" s="273"/>
      <c r="AP14" s="273" t="str">
        <f>IF(AND('Mapa final'!$K$67="Muy Alta",'Mapa final'!$O$67="Mayor"),CONCATENATE("R",'Mapa final'!$A$67),"")</f>
        <v/>
      </c>
      <c r="AQ14" s="273"/>
      <c r="AR14" s="273" t="str">
        <f>IF(AND('Mapa final'!$K$70="Muy Alta",'Mapa final'!$O$70="Mayor"),CONCATENATE("R",'Mapa final'!$A$70),"")</f>
        <v/>
      </c>
      <c r="AS14" s="273"/>
      <c r="AT14" s="273" t="str">
        <f>IF(AND('Mapa final'!$K$73="Muy Alta",'Mapa final'!$O$73="Mayor"),CONCATENATE("R",'Mapa final'!$A$73),"")</f>
        <v/>
      </c>
      <c r="AU14" s="273"/>
      <c r="AV14" s="273" t="str">
        <f>IF(AND('Mapa final'!$K$76="Muy Alta",'Mapa final'!$O$76="Mayor"),CONCATENATE("R",'Mapa final'!$A$76),"")</f>
        <v/>
      </c>
      <c r="AW14" s="273"/>
      <c r="AX14" s="285" t="str">
        <f>IF(AND('Mapa final'!$K$64="Muy Alta",'Mapa final'!$O$64="Catastrófico"),CONCATENATE("R",'Mapa final'!$A$64),"")</f>
        <v/>
      </c>
      <c r="AY14" s="267"/>
      <c r="AZ14" s="267" t="str">
        <f>IF(AND('Mapa final'!$K$67="Muy Alta",'Mapa final'!$O$67="Catastrófico"),CONCATENATE("R",'Mapa final'!$A$67),"")</f>
        <v/>
      </c>
      <c r="BA14" s="267"/>
      <c r="BB14" s="267" t="str">
        <f>IF(AND('Mapa final'!$K$70="Muy Alta",'Mapa final'!$O$70="Catastrófico"),CONCATENATE("R",'Mapa final'!$A$70),"")</f>
        <v/>
      </c>
      <c r="BC14" s="267"/>
      <c r="BD14" s="267" t="str">
        <f>IF(AND('Mapa final'!$K$73="Muy Alta",'Mapa final'!$O$73="Catastrófico"),CONCATENATE("R",'Mapa final'!$A$73),"")</f>
        <v/>
      </c>
      <c r="BE14" s="267"/>
      <c r="BF14" s="267" t="str">
        <f>IF(AND('Mapa final'!$K$76="Muy Alta",'Mapa final'!$O$76="Catastrófico"),CONCATENATE("R",'Mapa final'!$A$76),"")</f>
        <v/>
      </c>
      <c r="BG14" s="286"/>
      <c r="BH14" s="58"/>
      <c r="BI14" s="293" t="s">
        <v>73</v>
      </c>
      <c r="BJ14" s="294"/>
      <c r="BK14" s="294"/>
      <c r="BL14" s="294"/>
      <c r="BM14" s="294"/>
      <c r="BN14" s="295"/>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row>
    <row r="15" spans="1:119" ht="15" customHeight="1" x14ac:dyDescent="0.25">
      <c r="A15" s="58"/>
      <c r="B15" s="356"/>
      <c r="C15" s="356"/>
      <c r="D15" s="357"/>
      <c r="E15" s="331"/>
      <c r="F15" s="332"/>
      <c r="G15" s="332"/>
      <c r="H15" s="332"/>
      <c r="I15" s="337"/>
      <c r="J15" s="275"/>
      <c r="K15" s="273"/>
      <c r="L15" s="273"/>
      <c r="M15" s="273"/>
      <c r="N15" s="273"/>
      <c r="O15" s="273"/>
      <c r="P15" s="273"/>
      <c r="Q15" s="273"/>
      <c r="R15" s="273"/>
      <c r="S15" s="273"/>
      <c r="T15" s="275"/>
      <c r="U15" s="273"/>
      <c r="V15" s="273"/>
      <c r="W15" s="273"/>
      <c r="X15" s="273"/>
      <c r="Y15" s="273"/>
      <c r="Z15" s="273"/>
      <c r="AA15" s="273"/>
      <c r="AB15" s="273"/>
      <c r="AC15" s="273"/>
      <c r="AD15" s="275"/>
      <c r="AE15" s="273"/>
      <c r="AF15" s="273"/>
      <c r="AG15" s="273"/>
      <c r="AH15" s="273"/>
      <c r="AI15" s="273"/>
      <c r="AJ15" s="273"/>
      <c r="AK15" s="273"/>
      <c r="AL15" s="273"/>
      <c r="AM15" s="273"/>
      <c r="AN15" s="275"/>
      <c r="AO15" s="273"/>
      <c r="AP15" s="273"/>
      <c r="AQ15" s="273"/>
      <c r="AR15" s="273"/>
      <c r="AS15" s="273"/>
      <c r="AT15" s="273"/>
      <c r="AU15" s="273"/>
      <c r="AV15" s="273"/>
      <c r="AW15" s="273"/>
      <c r="AX15" s="285"/>
      <c r="AY15" s="267"/>
      <c r="AZ15" s="267"/>
      <c r="BA15" s="267"/>
      <c r="BB15" s="267"/>
      <c r="BC15" s="267"/>
      <c r="BD15" s="267"/>
      <c r="BE15" s="267"/>
      <c r="BF15" s="267"/>
      <c r="BG15" s="286"/>
      <c r="BH15" s="58"/>
      <c r="BI15" s="296"/>
      <c r="BJ15" s="297"/>
      <c r="BK15" s="297"/>
      <c r="BL15" s="297"/>
      <c r="BM15" s="297"/>
      <c r="BN15" s="29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row>
    <row r="16" spans="1:119" ht="15" customHeight="1" x14ac:dyDescent="0.25">
      <c r="A16" s="58"/>
      <c r="B16" s="356"/>
      <c r="C16" s="356"/>
      <c r="D16" s="357"/>
      <c r="E16" s="331"/>
      <c r="F16" s="332"/>
      <c r="G16" s="332"/>
      <c r="H16" s="332"/>
      <c r="I16" s="337"/>
      <c r="J16" s="275" t="str">
        <f>IF(AND('Mapa final'!$K$79="Muy Alta",'Mapa final'!$O$79="Leve"),CONCATENATE("R",'Mapa final'!$A$79),"")</f>
        <v/>
      </c>
      <c r="K16" s="273"/>
      <c r="L16" s="273" t="str">
        <f>IF(AND('Mapa final'!$K$82="Muy Alta",'Mapa final'!$O$82="Leve"),CONCATENATE("R",'Mapa final'!$A$82),"")</f>
        <v/>
      </c>
      <c r="M16" s="273"/>
      <c r="N16" s="273" t="str">
        <f>IF(AND('Mapa final'!$K$85="Muy Alta",'Mapa final'!$O$85="Leve"),CONCATENATE("R",'Mapa final'!$A$85),"")</f>
        <v/>
      </c>
      <c r="O16" s="273"/>
      <c r="P16" s="273" t="str">
        <f>IF(AND('Mapa final'!$K$88="Muy Alta",'Mapa final'!$O$88="Leve"),CONCATENATE("R",'Mapa final'!$A$88),"")</f>
        <v/>
      </c>
      <c r="Q16" s="273"/>
      <c r="R16" s="273" t="str">
        <f>IF(AND('Mapa final'!$K$91="Muy Alta",'Mapa final'!$O$91="Leve"),CONCATENATE("R",'Mapa final'!$A$91),"")</f>
        <v/>
      </c>
      <c r="S16" s="273"/>
      <c r="T16" s="275" t="str">
        <f>IF(AND('Mapa final'!$K$79="Muy Alta",'Mapa final'!$O$79="Menor"),CONCATENATE("R",'Mapa final'!$A$79),"")</f>
        <v/>
      </c>
      <c r="U16" s="273"/>
      <c r="V16" s="273" t="str">
        <f>IF(AND('Mapa final'!$K$82="Muy Alta",'Mapa final'!$O$82="Menor"),CONCATENATE("R",'Mapa final'!$A$82),"")</f>
        <v/>
      </c>
      <c r="W16" s="273"/>
      <c r="X16" s="273" t="str">
        <f>IF(AND('Mapa final'!$K$85="Muy Alta",'Mapa final'!$O$85="Menor"),CONCATENATE("R",'Mapa final'!$A$85),"")</f>
        <v/>
      </c>
      <c r="Y16" s="273"/>
      <c r="Z16" s="273" t="str">
        <f>IF(AND('Mapa final'!$K$88="Muy Alta",'Mapa final'!$O$88="Menor"),CONCATENATE("R",'Mapa final'!$A$88),"")</f>
        <v/>
      </c>
      <c r="AA16" s="273"/>
      <c r="AB16" s="273" t="str">
        <f>IF(AND('Mapa final'!$K$91="Muy Alta",'Mapa final'!$O$91="Menor"),CONCATENATE("R",'Mapa final'!$A$91),"")</f>
        <v/>
      </c>
      <c r="AC16" s="273"/>
      <c r="AD16" s="275" t="str">
        <f>IF(AND('Mapa final'!$K$79="Muy Alta",'Mapa final'!$O$79="Moderado"),CONCATENATE("R",'Mapa final'!$A$79),"")</f>
        <v/>
      </c>
      <c r="AE16" s="273"/>
      <c r="AF16" s="273" t="str">
        <f>IF(AND('Mapa final'!$K$82="Muy Alta",'Mapa final'!$O$82="Moderado"),CONCATENATE("R",'Mapa final'!$A$82),"")</f>
        <v/>
      </c>
      <c r="AG16" s="273"/>
      <c r="AH16" s="273" t="str">
        <f>IF(AND('Mapa final'!$K$85="Muy Alta",'Mapa final'!$O$85="Moderado"),CONCATENATE("R",'Mapa final'!$A$85),"")</f>
        <v/>
      </c>
      <c r="AI16" s="273"/>
      <c r="AJ16" s="273" t="str">
        <f>IF(AND('Mapa final'!$K$88="Muy Alta",'Mapa final'!$O$88="Moderado"),CONCATENATE("R",'Mapa final'!$A$88),"")</f>
        <v/>
      </c>
      <c r="AK16" s="273"/>
      <c r="AL16" s="273" t="str">
        <f>IF(AND('Mapa final'!$K$91="Muy Alta",'Mapa final'!$O$91="Moderado"),CONCATENATE("R",'Mapa final'!$A$91),"")</f>
        <v/>
      </c>
      <c r="AM16" s="273"/>
      <c r="AN16" s="275" t="str">
        <f>IF(AND('Mapa final'!$K$79="Muy Alta",'Mapa final'!$O$79="Mayor"),CONCATENATE("R",'Mapa final'!$A$79),"")</f>
        <v/>
      </c>
      <c r="AO16" s="273"/>
      <c r="AP16" s="273" t="str">
        <f>IF(AND('Mapa final'!$K$82="Muy Alta",'Mapa final'!$O$82="Mayor"),CONCATENATE("R",'Mapa final'!$A$82),"")</f>
        <v/>
      </c>
      <c r="AQ16" s="273"/>
      <c r="AR16" s="273" t="str">
        <f>IF(AND('Mapa final'!$K$85="Muy Alta",'Mapa final'!$O$85="Mayor"),CONCATENATE("R",'Mapa final'!$A$85),"")</f>
        <v/>
      </c>
      <c r="AS16" s="273"/>
      <c r="AT16" s="273" t="str">
        <f>IF(AND('Mapa final'!$K$88="Muy Alta",'Mapa final'!$O$88="Mayor"),CONCATENATE("R",'Mapa final'!$A$88),"")</f>
        <v/>
      </c>
      <c r="AU16" s="273"/>
      <c r="AV16" s="273" t="str">
        <f>IF(AND('Mapa final'!$K$91="Muy Alta",'Mapa final'!$O$91="Mayor"),CONCATENATE("R",'Mapa final'!$A$91),"")</f>
        <v/>
      </c>
      <c r="AW16" s="273"/>
      <c r="AX16" s="285" t="str">
        <f>IF(AND('Mapa final'!$K$79="Muy Alta",'Mapa final'!$O$79="Catastrófico"),CONCATENATE("R",'Mapa final'!$A$79),"")</f>
        <v/>
      </c>
      <c r="AY16" s="267"/>
      <c r="AZ16" s="267" t="str">
        <f>IF(AND('Mapa final'!$K$82="Muy Alta",'Mapa final'!$O$82="Catastrófico"),CONCATENATE("R",'Mapa final'!$A$82),"")</f>
        <v/>
      </c>
      <c r="BA16" s="267"/>
      <c r="BB16" s="267" t="str">
        <f>IF(AND('Mapa final'!$K$85="Muy Alta",'Mapa final'!$O$85="Catastrófico"),CONCATENATE("R",'Mapa final'!$A$85),"")</f>
        <v/>
      </c>
      <c r="BC16" s="267"/>
      <c r="BD16" s="267" t="str">
        <f>IF(AND('Mapa final'!$K$88="Muy Alta",'Mapa final'!$O$88="Catastrófico"),CONCATENATE("R",'Mapa final'!$A$88),"")</f>
        <v/>
      </c>
      <c r="BE16" s="267"/>
      <c r="BF16" s="267" t="str">
        <f>IF(AND('Mapa final'!$K$91="Muy Alta",'Mapa final'!$O$91="Catastrófico"),CONCATENATE("R",'Mapa final'!$A$91),"")</f>
        <v/>
      </c>
      <c r="BG16" s="286"/>
      <c r="BH16" s="58"/>
      <c r="BI16" s="296"/>
      <c r="BJ16" s="297"/>
      <c r="BK16" s="297"/>
      <c r="BL16" s="297"/>
      <c r="BM16" s="297"/>
      <c r="BN16" s="29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row>
    <row r="17" spans="1:100" ht="15" customHeight="1" x14ac:dyDescent="0.25">
      <c r="A17" s="58"/>
      <c r="B17" s="356"/>
      <c r="C17" s="356"/>
      <c r="D17" s="357"/>
      <c r="E17" s="331"/>
      <c r="F17" s="332"/>
      <c r="G17" s="332"/>
      <c r="H17" s="332"/>
      <c r="I17" s="337"/>
      <c r="J17" s="275"/>
      <c r="K17" s="273"/>
      <c r="L17" s="273"/>
      <c r="M17" s="273"/>
      <c r="N17" s="273"/>
      <c r="O17" s="273"/>
      <c r="P17" s="273"/>
      <c r="Q17" s="273"/>
      <c r="R17" s="273"/>
      <c r="S17" s="273"/>
      <c r="T17" s="275"/>
      <c r="U17" s="273"/>
      <c r="V17" s="273"/>
      <c r="W17" s="273"/>
      <c r="X17" s="273"/>
      <c r="Y17" s="273"/>
      <c r="Z17" s="273"/>
      <c r="AA17" s="273"/>
      <c r="AB17" s="273"/>
      <c r="AC17" s="273"/>
      <c r="AD17" s="275"/>
      <c r="AE17" s="273"/>
      <c r="AF17" s="273"/>
      <c r="AG17" s="273"/>
      <c r="AH17" s="273"/>
      <c r="AI17" s="273"/>
      <c r="AJ17" s="273"/>
      <c r="AK17" s="273"/>
      <c r="AL17" s="273"/>
      <c r="AM17" s="273"/>
      <c r="AN17" s="275"/>
      <c r="AO17" s="273"/>
      <c r="AP17" s="273"/>
      <c r="AQ17" s="273"/>
      <c r="AR17" s="273"/>
      <c r="AS17" s="273"/>
      <c r="AT17" s="273"/>
      <c r="AU17" s="273"/>
      <c r="AV17" s="273"/>
      <c r="AW17" s="273"/>
      <c r="AX17" s="285"/>
      <c r="AY17" s="267"/>
      <c r="AZ17" s="267"/>
      <c r="BA17" s="267"/>
      <c r="BB17" s="267"/>
      <c r="BC17" s="267"/>
      <c r="BD17" s="267"/>
      <c r="BE17" s="267"/>
      <c r="BF17" s="267"/>
      <c r="BG17" s="286"/>
      <c r="BH17" s="58"/>
      <c r="BI17" s="296"/>
      <c r="BJ17" s="297"/>
      <c r="BK17" s="297"/>
      <c r="BL17" s="297"/>
      <c r="BM17" s="297"/>
      <c r="BN17" s="29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row>
    <row r="18" spans="1:100" ht="15" customHeight="1" x14ac:dyDescent="0.25">
      <c r="A18" s="58"/>
      <c r="B18" s="356"/>
      <c r="C18" s="356"/>
      <c r="D18" s="357"/>
      <c r="E18" s="331"/>
      <c r="F18" s="332"/>
      <c r="G18" s="332"/>
      <c r="H18" s="332"/>
      <c r="I18" s="337"/>
      <c r="J18" s="275" t="str">
        <f>IF(AND('Mapa final'!$K$94="Muy Alta",'Mapa final'!$O$94="Leve"),CONCATENATE("R",'Mapa final'!$A$94),"")</f>
        <v/>
      </c>
      <c r="K18" s="273"/>
      <c r="L18" s="273" t="str">
        <f>IF(AND('Mapa final'!$K$97="Muy Alta",'Mapa final'!$O$97="Leve"),CONCATENATE("R",'Mapa final'!$A$97),"")</f>
        <v/>
      </c>
      <c r="M18" s="273"/>
      <c r="N18" s="273" t="str">
        <f>IF(AND('Mapa final'!$K$100="Muy Alta",'Mapa final'!$O$100="Leve"),CONCATENATE("R",'Mapa final'!$A$100),"")</f>
        <v/>
      </c>
      <c r="O18" s="273"/>
      <c r="P18" s="273" t="str">
        <f>IF(AND('Mapa final'!$K$103="Muy Alta",'Mapa final'!$O$103="Leve"),CONCATENATE("R",'Mapa final'!$A$103),"")</f>
        <v/>
      </c>
      <c r="Q18" s="273"/>
      <c r="R18" s="273" t="str">
        <f>IF(AND('Mapa final'!$K$106="Muy Alta",'Mapa final'!$O$106="Leve"),CONCATENATE("R",'Mapa final'!$A$106),"")</f>
        <v/>
      </c>
      <c r="S18" s="273"/>
      <c r="T18" s="275" t="str">
        <f>IF(AND('Mapa final'!$K$94="Muy Alta",'Mapa final'!$O$94="Menor"),CONCATENATE("R",'Mapa final'!$A$94),"")</f>
        <v/>
      </c>
      <c r="U18" s="273"/>
      <c r="V18" s="273" t="str">
        <f>IF(AND('Mapa final'!$K$97="Muy Alta",'Mapa final'!$O$97="Menor"),CONCATENATE("R",'Mapa final'!$A$97),"")</f>
        <v/>
      </c>
      <c r="W18" s="273"/>
      <c r="X18" s="273" t="str">
        <f>IF(AND('Mapa final'!$K$100="Muy Alta",'Mapa final'!$O$100="Menor"),CONCATENATE("R",'Mapa final'!$A$100),"")</f>
        <v/>
      </c>
      <c r="Y18" s="273"/>
      <c r="Z18" s="273" t="str">
        <f>IF(AND('Mapa final'!$K$103="Muy Alta",'Mapa final'!$O$103="Menor"),CONCATENATE("R",'Mapa final'!$A$103),"")</f>
        <v/>
      </c>
      <c r="AA18" s="273"/>
      <c r="AB18" s="273" t="str">
        <f>IF(AND('Mapa final'!$K$106="Muy Alta",'Mapa final'!$O$106="Menor"),CONCATENATE("R",'Mapa final'!$A$106),"")</f>
        <v/>
      </c>
      <c r="AC18" s="273"/>
      <c r="AD18" s="275" t="str">
        <f>IF(AND('Mapa final'!$K$94="Muy Alta",'Mapa final'!$O$94="Moderado"),CONCATENATE("R",'Mapa final'!$A$94),"")</f>
        <v/>
      </c>
      <c r="AE18" s="273"/>
      <c r="AF18" s="273" t="str">
        <f>IF(AND('Mapa final'!$K$97="Muy Alta",'Mapa final'!$O$97="Moderado"),CONCATENATE("R",'Mapa final'!$A$97),"")</f>
        <v/>
      </c>
      <c r="AG18" s="273"/>
      <c r="AH18" s="273" t="str">
        <f>IF(AND('Mapa final'!$K$100="Muy Alta",'Mapa final'!$O$100="Moderado"),CONCATENATE("R",'Mapa final'!$A$100),"")</f>
        <v/>
      </c>
      <c r="AI18" s="273"/>
      <c r="AJ18" s="273" t="str">
        <f>IF(AND('Mapa final'!$K$103="Muy Alta",'Mapa final'!$O$103="Moderado"),CONCATENATE("R",'Mapa final'!$A$103),"")</f>
        <v/>
      </c>
      <c r="AK18" s="273"/>
      <c r="AL18" s="273" t="str">
        <f>IF(AND('Mapa final'!$K$106="Muy Alta",'Mapa final'!$O$106="Moderado"),CONCATENATE("R",'Mapa final'!$A$106),"")</f>
        <v/>
      </c>
      <c r="AM18" s="273"/>
      <c r="AN18" s="275" t="str">
        <f>IF(AND('Mapa final'!$K$94="Muy Alta",'Mapa final'!$O$94="Mayor"),CONCATENATE("R",'Mapa final'!$A$94),"")</f>
        <v/>
      </c>
      <c r="AO18" s="273"/>
      <c r="AP18" s="273" t="str">
        <f>IF(AND('Mapa final'!$K$97="Muy Alta",'Mapa final'!$O$97="Mayor"),CONCATENATE("R",'Mapa final'!$A$97),"")</f>
        <v/>
      </c>
      <c r="AQ18" s="273"/>
      <c r="AR18" s="273" t="str">
        <f>IF(AND('Mapa final'!$K$100="Muy Alta",'Mapa final'!$O$100="Mayor"),CONCATENATE("R",'Mapa final'!$A$100),"")</f>
        <v/>
      </c>
      <c r="AS18" s="273"/>
      <c r="AT18" s="273" t="str">
        <f>IF(AND('Mapa final'!$K$103="Muy Alta",'Mapa final'!$O$103="Mayor"),CONCATENATE("R",'Mapa final'!$A$103),"")</f>
        <v/>
      </c>
      <c r="AU18" s="273"/>
      <c r="AV18" s="273" t="str">
        <f>IF(AND('Mapa final'!$K$106="Muy Alta",'Mapa final'!$O$106="Mayor"),CONCATENATE("R",'Mapa final'!$A$106),"")</f>
        <v/>
      </c>
      <c r="AW18" s="273"/>
      <c r="AX18" s="285" t="str">
        <f>IF(AND('Mapa final'!$K$94="Muy Alta",'Mapa final'!$O$94="Catastrófico"),CONCATENATE("R",'Mapa final'!$A$94),"")</f>
        <v/>
      </c>
      <c r="AY18" s="267"/>
      <c r="AZ18" s="267" t="str">
        <f>IF(AND('Mapa final'!$K$97="Muy Alta",'Mapa final'!$O$97="Catastrófico"),CONCATENATE("R",'Mapa final'!$A$97),"")</f>
        <v/>
      </c>
      <c r="BA18" s="267"/>
      <c r="BB18" s="267" t="str">
        <f>IF(AND('Mapa final'!$K$100="Muy Alta",'Mapa final'!$O$100="Catastrófico"),CONCATENATE("R",'Mapa final'!$A$100),"")</f>
        <v/>
      </c>
      <c r="BC18" s="267"/>
      <c r="BD18" s="267" t="str">
        <f>IF(AND('Mapa final'!$K$103="Muy Alta",'Mapa final'!$O$103="Catastrófico"),CONCATENATE("R",'Mapa final'!$A$103),"")</f>
        <v/>
      </c>
      <c r="BE18" s="267"/>
      <c r="BF18" s="267" t="str">
        <f>IF(AND('Mapa final'!$K$106="Muy Alta",'Mapa final'!$O$106="Catastrófico"),CONCATENATE("R",'Mapa final'!$A$106),"")</f>
        <v/>
      </c>
      <c r="BG18" s="286"/>
      <c r="BH18" s="58"/>
      <c r="BI18" s="296"/>
      <c r="BJ18" s="297"/>
      <c r="BK18" s="297"/>
      <c r="BL18" s="297"/>
      <c r="BM18" s="297"/>
      <c r="BN18" s="29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row>
    <row r="19" spans="1:100" ht="15" customHeight="1" x14ac:dyDescent="0.25">
      <c r="A19" s="58"/>
      <c r="B19" s="356"/>
      <c r="C19" s="356"/>
      <c r="D19" s="357"/>
      <c r="E19" s="331"/>
      <c r="F19" s="332"/>
      <c r="G19" s="332"/>
      <c r="H19" s="332"/>
      <c r="I19" s="337"/>
      <c r="J19" s="275"/>
      <c r="K19" s="273"/>
      <c r="L19" s="273"/>
      <c r="M19" s="273"/>
      <c r="N19" s="273"/>
      <c r="O19" s="273"/>
      <c r="P19" s="273"/>
      <c r="Q19" s="273"/>
      <c r="R19" s="273"/>
      <c r="S19" s="273"/>
      <c r="T19" s="275"/>
      <c r="U19" s="273"/>
      <c r="V19" s="273"/>
      <c r="W19" s="273"/>
      <c r="X19" s="273"/>
      <c r="Y19" s="273"/>
      <c r="Z19" s="273"/>
      <c r="AA19" s="273"/>
      <c r="AB19" s="273"/>
      <c r="AC19" s="273"/>
      <c r="AD19" s="275"/>
      <c r="AE19" s="273"/>
      <c r="AF19" s="273"/>
      <c r="AG19" s="273"/>
      <c r="AH19" s="273"/>
      <c r="AI19" s="273"/>
      <c r="AJ19" s="273"/>
      <c r="AK19" s="273"/>
      <c r="AL19" s="273"/>
      <c r="AM19" s="273"/>
      <c r="AN19" s="275"/>
      <c r="AO19" s="273"/>
      <c r="AP19" s="273"/>
      <c r="AQ19" s="273"/>
      <c r="AR19" s="273"/>
      <c r="AS19" s="273"/>
      <c r="AT19" s="273"/>
      <c r="AU19" s="273"/>
      <c r="AV19" s="273"/>
      <c r="AW19" s="273"/>
      <c r="AX19" s="285"/>
      <c r="AY19" s="267"/>
      <c r="AZ19" s="267"/>
      <c r="BA19" s="267"/>
      <c r="BB19" s="267"/>
      <c r="BC19" s="267"/>
      <c r="BD19" s="267"/>
      <c r="BE19" s="267"/>
      <c r="BF19" s="267"/>
      <c r="BG19" s="286"/>
      <c r="BH19" s="58"/>
      <c r="BI19" s="296"/>
      <c r="BJ19" s="297"/>
      <c r="BK19" s="297"/>
      <c r="BL19" s="297"/>
      <c r="BM19" s="297"/>
      <c r="BN19" s="29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row>
    <row r="20" spans="1:100" ht="15" customHeight="1" x14ac:dyDescent="0.25">
      <c r="A20" s="58"/>
      <c r="B20" s="356"/>
      <c r="C20" s="356"/>
      <c r="D20" s="357"/>
      <c r="E20" s="331"/>
      <c r="F20" s="332"/>
      <c r="G20" s="332"/>
      <c r="H20" s="332"/>
      <c r="I20" s="337"/>
      <c r="J20" s="275" t="str">
        <f>IF(AND('Mapa final'!$K$109="Muy Alta",'Mapa final'!$O$109="Leve"),CONCATENATE("R",'Mapa final'!$A$109),"")</f>
        <v/>
      </c>
      <c r="K20" s="273"/>
      <c r="L20" s="273" t="str">
        <f>IF(AND('Mapa final'!$K$112="Muy Alta",'Mapa final'!$O$112="Leve"),CONCATENATE("R",'Mapa final'!$A$112),"")</f>
        <v/>
      </c>
      <c r="M20" s="273"/>
      <c r="N20" s="273" t="str">
        <f>IF(AND('Mapa final'!$K$115="Muy Alta",'Mapa final'!$O$115="Leve"),CONCATENATE("R",'Mapa final'!$A$115),"")</f>
        <v/>
      </c>
      <c r="O20" s="273"/>
      <c r="P20" s="273" t="str">
        <f>IF(AND('Mapa final'!$K$118="Muy Alta",'Mapa final'!$O$118="Leve"),CONCATENATE("R",'Mapa final'!$A$118),"")</f>
        <v/>
      </c>
      <c r="Q20" s="273"/>
      <c r="R20" s="273" t="str">
        <f>IF(AND('Mapa final'!$K$121="Muy Alta",'Mapa final'!$O$121="Leve"),CONCATENATE("R",'Mapa final'!$A$121),"")</f>
        <v/>
      </c>
      <c r="S20" s="273"/>
      <c r="T20" s="275" t="str">
        <f>IF(AND('Mapa final'!$K$109="Muy Alta",'Mapa final'!$O$109="Menor"),CONCATENATE("R",'Mapa final'!$A$109),"")</f>
        <v/>
      </c>
      <c r="U20" s="273"/>
      <c r="V20" s="273" t="str">
        <f>IF(AND('Mapa final'!$K$112="Muy Alta",'Mapa final'!$O$112="Menor"),CONCATENATE("R",'Mapa final'!$A$112),"")</f>
        <v/>
      </c>
      <c r="W20" s="273"/>
      <c r="X20" s="273" t="str">
        <f>IF(AND('Mapa final'!$K$115="Muy Alta",'Mapa final'!$O$115="Menor"),CONCATENATE("R",'Mapa final'!$A$115),"")</f>
        <v/>
      </c>
      <c r="Y20" s="273"/>
      <c r="Z20" s="273" t="str">
        <f>IF(AND('Mapa final'!$K$118="Muy Alta",'Mapa final'!$O$118="Menor"),CONCATENATE("R",'Mapa final'!$A$118),"")</f>
        <v/>
      </c>
      <c r="AA20" s="273"/>
      <c r="AB20" s="273" t="str">
        <f>IF(AND('Mapa final'!$K$121="Muy Alta",'Mapa final'!$O$121="Menor"),CONCATENATE("R",'Mapa final'!$A$121),"")</f>
        <v/>
      </c>
      <c r="AC20" s="273"/>
      <c r="AD20" s="275" t="str">
        <f>IF(AND('Mapa final'!$K$109="Muy Alta",'Mapa final'!$O$109="Moderado"),CONCATENATE("R",'Mapa final'!$A$109),"")</f>
        <v/>
      </c>
      <c r="AE20" s="273"/>
      <c r="AF20" s="273" t="str">
        <f>IF(AND('Mapa final'!$K$112="Muy Alta",'Mapa final'!$O$112="Moderado"),CONCATENATE("R",'Mapa final'!$A$112),"")</f>
        <v/>
      </c>
      <c r="AG20" s="273"/>
      <c r="AH20" s="273" t="str">
        <f>IF(AND('Mapa final'!$K$115="Muy Alta",'Mapa final'!$O$115="Moderado"),CONCATENATE("R",'Mapa final'!$A$115),"")</f>
        <v/>
      </c>
      <c r="AI20" s="273"/>
      <c r="AJ20" s="273" t="str">
        <f>IF(AND('Mapa final'!$K$118="Muy Alta",'Mapa final'!$O$118="Moderado"),CONCATENATE("R",'Mapa final'!$A$118),"")</f>
        <v>R38</v>
      </c>
      <c r="AK20" s="273"/>
      <c r="AL20" s="273" t="str">
        <f>IF(AND('Mapa final'!$K$121="Muy Alta",'Mapa final'!$O$121="Moderado"),CONCATENATE("R",'Mapa final'!$A$121),"")</f>
        <v>R39</v>
      </c>
      <c r="AM20" s="273"/>
      <c r="AN20" s="275" t="str">
        <f>IF(AND('Mapa final'!$K$109="Muy Alta",'Mapa final'!$O$109="Mayor"),CONCATENATE("R",'Mapa final'!$A$109),"")</f>
        <v/>
      </c>
      <c r="AO20" s="273"/>
      <c r="AP20" s="273" t="str">
        <f>IF(AND('Mapa final'!$K$112="Muy Alta",'Mapa final'!$O$112="Mayor"),CONCATENATE("R",'Mapa final'!$A$112),"")</f>
        <v/>
      </c>
      <c r="AQ20" s="273"/>
      <c r="AR20" s="273" t="str">
        <f>IF(AND('Mapa final'!$K$115="Muy Alta",'Mapa final'!$O$115="Mayor"),CONCATENATE("R",'Mapa final'!$A$115),"")</f>
        <v/>
      </c>
      <c r="AS20" s="273"/>
      <c r="AT20" s="273" t="str">
        <f>IF(AND('Mapa final'!$K$118="Muy Alta",'Mapa final'!$O$118="Mayor"),CONCATENATE("R",'Mapa final'!$A$118),"")</f>
        <v/>
      </c>
      <c r="AU20" s="273"/>
      <c r="AV20" s="273" t="str">
        <f>IF(AND('Mapa final'!$K$121="Muy Alta",'Mapa final'!$O$121="Mayor"),CONCATENATE("R",'Mapa final'!$A$121),"")</f>
        <v/>
      </c>
      <c r="AW20" s="273"/>
      <c r="AX20" s="285" t="str">
        <f>IF(AND('Mapa final'!$K$109="Muy Alta",'Mapa final'!$O$109="Catastrófico"),CONCATENATE("R",'Mapa final'!$A$109),"")</f>
        <v/>
      </c>
      <c r="AY20" s="267"/>
      <c r="AZ20" s="267" t="str">
        <f>IF(AND('Mapa final'!$K$112="Muy Alta",'Mapa final'!$O$112="Catastrófico"),CONCATENATE("R",'Mapa final'!$A$112),"")</f>
        <v/>
      </c>
      <c r="BA20" s="267"/>
      <c r="BB20" s="267" t="str">
        <f>IF(AND('Mapa final'!$K$115="Muy Alta",'Mapa final'!$O$115="Catastrófico"),CONCATENATE("R",'Mapa final'!$A$115),"")</f>
        <v/>
      </c>
      <c r="BC20" s="267"/>
      <c r="BD20" s="267" t="str">
        <f>IF(AND('Mapa final'!$K$118="Muy Alta",'Mapa final'!$O$118="Catastrófico"),CONCATENATE("R",'Mapa final'!$A$118),"")</f>
        <v/>
      </c>
      <c r="BE20" s="267"/>
      <c r="BF20" s="267" t="str">
        <f>IF(AND('Mapa final'!$K$121="Muy Alta",'Mapa final'!$O$121="Catastrófico"),CONCATENATE("R",'Mapa final'!$A$121),"")</f>
        <v/>
      </c>
      <c r="BG20" s="286"/>
      <c r="BH20" s="58"/>
      <c r="BI20" s="296"/>
      <c r="BJ20" s="297"/>
      <c r="BK20" s="297"/>
      <c r="BL20" s="297"/>
      <c r="BM20" s="297"/>
      <c r="BN20" s="29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row>
    <row r="21" spans="1:100" ht="15" customHeight="1" x14ac:dyDescent="0.25">
      <c r="A21" s="58"/>
      <c r="B21" s="356"/>
      <c r="C21" s="356"/>
      <c r="D21" s="357"/>
      <c r="E21" s="331"/>
      <c r="F21" s="332"/>
      <c r="G21" s="332"/>
      <c r="H21" s="332"/>
      <c r="I21" s="337"/>
      <c r="J21" s="275"/>
      <c r="K21" s="273"/>
      <c r="L21" s="273"/>
      <c r="M21" s="273"/>
      <c r="N21" s="273"/>
      <c r="O21" s="273"/>
      <c r="P21" s="273"/>
      <c r="Q21" s="273"/>
      <c r="R21" s="273"/>
      <c r="S21" s="273"/>
      <c r="T21" s="275"/>
      <c r="U21" s="273"/>
      <c r="V21" s="273"/>
      <c r="W21" s="273"/>
      <c r="X21" s="273"/>
      <c r="Y21" s="273"/>
      <c r="Z21" s="273"/>
      <c r="AA21" s="273"/>
      <c r="AB21" s="273"/>
      <c r="AC21" s="273"/>
      <c r="AD21" s="275"/>
      <c r="AE21" s="273"/>
      <c r="AF21" s="273"/>
      <c r="AG21" s="273"/>
      <c r="AH21" s="273"/>
      <c r="AI21" s="273"/>
      <c r="AJ21" s="273"/>
      <c r="AK21" s="273"/>
      <c r="AL21" s="273"/>
      <c r="AM21" s="273"/>
      <c r="AN21" s="275"/>
      <c r="AO21" s="273"/>
      <c r="AP21" s="273"/>
      <c r="AQ21" s="273"/>
      <c r="AR21" s="273"/>
      <c r="AS21" s="273"/>
      <c r="AT21" s="273"/>
      <c r="AU21" s="273"/>
      <c r="AV21" s="273"/>
      <c r="AW21" s="273"/>
      <c r="AX21" s="285"/>
      <c r="AY21" s="267"/>
      <c r="AZ21" s="267"/>
      <c r="BA21" s="267"/>
      <c r="BB21" s="267"/>
      <c r="BC21" s="267"/>
      <c r="BD21" s="267"/>
      <c r="BE21" s="267"/>
      <c r="BF21" s="267"/>
      <c r="BG21" s="286"/>
      <c r="BH21" s="58"/>
      <c r="BI21" s="296"/>
      <c r="BJ21" s="297"/>
      <c r="BK21" s="297"/>
      <c r="BL21" s="297"/>
      <c r="BM21" s="297"/>
      <c r="BN21" s="29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row>
    <row r="22" spans="1:100" ht="15" customHeight="1" x14ac:dyDescent="0.25">
      <c r="A22" s="58"/>
      <c r="B22" s="356"/>
      <c r="C22" s="356"/>
      <c r="D22" s="357"/>
      <c r="E22" s="331"/>
      <c r="F22" s="332"/>
      <c r="G22" s="332"/>
      <c r="H22" s="332"/>
      <c r="I22" s="337"/>
      <c r="J22" s="275" t="str">
        <f>IF(AND('Mapa final'!$K$124="Muy Alta",'Mapa final'!$O$124="Leve"),CONCATENATE("R",'Mapa final'!$A$124),"")</f>
        <v/>
      </c>
      <c r="K22" s="273"/>
      <c r="L22" s="273" t="str">
        <f>IF(AND('Mapa final'!$K$127="Muy Alta",'Mapa final'!$O$127="Leve"),CONCATENATE("R",'Mapa final'!$A$127),"")</f>
        <v/>
      </c>
      <c r="M22" s="273"/>
      <c r="N22" s="273" t="str">
        <f>IF(AND('Mapa final'!$K$130="Muy Alta",'Mapa final'!$O$130="Leve"),CONCATENATE("R",'Mapa final'!$A$130),"")</f>
        <v/>
      </c>
      <c r="O22" s="273"/>
      <c r="P22" s="273" t="str">
        <f>IF(AND('Mapa final'!$K$133="Muy Alta",'Mapa final'!$O$133="Leve"),CONCATENATE("R",'Mapa final'!$A$133),"")</f>
        <v/>
      </c>
      <c r="Q22" s="273"/>
      <c r="R22" s="273" t="str">
        <f>IF(AND('Mapa final'!$K$136="Muy Alta",'Mapa final'!$O$136="Leve"),CONCATENATE("R",'Mapa final'!$A$136),"")</f>
        <v/>
      </c>
      <c r="S22" s="273"/>
      <c r="T22" s="275" t="str">
        <f>IF(AND('Mapa final'!$K$124="Muy Alta",'Mapa final'!$O$124="Menor"),CONCATENATE("R",'Mapa final'!$A$124),"")</f>
        <v/>
      </c>
      <c r="U22" s="273"/>
      <c r="V22" s="273" t="str">
        <f>IF(AND('Mapa final'!$K$127="Muy Alta",'Mapa final'!$O$127="Menor"),CONCATENATE("R",'Mapa final'!$A$127),"")</f>
        <v/>
      </c>
      <c r="W22" s="273"/>
      <c r="X22" s="273" t="str">
        <f>IF(AND('Mapa final'!$K$130="Muy Alta",'Mapa final'!$O$130="Menor"),CONCATENATE("R",'Mapa final'!$A$130),"")</f>
        <v/>
      </c>
      <c r="Y22" s="273"/>
      <c r="Z22" s="273" t="str">
        <f>IF(AND('Mapa final'!$K$133="Muy Alta",'Mapa final'!$O$133="Menor"),CONCATENATE("R",'Mapa final'!$A$133),"")</f>
        <v/>
      </c>
      <c r="AA22" s="273"/>
      <c r="AB22" s="273" t="str">
        <f>IF(AND('Mapa final'!$K$136="Muy Alta",'Mapa final'!$O$136="Menor"),CONCATENATE("R",'Mapa final'!$A$136),"")</f>
        <v/>
      </c>
      <c r="AC22" s="273"/>
      <c r="AD22" s="275" t="str">
        <f>IF(AND('Mapa final'!$K$124="Muy Alta",'Mapa final'!$O$124="Moderado"),CONCATENATE("R",'Mapa final'!$A$124),"")</f>
        <v>R40</v>
      </c>
      <c r="AE22" s="273"/>
      <c r="AF22" s="273" t="str">
        <f>IF(AND('Mapa final'!$K$127="Muy Alta",'Mapa final'!$O$127="Moderado"),CONCATENATE("R",'Mapa final'!$A$127),"")</f>
        <v/>
      </c>
      <c r="AG22" s="273"/>
      <c r="AH22" s="273" t="str">
        <f>IF(AND('Mapa final'!$K$130="Muy Alta",'Mapa final'!$O$130="Moderado"),CONCATENATE("R",'Mapa final'!$A$130),"")</f>
        <v/>
      </c>
      <c r="AI22" s="273"/>
      <c r="AJ22" s="273" t="str">
        <f>IF(AND('Mapa final'!$K$133="Muy Alta",'Mapa final'!$O$133="Moderado"),CONCATENATE("R",'Mapa final'!$A$133),"")</f>
        <v/>
      </c>
      <c r="AK22" s="273"/>
      <c r="AL22" s="273" t="str">
        <f>IF(AND('Mapa final'!$K$136="Muy Alta",'Mapa final'!$O$136="Moderado"),CONCATENATE("R",'Mapa final'!$A$136),"")</f>
        <v/>
      </c>
      <c r="AM22" s="273"/>
      <c r="AN22" s="275" t="str">
        <f>IF(AND('Mapa final'!$K$124="Muy Alta",'Mapa final'!$O$124="Mayor"),CONCATENATE("R",'Mapa final'!$A$124),"")</f>
        <v/>
      </c>
      <c r="AO22" s="273"/>
      <c r="AP22" s="273" t="str">
        <f>IF(AND('Mapa final'!$K$127="Muy Alta",'Mapa final'!$O$127="Mayor"),CONCATENATE("R",'Mapa final'!$A$127),"")</f>
        <v/>
      </c>
      <c r="AQ22" s="273"/>
      <c r="AR22" s="273" t="str">
        <f>IF(AND('Mapa final'!$K$130="Muy Alta",'Mapa final'!$O$130="Mayor"),CONCATENATE("R",'Mapa final'!$A$130),"")</f>
        <v/>
      </c>
      <c r="AS22" s="273"/>
      <c r="AT22" s="273" t="str">
        <f>IF(AND('Mapa final'!$K$133="Muy Alta",'Mapa final'!$O$133="Mayor"),CONCATENATE("R",'Mapa final'!$A$133),"")</f>
        <v/>
      </c>
      <c r="AU22" s="273"/>
      <c r="AV22" s="273" t="str">
        <f>IF(AND('Mapa final'!$K$136="Muy Alta",'Mapa final'!$O$136="Mayor"),CONCATENATE("R",'Mapa final'!$A$136),"")</f>
        <v/>
      </c>
      <c r="AW22" s="273"/>
      <c r="AX22" s="285" t="str">
        <f>IF(AND('Mapa final'!$K$124="Muy Alta",'Mapa final'!$O$124="Catastrófico"),CONCATENATE("R",'Mapa final'!$A$124),"")</f>
        <v/>
      </c>
      <c r="AY22" s="267"/>
      <c r="AZ22" s="267" t="str">
        <f>IF(AND('Mapa final'!$K$127="Muy Alta",'Mapa final'!$O$127="Catastrófico"),CONCATENATE("R",'Mapa final'!$A$127),"")</f>
        <v/>
      </c>
      <c r="BA22" s="267"/>
      <c r="BB22" s="267" t="str">
        <f>IF(AND('Mapa final'!$K$130="Muy Alta",'Mapa final'!$O$130="Catastrófico"),CONCATENATE("R",'Mapa final'!$A$130),"")</f>
        <v/>
      </c>
      <c r="BC22" s="267"/>
      <c r="BD22" s="267" t="str">
        <f>IF(AND('Mapa final'!$K$133="Muy Alta",'Mapa final'!$O$133="Catastrófico"),CONCATENATE("R",'Mapa final'!$A$133),"")</f>
        <v/>
      </c>
      <c r="BE22" s="267"/>
      <c r="BF22" s="267" t="str">
        <f>IF(AND('Mapa final'!$K$136="Muy Alta",'Mapa final'!$O$136="Catastrófico"),CONCATENATE("R",'Mapa final'!$A$136),"")</f>
        <v/>
      </c>
      <c r="BG22" s="286"/>
      <c r="BH22" s="58"/>
      <c r="BI22" s="296"/>
      <c r="BJ22" s="297"/>
      <c r="BK22" s="297"/>
      <c r="BL22" s="297"/>
      <c r="BM22" s="297"/>
      <c r="BN22" s="29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row>
    <row r="23" spans="1:100" ht="15" customHeight="1" x14ac:dyDescent="0.25">
      <c r="A23" s="58"/>
      <c r="B23" s="356"/>
      <c r="C23" s="356"/>
      <c r="D23" s="357"/>
      <c r="E23" s="331"/>
      <c r="F23" s="332"/>
      <c r="G23" s="332"/>
      <c r="H23" s="332"/>
      <c r="I23" s="337"/>
      <c r="J23" s="275"/>
      <c r="K23" s="273"/>
      <c r="L23" s="273"/>
      <c r="M23" s="273"/>
      <c r="N23" s="273"/>
      <c r="O23" s="273"/>
      <c r="P23" s="273"/>
      <c r="Q23" s="273"/>
      <c r="R23" s="273"/>
      <c r="S23" s="273"/>
      <c r="T23" s="275"/>
      <c r="U23" s="273"/>
      <c r="V23" s="273"/>
      <c r="W23" s="273"/>
      <c r="X23" s="273"/>
      <c r="Y23" s="273"/>
      <c r="Z23" s="273"/>
      <c r="AA23" s="273"/>
      <c r="AB23" s="273"/>
      <c r="AC23" s="273"/>
      <c r="AD23" s="275"/>
      <c r="AE23" s="273"/>
      <c r="AF23" s="273"/>
      <c r="AG23" s="273"/>
      <c r="AH23" s="273"/>
      <c r="AI23" s="273"/>
      <c r="AJ23" s="273"/>
      <c r="AK23" s="273"/>
      <c r="AL23" s="273"/>
      <c r="AM23" s="273"/>
      <c r="AN23" s="275"/>
      <c r="AO23" s="273"/>
      <c r="AP23" s="273"/>
      <c r="AQ23" s="273"/>
      <c r="AR23" s="273"/>
      <c r="AS23" s="273"/>
      <c r="AT23" s="273"/>
      <c r="AU23" s="273"/>
      <c r="AV23" s="273"/>
      <c r="AW23" s="273"/>
      <c r="AX23" s="285"/>
      <c r="AY23" s="267"/>
      <c r="AZ23" s="267"/>
      <c r="BA23" s="267"/>
      <c r="BB23" s="267"/>
      <c r="BC23" s="267"/>
      <c r="BD23" s="267"/>
      <c r="BE23" s="267"/>
      <c r="BF23" s="267"/>
      <c r="BG23" s="286"/>
      <c r="BH23" s="58"/>
      <c r="BI23" s="296"/>
      <c r="BJ23" s="297"/>
      <c r="BK23" s="297"/>
      <c r="BL23" s="297"/>
      <c r="BM23" s="297"/>
      <c r="BN23" s="29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row>
    <row r="24" spans="1:100" ht="15" customHeight="1" x14ac:dyDescent="0.25">
      <c r="A24" s="58"/>
      <c r="B24" s="356"/>
      <c r="C24" s="356"/>
      <c r="D24" s="357"/>
      <c r="E24" s="331"/>
      <c r="F24" s="332"/>
      <c r="G24" s="332"/>
      <c r="H24" s="332"/>
      <c r="I24" s="337"/>
      <c r="J24" s="275" t="str">
        <f>IF(AND('Mapa final'!$K$139="Muy Alta",'Mapa final'!$O$139="Leve"),CONCATENATE("R",'Mapa final'!$A$139),"")</f>
        <v/>
      </c>
      <c r="K24" s="273"/>
      <c r="L24" s="273" t="str">
        <f>IF(AND('Mapa final'!$K$142="Muy Alta",'Mapa final'!$O$142="Leve"),CONCATENATE("R",'Mapa final'!$A$142),"")</f>
        <v/>
      </c>
      <c r="M24" s="273"/>
      <c r="N24" s="273" t="str">
        <f>IF(AND('Mapa final'!$K$145="Muy Alta",'Mapa final'!$O$145="Leve"),CONCATENATE("R",'Mapa final'!$A$145),"")</f>
        <v/>
      </c>
      <c r="O24" s="273"/>
      <c r="P24" s="273" t="str">
        <f>IF(AND('Mapa final'!$K$148="Muy Alta",'Mapa final'!$O$148="Leve"),CONCATENATE("R",'Mapa final'!$A$148),"")</f>
        <v/>
      </c>
      <c r="Q24" s="273"/>
      <c r="R24" s="273" t="str">
        <f>IF(AND('Mapa final'!$K$151="Muy Alta",'Mapa final'!$O$151="Leve"),CONCATENATE("R",'Mapa final'!$A$151),"")</f>
        <v/>
      </c>
      <c r="S24" s="273"/>
      <c r="T24" s="275" t="str">
        <f>IF(AND('Mapa final'!$K$139="Muy Alta",'Mapa final'!$O$139="Menor"),CONCATENATE("R",'Mapa final'!$A$139),"")</f>
        <v/>
      </c>
      <c r="U24" s="273"/>
      <c r="V24" s="273" t="str">
        <f>IF(AND('Mapa final'!$K$142="Muy Alta",'Mapa final'!$O$142="Menor"),CONCATENATE("R",'Mapa final'!$A$142),"")</f>
        <v/>
      </c>
      <c r="W24" s="273"/>
      <c r="X24" s="273" t="str">
        <f>IF(AND('Mapa final'!$K$145="Muy Alta",'Mapa final'!$O$145="Menor"),CONCATENATE("R",'Mapa final'!$A$145),"")</f>
        <v/>
      </c>
      <c r="Y24" s="273"/>
      <c r="Z24" s="273" t="str">
        <f>IF(AND('Mapa final'!$K$148="Muy Alta",'Mapa final'!$O$148="Menor"),CONCATENATE("R",'Mapa final'!$A$148),"")</f>
        <v/>
      </c>
      <c r="AA24" s="273"/>
      <c r="AB24" s="273" t="str">
        <f>IF(AND('Mapa final'!$K$151="Muy Alta",'Mapa final'!$O$151="Menor"),CONCATENATE("R",'Mapa final'!$A$151),"")</f>
        <v/>
      </c>
      <c r="AC24" s="273"/>
      <c r="AD24" s="275" t="str">
        <f>IF(AND('Mapa final'!$K$139="Muy Alta",'Mapa final'!$O$139="Moderado"),CONCATENATE("R",'Mapa final'!$A$139),"")</f>
        <v/>
      </c>
      <c r="AE24" s="273"/>
      <c r="AF24" s="273" t="str">
        <f>IF(AND('Mapa final'!$K$142="Muy Alta",'Mapa final'!$O$142="Moderado"),CONCATENATE("R",'Mapa final'!$A$142),"")</f>
        <v/>
      </c>
      <c r="AG24" s="273"/>
      <c r="AH24" s="273" t="str">
        <f>IF(AND('Mapa final'!$K$145="Muy Alta",'Mapa final'!$O$145="Moderado"),CONCATENATE("R",'Mapa final'!$A$145),"")</f>
        <v/>
      </c>
      <c r="AI24" s="273"/>
      <c r="AJ24" s="273" t="str">
        <f>IF(AND('Mapa final'!$K$148="Muy Alta",'Mapa final'!$O$148="Moderado"),CONCATENATE("R",'Mapa final'!$A$148),"")</f>
        <v/>
      </c>
      <c r="AK24" s="273"/>
      <c r="AL24" s="273" t="str">
        <f>IF(AND('Mapa final'!$K$151="Muy Alta",'Mapa final'!$O$151="Moderado"),CONCATENATE("R",'Mapa final'!$A$151),"")</f>
        <v/>
      </c>
      <c r="AM24" s="273"/>
      <c r="AN24" s="275" t="str">
        <f>IF(AND('Mapa final'!$K$139="Muy Alta",'Mapa final'!$O$139="Mayor"),CONCATENATE("R",'Mapa final'!$A$139),"")</f>
        <v/>
      </c>
      <c r="AO24" s="273"/>
      <c r="AP24" s="273" t="str">
        <f>IF(AND('Mapa final'!$K$142="Muy Alta",'Mapa final'!$O$142="Mayor"),CONCATENATE("R",'Mapa final'!$A$142),"")</f>
        <v/>
      </c>
      <c r="AQ24" s="273"/>
      <c r="AR24" s="273" t="str">
        <f>IF(AND('Mapa final'!$K$145="Muy Alta",'Mapa final'!$O$145="Mayor"),CONCATENATE("R",'Mapa final'!$A$145),"")</f>
        <v/>
      </c>
      <c r="AS24" s="273"/>
      <c r="AT24" s="273" t="str">
        <f>IF(AND('Mapa final'!$K$148="Muy Alta",'Mapa final'!$O$148="Mayor"),CONCATENATE("R",'Mapa final'!$A$148),"")</f>
        <v/>
      </c>
      <c r="AU24" s="273"/>
      <c r="AV24" s="273" t="str">
        <f>IF(AND('Mapa final'!$K$151="Muy Alta",'Mapa final'!$O$151="Mayor"),CONCATENATE("R",'Mapa final'!$A$151),"")</f>
        <v/>
      </c>
      <c r="AW24" s="273"/>
      <c r="AX24" s="285" t="str">
        <f>IF(AND('Mapa final'!$K$139="Muy Alta",'Mapa final'!$O$139="Catastrófico"),CONCATENATE("R",'Mapa final'!$A$139),"")</f>
        <v/>
      </c>
      <c r="AY24" s="267"/>
      <c r="AZ24" s="267" t="str">
        <f>IF(AND('Mapa final'!$K$142="Muy Alta",'Mapa final'!$O$142="Catastrófico"),CONCATENATE("R",'Mapa final'!$A$142),"")</f>
        <v/>
      </c>
      <c r="BA24" s="267"/>
      <c r="BB24" s="267" t="str">
        <f>IF(AND('Mapa final'!$K$145="Muy Alta",'Mapa final'!$O$145="Catastrófico"),CONCATENATE("R",'Mapa final'!$A$145),"")</f>
        <v/>
      </c>
      <c r="BC24" s="267"/>
      <c r="BD24" s="267" t="str">
        <f>IF(AND('Mapa final'!$K$148="Muy Alta",'Mapa final'!$O$148="Catastrófico"),CONCATENATE("R",'Mapa final'!$A$148),"")</f>
        <v/>
      </c>
      <c r="BE24" s="267"/>
      <c r="BF24" s="267" t="str">
        <f>IF(AND('Mapa final'!$K$151="Muy Alta",'Mapa final'!$O$151="Catastrófico"),CONCATENATE("R",'Mapa final'!$A$151),"")</f>
        <v/>
      </c>
      <c r="BG24" s="286"/>
      <c r="BH24" s="58"/>
      <c r="BI24" s="296"/>
      <c r="BJ24" s="297"/>
      <c r="BK24" s="297"/>
      <c r="BL24" s="297"/>
      <c r="BM24" s="297"/>
      <c r="BN24" s="29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row>
    <row r="25" spans="1:100" ht="15.75" customHeight="1" thickBot="1" x14ac:dyDescent="0.3">
      <c r="A25" s="58"/>
      <c r="B25" s="356"/>
      <c r="C25" s="356"/>
      <c r="D25" s="357"/>
      <c r="E25" s="334"/>
      <c r="F25" s="335"/>
      <c r="G25" s="335"/>
      <c r="H25" s="335"/>
      <c r="I25" s="338"/>
      <c r="J25" s="275"/>
      <c r="K25" s="273"/>
      <c r="L25" s="273"/>
      <c r="M25" s="273"/>
      <c r="N25" s="273"/>
      <c r="O25" s="273"/>
      <c r="P25" s="273"/>
      <c r="Q25" s="273"/>
      <c r="R25" s="273"/>
      <c r="S25" s="273"/>
      <c r="T25" s="275"/>
      <c r="U25" s="273"/>
      <c r="V25" s="273"/>
      <c r="W25" s="273"/>
      <c r="X25" s="273"/>
      <c r="Y25" s="273"/>
      <c r="Z25" s="273"/>
      <c r="AA25" s="273"/>
      <c r="AB25" s="273"/>
      <c r="AC25" s="273"/>
      <c r="AD25" s="275"/>
      <c r="AE25" s="273"/>
      <c r="AF25" s="273"/>
      <c r="AG25" s="273"/>
      <c r="AH25" s="273"/>
      <c r="AI25" s="273"/>
      <c r="AJ25" s="273"/>
      <c r="AK25" s="273"/>
      <c r="AL25" s="273"/>
      <c r="AM25" s="273"/>
      <c r="AN25" s="275"/>
      <c r="AO25" s="273"/>
      <c r="AP25" s="273"/>
      <c r="AQ25" s="273"/>
      <c r="AR25" s="273"/>
      <c r="AS25" s="273"/>
      <c r="AT25" s="273"/>
      <c r="AU25" s="273"/>
      <c r="AV25" s="273"/>
      <c r="AW25" s="273"/>
      <c r="AX25" s="285"/>
      <c r="AY25" s="267"/>
      <c r="AZ25" s="267"/>
      <c r="BA25" s="267"/>
      <c r="BB25" s="267"/>
      <c r="BC25" s="267"/>
      <c r="BD25" s="267"/>
      <c r="BE25" s="267"/>
      <c r="BF25" s="267"/>
      <c r="BG25" s="286"/>
      <c r="BH25" s="58"/>
      <c r="BI25" s="296"/>
      <c r="BJ25" s="297"/>
      <c r="BK25" s="297"/>
      <c r="BL25" s="297"/>
      <c r="BM25" s="297"/>
      <c r="BN25" s="29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row>
    <row r="26" spans="1:100" ht="15" customHeight="1" x14ac:dyDescent="0.25">
      <c r="A26" s="58"/>
      <c r="B26" s="356"/>
      <c r="C26" s="356"/>
      <c r="D26" s="357"/>
      <c r="E26" s="329" t="s">
        <v>109</v>
      </c>
      <c r="F26" s="330"/>
      <c r="G26" s="330"/>
      <c r="H26" s="330"/>
      <c r="I26" s="330"/>
      <c r="J26" s="277" t="str">
        <f>IF(AND('Mapa final'!$K$7="Alta",'Mapa final'!$O$7="Leve"),CONCATENATE("R",'Mapa final'!$A$7),"")</f>
        <v/>
      </c>
      <c r="K26" s="278"/>
      <c r="L26" s="278" t="str">
        <f>IF(AND('Mapa final'!$K$10="Alta",'Mapa final'!$O$10="Leve"),CONCATENATE("R",'Mapa final'!$A$10),"")</f>
        <v/>
      </c>
      <c r="M26" s="278"/>
      <c r="N26" s="278" t="str">
        <f>IF(AND('Mapa final'!$K$13="Alta",'Mapa final'!$O$13="Leve"),CONCATENATE("R",'Mapa final'!$A$13),"")</f>
        <v/>
      </c>
      <c r="O26" s="278"/>
      <c r="P26" s="278" t="str">
        <f>IF(AND('Mapa final'!$K$16="Alta",'Mapa final'!$O$16="Leve"),CONCATENATE("R",'Mapa final'!$A$16),"")</f>
        <v/>
      </c>
      <c r="Q26" s="278"/>
      <c r="R26" s="278" t="str">
        <f>IF(AND('Mapa final'!$K$19="Alta",'Mapa final'!$O$19="Leve"),CONCATENATE("R",'Mapa final'!$A$19),"")</f>
        <v/>
      </c>
      <c r="S26" s="279"/>
      <c r="T26" s="277" t="str">
        <f>IF(AND('Mapa final'!$K$7="Alta",'Mapa final'!$O$7="Menor"),CONCATENATE("R",'Mapa final'!$A$7),"")</f>
        <v/>
      </c>
      <c r="U26" s="278"/>
      <c r="V26" s="278" t="str">
        <f>IF(AND('Mapa final'!$K$10="Alta",'Mapa final'!$O$10="Menor"),CONCATENATE("R",'Mapa final'!$A$10),"")</f>
        <v/>
      </c>
      <c r="W26" s="278"/>
      <c r="X26" s="278" t="str">
        <f>IF(AND('Mapa final'!$K$13="Alta",'Mapa final'!$O$13="Menor"),CONCATENATE("R",'Mapa final'!$A$13),"")</f>
        <v/>
      </c>
      <c r="Y26" s="278"/>
      <c r="Z26" s="278" t="str">
        <f>IF(AND('Mapa final'!$K$16="Alta",'Mapa final'!$O$16="Menor"),CONCATENATE("R",'Mapa final'!$A$16),"")</f>
        <v/>
      </c>
      <c r="AA26" s="278"/>
      <c r="AB26" s="278" t="str">
        <f>IF(AND('Mapa final'!$K$19="Alta",'Mapa final'!$O$19="Menor"),CONCATENATE("R",'Mapa final'!$A$19),"")</f>
        <v/>
      </c>
      <c r="AC26" s="279"/>
      <c r="AD26" s="283" t="str">
        <f>IF(AND('Mapa final'!$K$7="Alta",'Mapa final'!$O$7="Moderado"),CONCATENATE("R",'Mapa final'!$A$7),"")</f>
        <v/>
      </c>
      <c r="AE26" s="284"/>
      <c r="AF26" s="284" t="str">
        <f>IF(AND('Mapa final'!$K$10="Alta",'Mapa final'!$O$10="Moderado"),CONCATENATE("R",'Mapa final'!$A$10),"")</f>
        <v/>
      </c>
      <c r="AG26" s="284"/>
      <c r="AH26" s="284" t="str">
        <f>IF(AND('Mapa final'!$K$13="Alta",'Mapa final'!$O$13="Moderado"),CONCATENATE("R",'Mapa final'!$A$13),"")</f>
        <v>R3</v>
      </c>
      <c r="AI26" s="284"/>
      <c r="AJ26" s="284" t="str">
        <f>IF(AND('Mapa final'!$K$16="Alta",'Mapa final'!$O$16="Moderado"),CONCATENATE("R",'Mapa final'!$A$16),"")</f>
        <v/>
      </c>
      <c r="AK26" s="284"/>
      <c r="AL26" s="284" t="str">
        <f>IF(AND('Mapa final'!$K$19="Alta",'Mapa final'!$O$19="Moderado"),CONCATENATE("R",'Mapa final'!$A$19),"")</f>
        <v/>
      </c>
      <c r="AM26" s="284"/>
      <c r="AN26" s="283" t="str">
        <f>IF(AND('Mapa final'!$K$7="Alta",'Mapa final'!$O$7="Mayor"),CONCATENATE("R",'Mapa final'!$A$7),"")</f>
        <v/>
      </c>
      <c r="AO26" s="284"/>
      <c r="AP26" s="284" t="str">
        <f>IF(AND('Mapa final'!$K$10="Alta",'Mapa final'!$O$10="Mayor"),CONCATENATE("R",'Mapa final'!$A$10),"")</f>
        <v/>
      </c>
      <c r="AQ26" s="284"/>
      <c r="AR26" s="284" t="str">
        <f>IF(AND('Mapa final'!$K$13="Alta",'Mapa final'!$O$13="Mayor"),CONCATENATE("R",'Mapa final'!$A$13),"")</f>
        <v/>
      </c>
      <c r="AS26" s="284"/>
      <c r="AT26" s="284" t="str">
        <f>IF(AND('Mapa final'!$K$16="Alta",'Mapa final'!$O$16="Mayor"),CONCATENATE("R",'Mapa final'!$A$16),"")</f>
        <v/>
      </c>
      <c r="AU26" s="284"/>
      <c r="AV26" s="284" t="str">
        <f>IF(AND('Mapa final'!$K$19="Alta",'Mapa final'!$O$19="Mayor"),CONCATENATE("R",'Mapa final'!$A$19),"")</f>
        <v/>
      </c>
      <c r="AW26" s="284"/>
      <c r="AX26" s="288" t="str">
        <f>IF(AND('Mapa final'!$K$7="Alta",'Mapa final'!$O$7="Catastrófico"),CONCATENATE("R",'Mapa final'!$A$7),"")</f>
        <v/>
      </c>
      <c r="AY26" s="289"/>
      <c r="AZ26" s="289" t="str">
        <f>IF(AND('Mapa final'!$K$10="Alta",'Mapa final'!$O$10="Catastrófico"),CONCATENATE("R",'Mapa final'!$A$10),"")</f>
        <v/>
      </c>
      <c r="BA26" s="289"/>
      <c r="BB26" s="289" t="str">
        <f>IF(AND('Mapa final'!$K$13="Alta",'Mapa final'!$O$13="Catastrófico"),CONCATENATE("R",'Mapa final'!$A$13),"")</f>
        <v/>
      </c>
      <c r="BC26" s="289"/>
      <c r="BD26" s="289" t="str">
        <f>IF(AND('Mapa final'!$K$16="Alta",'Mapa final'!$O$16="Catastrófico"),CONCATENATE("R",'Mapa final'!$A$16),"")</f>
        <v/>
      </c>
      <c r="BE26" s="289"/>
      <c r="BF26" s="289" t="str">
        <f>IF(AND('Mapa final'!$K$19="Alta",'Mapa final'!$O$19="Catastrófico"),CONCATENATE("R",'Mapa final'!$A$19),"")</f>
        <v/>
      </c>
      <c r="BG26" s="347"/>
      <c r="BH26" s="58"/>
      <c r="BI26" s="296"/>
      <c r="BJ26" s="297"/>
      <c r="BK26" s="297"/>
      <c r="BL26" s="297"/>
      <c r="BM26" s="297"/>
      <c r="BN26" s="29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row>
    <row r="27" spans="1:100" ht="15" customHeight="1" x14ac:dyDescent="0.25">
      <c r="A27" s="58"/>
      <c r="B27" s="356"/>
      <c r="C27" s="356"/>
      <c r="D27" s="357"/>
      <c r="E27" s="331"/>
      <c r="F27" s="332"/>
      <c r="G27" s="332"/>
      <c r="H27" s="332"/>
      <c r="I27" s="333"/>
      <c r="J27" s="272"/>
      <c r="K27" s="270"/>
      <c r="L27" s="270"/>
      <c r="M27" s="270"/>
      <c r="N27" s="270"/>
      <c r="O27" s="270"/>
      <c r="P27" s="270"/>
      <c r="Q27" s="270"/>
      <c r="R27" s="270"/>
      <c r="S27" s="271"/>
      <c r="T27" s="272"/>
      <c r="U27" s="270"/>
      <c r="V27" s="270"/>
      <c r="W27" s="270"/>
      <c r="X27" s="270"/>
      <c r="Y27" s="270"/>
      <c r="Z27" s="270"/>
      <c r="AA27" s="270"/>
      <c r="AB27" s="270"/>
      <c r="AC27" s="271"/>
      <c r="AD27" s="275"/>
      <c r="AE27" s="273"/>
      <c r="AF27" s="273"/>
      <c r="AG27" s="273"/>
      <c r="AH27" s="273"/>
      <c r="AI27" s="273"/>
      <c r="AJ27" s="273"/>
      <c r="AK27" s="273"/>
      <c r="AL27" s="273"/>
      <c r="AM27" s="273"/>
      <c r="AN27" s="275"/>
      <c r="AO27" s="273"/>
      <c r="AP27" s="273"/>
      <c r="AQ27" s="273"/>
      <c r="AR27" s="273"/>
      <c r="AS27" s="273"/>
      <c r="AT27" s="273"/>
      <c r="AU27" s="273"/>
      <c r="AV27" s="273"/>
      <c r="AW27" s="273"/>
      <c r="AX27" s="285"/>
      <c r="AY27" s="267"/>
      <c r="AZ27" s="267"/>
      <c r="BA27" s="267"/>
      <c r="BB27" s="267"/>
      <c r="BC27" s="267"/>
      <c r="BD27" s="267"/>
      <c r="BE27" s="267"/>
      <c r="BF27" s="267"/>
      <c r="BG27" s="286"/>
      <c r="BH27" s="58"/>
      <c r="BI27" s="296"/>
      <c r="BJ27" s="297"/>
      <c r="BK27" s="297"/>
      <c r="BL27" s="297"/>
      <c r="BM27" s="297"/>
      <c r="BN27" s="29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row>
    <row r="28" spans="1:100" ht="15" customHeight="1" x14ac:dyDescent="0.25">
      <c r="A28" s="58"/>
      <c r="B28" s="356"/>
      <c r="C28" s="356"/>
      <c r="D28" s="357"/>
      <c r="E28" s="331"/>
      <c r="F28" s="332"/>
      <c r="G28" s="332"/>
      <c r="H28" s="332"/>
      <c r="I28" s="333"/>
      <c r="J28" s="272" t="str">
        <f>IF(AND('Mapa final'!$K$22="Alta",'Mapa final'!$O$22="Leve"),CONCATENATE("R",'Mapa final'!$A$22),"")</f>
        <v/>
      </c>
      <c r="K28" s="270"/>
      <c r="L28" s="270" t="str">
        <f>IF(AND('Mapa final'!$K$25="Alta",'Mapa final'!$O$25="Leve"),CONCATENATE("R",'Mapa final'!$A$25),"")</f>
        <v/>
      </c>
      <c r="M28" s="270"/>
      <c r="N28" s="270" t="str">
        <f>IF(AND('Mapa final'!$K$28="Alta",'Mapa final'!$O$28="Leve"),CONCATENATE("R",'Mapa final'!$A$28),"")</f>
        <v/>
      </c>
      <c r="O28" s="270"/>
      <c r="P28" s="270" t="str">
        <f>IF(AND('Mapa final'!$K$31="Alta",'Mapa final'!$O$31="Leve"),CONCATENATE("R",'Mapa final'!$A$31),"")</f>
        <v/>
      </c>
      <c r="Q28" s="270"/>
      <c r="R28" s="270" t="str">
        <f>IF(AND('Mapa final'!$K$34="Alta",'Mapa final'!$O$34="Leve"),CONCATENATE("R",'Mapa final'!$A$34),"")</f>
        <v/>
      </c>
      <c r="S28" s="271"/>
      <c r="T28" s="272" t="str">
        <f>IF(AND('Mapa final'!$K$22="Alta",'Mapa final'!$O$22="Menor"),CONCATENATE("R",'Mapa final'!$A$22),"")</f>
        <v/>
      </c>
      <c r="U28" s="270"/>
      <c r="V28" s="270" t="str">
        <f>IF(AND('Mapa final'!$K$25="Alta",'Mapa final'!$O$25="Menor"),CONCATENATE("R",'Mapa final'!$A$25),"")</f>
        <v/>
      </c>
      <c r="W28" s="270"/>
      <c r="X28" s="270" t="str">
        <f>IF(AND('Mapa final'!$K$28="Alta",'Mapa final'!$O$28="Menor"),CONCATENATE("R",'Mapa final'!$A$28),"")</f>
        <v/>
      </c>
      <c r="Y28" s="270"/>
      <c r="Z28" s="270" t="str">
        <f>IF(AND('Mapa final'!$K$31="Alta",'Mapa final'!$O$31="Menor"),CONCATENATE("R",'Mapa final'!$A$31),"")</f>
        <v/>
      </c>
      <c r="AA28" s="270"/>
      <c r="AB28" s="270" t="str">
        <f>IF(AND('Mapa final'!$K$34="Alta",'Mapa final'!$O$34="Menor"),CONCATENATE("R",'Mapa final'!$A$34),"")</f>
        <v/>
      </c>
      <c r="AC28" s="271"/>
      <c r="AD28" s="275" t="str">
        <f>IF(AND('Mapa final'!$K$22="Alta",'Mapa final'!$O$22="Moderado"),CONCATENATE("R",'Mapa final'!$A$22),"")</f>
        <v/>
      </c>
      <c r="AE28" s="273"/>
      <c r="AF28" s="273" t="str">
        <f>IF(AND('Mapa final'!$K$25="Alta",'Mapa final'!$O$25="Moderado"),CONCATENATE("R",'Mapa final'!$A$25),"")</f>
        <v/>
      </c>
      <c r="AG28" s="273"/>
      <c r="AH28" s="273" t="str">
        <f>IF(AND('Mapa final'!$K$28="Alta",'Mapa final'!$O$28="Moderado"),CONCATENATE("R",'Mapa final'!$A$28),"")</f>
        <v>R8</v>
      </c>
      <c r="AI28" s="273"/>
      <c r="AJ28" s="273" t="str">
        <f>IF(AND('Mapa final'!$K$31="Alta",'Mapa final'!$O$31="Moderado"),CONCATENATE("R",'Mapa final'!$A$31),"")</f>
        <v/>
      </c>
      <c r="AK28" s="273"/>
      <c r="AL28" s="273" t="str">
        <f>IF(AND('Mapa final'!$K$34="Alta",'Mapa final'!$O$34="Moderado"),CONCATENATE("R",'Mapa final'!$A$34),"")</f>
        <v>R10</v>
      </c>
      <c r="AM28" s="273"/>
      <c r="AN28" s="275" t="str">
        <f>IF(AND('Mapa final'!$K$22="Alta",'Mapa final'!$O$22="Mayor"),CONCATENATE("R",'Mapa final'!$A$22),"")</f>
        <v/>
      </c>
      <c r="AO28" s="273"/>
      <c r="AP28" s="273" t="str">
        <f>IF(AND('Mapa final'!$K$25="Alta",'Mapa final'!$O$25="Mayor"),CONCATENATE("R",'Mapa final'!$A$25),"")</f>
        <v/>
      </c>
      <c r="AQ28" s="273"/>
      <c r="AR28" s="273" t="str">
        <f>IF(AND('Mapa final'!$K$28="Alta",'Mapa final'!$O$28="Mayor"),CONCATENATE("R",'Mapa final'!$A$28),"")</f>
        <v/>
      </c>
      <c r="AS28" s="273"/>
      <c r="AT28" s="273" t="str">
        <f>IF(AND('Mapa final'!$K$31="Alta",'Mapa final'!$O$31="Mayor"),CONCATENATE("R",'Mapa final'!$A$31),"")</f>
        <v>R9</v>
      </c>
      <c r="AU28" s="273"/>
      <c r="AV28" s="273" t="str">
        <f>IF(AND('Mapa final'!$K$34="Alta",'Mapa final'!$O$34="Mayor"),CONCATENATE("R",'Mapa final'!$A$34),"")</f>
        <v/>
      </c>
      <c r="AW28" s="273"/>
      <c r="AX28" s="285" t="str">
        <f>IF(AND('Mapa final'!$K$22="Alta",'Mapa final'!$O$22="Catastrófico"),CONCATENATE("R",'Mapa final'!$A$22),"")</f>
        <v/>
      </c>
      <c r="AY28" s="267"/>
      <c r="AZ28" s="267" t="str">
        <f>IF(AND('Mapa final'!$K$25="Alta",'Mapa final'!$O$25="Catastrófico"),CONCATENATE("R",'Mapa final'!$A$25),"")</f>
        <v/>
      </c>
      <c r="BA28" s="267"/>
      <c r="BB28" s="267" t="str">
        <f>IF(AND('Mapa final'!$K$28="Alta",'Mapa final'!$O$28="Catastrófico"),CONCATENATE("R",'Mapa final'!$A$28),"")</f>
        <v/>
      </c>
      <c r="BC28" s="267"/>
      <c r="BD28" s="267" t="str">
        <f>IF(AND('Mapa final'!$K$31="Alta",'Mapa final'!$O$31="Catastrófico"),CONCATENATE("R",'Mapa final'!$A$31),"")</f>
        <v/>
      </c>
      <c r="BE28" s="267"/>
      <c r="BF28" s="267" t="str">
        <f>IF(AND('Mapa final'!$K$34="Alta",'Mapa final'!$O$34="Catastrófico"),CONCATENATE("R",'Mapa final'!$A$34),"")</f>
        <v/>
      </c>
      <c r="BG28" s="286"/>
      <c r="BH28" s="58"/>
      <c r="BI28" s="296"/>
      <c r="BJ28" s="297"/>
      <c r="BK28" s="297"/>
      <c r="BL28" s="297"/>
      <c r="BM28" s="297"/>
      <c r="BN28" s="29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row>
    <row r="29" spans="1:100" ht="15" customHeight="1" x14ac:dyDescent="0.25">
      <c r="A29" s="58"/>
      <c r="B29" s="356"/>
      <c r="C29" s="356"/>
      <c r="D29" s="357"/>
      <c r="E29" s="331"/>
      <c r="F29" s="332"/>
      <c r="G29" s="332"/>
      <c r="H29" s="332"/>
      <c r="I29" s="333"/>
      <c r="J29" s="272"/>
      <c r="K29" s="270"/>
      <c r="L29" s="270"/>
      <c r="M29" s="270"/>
      <c r="N29" s="270"/>
      <c r="O29" s="270"/>
      <c r="P29" s="270"/>
      <c r="Q29" s="270"/>
      <c r="R29" s="270"/>
      <c r="S29" s="271"/>
      <c r="T29" s="272"/>
      <c r="U29" s="270"/>
      <c r="V29" s="270"/>
      <c r="W29" s="270"/>
      <c r="X29" s="270"/>
      <c r="Y29" s="270"/>
      <c r="Z29" s="270"/>
      <c r="AA29" s="270"/>
      <c r="AB29" s="270"/>
      <c r="AC29" s="271"/>
      <c r="AD29" s="275"/>
      <c r="AE29" s="273"/>
      <c r="AF29" s="273"/>
      <c r="AG29" s="273"/>
      <c r="AH29" s="273"/>
      <c r="AI29" s="273"/>
      <c r="AJ29" s="273"/>
      <c r="AK29" s="273"/>
      <c r="AL29" s="273"/>
      <c r="AM29" s="273"/>
      <c r="AN29" s="275"/>
      <c r="AO29" s="273"/>
      <c r="AP29" s="273"/>
      <c r="AQ29" s="273"/>
      <c r="AR29" s="273"/>
      <c r="AS29" s="273"/>
      <c r="AT29" s="273"/>
      <c r="AU29" s="273"/>
      <c r="AV29" s="273"/>
      <c r="AW29" s="273"/>
      <c r="AX29" s="285"/>
      <c r="AY29" s="267"/>
      <c r="AZ29" s="267"/>
      <c r="BA29" s="267"/>
      <c r="BB29" s="267"/>
      <c r="BC29" s="267"/>
      <c r="BD29" s="267"/>
      <c r="BE29" s="267"/>
      <c r="BF29" s="267"/>
      <c r="BG29" s="286"/>
      <c r="BH29" s="58"/>
      <c r="BI29" s="296"/>
      <c r="BJ29" s="297"/>
      <c r="BK29" s="297"/>
      <c r="BL29" s="297"/>
      <c r="BM29" s="297"/>
      <c r="BN29" s="29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row>
    <row r="30" spans="1:100" ht="15" customHeight="1" x14ac:dyDescent="0.25">
      <c r="A30" s="58"/>
      <c r="B30" s="356"/>
      <c r="C30" s="356"/>
      <c r="D30" s="357"/>
      <c r="E30" s="331"/>
      <c r="F30" s="332"/>
      <c r="G30" s="332"/>
      <c r="H30" s="332"/>
      <c r="I30" s="333"/>
      <c r="J30" s="272" t="str">
        <f>IF(AND('Mapa final'!$K$37="Alta",'Mapa final'!$O$37="Leve"),CONCATENATE("R",'Mapa final'!$A$37),"")</f>
        <v/>
      </c>
      <c r="K30" s="270"/>
      <c r="L30" s="270" t="str">
        <f>IF(AND('Mapa final'!$K$40="Alta",'Mapa final'!$O$40="Leve"),CONCATENATE("R",'Mapa final'!$A$40),"")</f>
        <v/>
      </c>
      <c r="M30" s="270"/>
      <c r="N30" s="270" t="str">
        <f>IF(AND('Mapa final'!$K$43="Alta",'Mapa final'!$O$43="Leve"),CONCATENATE("R",'Mapa final'!$A$43),"")</f>
        <v/>
      </c>
      <c r="O30" s="270"/>
      <c r="P30" s="270" t="e">
        <f>IF(AND('Mapa final'!#REF!="Alta",'Mapa final'!#REF!="Leve"),CONCATENATE("R",'Mapa final'!#REF!),"")</f>
        <v>#REF!</v>
      </c>
      <c r="Q30" s="270"/>
      <c r="R30" s="270" t="str">
        <f>IF(AND('Mapa final'!$K$46="Alta",'Mapa final'!$O$46="Leve"),CONCATENATE("R",'Mapa final'!$A$46),"")</f>
        <v/>
      </c>
      <c r="S30" s="271"/>
      <c r="T30" s="272" t="str">
        <f>IF(AND('Mapa final'!$K$37="Alta",'Mapa final'!$O$37="Menor"),CONCATENATE("R",'Mapa final'!$A$37),"")</f>
        <v/>
      </c>
      <c r="U30" s="270"/>
      <c r="V30" s="270" t="str">
        <f>IF(AND('Mapa final'!$K$40="Alta",'Mapa final'!$O$40="Menor"),CONCATENATE("R",'Mapa final'!$A$40),"")</f>
        <v/>
      </c>
      <c r="W30" s="270"/>
      <c r="X30" s="270" t="str">
        <f>IF(AND('Mapa final'!$K$43="Alta",'Mapa final'!$O$43="Menor"),CONCATENATE("R",'Mapa final'!$A$43),"")</f>
        <v/>
      </c>
      <c r="Y30" s="270"/>
      <c r="Z30" s="270" t="e">
        <f>IF(AND('Mapa final'!#REF!="Alta",'Mapa final'!#REF!="Menor"),CONCATENATE("R",'Mapa final'!#REF!),"")</f>
        <v>#REF!</v>
      </c>
      <c r="AA30" s="270"/>
      <c r="AB30" s="270" t="str">
        <f>IF(AND('Mapa final'!$K$46="Alta",'Mapa final'!$O$46="Menor"),CONCATENATE("R",'Mapa final'!$A$46),"")</f>
        <v/>
      </c>
      <c r="AC30" s="271"/>
      <c r="AD30" s="275" t="str">
        <f>IF(AND('Mapa final'!$K$37="Alta",'Mapa final'!$O$37="Moderado"),CONCATENATE("R",'Mapa final'!$A$37),"")</f>
        <v/>
      </c>
      <c r="AE30" s="273"/>
      <c r="AF30" s="273" t="str">
        <f>IF(AND('Mapa final'!$K$40="Alta",'Mapa final'!$O$40="Moderado"),CONCATENATE("R",'Mapa final'!$A$40),"")</f>
        <v/>
      </c>
      <c r="AG30" s="273"/>
      <c r="AH30" s="273" t="str">
        <f>IF(AND('Mapa final'!$K$43="Alta",'Mapa final'!$O$43="Moderado"),CONCATENATE("R",'Mapa final'!$A$43),"")</f>
        <v/>
      </c>
      <c r="AI30" s="273"/>
      <c r="AJ30" s="273" t="e">
        <f>IF(AND('Mapa final'!#REF!="Alta",'Mapa final'!#REF!="Moderado"),CONCATENATE("R",'Mapa final'!#REF!),"")</f>
        <v>#REF!</v>
      </c>
      <c r="AK30" s="273"/>
      <c r="AL30" s="273" t="str">
        <f>IF(AND('Mapa final'!$K$46="Alta",'Mapa final'!$O$46="Moderado"),CONCATENATE("R",'Mapa final'!$A$46),"")</f>
        <v/>
      </c>
      <c r="AM30" s="273"/>
      <c r="AN30" s="275" t="str">
        <f>IF(AND('Mapa final'!$K$37="Alta",'Mapa final'!$O$37="Mayor"),CONCATENATE("R",'Mapa final'!$A$37),"")</f>
        <v/>
      </c>
      <c r="AO30" s="273"/>
      <c r="AP30" s="273" t="str">
        <f>IF(AND('Mapa final'!$K$40="Alta",'Mapa final'!$O$40="Mayor"),CONCATENATE("R",'Mapa final'!$A$40),"")</f>
        <v/>
      </c>
      <c r="AQ30" s="273"/>
      <c r="AR30" s="273" t="str">
        <f>IF(AND('Mapa final'!$K$43="Alta",'Mapa final'!$O$43="Mayor"),CONCATENATE("R",'Mapa final'!$A$43),"")</f>
        <v/>
      </c>
      <c r="AS30" s="273"/>
      <c r="AT30" s="273" t="e">
        <f>IF(AND('Mapa final'!#REF!="Alta",'Mapa final'!#REF!="Mayor"),CONCATENATE("R",'Mapa final'!#REF!),"")</f>
        <v>#REF!</v>
      </c>
      <c r="AU30" s="273"/>
      <c r="AV30" s="273" t="str">
        <f>IF(AND('Mapa final'!$K$46="Alta",'Mapa final'!$O$46="Mayor"),CONCATENATE("R",'Mapa final'!$A$46),"")</f>
        <v/>
      </c>
      <c r="AW30" s="273"/>
      <c r="AX30" s="285" t="str">
        <f>IF(AND('Mapa final'!$K$37="Alta",'Mapa final'!$O$37="Catastrófico"),CONCATENATE("R",'Mapa final'!$A$37),"")</f>
        <v/>
      </c>
      <c r="AY30" s="267"/>
      <c r="AZ30" s="267" t="str">
        <f>IF(AND('Mapa final'!$K$40="Alta",'Mapa final'!$O$40="Catastrófico"),CONCATENATE("R",'Mapa final'!$A$40),"")</f>
        <v/>
      </c>
      <c r="BA30" s="267"/>
      <c r="BB30" s="267" t="str">
        <f>IF(AND('Mapa final'!$K$43="Alta",'Mapa final'!$O$43="Catastrófico"),CONCATENATE("R",'Mapa final'!$A$43),"")</f>
        <v/>
      </c>
      <c r="BC30" s="267"/>
      <c r="BD30" s="267" t="e">
        <f>IF(AND('Mapa final'!#REF!="Alta",'Mapa final'!#REF!="Catastrófico"),CONCATENATE("R",'Mapa final'!#REF!),"")</f>
        <v>#REF!</v>
      </c>
      <c r="BE30" s="267"/>
      <c r="BF30" s="267" t="str">
        <f>IF(AND('Mapa final'!$K$46="Alta",'Mapa final'!$O$46="Catastrófico"),CONCATENATE("R",'Mapa final'!$A$46),"")</f>
        <v/>
      </c>
      <c r="BG30" s="286"/>
      <c r="BH30" s="58"/>
      <c r="BI30" s="296"/>
      <c r="BJ30" s="297"/>
      <c r="BK30" s="297"/>
      <c r="BL30" s="297"/>
      <c r="BM30" s="297"/>
      <c r="BN30" s="29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row>
    <row r="31" spans="1:100" ht="15" customHeight="1" x14ac:dyDescent="0.25">
      <c r="A31" s="58"/>
      <c r="B31" s="356"/>
      <c r="C31" s="356"/>
      <c r="D31" s="357"/>
      <c r="E31" s="331"/>
      <c r="F31" s="332"/>
      <c r="G31" s="332"/>
      <c r="H31" s="332"/>
      <c r="I31" s="333"/>
      <c r="J31" s="272"/>
      <c r="K31" s="270"/>
      <c r="L31" s="270"/>
      <c r="M31" s="270"/>
      <c r="N31" s="270"/>
      <c r="O31" s="270"/>
      <c r="P31" s="270"/>
      <c r="Q31" s="270"/>
      <c r="R31" s="270"/>
      <c r="S31" s="271"/>
      <c r="T31" s="272"/>
      <c r="U31" s="270"/>
      <c r="V31" s="270"/>
      <c r="W31" s="270"/>
      <c r="X31" s="270"/>
      <c r="Y31" s="270"/>
      <c r="Z31" s="270"/>
      <c r="AA31" s="270"/>
      <c r="AB31" s="270"/>
      <c r="AC31" s="271"/>
      <c r="AD31" s="275"/>
      <c r="AE31" s="273"/>
      <c r="AF31" s="273"/>
      <c r="AG31" s="273"/>
      <c r="AH31" s="273"/>
      <c r="AI31" s="273"/>
      <c r="AJ31" s="273"/>
      <c r="AK31" s="273"/>
      <c r="AL31" s="273"/>
      <c r="AM31" s="273"/>
      <c r="AN31" s="275"/>
      <c r="AO31" s="273"/>
      <c r="AP31" s="273"/>
      <c r="AQ31" s="273"/>
      <c r="AR31" s="273"/>
      <c r="AS31" s="273"/>
      <c r="AT31" s="273"/>
      <c r="AU31" s="273"/>
      <c r="AV31" s="273"/>
      <c r="AW31" s="273"/>
      <c r="AX31" s="285"/>
      <c r="AY31" s="267"/>
      <c r="AZ31" s="267"/>
      <c r="BA31" s="267"/>
      <c r="BB31" s="267"/>
      <c r="BC31" s="267"/>
      <c r="BD31" s="267"/>
      <c r="BE31" s="267"/>
      <c r="BF31" s="267"/>
      <c r="BG31" s="286"/>
      <c r="BH31" s="58"/>
      <c r="BI31" s="296"/>
      <c r="BJ31" s="297"/>
      <c r="BK31" s="297"/>
      <c r="BL31" s="297"/>
      <c r="BM31" s="297"/>
      <c r="BN31" s="29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row>
    <row r="32" spans="1:100" ht="15" customHeight="1" x14ac:dyDescent="0.25">
      <c r="A32" s="58"/>
      <c r="B32" s="356"/>
      <c r="C32" s="356"/>
      <c r="D32" s="357"/>
      <c r="E32" s="331"/>
      <c r="F32" s="332"/>
      <c r="G32" s="332"/>
      <c r="H32" s="332"/>
      <c r="I32" s="333"/>
      <c r="J32" s="272" t="str">
        <f>IF(AND('Mapa final'!$K$49="Alta",'Mapa final'!$O$49="Leve"),CONCATENATE("R",'Mapa final'!$A$49),"")</f>
        <v/>
      </c>
      <c r="K32" s="270"/>
      <c r="L32" s="270" t="str">
        <f>IF(AND('Mapa final'!$K$52="Alta",'Mapa final'!$O$52="Leve"),CONCATENATE("R",'Mapa final'!$A$52),"")</f>
        <v/>
      </c>
      <c r="M32" s="270"/>
      <c r="N32" s="270" t="str">
        <f>IF(AND('Mapa final'!$K$55="Alta",'Mapa final'!$O$55="Leve"),CONCATENATE("R",'Mapa final'!$A$55),"")</f>
        <v/>
      </c>
      <c r="O32" s="270"/>
      <c r="P32" s="270" t="str">
        <f>IF(AND('Mapa final'!$K$58="Alta",'Mapa final'!$O$58="Leve"),CONCATENATE("R",'Mapa final'!$A$58),"")</f>
        <v/>
      </c>
      <c r="Q32" s="270"/>
      <c r="R32" s="270" t="str">
        <f>IF(AND('Mapa final'!$K$61="Alta",'Mapa final'!$O$61="Leve"),CONCATENATE("R",'Mapa final'!$A$61),"")</f>
        <v/>
      </c>
      <c r="S32" s="271"/>
      <c r="T32" s="272" t="str">
        <f>IF(AND('Mapa final'!$K$49="Alta",'Mapa final'!$O$49="Menor"),CONCATENATE("R",'Mapa final'!$A$49),"")</f>
        <v/>
      </c>
      <c r="U32" s="270"/>
      <c r="V32" s="270" t="str">
        <f>IF(AND('Mapa final'!$K$52="Alta",'Mapa final'!$O$52="Menor"),CONCATENATE("R",'Mapa final'!$A$52),"")</f>
        <v/>
      </c>
      <c r="W32" s="270"/>
      <c r="X32" s="270" t="str">
        <f>IF(AND('Mapa final'!$K$55="Alta",'Mapa final'!$O$55="Menor"),CONCATENATE("R",'Mapa final'!$A$55),"")</f>
        <v/>
      </c>
      <c r="Y32" s="270"/>
      <c r="Z32" s="270" t="str">
        <f>IF(AND('Mapa final'!$K$58="Alta",'Mapa final'!$O$58="Menor"),CONCATENATE("R",'Mapa final'!$A$58),"")</f>
        <v/>
      </c>
      <c r="AA32" s="270"/>
      <c r="AB32" s="270" t="str">
        <f>IF(AND('Mapa final'!$K$61="Alta",'Mapa final'!$O$61="Menor"),CONCATENATE("R",'Mapa final'!$A$61),"")</f>
        <v/>
      </c>
      <c r="AC32" s="271"/>
      <c r="AD32" s="275" t="str">
        <f>IF(AND('Mapa final'!$K$49="Alta",'Mapa final'!$O$49="Moderado"),CONCATENATE("R",'Mapa final'!$A$49),"")</f>
        <v>R15</v>
      </c>
      <c r="AE32" s="273"/>
      <c r="AF32" s="273" t="str">
        <f>IF(AND('Mapa final'!$K$52="Alta",'Mapa final'!$O$52="Moderado"),CONCATENATE("R",'Mapa final'!$A$52),"")</f>
        <v/>
      </c>
      <c r="AG32" s="273"/>
      <c r="AH32" s="273" t="str">
        <f>IF(AND('Mapa final'!$K$55="Alta",'Mapa final'!$O$55="Moderado"),CONCATENATE("R",'Mapa final'!$A$55),"")</f>
        <v/>
      </c>
      <c r="AI32" s="273"/>
      <c r="AJ32" s="273" t="str">
        <f>IF(AND('Mapa final'!$K$58="Alta",'Mapa final'!$O$58="Moderado"),CONCATENATE("R",'Mapa final'!$A$58),"")</f>
        <v/>
      </c>
      <c r="AK32" s="273"/>
      <c r="AL32" s="273" t="str">
        <f>IF(AND('Mapa final'!$K$61="Alta",'Mapa final'!$O$61="Moderado"),CONCATENATE("R",'Mapa final'!$A$61),"")</f>
        <v/>
      </c>
      <c r="AM32" s="273"/>
      <c r="AN32" s="275" t="str">
        <f>IF(AND('Mapa final'!$K$49="Alta",'Mapa final'!$O$49="Mayor"),CONCATENATE("R",'Mapa final'!$A$49),"")</f>
        <v/>
      </c>
      <c r="AO32" s="273"/>
      <c r="AP32" s="273" t="str">
        <f>IF(AND('Mapa final'!$K$52="Alta",'Mapa final'!$O$52="Mayor"),CONCATENATE("R",'Mapa final'!$A$52),"")</f>
        <v/>
      </c>
      <c r="AQ32" s="273"/>
      <c r="AR32" s="273" t="str">
        <f>IF(AND('Mapa final'!$K$55="Alta",'Mapa final'!$O$55="Mayor"),CONCATENATE("R",'Mapa final'!$A$55),"")</f>
        <v/>
      </c>
      <c r="AS32" s="273"/>
      <c r="AT32" s="273" t="str">
        <f>IF(AND('Mapa final'!$K$58="Alta",'Mapa final'!$O$58="Mayor"),CONCATENATE("R",'Mapa final'!$A$58),"")</f>
        <v/>
      </c>
      <c r="AU32" s="273"/>
      <c r="AV32" s="273" t="str">
        <f>IF(AND('Mapa final'!$K$61="Alta",'Mapa final'!$O$61="Mayor"),CONCATENATE("R",'Mapa final'!$A$61),"")</f>
        <v/>
      </c>
      <c r="AW32" s="273"/>
      <c r="AX32" s="285" t="str">
        <f>IF(AND('Mapa final'!$K$49="Alta",'Mapa final'!$O$49="Catastrófico"),CONCATENATE("R",'Mapa final'!$A$49),"")</f>
        <v/>
      </c>
      <c r="AY32" s="267"/>
      <c r="AZ32" s="267" t="str">
        <f>IF(AND('Mapa final'!$K$52="Alta",'Mapa final'!$O$52="Catastrófico"),CONCATENATE("R",'Mapa final'!$A$52),"")</f>
        <v/>
      </c>
      <c r="BA32" s="267"/>
      <c r="BB32" s="267" t="str">
        <f>IF(AND('Mapa final'!$K$55="Alta",'Mapa final'!$O$55="Catastrófico"),CONCATENATE("R",'Mapa final'!$A$55),"")</f>
        <v/>
      </c>
      <c r="BC32" s="267"/>
      <c r="BD32" s="267" t="str">
        <f>IF(AND('Mapa final'!$K$58="Alta",'Mapa final'!$O$58="Catastrófico"),CONCATENATE("R",'Mapa final'!$A$58),"")</f>
        <v/>
      </c>
      <c r="BE32" s="267"/>
      <c r="BF32" s="267" t="str">
        <f>IF(AND('Mapa final'!$K$61="Alta",'Mapa final'!$O$61="Catastrófico"),CONCATENATE("R",'Mapa final'!$A$61),"")</f>
        <v/>
      </c>
      <c r="BG32" s="286"/>
      <c r="BH32" s="58"/>
      <c r="BI32" s="296"/>
      <c r="BJ32" s="297"/>
      <c r="BK32" s="297"/>
      <c r="BL32" s="297"/>
      <c r="BM32" s="297"/>
      <c r="BN32" s="29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row>
    <row r="33" spans="1:100" ht="15" customHeight="1" thickBot="1" x14ac:dyDescent="0.3">
      <c r="A33" s="58"/>
      <c r="B33" s="356"/>
      <c r="C33" s="356"/>
      <c r="D33" s="357"/>
      <c r="E33" s="331"/>
      <c r="F33" s="332"/>
      <c r="G33" s="332"/>
      <c r="H33" s="332"/>
      <c r="I33" s="333"/>
      <c r="J33" s="272"/>
      <c r="K33" s="270"/>
      <c r="L33" s="270"/>
      <c r="M33" s="270"/>
      <c r="N33" s="270"/>
      <c r="O33" s="270"/>
      <c r="P33" s="270"/>
      <c r="Q33" s="270"/>
      <c r="R33" s="270"/>
      <c r="S33" s="271"/>
      <c r="T33" s="272"/>
      <c r="U33" s="270"/>
      <c r="V33" s="270"/>
      <c r="W33" s="270"/>
      <c r="X33" s="270"/>
      <c r="Y33" s="270"/>
      <c r="Z33" s="270"/>
      <c r="AA33" s="270"/>
      <c r="AB33" s="270"/>
      <c r="AC33" s="271"/>
      <c r="AD33" s="275"/>
      <c r="AE33" s="273"/>
      <c r="AF33" s="273"/>
      <c r="AG33" s="273"/>
      <c r="AH33" s="273"/>
      <c r="AI33" s="273"/>
      <c r="AJ33" s="273"/>
      <c r="AK33" s="273"/>
      <c r="AL33" s="273"/>
      <c r="AM33" s="273"/>
      <c r="AN33" s="275"/>
      <c r="AO33" s="273"/>
      <c r="AP33" s="273"/>
      <c r="AQ33" s="273"/>
      <c r="AR33" s="273"/>
      <c r="AS33" s="273"/>
      <c r="AT33" s="273"/>
      <c r="AU33" s="273"/>
      <c r="AV33" s="273"/>
      <c r="AW33" s="273"/>
      <c r="AX33" s="285"/>
      <c r="AY33" s="267"/>
      <c r="AZ33" s="267"/>
      <c r="BA33" s="267"/>
      <c r="BB33" s="267"/>
      <c r="BC33" s="267"/>
      <c r="BD33" s="267"/>
      <c r="BE33" s="267"/>
      <c r="BF33" s="267"/>
      <c r="BG33" s="286"/>
      <c r="BH33" s="58"/>
      <c r="BI33" s="299"/>
      <c r="BJ33" s="300"/>
      <c r="BK33" s="300"/>
      <c r="BL33" s="300"/>
      <c r="BM33" s="300"/>
      <c r="BN33" s="301"/>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row>
    <row r="34" spans="1:100" ht="15" customHeight="1" x14ac:dyDescent="0.25">
      <c r="A34" s="58"/>
      <c r="B34" s="356"/>
      <c r="C34" s="356"/>
      <c r="D34" s="357"/>
      <c r="E34" s="331"/>
      <c r="F34" s="332"/>
      <c r="G34" s="332"/>
      <c r="H34" s="332"/>
      <c r="I34" s="333"/>
      <c r="J34" s="272" t="str">
        <f>IF(AND('Mapa final'!$K$64="Alta",'Mapa final'!$O$64="Leve"),CONCATENATE("R",'Mapa final'!$A$64),"")</f>
        <v/>
      </c>
      <c r="K34" s="270"/>
      <c r="L34" s="270" t="str">
        <f>IF(AND('Mapa final'!$K$67="Alta",'Mapa final'!$O$67="Leve"),CONCATENATE("R",'Mapa final'!$A$67),"")</f>
        <v/>
      </c>
      <c r="M34" s="270"/>
      <c r="N34" s="270" t="str">
        <f>IF(AND('Mapa final'!$K$70="Alta",'Mapa final'!$O$70="Leve"),CONCATENATE("R",'Mapa final'!$A$70),"")</f>
        <v/>
      </c>
      <c r="O34" s="270"/>
      <c r="P34" s="270" t="str">
        <f>IF(AND('Mapa final'!$K$73="Alta",'Mapa final'!$O$73="Leve"),CONCATENATE("R",'Mapa final'!$A$73),"")</f>
        <v/>
      </c>
      <c r="Q34" s="270"/>
      <c r="R34" s="270" t="str">
        <f>IF(AND('Mapa final'!$K$76="Alta",'Mapa final'!$O$76="Leve"),CONCATENATE("R",'Mapa final'!$A$76),"")</f>
        <v/>
      </c>
      <c r="S34" s="271"/>
      <c r="T34" s="272" t="str">
        <f>IF(AND('Mapa final'!$K$64="Alta",'Mapa final'!$O$64="Menor"),CONCATENATE("R",'Mapa final'!$A$64),"")</f>
        <v/>
      </c>
      <c r="U34" s="270"/>
      <c r="V34" s="270" t="str">
        <f>IF(AND('Mapa final'!$K$67="Alta",'Mapa final'!$O$67="Menor"),CONCATENATE("R",'Mapa final'!$A$67),"")</f>
        <v/>
      </c>
      <c r="W34" s="270"/>
      <c r="X34" s="270" t="str">
        <f>IF(AND('Mapa final'!$K$70="Alta",'Mapa final'!$O$70="Menor"),CONCATENATE("R",'Mapa final'!$A$70),"")</f>
        <v/>
      </c>
      <c r="Y34" s="270"/>
      <c r="Z34" s="270" t="str">
        <f>IF(AND('Mapa final'!$K$73="Alta",'Mapa final'!$O$73="Menor"),CONCATENATE("R",'Mapa final'!$A$73),"")</f>
        <v/>
      </c>
      <c r="AA34" s="270"/>
      <c r="AB34" s="270" t="str">
        <f>IF(AND('Mapa final'!$K$76="Alta",'Mapa final'!$O$76="Menor"),CONCATENATE("R",'Mapa final'!$A$76),"")</f>
        <v/>
      </c>
      <c r="AC34" s="271"/>
      <c r="AD34" s="275" t="str">
        <f>IF(AND('Mapa final'!$K$64="Alta",'Mapa final'!$O$64="Moderado"),CONCATENATE("R",'Mapa final'!$A$64),"")</f>
        <v/>
      </c>
      <c r="AE34" s="273"/>
      <c r="AF34" s="273" t="str">
        <f>IF(AND('Mapa final'!$K$67="Alta",'Mapa final'!$O$67="Moderado"),CONCATENATE("R",'Mapa final'!$A$67),"")</f>
        <v/>
      </c>
      <c r="AG34" s="273"/>
      <c r="AH34" s="273" t="str">
        <f>IF(AND('Mapa final'!$K$70="Alta",'Mapa final'!$O$70="Moderado"),CONCATENATE("R",'Mapa final'!$A$70),"")</f>
        <v/>
      </c>
      <c r="AI34" s="273"/>
      <c r="AJ34" s="273" t="str">
        <f>IF(AND('Mapa final'!$K$73="Alta",'Mapa final'!$O$73="Moderado"),CONCATENATE("R",'Mapa final'!$A$73),"")</f>
        <v/>
      </c>
      <c r="AK34" s="273"/>
      <c r="AL34" s="273" t="str">
        <f>IF(AND('Mapa final'!$K$76="Alta",'Mapa final'!$O$76="Moderado"),CONCATENATE("R",'Mapa final'!$A$76),"")</f>
        <v/>
      </c>
      <c r="AM34" s="273"/>
      <c r="AN34" s="275" t="str">
        <f>IF(AND('Mapa final'!$K$64="Alta",'Mapa final'!$O$64="Mayor"),CONCATENATE("R",'Mapa final'!$A$64),"")</f>
        <v/>
      </c>
      <c r="AO34" s="273"/>
      <c r="AP34" s="273" t="str">
        <f>IF(AND('Mapa final'!$K$67="Alta",'Mapa final'!$O$67="Mayor"),CONCATENATE("R",'Mapa final'!$A$67),"")</f>
        <v/>
      </c>
      <c r="AQ34" s="273"/>
      <c r="AR34" s="273" t="str">
        <f>IF(AND('Mapa final'!$K$70="Alta",'Mapa final'!$O$70="Mayor"),CONCATENATE("R",'Mapa final'!$A$70),"")</f>
        <v/>
      </c>
      <c r="AS34" s="273"/>
      <c r="AT34" s="273" t="str">
        <f>IF(AND('Mapa final'!$K$73="Alta",'Mapa final'!$O$73="Mayor"),CONCATENATE("R",'Mapa final'!$A$73),"")</f>
        <v/>
      </c>
      <c r="AU34" s="273"/>
      <c r="AV34" s="273" t="str">
        <f>IF(AND('Mapa final'!$K$76="Alta",'Mapa final'!$O$76="Mayor"),CONCATENATE("R",'Mapa final'!$A$76),"")</f>
        <v/>
      </c>
      <c r="AW34" s="273"/>
      <c r="AX34" s="285" t="str">
        <f>IF(AND('Mapa final'!$K$64="Alta",'Mapa final'!$O$64="Catastrófico"),CONCATENATE("R",'Mapa final'!$A$64),"")</f>
        <v/>
      </c>
      <c r="AY34" s="267"/>
      <c r="AZ34" s="267" t="str">
        <f>IF(AND('Mapa final'!$K$67="Alta",'Mapa final'!$O$67="Catastrófico"),CONCATENATE("R",'Mapa final'!$A$67),"")</f>
        <v/>
      </c>
      <c r="BA34" s="267"/>
      <c r="BB34" s="267" t="str">
        <f>IF(AND('Mapa final'!$K$70="Alta",'Mapa final'!$O$70="Catastrófico"),CONCATENATE("R",'Mapa final'!$A$70),"")</f>
        <v/>
      </c>
      <c r="BC34" s="267"/>
      <c r="BD34" s="267" t="str">
        <f>IF(AND('Mapa final'!$K$73="Alta",'Mapa final'!$O$73="Catastrófico"),CONCATENATE("R",'Mapa final'!$A$73),"")</f>
        <v/>
      </c>
      <c r="BE34" s="267"/>
      <c r="BF34" s="267" t="str">
        <f>IF(AND('Mapa final'!$K$76="Alta",'Mapa final'!$O$76="Catastrófico"),CONCATENATE("R",'Mapa final'!$A$76),"")</f>
        <v/>
      </c>
      <c r="BG34" s="286"/>
      <c r="BH34" s="58"/>
      <c r="BI34" s="302" t="s">
        <v>74</v>
      </c>
      <c r="BJ34" s="303"/>
      <c r="BK34" s="303"/>
      <c r="BL34" s="303"/>
      <c r="BM34" s="303"/>
      <c r="BN34" s="304"/>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row>
    <row r="35" spans="1:100" ht="15" customHeight="1" x14ac:dyDescent="0.25">
      <c r="A35" s="58"/>
      <c r="B35" s="356"/>
      <c r="C35" s="356"/>
      <c r="D35" s="357"/>
      <c r="E35" s="331"/>
      <c r="F35" s="332"/>
      <c r="G35" s="332"/>
      <c r="H35" s="332"/>
      <c r="I35" s="333"/>
      <c r="J35" s="272"/>
      <c r="K35" s="270"/>
      <c r="L35" s="270"/>
      <c r="M35" s="270"/>
      <c r="N35" s="270"/>
      <c r="O35" s="270"/>
      <c r="P35" s="270"/>
      <c r="Q35" s="270"/>
      <c r="R35" s="270"/>
      <c r="S35" s="271"/>
      <c r="T35" s="272"/>
      <c r="U35" s="270"/>
      <c r="V35" s="270"/>
      <c r="W35" s="270"/>
      <c r="X35" s="270"/>
      <c r="Y35" s="270"/>
      <c r="Z35" s="270"/>
      <c r="AA35" s="270"/>
      <c r="AB35" s="270"/>
      <c r="AC35" s="271"/>
      <c r="AD35" s="275"/>
      <c r="AE35" s="273"/>
      <c r="AF35" s="273"/>
      <c r="AG35" s="273"/>
      <c r="AH35" s="273"/>
      <c r="AI35" s="273"/>
      <c r="AJ35" s="273"/>
      <c r="AK35" s="273"/>
      <c r="AL35" s="273"/>
      <c r="AM35" s="273"/>
      <c r="AN35" s="275"/>
      <c r="AO35" s="273"/>
      <c r="AP35" s="273"/>
      <c r="AQ35" s="273"/>
      <c r="AR35" s="273"/>
      <c r="AS35" s="273"/>
      <c r="AT35" s="273"/>
      <c r="AU35" s="273"/>
      <c r="AV35" s="273"/>
      <c r="AW35" s="273"/>
      <c r="AX35" s="285"/>
      <c r="AY35" s="267"/>
      <c r="AZ35" s="267"/>
      <c r="BA35" s="267"/>
      <c r="BB35" s="267"/>
      <c r="BC35" s="267"/>
      <c r="BD35" s="267"/>
      <c r="BE35" s="267"/>
      <c r="BF35" s="267"/>
      <c r="BG35" s="286"/>
      <c r="BH35" s="58"/>
      <c r="BI35" s="305"/>
      <c r="BJ35" s="306"/>
      <c r="BK35" s="306"/>
      <c r="BL35" s="306"/>
      <c r="BM35" s="306"/>
      <c r="BN35" s="307"/>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row>
    <row r="36" spans="1:100" ht="15" customHeight="1" x14ac:dyDescent="0.25">
      <c r="A36" s="58"/>
      <c r="B36" s="356"/>
      <c r="C36" s="356"/>
      <c r="D36" s="357"/>
      <c r="E36" s="331"/>
      <c r="F36" s="332"/>
      <c r="G36" s="332"/>
      <c r="H36" s="332"/>
      <c r="I36" s="333"/>
      <c r="J36" s="272" t="str">
        <f>IF(AND('Mapa final'!$K$79="Alta",'Mapa final'!$O$79="Leve"),CONCATENATE("R",'Mapa final'!$A$79),"")</f>
        <v/>
      </c>
      <c r="K36" s="270"/>
      <c r="L36" s="270" t="str">
        <f>IF(AND('Mapa final'!$K$82="Alta",'Mapa final'!$O$82="Leve"),CONCATENATE("R",'Mapa final'!$A$82),"")</f>
        <v/>
      </c>
      <c r="M36" s="270"/>
      <c r="N36" s="270" t="str">
        <f>IF(AND('Mapa final'!$K$85="Alta",'Mapa final'!$O$85="Leve"),CONCATENATE("R",'Mapa final'!$A$85),"")</f>
        <v/>
      </c>
      <c r="O36" s="270"/>
      <c r="P36" s="270" t="str">
        <f>IF(AND('Mapa final'!$K$88="Alta",'Mapa final'!$O$88="Leve"),CONCATENATE("R",'Mapa final'!$A$88),"")</f>
        <v/>
      </c>
      <c r="Q36" s="270"/>
      <c r="R36" s="270" t="str">
        <f>IF(AND('Mapa final'!$K$91="Alta",'Mapa final'!$O$91="Leve"),CONCATENATE("R",'Mapa final'!$A$91),"")</f>
        <v/>
      </c>
      <c r="S36" s="271"/>
      <c r="T36" s="272" t="str">
        <f>IF(AND('Mapa final'!$K$79="Alta",'Mapa final'!$O$79="Menor"),CONCATENATE("R",'Mapa final'!$A$79),"")</f>
        <v/>
      </c>
      <c r="U36" s="270"/>
      <c r="V36" s="270" t="str">
        <f>IF(AND('Mapa final'!$K$82="Alta",'Mapa final'!$O$82="Menor"),CONCATENATE("R",'Mapa final'!$A$82),"")</f>
        <v/>
      </c>
      <c r="W36" s="270"/>
      <c r="X36" s="270" t="str">
        <f>IF(AND('Mapa final'!$K$85="Alta",'Mapa final'!$O$85="Menor"),CONCATENATE("R",'Mapa final'!$A$85),"")</f>
        <v/>
      </c>
      <c r="Y36" s="270"/>
      <c r="Z36" s="270" t="str">
        <f>IF(AND('Mapa final'!$K$88="Alta",'Mapa final'!$O$88="Menor"),CONCATENATE("R",'Mapa final'!$A$88),"")</f>
        <v/>
      </c>
      <c r="AA36" s="270"/>
      <c r="AB36" s="270" t="str">
        <f>IF(AND('Mapa final'!$K$91="Alta",'Mapa final'!$O$91="Menor"),CONCATENATE("R",'Mapa final'!$A$91),"")</f>
        <v/>
      </c>
      <c r="AC36" s="271"/>
      <c r="AD36" s="275" t="str">
        <f>IF(AND('Mapa final'!$K$79="Alta",'Mapa final'!$O$79="Moderado"),CONCATENATE("R",'Mapa final'!$A$79),"")</f>
        <v/>
      </c>
      <c r="AE36" s="273"/>
      <c r="AF36" s="273" t="str">
        <f>IF(AND('Mapa final'!$K$82="Alta",'Mapa final'!$O$82="Moderado"),CONCATENATE("R",'Mapa final'!$A$82),"")</f>
        <v/>
      </c>
      <c r="AG36" s="273"/>
      <c r="AH36" s="273" t="str">
        <f>IF(AND('Mapa final'!$K$85="Alta",'Mapa final'!$O$85="Moderado"),CONCATENATE("R",'Mapa final'!$A$85),"")</f>
        <v/>
      </c>
      <c r="AI36" s="273"/>
      <c r="AJ36" s="273" t="str">
        <f>IF(AND('Mapa final'!$K$88="Alta",'Mapa final'!$O$88="Moderado"),CONCATENATE("R",'Mapa final'!$A$88),"")</f>
        <v/>
      </c>
      <c r="AK36" s="273"/>
      <c r="AL36" s="273" t="str">
        <f>IF(AND('Mapa final'!$K$91="Alta",'Mapa final'!$O$91="Moderado"),CONCATENATE("R",'Mapa final'!$A$91),"")</f>
        <v/>
      </c>
      <c r="AM36" s="273"/>
      <c r="AN36" s="275" t="str">
        <f>IF(AND('Mapa final'!$K$79="Alta",'Mapa final'!$O$79="Mayor"),CONCATENATE("R",'Mapa final'!$A$79),"")</f>
        <v/>
      </c>
      <c r="AO36" s="273"/>
      <c r="AP36" s="273" t="str">
        <f>IF(AND('Mapa final'!$K$82="Alta",'Mapa final'!$O$82="Mayor"),CONCATENATE("R",'Mapa final'!$A$82),"")</f>
        <v/>
      </c>
      <c r="AQ36" s="273"/>
      <c r="AR36" s="273" t="str">
        <f>IF(AND('Mapa final'!$K$85="Alta",'Mapa final'!$O$85="Mayor"),CONCATENATE("R",'Mapa final'!$A$85),"")</f>
        <v/>
      </c>
      <c r="AS36" s="273"/>
      <c r="AT36" s="273" t="str">
        <f>IF(AND('Mapa final'!$K$88="Alta",'Mapa final'!$O$88="Mayor"),CONCATENATE("R",'Mapa final'!$A$88),"")</f>
        <v/>
      </c>
      <c r="AU36" s="273"/>
      <c r="AV36" s="273" t="str">
        <f>IF(AND('Mapa final'!$K$91="Alta",'Mapa final'!$O$91="Mayor"),CONCATENATE("R",'Mapa final'!$A$91),"")</f>
        <v>R29</v>
      </c>
      <c r="AW36" s="273"/>
      <c r="AX36" s="285" t="str">
        <f>IF(AND('Mapa final'!$K$79="Alta",'Mapa final'!$O$79="Catastrófico"),CONCATENATE("R",'Mapa final'!$A$79),"")</f>
        <v/>
      </c>
      <c r="AY36" s="267"/>
      <c r="AZ36" s="267" t="str">
        <f>IF(AND('Mapa final'!$K$82="Alta",'Mapa final'!$O$82="Catastrófico"),CONCATENATE("R",'Mapa final'!$A$82),"")</f>
        <v/>
      </c>
      <c r="BA36" s="267"/>
      <c r="BB36" s="267" t="str">
        <f>IF(AND('Mapa final'!$K$85="Alta",'Mapa final'!$O$85="Catastrófico"),CONCATENATE("R",'Mapa final'!$A$85),"")</f>
        <v/>
      </c>
      <c r="BC36" s="267"/>
      <c r="BD36" s="267" t="str">
        <f>IF(AND('Mapa final'!$K$88="Alta",'Mapa final'!$O$88="Catastrófico"),CONCATENATE("R",'Mapa final'!$A$88),"")</f>
        <v/>
      </c>
      <c r="BE36" s="267"/>
      <c r="BF36" s="267" t="str">
        <f>IF(AND('Mapa final'!$K$91="Alta",'Mapa final'!$O$91="Catastrófico"),CONCATENATE("R",'Mapa final'!$A$91),"")</f>
        <v/>
      </c>
      <c r="BG36" s="286"/>
      <c r="BH36" s="58"/>
      <c r="BI36" s="305"/>
      <c r="BJ36" s="306"/>
      <c r="BK36" s="306"/>
      <c r="BL36" s="306"/>
      <c r="BM36" s="306"/>
      <c r="BN36" s="307"/>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row>
    <row r="37" spans="1:100" ht="15" customHeight="1" x14ac:dyDescent="0.25">
      <c r="A37" s="58"/>
      <c r="B37" s="356"/>
      <c r="C37" s="356"/>
      <c r="D37" s="357"/>
      <c r="E37" s="331"/>
      <c r="F37" s="332"/>
      <c r="G37" s="332"/>
      <c r="H37" s="332"/>
      <c r="I37" s="333"/>
      <c r="J37" s="272"/>
      <c r="K37" s="270"/>
      <c r="L37" s="270"/>
      <c r="M37" s="270"/>
      <c r="N37" s="270"/>
      <c r="O37" s="270"/>
      <c r="P37" s="270"/>
      <c r="Q37" s="270"/>
      <c r="R37" s="270"/>
      <c r="S37" s="271"/>
      <c r="T37" s="272"/>
      <c r="U37" s="270"/>
      <c r="V37" s="270"/>
      <c r="W37" s="270"/>
      <c r="X37" s="270"/>
      <c r="Y37" s="270"/>
      <c r="Z37" s="270"/>
      <c r="AA37" s="270"/>
      <c r="AB37" s="270"/>
      <c r="AC37" s="271"/>
      <c r="AD37" s="275"/>
      <c r="AE37" s="273"/>
      <c r="AF37" s="273"/>
      <c r="AG37" s="273"/>
      <c r="AH37" s="273"/>
      <c r="AI37" s="273"/>
      <c r="AJ37" s="273"/>
      <c r="AK37" s="273"/>
      <c r="AL37" s="273"/>
      <c r="AM37" s="273"/>
      <c r="AN37" s="275"/>
      <c r="AO37" s="273"/>
      <c r="AP37" s="273"/>
      <c r="AQ37" s="273"/>
      <c r="AR37" s="273"/>
      <c r="AS37" s="273"/>
      <c r="AT37" s="273"/>
      <c r="AU37" s="273"/>
      <c r="AV37" s="273"/>
      <c r="AW37" s="273"/>
      <c r="AX37" s="285"/>
      <c r="AY37" s="267"/>
      <c r="AZ37" s="267"/>
      <c r="BA37" s="267"/>
      <c r="BB37" s="267"/>
      <c r="BC37" s="267"/>
      <c r="BD37" s="267"/>
      <c r="BE37" s="267"/>
      <c r="BF37" s="267"/>
      <c r="BG37" s="286"/>
      <c r="BH37" s="58"/>
      <c r="BI37" s="305"/>
      <c r="BJ37" s="306"/>
      <c r="BK37" s="306"/>
      <c r="BL37" s="306"/>
      <c r="BM37" s="306"/>
      <c r="BN37" s="307"/>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row>
    <row r="38" spans="1:100" ht="15" customHeight="1" x14ac:dyDescent="0.25">
      <c r="A38" s="58"/>
      <c r="B38" s="356"/>
      <c r="C38" s="356"/>
      <c r="D38" s="357"/>
      <c r="E38" s="331"/>
      <c r="F38" s="332"/>
      <c r="G38" s="332"/>
      <c r="H38" s="332"/>
      <c r="I38" s="333"/>
      <c r="J38" s="272" t="str">
        <f>IF(AND('Mapa final'!$K$94="Alta",'Mapa final'!$O$94="Leve"),CONCATENATE("R",'Mapa final'!$A$94),"")</f>
        <v/>
      </c>
      <c r="K38" s="270"/>
      <c r="L38" s="270" t="str">
        <f>IF(AND('Mapa final'!$K$97="Alta",'Mapa final'!$O$97="Leve"),CONCATENATE("R",'Mapa final'!$A$97),"")</f>
        <v/>
      </c>
      <c r="M38" s="270"/>
      <c r="N38" s="270" t="str">
        <f>IF(AND('Mapa final'!$K$100="Alta",'Mapa final'!$O$100="Leve"),CONCATENATE("R",'Mapa final'!$A$100),"")</f>
        <v/>
      </c>
      <c r="O38" s="270"/>
      <c r="P38" s="270" t="str">
        <f>IF(AND('Mapa final'!$K$103="Alta",'Mapa final'!$O$103="Leve"),CONCATENATE("R",'Mapa final'!$A$103),"")</f>
        <v/>
      </c>
      <c r="Q38" s="270"/>
      <c r="R38" s="270" t="str">
        <f>IF(AND('Mapa final'!$K$106="Alta",'Mapa final'!$O$106="Leve"),CONCATENATE("R",'Mapa final'!$A$106),"")</f>
        <v/>
      </c>
      <c r="S38" s="271"/>
      <c r="T38" s="272" t="str">
        <f>IF(AND('Mapa final'!$K$94="Alta",'Mapa final'!$O$94="Menor"),CONCATENATE("R",'Mapa final'!$A$94),"")</f>
        <v/>
      </c>
      <c r="U38" s="270"/>
      <c r="V38" s="270" t="str">
        <f>IF(AND('Mapa final'!$K$97="Alta",'Mapa final'!$O$97="Menor"),CONCATENATE("R",'Mapa final'!$A$97),"")</f>
        <v/>
      </c>
      <c r="W38" s="270"/>
      <c r="X38" s="270" t="str">
        <f>IF(AND('Mapa final'!$K$100="Alta",'Mapa final'!$O$100="Menor"),CONCATENATE("R",'Mapa final'!$A$100),"")</f>
        <v/>
      </c>
      <c r="Y38" s="270"/>
      <c r="Z38" s="270" t="str">
        <f>IF(AND('Mapa final'!$K$103="Alta",'Mapa final'!$O$103="Menor"),CONCATENATE("R",'Mapa final'!$A$103),"")</f>
        <v/>
      </c>
      <c r="AA38" s="270"/>
      <c r="AB38" s="270" t="str">
        <f>IF(AND('Mapa final'!$K$106="Alta",'Mapa final'!$O$106="Menor"),CONCATENATE("R",'Mapa final'!$A$106),"")</f>
        <v/>
      </c>
      <c r="AC38" s="271"/>
      <c r="AD38" s="275" t="str">
        <f>IF(AND('Mapa final'!$K$94="Alta",'Mapa final'!$O$94="Moderado"),CONCATENATE("R",'Mapa final'!$A$94),"")</f>
        <v/>
      </c>
      <c r="AE38" s="273"/>
      <c r="AF38" s="273" t="str">
        <f>IF(AND('Mapa final'!$K$97="Alta",'Mapa final'!$O$97="Moderado"),CONCATENATE("R",'Mapa final'!$A$97),"")</f>
        <v>R31</v>
      </c>
      <c r="AG38" s="273"/>
      <c r="AH38" s="273" t="str">
        <f>IF(AND('Mapa final'!$K$100="Alta",'Mapa final'!$O$100="Moderado"),CONCATENATE("R",'Mapa final'!$A$100),"")</f>
        <v/>
      </c>
      <c r="AI38" s="273"/>
      <c r="AJ38" s="273" t="str">
        <f>IF(AND('Mapa final'!$K$103="Alta",'Mapa final'!$O$103="Moderado"),CONCATENATE("R",'Mapa final'!$A$103),"")</f>
        <v/>
      </c>
      <c r="AK38" s="273"/>
      <c r="AL38" s="273" t="str">
        <f>IF(AND('Mapa final'!$K$106="Alta",'Mapa final'!$O$106="Moderado"),CONCATENATE("R",'Mapa final'!$A$106),"")</f>
        <v/>
      </c>
      <c r="AM38" s="273"/>
      <c r="AN38" s="275" t="str">
        <f>IF(AND('Mapa final'!$K$94="Alta",'Mapa final'!$O$94="Mayor"),CONCATENATE("R",'Mapa final'!$A$94),"")</f>
        <v/>
      </c>
      <c r="AO38" s="273"/>
      <c r="AP38" s="273" t="str">
        <f>IF(AND('Mapa final'!$K$97="Alta",'Mapa final'!$O$97="Mayor"),CONCATENATE("R",'Mapa final'!$A$97),"")</f>
        <v/>
      </c>
      <c r="AQ38" s="273"/>
      <c r="AR38" s="273" t="str">
        <f>IF(AND('Mapa final'!$K$100="Alta",'Mapa final'!$O$100="Mayor"),CONCATENATE("R",'Mapa final'!$A$100),"")</f>
        <v/>
      </c>
      <c r="AS38" s="273"/>
      <c r="AT38" s="273" t="str">
        <f>IF(AND('Mapa final'!$K$103="Alta",'Mapa final'!$O$103="Mayor"),CONCATENATE("R",'Mapa final'!$A$103),"")</f>
        <v/>
      </c>
      <c r="AU38" s="273"/>
      <c r="AV38" s="273" t="str">
        <f>IF(AND('Mapa final'!$K$106="Alta",'Mapa final'!$O$106="Mayor"),CONCATENATE("R",'Mapa final'!$A$106),"")</f>
        <v/>
      </c>
      <c r="AW38" s="273"/>
      <c r="AX38" s="285" t="str">
        <f>IF(AND('Mapa final'!$K$94="Alta",'Mapa final'!$O$94="Catastrófico"),CONCATENATE("R",'Mapa final'!$A$94),"")</f>
        <v/>
      </c>
      <c r="AY38" s="267"/>
      <c r="AZ38" s="267" t="str">
        <f>IF(AND('Mapa final'!$K$97="Alta",'Mapa final'!$O$97="Catastrófico"),CONCATENATE("R",'Mapa final'!$A$97),"")</f>
        <v/>
      </c>
      <c r="BA38" s="267"/>
      <c r="BB38" s="267" t="str">
        <f>IF(AND('Mapa final'!$K$100="Alta",'Mapa final'!$O$100="Catastrófico"),CONCATENATE("R",'Mapa final'!$A$100),"")</f>
        <v/>
      </c>
      <c r="BC38" s="267"/>
      <c r="BD38" s="267" t="str">
        <f>IF(AND('Mapa final'!$K$103="Alta",'Mapa final'!$O$103="Catastrófico"),CONCATENATE("R",'Mapa final'!$A$103),"")</f>
        <v/>
      </c>
      <c r="BE38" s="267"/>
      <c r="BF38" s="267" t="str">
        <f>IF(AND('Mapa final'!$K$106="Alta",'Mapa final'!$O$106="Catastrófico"),CONCATENATE("R",'Mapa final'!$A$106),"")</f>
        <v/>
      </c>
      <c r="BG38" s="286"/>
      <c r="BH38" s="58"/>
      <c r="BI38" s="305"/>
      <c r="BJ38" s="306"/>
      <c r="BK38" s="306"/>
      <c r="BL38" s="306"/>
      <c r="BM38" s="306"/>
      <c r="BN38" s="307"/>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row>
    <row r="39" spans="1:100" ht="15" customHeight="1" x14ac:dyDescent="0.25">
      <c r="A39" s="58"/>
      <c r="B39" s="356"/>
      <c r="C39" s="356"/>
      <c r="D39" s="357"/>
      <c r="E39" s="331"/>
      <c r="F39" s="332"/>
      <c r="G39" s="332"/>
      <c r="H39" s="332"/>
      <c r="I39" s="333"/>
      <c r="J39" s="272"/>
      <c r="K39" s="270"/>
      <c r="L39" s="270"/>
      <c r="M39" s="270"/>
      <c r="N39" s="270"/>
      <c r="O39" s="270"/>
      <c r="P39" s="270"/>
      <c r="Q39" s="270"/>
      <c r="R39" s="270"/>
      <c r="S39" s="271"/>
      <c r="T39" s="272"/>
      <c r="U39" s="270"/>
      <c r="V39" s="270"/>
      <c r="W39" s="270"/>
      <c r="X39" s="270"/>
      <c r="Y39" s="270"/>
      <c r="Z39" s="270"/>
      <c r="AA39" s="270"/>
      <c r="AB39" s="270"/>
      <c r="AC39" s="271"/>
      <c r="AD39" s="275"/>
      <c r="AE39" s="273"/>
      <c r="AF39" s="273"/>
      <c r="AG39" s="273"/>
      <c r="AH39" s="273"/>
      <c r="AI39" s="273"/>
      <c r="AJ39" s="273"/>
      <c r="AK39" s="273"/>
      <c r="AL39" s="273"/>
      <c r="AM39" s="273"/>
      <c r="AN39" s="275"/>
      <c r="AO39" s="273"/>
      <c r="AP39" s="273"/>
      <c r="AQ39" s="273"/>
      <c r="AR39" s="273"/>
      <c r="AS39" s="273"/>
      <c r="AT39" s="273"/>
      <c r="AU39" s="273"/>
      <c r="AV39" s="273"/>
      <c r="AW39" s="273"/>
      <c r="AX39" s="285"/>
      <c r="AY39" s="267"/>
      <c r="AZ39" s="267"/>
      <c r="BA39" s="267"/>
      <c r="BB39" s="267"/>
      <c r="BC39" s="267"/>
      <c r="BD39" s="267"/>
      <c r="BE39" s="267"/>
      <c r="BF39" s="267"/>
      <c r="BG39" s="286"/>
      <c r="BH39" s="58"/>
      <c r="BI39" s="305"/>
      <c r="BJ39" s="306"/>
      <c r="BK39" s="306"/>
      <c r="BL39" s="306"/>
      <c r="BM39" s="306"/>
      <c r="BN39" s="307"/>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row>
    <row r="40" spans="1:100" ht="15" customHeight="1" x14ac:dyDescent="0.25">
      <c r="A40" s="58"/>
      <c r="B40" s="356"/>
      <c r="C40" s="356"/>
      <c r="D40" s="357"/>
      <c r="E40" s="331"/>
      <c r="F40" s="332"/>
      <c r="G40" s="332"/>
      <c r="H40" s="332"/>
      <c r="I40" s="333"/>
      <c r="J40" s="272" t="str">
        <f>IF(AND('Mapa final'!$K$109="Alta",'Mapa final'!$O$109="Leve"),CONCATENATE("R",'Mapa final'!$A$109),"")</f>
        <v/>
      </c>
      <c r="K40" s="270"/>
      <c r="L40" s="270" t="str">
        <f>IF(AND('Mapa final'!$K$112="Alta",'Mapa final'!$O$112="Leve"),CONCATENATE("R",'Mapa final'!$A$112),"")</f>
        <v/>
      </c>
      <c r="M40" s="270"/>
      <c r="N40" s="270" t="str">
        <f>IF(AND('Mapa final'!$K$115="Alta",'Mapa final'!$O$115="Leve"),CONCATENATE("R",'Mapa final'!$A$115),"")</f>
        <v/>
      </c>
      <c r="O40" s="270"/>
      <c r="P40" s="270" t="str">
        <f>IF(AND('Mapa final'!$K$118="Alta",'Mapa final'!$O$118="Leve"),CONCATENATE("R",'Mapa final'!$A$118),"")</f>
        <v/>
      </c>
      <c r="Q40" s="270"/>
      <c r="R40" s="270" t="str">
        <f>IF(AND('Mapa final'!$K$121="Alta",'Mapa final'!$O$121="Leve"),CONCATENATE("R",'Mapa final'!$A$121),"")</f>
        <v/>
      </c>
      <c r="S40" s="271"/>
      <c r="T40" s="272" t="str">
        <f>IF(AND('Mapa final'!$K$109="Alta",'Mapa final'!$O$109="Menor"),CONCATENATE("R",'Mapa final'!$A$109),"")</f>
        <v/>
      </c>
      <c r="U40" s="270"/>
      <c r="V40" s="270" t="str">
        <f>IF(AND('Mapa final'!$K$112="Alta",'Mapa final'!$O$112="Menor"),CONCATENATE("R",'Mapa final'!$A$112),"")</f>
        <v/>
      </c>
      <c r="W40" s="270"/>
      <c r="X40" s="270" t="str">
        <f>IF(AND('Mapa final'!$K$115="Alta",'Mapa final'!$O$115="Menor"),CONCATENATE("R",'Mapa final'!$A$115),"")</f>
        <v>R37</v>
      </c>
      <c r="Y40" s="270"/>
      <c r="Z40" s="270" t="str">
        <f>IF(AND('Mapa final'!$K$118="Alta",'Mapa final'!$O$118="Menor"),CONCATENATE("R",'Mapa final'!$A$118),"")</f>
        <v/>
      </c>
      <c r="AA40" s="270"/>
      <c r="AB40" s="270" t="str">
        <f>IF(AND('Mapa final'!$K$121="Alta",'Mapa final'!$O$121="Menor"),CONCATENATE("R",'Mapa final'!$A$121),"")</f>
        <v/>
      </c>
      <c r="AC40" s="271"/>
      <c r="AD40" s="275" t="str">
        <f>IF(AND('Mapa final'!$K$109="Alta",'Mapa final'!$O$109="Moderado"),CONCATENATE("R",'Mapa final'!$A$109),"")</f>
        <v/>
      </c>
      <c r="AE40" s="273"/>
      <c r="AF40" s="273" t="str">
        <f>IF(AND('Mapa final'!$K$112="Alta",'Mapa final'!$O$112="Moderado"),CONCATENATE("R",'Mapa final'!$A$112),"")</f>
        <v/>
      </c>
      <c r="AG40" s="273"/>
      <c r="AH40" s="273" t="str">
        <f>IF(AND('Mapa final'!$K$115="Alta",'Mapa final'!$O$115="Moderado"),CONCATENATE("R",'Mapa final'!$A$115),"")</f>
        <v/>
      </c>
      <c r="AI40" s="273"/>
      <c r="AJ40" s="273" t="str">
        <f>IF(AND('Mapa final'!$K$118="Alta",'Mapa final'!$O$118="Moderado"),CONCATENATE("R",'Mapa final'!$A$118),"")</f>
        <v/>
      </c>
      <c r="AK40" s="273"/>
      <c r="AL40" s="273" t="str">
        <f>IF(AND('Mapa final'!$K$121="Alta",'Mapa final'!$O$121="Moderado"),CONCATENATE("R",'Mapa final'!$A$121),"")</f>
        <v/>
      </c>
      <c r="AM40" s="273"/>
      <c r="AN40" s="275" t="str">
        <f>IF(AND('Mapa final'!$K$109="Alta",'Mapa final'!$O$109="Mayor"),CONCATENATE("R",'Mapa final'!$A$109),"")</f>
        <v/>
      </c>
      <c r="AO40" s="273"/>
      <c r="AP40" s="273" t="str">
        <f>IF(AND('Mapa final'!$K$112="Alta",'Mapa final'!$O$112="Mayor"),CONCATENATE("R",'Mapa final'!$A$112),"")</f>
        <v/>
      </c>
      <c r="AQ40" s="273"/>
      <c r="AR40" s="273" t="str">
        <f>IF(AND('Mapa final'!$K$115="Alta",'Mapa final'!$O$115="Mayor"),CONCATENATE("R",'Mapa final'!$A$115),"")</f>
        <v/>
      </c>
      <c r="AS40" s="273"/>
      <c r="AT40" s="273" t="str">
        <f>IF(AND('Mapa final'!$K$118="Alta",'Mapa final'!$O$118="Mayor"),CONCATENATE("R",'Mapa final'!$A$118),"")</f>
        <v/>
      </c>
      <c r="AU40" s="273"/>
      <c r="AV40" s="273" t="str">
        <f>IF(AND('Mapa final'!$K$121="Alta",'Mapa final'!$O$121="Mayor"),CONCATENATE("R",'Mapa final'!$A$121),"")</f>
        <v/>
      </c>
      <c r="AW40" s="273"/>
      <c r="AX40" s="285" t="str">
        <f>IF(AND('Mapa final'!$K$109="Alta",'Mapa final'!$O$109="Catastrófico"),CONCATENATE("R",'Mapa final'!$A$109),"")</f>
        <v/>
      </c>
      <c r="AY40" s="267"/>
      <c r="AZ40" s="267" t="str">
        <f>IF(AND('Mapa final'!$K$112="Alta",'Mapa final'!$O$112="Catastrófico"),CONCATENATE("R",'Mapa final'!$A$112),"")</f>
        <v/>
      </c>
      <c r="BA40" s="267"/>
      <c r="BB40" s="267" t="str">
        <f>IF(AND('Mapa final'!$K$115="Alta",'Mapa final'!$O$115="Catastrófico"),CONCATENATE("R",'Mapa final'!$A$115),"")</f>
        <v/>
      </c>
      <c r="BC40" s="267"/>
      <c r="BD40" s="267" t="str">
        <f>IF(AND('Mapa final'!$K$118="Alta",'Mapa final'!$O$118="Catastrófico"),CONCATENATE("R",'Mapa final'!$A$118),"")</f>
        <v/>
      </c>
      <c r="BE40" s="267"/>
      <c r="BF40" s="267" t="str">
        <f>IF(AND('Mapa final'!$K$121="Alta",'Mapa final'!$O$121="Catastrófico"),CONCATENATE("R",'Mapa final'!$A$121),"")</f>
        <v/>
      </c>
      <c r="BG40" s="286"/>
      <c r="BH40" s="58"/>
      <c r="BI40" s="305"/>
      <c r="BJ40" s="306"/>
      <c r="BK40" s="306"/>
      <c r="BL40" s="306"/>
      <c r="BM40" s="306"/>
      <c r="BN40" s="307"/>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row>
    <row r="41" spans="1:100" ht="15" customHeight="1" x14ac:dyDescent="0.25">
      <c r="A41" s="58"/>
      <c r="B41" s="356"/>
      <c r="C41" s="356"/>
      <c r="D41" s="357"/>
      <c r="E41" s="331"/>
      <c r="F41" s="332"/>
      <c r="G41" s="332"/>
      <c r="H41" s="332"/>
      <c r="I41" s="333"/>
      <c r="J41" s="272"/>
      <c r="K41" s="270"/>
      <c r="L41" s="270"/>
      <c r="M41" s="270"/>
      <c r="N41" s="270"/>
      <c r="O41" s="270"/>
      <c r="P41" s="270"/>
      <c r="Q41" s="270"/>
      <c r="R41" s="270"/>
      <c r="S41" s="271"/>
      <c r="T41" s="272"/>
      <c r="U41" s="270"/>
      <c r="V41" s="270"/>
      <c r="W41" s="270"/>
      <c r="X41" s="270"/>
      <c r="Y41" s="270"/>
      <c r="Z41" s="270"/>
      <c r="AA41" s="270"/>
      <c r="AB41" s="270"/>
      <c r="AC41" s="271"/>
      <c r="AD41" s="275"/>
      <c r="AE41" s="273"/>
      <c r="AF41" s="273"/>
      <c r="AG41" s="273"/>
      <c r="AH41" s="273"/>
      <c r="AI41" s="273"/>
      <c r="AJ41" s="273"/>
      <c r="AK41" s="273"/>
      <c r="AL41" s="273"/>
      <c r="AM41" s="273"/>
      <c r="AN41" s="275"/>
      <c r="AO41" s="273"/>
      <c r="AP41" s="273"/>
      <c r="AQ41" s="273"/>
      <c r="AR41" s="273"/>
      <c r="AS41" s="273"/>
      <c r="AT41" s="273"/>
      <c r="AU41" s="273"/>
      <c r="AV41" s="273"/>
      <c r="AW41" s="273"/>
      <c r="AX41" s="285"/>
      <c r="AY41" s="267"/>
      <c r="AZ41" s="267"/>
      <c r="BA41" s="267"/>
      <c r="BB41" s="267"/>
      <c r="BC41" s="267"/>
      <c r="BD41" s="267"/>
      <c r="BE41" s="267"/>
      <c r="BF41" s="267"/>
      <c r="BG41" s="286"/>
      <c r="BH41" s="58"/>
      <c r="BI41" s="305"/>
      <c r="BJ41" s="306"/>
      <c r="BK41" s="306"/>
      <c r="BL41" s="306"/>
      <c r="BM41" s="306"/>
      <c r="BN41" s="307"/>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row>
    <row r="42" spans="1:100" ht="15" customHeight="1" x14ac:dyDescent="0.25">
      <c r="A42" s="58"/>
      <c r="B42" s="356"/>
      <c r="C42" s="356"/>
      <c r="D42" s="357"/>
      <c r="E42" s="331"/>
      <c r="F42" s="332"/>
      <c r="G42" s="332"/>
      <c r="H42" s="332"/>
      <c r="I42" s="333"/>
      <c r="J42" s="272" t="str">
        <f>IF(AND('Mapa final'!$K$124="Alta",'Mapa final'!$O$124="Leve"),CONCATENATE("R",'Mapa final'!$A$124),"")</f>
        <v/>
      </c>
      <c r="K42" s="270"/>
      <c r="L42" s="270" t="str">
        <f>IF(AND('Mapa final'!$K$127="Alta",'Mapa final'!$O$127="Leve"),CONCATENATE("R",'Mapa final'!$A$127),"")</f>
        <v/>
      </c>
      <c r="M42" s="270"/>
      <c r="N42" s="270" t="str">
        <f>IF(AND('Mapa final'!$K$130="Alta",'Mapa final'!$O$130="Leve"),CONCATENATE("R",'Mapa final'!$A$130),"")</f>
        <v/>
      </c>
      <c r="O42" s="270"/>
      <c r="P42" s="270" t="str">
        <f>IF(AND('Mapa final'!$K$133="Alta",'Mapa final'!$O$133="Leve"),CONCATENATE("R",'Mapa final'!$A$133),"")</f>
        <v/>
      </c>
      <c r="Q42" s="270"/>
      <c r="R42" s="270" t="str">
        <f>IF(AND('Mapa final'!$K$136="Alta",'Mapa final'!$O$136="Leve"),CONCATENATE("R",'Mapa final'!$A$136),"")</f>
        <v/>
      </c>
      <c r="S42" s="271"/>
      <c r="T42" s="272" t="str">
        <f>IF(AND('Mapa final'!$K$124="Alta",'Mapa final'!$O$124="Menor"),CONCATENATE("R",'Mapa final'!$A$124),"")</f>
        <v/>
      </c>
      <c r="U42" s="270"/>
      <c r="V42" s="270" t="str">
        <f>IF(AND('Mapa final'!$K$127="Alta",'Mapa final'!$O$127="Menor"),CONCATENATE("R",'Mapa final'!$A$127),"")</f>
        <v/>
      </c>
      <c r="W42" s="270"/>
      <c r="X42" s="270" t="str">
        <f>IF(AND('Mapa final'!$K$130="Alta",'Mapa final'!$O$130="Menor"),CONCATENATE("R",'Mapa final'!$A$130),"")</f>
        <v/>
      </c>
      <c r="Y42" s="270"/>
      <c r="Z42" s="270" t="str">
        <f>IF(AND('Mapa final'!$K$133="Alta",'Mapa final'!$O$133="Menor"),CONCATENATE("R",'Mapa final'!$A$133),"")</f>
        <v/>
      </c>
      <c r="AA42" s="270"/>
      <c r="AB42" s="270" t="str">
        <f>IF(AND('Mapa final'!$K$136="Alta",'Mapa final'!$O$136="Menor"),CONCATENATE("R",'Mapa final'!$A$136),"")</f>
        <v/>
      </c>
      <c r="AC42" s="271"/>
      <c r="AD42" s="275" t="str">
        <f>IF(AND('Mapa final'!$K$124="Alta",'Mapa final'!$O$124="Moderado"),CONCATENATE("R",'Mapa final'!$A$124),"")</f>
        <v/>
      </c>
      <c r="AE42" s="273"/>
      <c r="AF42" s="273" t="str">
        <f>IF(AND('Mapa final'!$K$127="Alta",'Mapa final'!$O$127="Moderado"),CONCATENATE("R",'Mapa final'!$A$127),"")</f>
        <v/>
      </c>
      <c r="AG42" s="273"/>
      <c r="AH42" s="273" t="str">
        <f>IF(AND('Mapa final'!$K$130="Alta",'Mapa final'!$O$130="Moderado"),CONCATENATE("R",'Mapa final'!$A$130),"")</f>
        <v/>
      </c>
      <c r="AI42" s="273"/>
      <c r="AJ42" s="273" t="str">
        <f>IF(AND('Mapa final'!$K$133="Alta",'Mapa final'!$O$133="Moderado"),CONCATENATE("R",'Mapa final'!$A$133),"")</f>
        <v/>
      </c>
      <c r="AK42" s="273"/>
      <c r="AL42" s="273" t="str">
        <f>IF(AND('Mapa final'!$K$136="Alta",'Mapa final'!$O$136="Moderado"),CONCATENATE("R",'Mapa final'!$A$136),"")</f>
        <v/>
      </c>
      <c r="AM42" s="273"/>
      <c r="AN42" s="275" t="str">
        <f>IF(AND('Mapa final'!$K$124="Alta",'Mapa final'!$O$124="Mayor"),CONCATENATE("R",'Mapa final'!$A$124),"")</f>
        <v/>
      </c>
      <c r="AO42" s="273"/>
      <c r="AP42" s="273" t="str">
        <f>IF(AND('Mapa final'!$K$127="Alta",'Mapa final'!$O$127="Mayor"),CONCATENATE("R",'Mapa final'!$A$127),"")</f>
        <v/>
      </c>
      <c r="AQ42" s="273"/>
      <c r="AR42" s="273" t="str">
        <f>IF(AND('Mapa final'!$K$130="Alta",'Mapa final'!$O$130="Mayor"),CONCATENATE("R",'Mapa final'!$A$130),"")</f>
        <v/>
      </c>
      <c r="AS42" s="273"/>
      <c r="AT42" s="273" t="str">
        <f>IF(AND('Mapa final'!$K$133="Alta",'Mapa final'!$O$133="Mayor"),CONCATENATE("R",'Mapa final'!$A$133),"")</f>
        <v/>
      </c>
      <c r="AU42" s="273"/>
      <c r="AV42" s="273" t="str">
        <f>IF(AND('Mapa final'!$K$136="Alta",'Mapa final'!$O$136="Mayor"),CONCATENATE("R",'Mapa final'!$A$136),"")</f>
        <v/>
      </c>
      <c r="AW42" s="273"/>
      <c r="AX42" s="285" t="str">
        <f>IF(AND('Mapa final'!$K$124="Alta",'Mapa final'!$O$124="Catastrófico"),CONCATENATE("R",'Mapa final'!$A$124),"")</f>
        <v/>
      </c>
      <c r="AY42" s="267"/>
      <c r="AZ42" s="267" t="str">
        <f>IF(AND('Mapa final'!$K$127="Alta",'Mapa final'!$O$127="Catastrófico"),CONCATENATE("R",'Mapa final'!$A$127),"")</f>
        <v/>
      </c>
      <c r="BA42" s="267"/>
      <c r="BB42" s="267" t="str">
        <f>IF(AND('Mapa final'!$K$130="Alta",'Mapa final'!$O$130="Catastrófico"),CONCATENATE("R",'Mapa final'!$A$130),"")</f>
        <v/>
      </c>
      <c r="BC42" s="267"/>
      <c r="BD42" s="267" t="str">
        <f>IF(AND('Mapa final'!$K$133="Alta",'Mapa final'!$O$133="Catastrófico"),CONCATENATE("R",'Mapa final'!$A$133),"")</f>
        <v/>
      </c>
      <c r="BE42" s="267"/>
      <c r="BF42" s="267" t="str">
        <f>IF(AND('Mapa final'!$K$136="Alta",'Mapa final'!$O$136="Catastrófico"),CONCATENATE("R",'Mapa final'!$A$136),"")</f>
        <v/>
      </c>
      <c r="BG42" s="286"/>
      <c r="BH42" s="58"/>
      <c r="BI42" s="305"/>
      <c r="BJ42" s="306"/>
      <c r="BK42" s="306"/>
      <c r="BL42" s="306"/>
      <c r="BM42" s="306"/>
      <c r="BN42" s="307"/>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row>
    <row r="43" spans="1:100" ht="15" customHeight="1" x14ac:dyDescent="0.25">
      <c r="A43" s="58"/>
      <c r="B43" s="356"/>
      <c r="C43" s="356"/>
      <c r="D43" s="357"/>
      <c r="E43" s="331"/>
      <c r="F43" s="332"/>
      <c r="G43" s="332"/>
      <c r="H43" s="332"/>
      <c r="I43" s="333"/>
      <c r="J43" s="272"/>
      <c r="K43" s="270"/>
      <c r="L43" s="270"/>
      <c r="M43" s="270"/>
      <c r="N43" s="270"/>
      <c r="O43" s="270"/>
      <c r="P43" s="270"/>
      <c r="Q43" s="270"/>
      <c r="R43" s="270"/>
      <c r="S43" s="271"/>
      <c r="T43" s="272"/>
      <c r="U43" s="270"/>
      <c r="V43" s="270"/>
      <c r="W43" s="270"/>
      <c r="X43" s="270"/>
      <c r="Y43" s="270"/>
      <c r="Z43" s="270"/>
      <c r="AA43" s="270"/>
      <c r="AB43" s="270"/>
      <c r="AC43" s="271"/>
      <c r="AD43" s="275"/>
      <c r="AE43" s="273"/>
      <c r="AF43" s="273"/>
      <c r="AG43" s="273"/>
      <c r="AH43" s="273"/>
      <c r="AI43" s="273"/>
      <c r="AJ43" s="273"/>
      <c r="AK43" s="273"/>
      <c r="AL43" s="273"/>
      <c r="AM43" s="273"/>
      <c r="AN43" s="275"/>
      <c r="AO43" s="273"/>
      <c r="AP43" s="273"/>
      <c r="AQ43" s="273"/>
      <c r="AR43" s="273"/>
      <c r="AS43" s="273"/>
      <c r="AT43" s="273"/>
      <c r="AU43" s="273"/>
      <c r="AV43" s="273"/>
      <c r="AW43" s="273"/>
      <c r="AX43" s="285"/>
      <c r="AY43" s="267"/>
      <c r="AZ43" s="267"/>
      <c r="BA43" s="267"/>
      <c r="BB43" s="267"/>
      <c r="BC43" s="267"/>
      <c r="BD43" s="267"/>
      <c r="BE43" s="267"/>
      <c r="BF43" s="267"/>
      <c r="BG43" s="286"/>
      <c r="BH43" s="58"/>
      <c r="BI43" s="305"/>
      <c r="BJ43" s="306"/>
      <c r="BK43" s="306"/>
      <c r="BL43" s="306"/>
      <c r="BM43" s="306"/>
      <c r="BN43" s="307"/>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row>
    <row r="44" spans="1:100" ht="15" customHeight="1" x14ac:dyDescent="0.25">
      <c r="A44" s="58"/>
      <c r="B44" s="356"/>
      <c r="C44" s="356"/>
      <c r="D44" s="357"/>
      <c r="E44" s="331"/>
      <c r="F44" s="332"/>
      <c r="G44" s="332"/>
      <c r="H44" s="332"/>
      <c r="I44" s="333"/>
      <c r="J44" s="272" t="str">
        <f>IF(AND('Mapa final'!$K$139="Alta",'Mapa final'!$O$139="Leve"),CONCATENATE("R",'Mapa final'!$A$139),"")</f>
        <v/>
      </c>
      <c r="K44" s="270"/>
      <c r="L44" s="270" t="str">
        <f>IF(AND('Mapa final'!$K$142="Alta",'Mapa final'!$O$142="Leve"),CONCATENATE("R",'Mapa final'!$A$142),"")</f>
        <v/>
      </c>
      <c r="M44" s="270"/>
      <c r="N44" s="270" t="str">
        <f>IF(AND('Mapa final'!$K$145="Alta",'Mapa final'!$O$145="Leve"),CONCATENATE("R",'Mapa final'!$A$145),"")</f>
        <v/>
      </c>
      <c r="O44" s="270"/>
      <c r="P44" s="270" t="str">
        <f>IF(AND('Mapa final'!$K$148="Alta",'Mapa final'!$O$148="Leve"),CONCATENATE("R",'Mapa final'!$A$148),"")</f>
        <v/>
      </c>
      <c r="Q44" s="270"/>
      <c r="R44" s="270" t="str">
        <f>IF(AND('Mapa final'!$K$151="Alta",'Mapa final'!$O$151="Leve"),CONCATENATE("R",'Mapa final'!$A$151),"")</f>
        <v/>
      </c>
      <c r="S44" s="271"/>
      <c r="T44" s="272" t="str">
        <f>IF(AND('Mapa final'!$K$139="Alta",'Mapa final'!$O$139="Menor"),CONCATENATE("R",'Mapa final'!$A$139),"")</f>
        <v/>
      </c>
      <c r="U44" s="270"/>
      <c r="V44" s="270" t="str">
        <f>IF(AND('Mapa final'!$K$142="Alta",'Mapa final'!$O$142="Menor"),CONCATENATE("R",'Mapa final'!$A$142),"")</f>
        <v/>
      </c>
      <c r="W44" s="270"/>
      <c r="X44" s="270" t="str">
        <f>IF(AND('Mapa final'!$K$145="Alta",'Mapa final'!$O$145="Menor"),CONCATENATE("R",'Mapa final'!$A$145),"")</f>
        <v/>
      </c>
      <c r="Y44" s="270"/>
      <c r="Z44" s="270" t="str">
        <f>IF(AND('Mapa final'!$K$148="Alta",'Mapa final'!$O$148="Menor"),CONCATENATE("R",'Mapa final'!$A$148),"")</f>
        <v/>
      </c>
      <c r="AA44" s="270"/>
      <c r="AB44" s="270" t="str">
        <f>IF(AND('Mapa final'!$K$151="Alta",'Mapa final'!$O$151="Menor"),CONCATENATE("R",'Mapa final'!$A$151),"")</f>
        <v/>
      </c>
      <c r="AC44" s="271"/>
      <c r="AD44" s="275" t="str">
        <f>IF(AND('Mapa final'!$K$139="Alta",'Mapa final'!$O$139="Moderado"),CONCATENATE("R",'Mapa final'!$A$139),"")</f>
        <v/>
      </c>
      <c r="AE44" s="273"/>
      <c r="AF44" s="273" t="str">
        <f>IF(AND('Mapa final'!$K$142="Alta",'Mapa final'!$O$142="Moderado"),CONCATENATE("R",'Mapa final'!$A$142),"")</f>
        <v/>
      </c>
      <c r="AG44" s="273"/>
      <c r="AH44" s="273" t="str">
        <f>IF(AND('Mapa final'!$K$145="Alta",'Mapa final'!$O$145="Moderado"),CONCATENATE("R",'Mapa final'!$A$145),"")</f>
        <v/>
      </c>
      <c r="AI44" s="273"/>
      <c r="AJ44" s="273" t="str">
        <f>IF(AND('Mapa final'!$K$148="Alta",'Mapa final'!$O$148="Moderado"),CONCATENATE("R",'Mapa final'!$A$148),"")</f>
        <v/>
      </c>
      <c r="AK44" s="273"/>
      <c r="AL44" s="273" t="str">
        <f>IF(AND('Mapa final'!$K$151="Alta",'Mapa final'!$O$151="Moderado"),CONCATENATE("R",'Mapa final'!$A$151),"")</f>
        <v/>
      </c>
      <c r="AM44" s="273"/>
      <c r="AN44" s="275" t="str">
        <f>IF(AND('Mapa final'!$K$139="Alta",'Mapa final'!$O$139="Mayor"),CONCATENATE("R",'Mapa final'!$A$139),"")</f>
        <v/>
      </c>
      <c r="AO44" s="273"/>
      <c r="AP44" s="273" t="str">
        <f>IF(AND('Mapa final'!$K$142="Alta",'Mapa final'!$O$142="Mayor"),CONCATENATE("R",'Mapa final'!$A$142),"")</f>
        <v/>
      </c>
      <c r="AQ44" s="273"/>
      <c r="AR44" s="273" t="str">
        <f>IF(AND('Mapa final'!$K$145="Alta",'Mapa final'!$O$145="Mayor"),CONCATENATE("R",'Mapa final'!$A$145),"")</f>
        <v/>
      </c>
      <c r="AS44" s="273"/>
      <c r="AT44" s="273" t="str">
        <f>IF(AND('Mapa final'!$K$148="Alta",'Mapa final'!$O$148="Mayor"),CONCATENATE("R",'Mapa final'!$A$148),"")</f>
        <v/>
      </c>
      <c r="AU44" s="273"/>
      <c r="AV44" s="273" t="str">
        <f>IF(AND('Mapa final'!$K$151="Alta",'Mapa final'!$O$151="Mayor"),CONCATENATE("R",'Mapa final'!$A$151),"")</f>
        <v/>
      </c>
      <c r="AW44" s="273"/>
      <c r="AX44" s="285" t="str">
        <f>IF(AND('Mapa final'!$K$139="Alta",'Mapa final'!$O$139="Catastrófico"),CONCATENATE("R",'Mapa final'!$A$139),"")</f>
        <v/>
      </c>
      <c r="AY44" s="267"/>
      <c r="AZ44" s="267" t="str">
        <f>IF(AND('Mapa final'!$K$142="Alta",'Mapa final'!$O$142="Catastrófico"),CONCATENATE("R",'Mapa final'!$A$142),"")</f>
        <v/>
      </c>
      <c r="BA44" s="267"/>
      <c r="BB44" s="267" t="str">
        <f>IF(AND('Mapa final'!$K$145="Alta",'Mapa final'!$O$145="Catastrófico"),CONCATENATE("R",'Mapa final'!$A$145),"")</f>
        <v/>
      </c>
      <c r="BC44" s="267"/>
      <c r="BD44" s="267" t="str">
        <f>IF(AND('Mapa final'!$K$148="Alta",'Mapa final'!$O$148="Catastrófico"),CONCATENATE("R",'Mapa final'!$A$148),"")</f>
        <v/>
      </c>
      <c r="BE44" s="267"/>
      <c r="BF44" s="267" t="str">
        <f>IF(AND('Mapa final'!$K$151="Alta",'Mapa final'!$O$151="Catastrófico"),CONCATENATE("R",'Mapa final'!$A$151),"")</f>
        <v/>
      </c>
      <c r="BG44" s="286"/>
      <c r="BH44" s="58"/>
      <c r="BI44" s="305"/>
      <c r="BJ44" s="306"/>
      <c r="BK44" s="306"/>
      <c r="BL44" s="306"/>
      <c r="BM44" s="306"/>
      <c r="BN44" s="307"/>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row>
    <row r="45" spans="1:100" ht="15" customHeight="1" thickBot="1" x14ac:dyDescent="0.3">
      <c r="A45" s="58"/>
      <c r="B45" s="356"/>
      <c r="C45" s="356"/>
      <c r="D45" s="357"/>
      <c r="E45" s="331"/>
      <c r="F45" s="332"/>
      <c r="G45" s="332"/>
      <c r="H45" s="332"/>
      <c r="I45" s="333"/>
      <c r="J45" s="272"/>
      <c r="K45" s="270"/>
      <c r="L45" s="270"/>
      <c r="M45" s="270"/>
      <c r="N45" s="270"/>
      <c r="O45" s="270"/>
      <c r="P45" s="270"/>
      <c r="Q45" s="270"/>
      <c r="R45" s="270"/>
      <c r="S45" s="271"/>
      <c r="T45" s="272"/>
      <c r="U45" s="270"/>
      <c r="V45" s="270"/>
      <c r="W45" s="270"/>
      <c r="X45" s="270"/>
      <c r="Y45" s="270"/>
      <c r="Z45" s="270"/>
      <c r="AA45" s="270"/>
      <c r="AB45" s="270"/>
      <c r="AC45" s="271"/>
      <c r="AD45" s="275"/>
      <c r="AE45" s="273"/>
      <c r="AF45" s="273"/>
      <c r="AG45" s="273"/>
      <c r="AH45" s="273"/>
      <c r="AI45" s="273"/>
      <c r="AJ45" s="273"/>
      <c r="AK45" s="273"/>
      <c r="AL45" s="273"/>
      <c r="AM45" s="273"/>
      <c r="AN45" s="275"/>
      <c r="AO45" s="273"/>
      <c r="AP45" s="273"/>
      <c r="AQ45" s="273"/>
      <c r="AR45" s="273"/>
      <c r="AS45" s="273"/>
      <c r="AT45" s="273"/>
      <c r="AU45" s="273"/>
      <c r="AV45" s="273"/>
      <c r="AW45" s="273"/>
      <c r="AX45" s="285"/>
      <c r="AY45" s="267"/>
      <c r="AZ45" s="267"/>
      <c r="BA45" s="267"/>
      <c r="BB45" s="267"/>
      <c r="BC45" s="267"/>
      <c r="BD45" s="267"/>
      <c r="BE45" s="267"/>
      <c r="BF45" s="267"/>
      <c r="BG45" s="286"/>
      <c r="BH45" s="58"/>
      <c r="BI45" s="305"/>
      <c r="BJ45" s="306"/>
      <c r="BK45" s="306"/>
      <c r="BL45" s="306"/>
      <c r="BM45" s="306"/>
      <c r="BN45" s="307"/>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row>
    <row r="46" spans="1:100" ht="15" customHeight="1" x14ac:dyDescent="0.25">
      <c r="A46" s="58"/>
      <c r="B46" s="356"/>
      <c r="C46" s="356"/>
      <c r="D46" s="357"/>
      <c r="E46" s="329" t="s">
        <v>111</v>
      </c>
      <c r="F46" s="330"/>
      <c r="G46" s="330"/>
      <c r="H46" s="330"/>
      <c r="I46" s="330"/>
      <c r="J46" s="277" t="str">
        <f>IF(AND('Mapa final'!$K$7="Media",'Mapa final'!$O$7="Leve"),CONCATENATE("R",'Mapa final'!$A$7),"")</f>
        <v/>
      </c>
      <c r="K46" s="278"/>
      <c r="L46" s="278" t="str">
        <f>IF(AND('Mapa final'!$K$10="Media",'Mapa final'!$O$10="Leve"),CONCATENATE("R",'Mapa final'!$A$10),"")</f>
        <v/>
      </c>
      <c r="M46" s="278"/>
      <c r="N46" s="278" t="str">
        <f>IF(AND('Mapa final'!$K$13="Media",'Mapa final'!$O$13="Leve"),CONCATENATE("R",'Mapa final'!$A$13),"")</f>
        <v/>
      </c>
      <c r="O46" s="278"/>
      <c r="P46" s="278" t="str">
        <f>IF(AND('Mapa final'!$K$16="Media",'Mapa final'!$O$16="Leve"),CONCATENATE("R",'Mapa final'!$A$16),"")</f>
        <v>R4</v>
      </c>
      <c r="Q46" s="278"/>
      <c r="R46" s="278" t="str">
        <f>IF(AND('Mapa final'!$K$19="Media",'Mapa final'!$O$19="Leve"),CONCATENATE("R",'Mapa final'!$A$19),"")</f>
        <v>R5</v>
      </c>
      <c r="S46" s="279"/>
      <c r="T46" s="277" t="str">
        <f>IF(AND('Mapa final'!$K$7="Media",'Mapa final'!$O$7="Menor"),CONCATENATE("R",'Mapa final'!$A$7),"")</f>
        <v/>
      </c>
      <c r="U46" s="278"/>
      <c r="V46" s="278" t="str">
        <f>IF(AND('Mapa final'!$K$10="Media",'Mapa final'!$O$10="Menor"),CONCATENATE("R",'Mapa final'!$A$10),"")</f>
        <v/>
      </c>
      <c r="W46" s="278"/>
      <c r="X46" s="278" t="str">
        <f>IF(AND('Mapa final'!$K$13="Media",'Mapa final'!$O$13="Menor"),CONCATENATE("R",'Mapa final'!$A$13),"")</f>
        <v/>
      </c>
      <c r="Y46" s="278"/>
      <c r="Z46" s="278" t="str">
        <f>IF(AND('Mapa final'!$K$16="Media",'Mapa final'!$O$16="Menor"),CONCATENATE("R",'Mapa final'!$A$16),"")</f>
        <v/>
      </c>
      <c r="AA46" s="278"/>
      <c r="AB46" s="278" t="str">
        <f>IF(AND('Mapa final'!$K$19="Media",'Mapa final'!$O$19="Menor"),CONCATENATE("R",'Mapa final'!$A$19),"")</f>
        <v/>
      </c>
      <c r="AC46" s="279"/>
      <c r="AD46" s="277" t="str">
        <f>IF(AND('Mapa final'!$K$7="Media",'Mapa final'!$O$7="Moderado"),CONCATENATE("R",'Mapa final'!$A$7),"")</f>
        <v/>
      </c>
      <c r="AE46" s="278"/>
      <c r="AF46" s="278" t="str">
        <f>IF(AND('Mapa final'!$K$10="Media",'Mapa final'!$O$10="Moderado"),CONCATENATE("R",'Mapa final'!$A$10),"")</f>
        <v>R2</v>
      </c>
      <c r="AG46" s="278"/>
      <c r="AH46" s="278" t="str">
        <f>IF(AND('Mapa final'!$K$13="Media",'Mapa final'!$O$13="Moderado"),CONCATENATE("R",'Mapa final'!$A$13),"")</f>
        <v/>
      </c>
      <c r="AI46" s="278"/>
      <c r="AJ46" s="278" t="str">
        <f>IF(AND('Mapa final'!$K$16="Media",'Mapa final'!$O$16="Moderado"),CONCATENATE("R",'Mapa final'!$A$16),"")</f>
        <v/>
      </c>
      <c r="AK46" s="278"/>
      <c r="AL46" s="278" t="str">
        <f>IF(AND('Mapa final'!$K$19="Media",'Mapa final'!$O$19="Moderado"),CONCATENATE("R",'Mapa final'!$A$19),"")</f>
        <v/>
      </c>
      <c r="AM46" s="279"/>
      <c r="AN46" s="283" t="str">
        <f>IF(AND('Mapa final'!$K$7="Media",'Mapa final'!$O$7="Mayor"),CONCATENATE("R",'Mapa final'!$A$7),"")</f>
        <v/>
      </c>
      <c r="AO46" s="284"/>
      <c r="AP46" s="284" t="str">
        <f>IF(AND('Mapa final'!$K$10="Media",'Mapa final'!$O$10="Mayor"),CONCATENATE("R",'Mapa final'!$A$10),"")</f>
        <v/>
      </c>
      <c r="AQ46" s="284"/>
      <c r="AR46" s="284" t="str">
        <f>IF(AND('Mapa final'!$K$13="Media",'Mapa final'!$O$13="Mayor"),CONCATENATE("R",'Mapa final'!$A$13),"")</f>
        <v/>
      </c>
      <c r="AS46" s="284"/>
      <c r="AT46" s="284" t="str">
        <f>IF(AND('Mapa final'!$K$16="Media",'Mapa final'!$O$16="Mayor"),CONCATENATE("R",'Mapa final'!$A$16),"")</f>
        <v/>
      </c>
      <c r="AU46" s="284"/>
      <c r="AV46" s="284" t="str">
        <f>IF(AND('Mapa final'!$K$19="Media",'Mapa final'!$O$19="Mayor"),CONCATENATE("R",'Mapa final'!$A$19),"")</f>
        <v/>
      </c>
      <c r="AW46" s="284"/>
      <c r="AX46" s="288" t="str">
        <f>IF(AND('Mapa final'!$K$7="Media",'Mapa final'!$O$7="Catastrófico"),CONCATENATE("R",'Mapa final'!$A$7),"")</f>
        <v/>
      </c>
      <c r="AY46" s="289"/>
      <c r="AZ46" s="289" t="str">
        <f>IF(AND('Mapa final'!$K$10="Media",'Mapa final'!$O$10="Catastrófico"),CONCATENATE("R",'Mapa final'!$A$10),"")</f>
        <v/>
      </c>
      <c r="BA46" s="289"/>
      <c r="BB46" s="289" t="str">
        <f>IF(AND('Mapa final'!$K$13="Media",'Mapa final'!$O$13="Catastrófico"),CONCATENATE("R",'Mapa final'!$A$13),"")</f>
        <v/>
      </c>
      <c r="BC46" s="289"/>
      <c r="BD46" s="289" t="str">
        <f>IF(AND('Mapa final'!$K$16="Media",'Mapa final'!$O$16="Catastrófico"),CONCATENATE("R",'Mapa final'!$A$16),"")</f>
        <v/>
      </c>
      <c r="BE46" s="289"/>
      <c r="BF46" s="289" t="str">
        <f>IF(AND('Mapa final'!$K$19="Media",'Mapa final'!$O$19="Catastrófico"),CONCATENATE("R",'Mapa final'!$A$19),"")</f>
        <v/>
      </c>
      <c r="BG46" s="347"/>
      <c r="BH46" s="58"/>
      <c r="BI46" s="305"/>
      <c r="BJ46" s="306"/>
      <c r="BK46" s="306"/>
      <c r="BL46" s="306"/>
      <c r="BM46" s="306"/>
      <c r="BN46" s="307"/>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row>
    <row r="47" spans="1:100" ht="15" customHeight="1" x14ac:dyDescent="0.25">
      <c r="A47" s="58"/>
      <c r="B47" s="356"/>
      <c r="C47" s="356"/>
      <c r="D47" s="357"/>
      <c r="E47" s="331"/>
      <c r="F47" s="332"/>
      <c r="G47" s="332"/>
      <c r="H47" s="332"/>
      <c r="I47" s="333"/>
      <c r="J47" s="272"/>
      <c r="K47" s="270"/>
      <c r="L47" s="270"/>
      <c r="M47" s="270"/>
      <c r="N47" s="270"/>
      <c r="O47" s="270"/>
      <c r="P47" s="270"/>
      <c r="Q47" s="270"/>
      <c r="R47" s="270"/>
      <c r="S47" s="271"/>
      <c r="T47" s="272"/>
      <c r="U47" s="270"/>
      <c r="V47" s="270"/>
      <c r="W47" s="270"/>
      <c r="X47" s="270"/>
      <c r="Y47" s="270"/>
      <c r="Z47" s="270"/>
      <c r="AA47" s="270"/>
      <c r="AB47" s="270"/>
      <c r="AC47" s="271"/>
      <c r="AD47" s="272"/>
      <c r="AE47" s="270"/>
      <c r="AF47" s="270"/>
      <c r="AG47" s="270"/>
      <c r="AH47" s="270"/>
      <c r="AI47" s="270"/>
      <c r="AJ47" s="270"/>
      <c r="AK47" s="270"/>
      <c r="AL47" s="270"/>
      <c r="AM47" s="271"/>
      <c r="AN47" s="275"/>
      <c r="AO47" s="273"/>
      <c r="AP47" s="273"/>
      <c r="AQ47" s="273"/>
      <c r="AR47" s="273"/>
      <c r="AS47" s="273"/>
      <c r="AT47" s="273"/>
      <c r="AU47" s="273"/>
      <c r="AV47" s="273"/>
      <c r="AW47" s="273"/>
      <c r="AX47" s="285"/>
      <c r="AY47" s="267"/>
      <c r="AZ47" s="267"/>
      <c r="BA47" s="267"/>
      <c r="BB47" s="267"/>
      <c r="BC47" s="267"/>
      <c r="BD47" s="267"/>
      <c r="BE47" s="267"/>
      <c r="BF47" s="267"/>
      <c r="BG47" s="286"/>
      <c r="BH47" s="58"/>
      <c r="BI47" s="305"/>
      <c r="BJ47" s="306"/>
      <c r="BK47" s="306"/>
      <c r="BL47" s="306"/>
      <c r="BM47" s="306"/>
      <c r="BN47" s="307"/>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row>
    <row r="48" spans="1:100" ht="15" customHeight="1" x14ac:dyDescent="0.25">
      <c r="A48" s="58"/>
      <c r="B48" s="356"/>
      <c r="C48" s="356"/>
      <c r="D48" s="357"/>
      <c r="E48" s="331"/>
      <c r="F48" s="332"/>
      <c r="G48" s="332"/>
      <c r="H48" s="332"/>
      <c r="I48" s="333"/>
      <c r="J48" s="272" t="str">
        <f>IF(AND('Mapa final'!$K$22="Media",'Mapa final'!$O$22="Leve"),CONCATENATE("R",'Mapa final'!$A$22),"")</f>
        <v/>
      </c>
      <c r="K48" s="270"/>
      <c r="L48" s="270" t="str">
        <f>IF(AND('Mapa final'!$K$25="Media",'Mapa final'!$O$25="Leve"),CONCATENATE("R",'Mapa final'!$A$25),"")</f>
        <v/>
      </c>
      <c r="M48" s="270"/>
      <c r="N48" s="270" t="str">
        <f>IF(AND('Mapa final'!$K$28="Media",'Mapa final'!$O$28="Leve"),CONCATENATE("R",'Mapa final'!$A$28),"")</f>
        <v/>
      </c>
      <c r="O48" s="270"/>
      <c r="P48" s="270" t="str">
        <f>IF(AND('Mapa final'!$K$31="Media",'Mapa final'!$O$31="Leve"),CONCATENATE("R",'Mapa final'!$A$31),"")</f>
        <v/>
      </c>
      <c r="Q48" s="270"/>
      <c r="R48" s="270" t="str">
        <f>IF(AND('Mapa final'!$K$34="Media",'Mapa final'!$O$34="Leve"),CONCATENATE("R",'Mapa final'!$A$34),"")</f>
        <v/>
      </c>
      <c r="S48" s="271"/>
      <c r="T48" s="272" t="str">
        <f>IF(AND('Mapa final'!$K$22="Media",'Mapa final'!$O$22="Menor"),CONCATENATE("R",'Mapa final'!$A$22),"")</f>
        <v/>
      </c>
      <c r="U48" s="270"/>
      <c r="V48" s="270" t="str">
        <f>IF(AND('Mapa final'!$K$25="Media",'Mapa final'!$O$25="Menor"),CONCATENATE("R",'Mapa final'!$A$25),"")</f>
        <v/>
      </c>
      <c r="W48" s="270"/>
      <c r="X48" s="270" t="str">
        <f>IF(AND('Mapa final'!$K$28="Media",'Mapa final'!$O$28="Menor"),CONCATENATE("R",'Mapa final'!$A$28),"")</f>
        <v/>
      </c>
      <c r="Y48" s="270"/>
      <c r="Z48" s="270" t="str">
        <f>IF(AND('Mapa final'!$K$31="Media",'Mapa final'!$O$31="Menor"),CONCATENATE("R",'Mapa final'!$A$31),"")</f>
        <v/>
      </c>
      <c r="AA48" s="270"/>
      <c r="AB48" s="270" t="str">
        <f>IF(AND('Mapa final'!$K$34="Media",'Mapa final'!$O$34="Menor"),CONCATENATE("R",'Mapa final'!$A$34),"")</f>
        <v/>
      </c>
      <c r="AC48" s="271"/>
      <c r="AD48" s="272" t="str">
        <f>IF(AND('Mapa final'!$K$22="Media",'Mapa final'!$O$22="Moderado"),CONCATENATE("R",'Mapa final'!$A$22),"")</f>
        <v/>
      </c>
      <c r="AE48" s="270"/>
      <c r="AF48" s="270" t="str">
        <f>IF(AND('Mapa final'!$K$25="Media",'Mapa final'!$O$25="Moderado"),CONCATENATE("R",'Mapa final'!$A$25),"")</f>
        <v/>
      </c>
      <c r="AG48" s="270"/>
      <c r="AH48" s="270" t="str">
        <f>IF(AND('Mapa final'!$K$28="Media",'Mapa final'!$O$28="Moderado"),CONCATENATE("R",'Mapa final'!$A$28),"")</f>
        <v/>
      </c>
      <c r="AI48" s="270"/>
      <c r="AJ48" s="270" t="str">
        <f>IF(AND('Mapa final'!$K$31="Media",'Mapa final'!$O$31="Moderado"),CONCATENATE("R",'Mapa final'!$A$31),"")</f>
        <v/>
      </c>
      <c r="AK48" s="270"/>
      <c r="AL48" s="270" t="str">
        <f>IF(AND('Mapa final'!$K$34="Media",'Mapa final'!$O$34="Moderado"),CONCATENATE("R",'Mapa final'!$A$34),"")</f>
        <v/>
      </c>
      <c r="AM48" s="271"/>
      <c r="AN48" s="275" t="str">
        <f>IF(AND('Mapa final'!$K$22="Media",'Mapa final'!$O$22="Mayor"),CONCATENATE("R",'Mapa final'!$A$22),"")</f>
        <v/>
      </c>
      <c r="AO48" s="273"/>
      <c r="AP48" s="273" t="str">
        <f>IF(AND('Mapa final'!$K$25="Media",'Mapa final'!$O$25="Mayor"),CONCATENATE("R",'Mapa final'!$A$25),"")</f>
        <v/>
      </c>
      <c r="AQ48" s="273"/>
      <c r="AR48" s="273" t="str">
        <f>IF(AND('Mapa final'!$K$28="Media",'Mapa final'!$O$28="Mayor"),CONCATENATE("R",'Mapa final'!$A$28),"")</f>
        <v/>
      </c>
      <c r="AS48" s="273"/>
      <c r="AT48" s="273" t="str">
        <f>IF(AND('Mapa final'!$K$31="Media",'Mapa final'!$O$31="Mayor"),CONCATENATE("R",'Mapa final'!$A$31),"")</f>
        <v/>
      </c>
      <c r="AU48" s="273"/>
      <c r="AV48" s="273" t="str">
        <f>IF(AND('Mapa final'!$K$34="Media",'Mapa final'!$O$34="Mayor"),CONCATENATE("R",'Mapa final'!$A$34),"")</f>
        <v/>
      </c>
      <c r="AW48" s="273"/>
      <c r="AX48" s="285" t="str">
        <f>IF(AND('Mapa final'!$K$22="Media",'Mapa final'!$O$22="Catastrófico"),CONCATENATE("R",'Mapa final'!$A$22),"")</f>
        <v/>
      </c>
      <c r="AY48" s="267"/>
      <c r="AZ48" s="267" t="str">
        <f>IF(AND('Mapa final'!$K$25="Media",'Mapa final'!$O$25="Catastrófico"),CONCATENATE("R",'Mapa final'!$A$25),"")</f>
        <v/>
      </c>
      <c r="BA48" s="267"/>
      <c r="BB48" s="267" t="str">
        <f>IF(AND('Mapa final'!$K$28="Media",'Mapa final'!$O$28="Catastrófico"),CONCATENATE("R",'Mapa final'!$A$28),"")</f>
        <v/>
      </c>
      <c r="BC48" s="267"/>
      <c r="BD48" s="267" t="str">
        <f>IF(AND('Mapa final'!$K$31="Media",'Mapa final'!$O$31="Catastrófico"),CONCATENATE("R",'Mapa final'!$A$31),"")</f>
        <v/>
      </c>
      <c r="BE48" s="267"/>
      <c r="BF48" s="267" t="str">
        <f>IF(AND('Mapa final'!$K$34="Media",'Mapa final'!$O$34="Catastrófico"),CONCATENATE("R",'Mapa final'!$A$34),"")</f>
        <v/>
      </c>
      <c r="BG48" s="286"/>
      <c r="BH48" s="58"/>
      <c r="BI48" s="305"/>
      <c r="BJ48" s="306"/>
      <c r="BK48" s="306"/>
      <c r="BL48" s="306"/>
      <c r="BM48" s="306"/>
      <c r="BN48" s="307"/>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row>
    <row r="49" spans="1:100" ht="15" customHeight="1" x14ac:dyDescent="0.25">
      <c r="A49" s="58"/>
      <c r="B49" s="356"/>
      <c r="C49" s="356"/>
      <c r="D49" s="357"/>
      <c r="E49" s="331"/>
      <c r="F49" s="332"/>
      <c r="G49" s="332"/>
      <c r="H49" s="332"/>
      <c r="I49" s="333"/>
      <c r="J49" s="272"/>
      <c r="K49" s="270"/>
      <c r="L49" s="270"/>
      <c r="M49" s="270"/>
      <c r="N49" s="270"/>
      <c r="O49" s="270"/>
      <c r="P49" s="270"/>
      <c r="Q49" s="270"/>
      <c r="R49" s="270"/>
      <c r="S49" s="271"/>
      <c r="T49" s="272"/>
      <c r="U49" s="270"/>
      <c r="V49" s="270"/>
      <c r="W49" s="270"/>
      <c r="X49" s="270"/>
      <c r="Y49" s="270"/>
      <c r="Z49" s="270"/>
      <c r="AA49" s="270"/>
      <c r="AB49" s="270"/>
      <c r="AC49" s="271"/>
      <c r="AD49" s="272"/>
      <c r="AE49" s="270"/>
      <c r="AF49" s="270"/>
      <c r="AG49" s="270"/>
      <c r="AH49" s="270"/>
      <c r="AI49" s="270"/>
      <c r="AJ49" s="270"/>
      <c r="AK49" s="270"/>
      <c r="AL49" s="270"/>
      <c r="AM49" s="271"/>
      <c r="AN49" s="275"/>
      <c r="AO49" s="273"/>
      <c r="AP49" s="273"/>
      <c r="AQ49" s="273"/>
      <c r="AR49" s="273"/>
      <c r="AS49" s="273"/>
      <c r="AT49" s="273"/>
      <c r="AU49" s="273"/>
      <c r="AV49" s="273"/>
      <c r="AW49" s="273"/>
      <c r="AX49" s="285"/>
      <c r="AY49" s="267"/>
      <c r="AZ49" s="267"/>
      <c r="BA49" s="267"/>
      <c r="BB49" s="267"/>
      <c r="BC49" s="267"/>
      <c r="BD49" s="267"/>
      <c r="BE49" s="267"/>
      <c r="BF49" s="267"/>
      <c r="BG49" s="286"/>
      <c r="BH49" s="58"/>
      <c r="BI49" s="305"/>
      <c r="BJ49" s="306"/>
      <c r="BK49" s="306"/>
      <c r="BL49" s="306"/>
      <c r="BM49" s="306"/>
      <c r="BN49" s="307"/>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row>
    <row r="50" spans="1:100" ht="15" customHeight="1" x14ac:dyDescent="0.25">
      <c r="A50" s="58"/>
      <c r="B50" s="356"/>
      <c r="C50" s="356"/>
      <c r="D50" s="357"/>
      <c r="E50" s="331"/>
      <c r="F50" s="332"/>
      <c r="G50" s="332"/>
      <c r="H50" s="332"/>
      <c r="I50" s="333"/>
      <c r="J50" s="272" t="str">
        <f>IF(AND('Mapa final'!$K$37="Media",'Mapa final'!$O$37="Leve"),CONCATENATE("R",'Mapa final'!$A$37),"")</f>
        <v/>
      </c>
      <c r="K50" s="270"/>
      <c r="L50" s="270" t="str">
        <f>IF(AND('Mapa final'!$K$40="Media",'Mapa final'!$O$40="Leve"),CONCATENATE("R",'Mapa final'!$A$40),"")</f>
        <v/>
      </c>
      <c r="M50" s="270"/>
      <c r="N50" s="270" t="str">
        <f>IF(AND('Mapa final'!$K$43="Media",'Mapa final'!$O$43="Leve"),CONCATENATE("R",'Mapa final'!$A$43),"")</f>
        <v/>
      </c>
      <c r="O50" s="270"/>
      <c r="P50" s="270" t="e">
        <f>IF(AND('Mapa final'!#REF!="Media",'Mapa final'!#REF!="Leve"),CONCATENATE("R",'Mapa final'!#REF!),"")</f>
        <v>#REF!</v>
      </c>
      <c r="Q50" s="270"/>
      <c r="R50" s="270" t="str">
        <f>IF(AND('Mapa final'!$K$46="Media",'Mapa final'!$O$46="Leve"),CONCATENATE("R",'Mapa final'!$A$46),"")</f>
        <v/>
      </c>
      <c r="S50" s="271"/>
      <c r="T50" s="272" t="str">
        <f>IF(AND('Mapa final'!$K$37="Media",'Mapa final'!$O$37="Menor"),CONCATENATE("R",'Mapa final'!$A$37),"")</f>
        <v/>
      </c>
      <c r="U50" s="270"/>
      <c r="V50" s="270" t="str">
        <f>IF(AND('Mapa final'!$K$40="Media",'Mapa final'!$O$40="Menor"),CONCATENATE("R",'Mapa final'!$A$40),"")</f>
        <v/>
      </c>
      <c r="W50" s="270"/>
      <c r="X50" s="270" t="str">
        <f>IF(AND('Mapa final'!$K$43="Media",'Mapa final'!$O$43="Menor"),CONCATENATE("R",'Mapa final'!$A$43),"")</f>
        <v/>
      </c>
      <c r="Y50" s="270"/>
      <c r="Z50" s="270" t="e">
        <f>IF(AND('Mapa final'!#REF!="Media",'Mapa final'!#REF!="Menor"),CONCATENATE("R",'Mapa final'!#REF!),"")</f>
        <v>#REF!</v>
      </c>
      <c r="AA50" s="270"/>
      <c r="AB50" s="270" t="str">
        <f>IF(AND('Mapa final'!$K$46="Media",'Mapa final'!$O$46="Menor"),CONCATENATE("R",'Mapa final'!$A$46),"")</f>
        <v/>
      </c>
      <c r="AC50" s="271"/>
      <c r="AD50" s="272" t="str">
        <f>IF(AND('Mapa final'!$K$37="Media",'Mapa final'!$O$37="Moderado"),CONCATENATE("R",'Mapa final'!$A$37),"")</f>
        <v/>
      </c>
      <c r="AE50" s="270"/>
      <c r="AF50" s="270" t="str">
        <f>IF(AND('Mapa final'!$K$40="Media",'Mapa final'!$O$40="Moderado"),CONCATENATE("R",'Mapa final'!$A$40),"")</f>
        <v/>
      </c>
      <c r="AG50" s="270"/>
      <c r="AH50" s="270" t="str">
        <f>IF(AND('Mapa final'!$K$43="Media",'Mapa final'!$O$43="Moderado"),CONCATENATE("R",'Mapa final'!$A$43),"")</f>
        <v/>
      </c>
      <c r="AI50" s="270"/>
      <c r="AJ50" s="270" t="e">
        <f>IF(AND('Mapa final'!#REF!="Media",'Mapa final'!#REF!="Moderado"),CONCATENATE("R",'Mapa final'!#REF!),"")</f>
        <v>#REF!</v>
      </c>
      <c r="AK50" s="270"/>
      <c r="AL50" s="270" t="str">
        <f>IF(AND('Mapa final'!$K$46="Media",'Mapa final'!$O$46="Moderado"),CONCATENATE("R",'Mapa final'!$A$46),"")</f>
        <v/>
      </c>
      <c r="AM50" s="271"/>
      <c r="AN50" s="275" t="str">
        <f>IF(AND('Mapa final'!$K$37="Media",'Mapa final'!$O$37="Mayor"),CONCATENATE("R",'Mapa final'!$A$37),"")</f>
        <v/>
      </c>
      <c r="AO50" s="273"/>
      <c r="AP50" s="273" t="str">
        <f>IF(AND('Mapa final'!$K$40="Media",'Mapa final'!$O$40="Mayor"),CONCATENATE("R",'Mapa final'!$A$40),"")</f>
        <v/>
      </c>
      <c r="AQ50" s="273"/>
      <c r="AR50" s="273" t="str">
        <f>IF(AND('Mapa final'!$K$43="Media",'Mapa final'!$O$43="Mayor"),CONCATENATE("R",'Mapa final'!$A$43),"")</f>
        <v/>
      </c>
      <c r="AS50" s="273"/>
      <c r="AT50" s="273" t="e">
        <f>IF(AND('Mapa final'!#REF!="Media",'Mapa final'!#REF!="Mayor"),CONCATENATE("R",'Mapa final'!#REF!),"")</f>
        <v>#REF!</v>
      </c>
      <c r="AU50" s="273"/>
      <c r="AV50" s="273" t="str">
        <f>IF(AND('Mapa final'!$K$46="Media",'Mapa final'!$O$46="Mayor"),CONCATENATE("R",'Mapa final'!$A$46),"")</f>
        <v/>
      </c>
      <c r="AW50" s="273"/>
      <c r="AX50" s="285" t="str">
        <f>IF(AND('Mapa final'!$K$37="Media",'Mapa final'!$O$37="Catastrófico"),CONCATENATE("R",'Mapa final'!$A$37),"")</f>
        <v/>
      </c>
      <c r="AY50" s="267"/>
      <c r="AZ50" s="267" t="str">
        <f>IF(AND('Mapa final'!$K$40="Media",'Mapa final'!$O$40="Catastrófico"),CONCATENATE("R",'Mapa final'!$A$40),"")</f>
        <v/>
      </c>
      <c r="BA50" s="267"/>
      <c r="BB50" s="267" t="str">
        <f>IF(AND('Mapa final'!$K$43="Media",'Mapa final'!$O$43="Catastrófico"),CONCATENATE("R",'Mapa final'!$A$43),"")</f>
        <v/>
      </c>
      <c r="BC50" s="267"/>
      <c r="BD50" s="267" t="e">
        <f>IF(AND('Mapa final'!#REF!="Media",'Mapa final'!#REF!="Catastrófico"),CONCATENATE("R",'Mapa final'!#REF!),"")</f>
        <v>#REF!</v>
      </c>
      <c r="BE50" s="267"/>
      <c r="BF50" s="267" t="str">
        <f>IF(AND('Mapa final'!$K$46="Media",'Mapa final'!$O$46="Catastrófico"),CONCATENATE("R",'Mapa final'!$A$46),"")</f>
        <v/>
      </c>
      <c r="BG50" s="286"/>
      <c r="BH50" s="58"/>
      <c r="BI50" s="305"/>
      <c r="BJ50" s="306"/>
      <c r="BK50" s="306"/>
      <c r="BL50" s="306"/>
      <c r="BM50" s="306"/>
      <c r="BN50" s="307"/>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row>
    <row r="51" spans="1:100" ht="15" customHeight="1" x14ac:dyDescent="0.25">
      <c r="A51" s="58"/>
      <c r="B51" s="356"/>
      <c r="C51" s="356"/>
      <c r="D51" s="357"/>
      <c r="E51" s="331"/>
      <c r="F51" s="332"/>
      <c r="G51" s="332"/>
      <c r="H51" s="332"/>
      <c r="I51" s="333"/>
      <c r="J51" s="272"/>
      <c r="K51" s="270"/>
      <c r="L51" s="270"/>
      <c r="M51" s="270"/>
      <c r="N51" s="270"/>
      <c r="O51" s="270"/>
      <c r="P51" s="270"/>
      <c r="Q51" s="270"/>
      <c r="R51" s="270"/>
      <c r="S51" s="271"/>
      <c r="T51" s="272"/>
      <c r="U51" s="270"/>
      <c r="V51" s="270"/>
      <c r="W51" s="270"/>
      <c r="X51" s="270"/>
      <c r="Y51" s="270"/>
      <c r="Z51" s="270"/>
      <c r="AA51" s="270"/>
      <c r="AB51" s="270"/>
      <c r="AC51" s="271"/>
      <c r="AD51" s="272"/>
      <c r="AE51" s="270"/>
      <c r="AF51" s="270"/>
      <c r="AG51" s="270"/>
      <c r="AH51" s="270"/>
      <c r="AI51" s="270"/>
      <c r="AJ51" s="270"/>
      <c r="AK51" s="270"/>
      <c r="AL51" s="270"/>
      <c r="AM51" s="271"/>
      <c r="AN51" s="275"/>
      <c r="AO51" s="273"/>
      <c r="AP51" s="273"/>
      <c r="AQ51" s="273"/>
      <c r="AR51" s="273"/>
      <c r="AS51" s="273"/>
      <c r="AT51" s="273"/>
      <c r="AU51" s="273"/>
      <c r="AV51" s="273"/>
      <c r="AW51" s="273"/>
      <c r="AX51" s="285"/>
      <c r="AY51" s="267"/>
      <c r="AZ51" s="267"/>
      <c r="BA51" s="267"/>
      <c r="BB51" s="267"/>
      <c r="BC51" s="267"/>
      <c r="BD51" s="267"/>
      <c r="BE51" s="267"/>
      <c r="BF51" s="267"/>
      <c r="BG51" s="286"/>
      <c r="BH51" s="58"/>
      <c r="BI51" s="305"/>
      <c r="BJ51" s="306"/>
      <c r="BK51" s="306"/>
      <c r="BL51" s="306"/>
      <c r="BM51" s="306"/>
      <c r="BN51" s="307"/>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row>
    <row r="52" spans="1:100" ht="15" customHeight="1" x14ac:dyDescent="0.25">
      <c r="A52" s="58"/>
      <c r="B52" s="356"/>
      <c r="C52" s="356"/>
      <c r="D52" s="357"/>
      <c r="E52" s="331"/>
      <c r="F52" s="332"/>
      <c r="G52" s="332"/>
      <c r="H52" s="332"/>
      <c r="I52" s="333"/>
      <c r="J52" s="272" t="str">
        <f>IF(AND('Mapa final'!$K$49="Media",'Mapa final'!$O$49="Leve"),CONCATENATE("R",'Mapa final'!$A$49),"")</f>
        <v/>
      </c>
      <c r="K52" s="270"/>
      <c r="L52" s="270" t="str">
        <f>IF(AND('Mapa final'!$K$52="Media",'Mapa final'!$O$52="Leve"),CONCATENATE("R",'Mapa final'!$A$52),"")</f>
        <v/>
      </c>
      <c r="M52" s="270"/>
      <c r="N52" s="270" t="str">
        <f>IF(AND('Mapa final'!$K$55="Media",'Mapa final'!$O$55="Leve"),CONCATENATE("R",'Mapa final'!$A$55),"")</f>
        <v/>
      </c>
      <c r="O52" s="270"/>
      <c r="P52" s="270" t="str">
        <f>IF(AND('Mapa final'!$K$58="Media",'Mapa final'!$O$58="Leve"),CONCATENATE("R",'Mapa final'!$A$58),"")</f>
        <v/>
      </c>
      <c r="Q52" s="270"/>
      <c r="R52" s="270" t="str">
        <f>IF(AND('Mapa final'!$K$61="Media",'Mapa final'!$O$61="Leve"),CONCATENATE("R",'Mapa final'!$A$61),"")</f>
        <v/>
      </c>
      <c r="S52" s="271"/>
      <c r="T52" s="272" t="str">
        <f>IF(AND('Mapa final'!$K$49="Media",'Mapa final'!$O$49="Menor"),CONCATENATE("R",'Mapa final'!$A$49),"")</f>
        <v/>
      </c>
      <c r="U52" s="270"/>
      <c r="V52" s="270" t="str">
        <f>IF(AND('Mapa final'!$K$52="Media",'Mapa final'!$O$52="Menor"),CONCATENATE("R",'Mapa final'!$A$52),"")</f>
        <v/>
      </c>
      <c r="W52" s="270"/>
      <c r="X52" s="270" t="str">
        <f>IF(AND('Mapa final'!$K$55="Media",'Mapa final'!$O$55="Menor"),CONCATENATE("R",'Mapa final'!$A$55),"")</f>
        <v/>
      </c>
      <c r="Y52" s="270"/>
      <c r="Z52" s="270" t="str">
        <f>IF(AND('Mapa final'!$K$58="Media",'Mapa final'!$O$58="Menor"),CONCATENATE("R",'Mapa final'!$A$58),"")</f>
        <v/>
      </c>
      <c r="AA52" s="270"/>
      <c r="AB52" s="270" t="str">
        <f>IF(AND('Mapa final'!$K$61="Media",'Mapa final'!$O$61="Menor"),CONCATENATE("R",'Mapa final'!$A$61),"")</f>
        <v/>
      </c>
      <c r="AC52" s="271"/>
      <c r="AD52" s="272" t="str">
        <f>IF(AND('Mapa final'!$K$49="Media",'Mapa final'!$O$49="Moderado"),CONCATENATE("R",'Mapa final'!$A$49),"")</f>
        <v/>
      </c>
      <c r="AE52" s="270"/>
      <c r="AF52" s="270" t="str">
        <f>IF(AND('Mapa final'!$K$52="Media",'Mapa final'!$O$52="Moderado"),CONCATENATE("R",'Mapa final'!$A$52),"")</f>
        <v/>
      </c>
      <c r="AG52" s="270"/>
      <c r="AH52" s="270" t="str">
        <f>IF(AND('Mapa final'!$K$55="Media",'Mapa final'!$O$55="Moderado"),CONCATENATE("R",'Mapa final'!$A$55),"")</f>
        <v/>
      </c>
      <c r="AI52" s="270"/>
      <c r="AJ52" s="270" t="str">
        <f>IF(AND('Mapa final'!$K$58="Media",'Mapa final'!$O$58="Moderado"),CONCATENATE("R",'Mapa final'!$A$58),"")</f>
        <v>R18</v>
      </c>
      <c r="AK52" s="270"/>
      <c r="AL52" s="270" t="str">
        <f>IF(AND('Mapa final'!$K$61="Media",'Mapa final'!$O$61="Moderado"),CONCATENATE("R",'Mapa final'!$A$61),"")</f>
        <v>R19</v>
      </c>
      <c r="AM52" s="271"/>
      <c r="AN52" s="275" t="str">
        <f>IF(AND('Mapa final'!$K$49="Media",'Mapa final'!$O$49="Mayor"),CONCATENATE("R",'Mapa final'!$A$49),"")</f>
        <v/>
      </c>
      <c r="AO52" s="273"/>
      <c r="AP52" s="273" t="str">
        <f>IF(AND('Mapa final'!$K$52="Media",'Mapa final'!$O$52="Mayor"),CONCATENATE("R",'Mapa final'!$A$52),"")</f>
        <v/>
      </c>
      <c r="AQ52" s="273"/>
      <c r="AR52" s="273" t="str">
        <f>IF(AND('Mapa final'!$K$55="Media",'Mapa final'!$O$55="Mayor"),CONCATENATE("R",'Mapa final'!$A$55),"")</f>
        <v/>
      </c>
      <c r="AS52" s="273"/>
      <c r="AT52" s="273" t="str">
        <f>IF(AND('Mapa final'!$K$58="Media",'Mapa final'!$O$58="Mayor"),CONCATENATE("R",'Mapa final'!$A$58),"")</f>
        <v/>
      </c>
      <c r="AU52" s="273"/>
      <c r="AV52" s="273" t="str">
        <f>IF(AND('Mapa final'!$K$61="Media",'Mapa final'!$O$61="Mayor"),CONCATENATE("R",'Mapa final'!$A$61),"")</f>
        <v/>
      </c>
      <c r="AW52" s="273"/>
      <c r="AX52" s="285" t="str">
        <f>IF(AND('Mapa final'!$K$49="Media",'Mapa final'!$O$49="Catastrófico"),CONCATENATE("R",'Mapa final'!$A$49),"")</f>
        <v/>
      </c>
      <c r="AY52" s="267"/>
      <c r="AZ52" s="267" t="str">
        <f>IF(AND('Mapa final'!$K$52="Media",'Mapa final'!$O$52="Catastrófico"),CONCATENATE("R",'Mapa final'!$A$52),"")</f>
        <v/>
      </c>
      <c r="BA52" s="267"/>
      <c r="BB52" s="267" t="str">
        <f>IF(AND('Mapa final'!$K$55="Media",'Mapa final'!$O$55="Catastrófico"),CONCATENATE("R",'Mapa final'!$A$55),"")</f>
        <v/>
      </c>
      <c r="BC52" s="267"/>
      <c r="BD52" s="267" t="str">
        <f>IF(AND('Mapa final'!$K$58="Media",'Mapa final'!$O$58="Catastrófico"),CONCATENATE("R",'Mapa final'!$A$58),"")</f>
        <v/>
      </c>
      <c r="BE52" s="267"/>
      <c r="BF52" s="267" t="str">
        <f>IF(AND('Mapa final'!$K$61="Media",'Mapa final'!$O$61="Catastrófico"),CONCATENATE("R",'Mapa final'!$A$61),"")</f>
        <v/>
      </c>
      <c r="BG52" s="286"/>
      <c r="BH52" s="58"/>
      <c r="BI52" s="305"/>
      <c r="BJ52" s="306"/>
      <c r="BK52" s="306"/>
      <c r="BL52" s="306"/>
      <c r="BM52" s="306"/>
      <c r="BN52" s="307"/>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row>
    <row r="53" spans="1:100" ht="15" customHeight="1" thickBot="1" x14ac:dyDescent="0.3">
      <c r="A53" s="58"/>
      <c r="B53" s="356"/>
      <c r="C53" s="356"/>
      <c r="D53" s="357"/>
      <c r="E53" s="331"/>
      <c r="F53" s="332"/>
      <c r="G53" s="332"/>
      <c r="H53" s="332"/>
      <c r="I53" s="333"/>
      <c r="J53" s="272"/>
      <c r="K53" s="270"/>
      <c r="L53" s="270"/>
      <c r="M53" s="270"/>
      <c r="N53" s="270"/>
      <c r="O53" s="270"/>
      <c r="P53" s="270"/>
      <c r="Q53" s="270"/>
      <c r="R53" s="270"/>
      <c r="S53" s="271"/>
      <c r="T53" s="272"/>
      <c r="U53" s="270"/>
      <c r="V53" s="270"/>
      <c r="W53" s="270"/>
      <c r="X53" s="270"/>
      <c r="Y53" s="270"/>
      <c r="Z53" s="270"/>
      <c r="AA53" s="270"/>
      <c r="AB53" s="270"/>
      <c r="AC53" s="271"/>
      <c r="AD53" s="272"/>
      <c r="AE53" s="270"/>
      <c r="AF53" s="270"/>
      <c r="AG53" s="270"/>
      <c r="AH53" s="270"/>
      <c r="AI53" s="270"/>
      <c r="AJ53" s="270"/>
      <c r="AK53" s="270"/>
      <c r="AL53" s="270"/>
      <c r="AM53" s="271"/>
      <c r="AN53" s="275"/>
      <c r="AO53" s="273"/>
      <c r="AP53" s="273"/>
      <c r="AQ53" s="273"/>
      <c r="AR53" s="273"/>
      <c r="AS53" s="273"/>
      <c r="AT53" s="273"/>
      <c r="AU53" s="273"/>
      <c r="AV53" s="273"/>
      <c r="AW53" s="273"/>
      <c r="AX53" s="285"/>
      <c r="AY53" s="267"/>
      <c r="AZ53" s="267"/>
      <c r="BA53" s="267"/>
      <c r="BB53" s="267"/>
      <c r="BC53" s="267"/>
      <c r="BD53" s="267"/>
      <c r="BE53" s="267"/>
      <c r="BF53" s="267"/>
      <c r="BG53" s="286"/>
      <c r="BH53" s="58"/>
      <c r="BI53" s="308"/>
      <c r="BJ53" s="309"/>
      <c r="BK53" s="309"/>
      <c r="BL53" s="309"/>
      <c r="BM53" s="309"/>
      <c r="BN53" s="310"/>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row>
    <row r="54" spans="1:100" ht="15" customHeight="1" x14ac:dyDescent="0.25">
      <c r="A54" s="58"/>
      <c r="B54" s="356"/>
      <c r="C54" s="356"/>
      <c r="D54" s="357"/>
      <c r="E54" s="331"/>
      <c r="F54" s="332"/>
      <c r="G54" s="332"/>
      <c r="H54" s="332"/>
      <c r="I54" s="333"/>
      <c r="J54" s="272" t="str">
        <f>IF(AND('Mapa final'!$K$64="Media",'Mapa final'!$O$64="Leve"),CONCATENATE("R",'Mapa final'!$A$64),"")</f>
        <v/>
      </c>
      <c r="K54" s="270"/>
      <c r="L54" s="270" t="str">
        <f>IF(AND('Mapa final'!$K$67="Media",'Mapa final'!$O$67="Leve"),CONCATENATE("R",'Mapa final'!$A$67),"")</f>
        <v/>
      </c>
      <c r="M54" s="270"/>
      <c r="N54" s="270" t="str">
        <f>IF(AND('Mapa final'!$K$70="Media",'Mapa final'!$O$70="Leve"),CONCATENATE("R",'Mapa final'!$A$70),"")</f>
        <v/>
      </c>
      <c r="O54" s="270"/>
      <c r="P54" s="270" t="str">
        <f>IF(AND('Mapa final'!$K$73="Media",'Mapa final'!$O$73="Leve"),CONCATENATE("R",'Mapa final'!$A$73),"")</f>
        <v/>
      </c>
      <c r="Q54" s="270"/>
      <c r="R54" s="270" t="str">
        <f>IF(AND('Mapa final'!$K$76="Media",'Mapa final'!$O$76="Leve"),CONCATENATE("R",'Mapa final'!$A$76),"")</f>
        <v/>
      </c>
      <c r="S54" s="271"/>
      <c r="T54" s="272" t="str">
        <f>IF(AND('Mapa final'!$K$64="Media",'Mapa final'!$O$64="Menor"),CONCATENATE("R",'Mapa final'!$A$64),"")</f>
        <v/>
      </c>
      <c r="U54" s="270"/>
      <c r="V54" s="270" t="str">
        <f>IF(AND('Mapa final'!$K$67="Media",'Mapa final'!$O$67="Menor"),CONCATENATE("R",'Mapa final'!$A$67),"")</f>
        <v/>
      </c>
      <c r="W54" s="270"/>
      <c r="X54" s="270" t="str">
        <f>IF(AND('Mapa final'!$K$70="Media",'Mapa final'!$O$70="Menor"),CONCATENATE("R",'Mapa final'!$A$70),"")</f>
        <v/>
      </c>
      <c r="Y54" s="270"/>
      <c r="Z54" s="270" t="str">
        <f>IF(AND('Mapa final'!$K$73="Media",'Mapa final'!$O$73="Menor"),CONCATENATE("R",'Mapa final'!$A$73),"")</f>
        <v/>
      </c>
      <c r="AA54" s="270"/>
      <c r="AB54" s="270" t="str">
        <f>IF(AND('Mapa final'!$K$76="Media",'Mapa final'!$O$76="Menor"),CONCATENATE("R",'Mapa final'!$A$76),"")</f>
        <v/>
      </c>
      <c r="AC54" s="271"/>
      <c r="AD54" s="272" t="str">
        <f>IF(AND('Mapa final'!$K$64="Media",'Mapa final'!$O$64="Moderado"),CONCATENATE("R",'Mapa final'!$A$64),"")</f>
        <v/>
      </c>
      <c r="AE54" s="270"/>
      <c r="AF54" s="270" t="str">
        <f>IF(AND('Mapa final'!$K$67="Media",'Mapa final'!$O$67="Moderado"),CONCATENATE("R",'Mapa final'!$A$67),"")</f>
        <v/>
      </c>
      <c r="AG54" s="270"/>
      <c r="AH54" s="270" t="str">
        <f>IF(AND('Mapa final'!$K$70="Media",'Mapa final'!$O$70="Moderado"),CONCATENATE("R",'Mapa final'!$A$70),"")</f>
        <v/>
      </c>
      <c r="AI54" s="270"/>
      <c r="AJ54" s="270" t="str">
        <f>IF(AND('Mapa final'!$K$73="Media",'Mapa final'!$O$73="Moderado"),CONCATENATE("R",'Mapa final'!$A$73),"")</f>
        <v/>
      </c>
      <c r="AK54" s="270"/>
      <c r="AL54" s="270" t="str">
        <f>IF(AND('Mapa final'!$K$76="Media",'Mapa final'!$O$76="Moderado"),CONCATENATE("R",'Mapa final'!$A$76),"")</f>
        <v/>
      </c>
      <c r="AM54" s="271"/>
      <c r="AN54" s="275" t="str">
        <f>IF(AND('Mapa final'!$K$64="Media",'Mapa final'!$O$64="Mayor"),CONCATENATE("R",'Mapa final'!$A$64),"")</f>
        <v>R20</v>
      </c>
      <c r="AO54" s="273"/>
      <c r="AP54" s="273" t="str">
        <f>IF(AND('Mapa final'!$K$67="Media",'Mapa final'!$O$67="Mayor"),CONCATENATE("R",'Mapa final'!$A$67),"")</f>
        <v/>
      </c>
      <c r="AQ54" s="273"/>
      <c r="AR54" s="273" t="str">
        <f>IF(AND('Mapa final'!$K$70="Media",'Mapa final'!$O$70="Mayor"),CONCATENATE("R",'Mapa final'!$A$70),"")</f>
        <v/>
      </c>
      <c r="AS54" s="273"/>
      <c r="AT54" s="273" t="str">
        <f>IF(AND('Mapa final'!$K$73="Media",'Mapa final'!$O$73="Mayor"),CONCATENATE("R",'Mapa final'!$A$73),"")</f>
        <v>R23</v>
      </c>
      <c r="AU54" s="273"/>
      <c r="AV54" s="273" t="str">
        <f>IF(AND('Mapa final'!$K$76="Media",'Mapa final'!$O$76="Mayor"),CONCATENATE("R",'Mapa final'!$A$76),"")</f>
        <v/>
      </c>
      <c r="AW54" s="273"/>
      <c r="AX54" s="285" t="str">
        <f>IF(AND('Mapa final'!$K$64="Media",'Mapa final'!$O$64="Catastrófico"),CONCATENATE("R",'Mapa final'!$A$64),"")</f>
        <v/>
      </c>
      <c r="AY54" s="267"/>
      <c r="AZ54" s="267" t="str">
        <f>IF(AND('Mapa final'!$K$67="Media",'Mapa final'!$O$67="Catastrófico"),CONCATENATE("R",'Mapa final'!$A$67),"")</f>
        <v/>
      </c>
      <c r="BA54" s="267"/>
      <c r="BB54" s="267" t="str">
        <f>IF(AND('Mapa final'!$K$70="Media",'Mapa final'!$O$70="Catastrófico"),CONCATENATE("R",'Mapa final'!$A$70),"")</f>
        <v/>
      </c>
      <c r="BC54" s="267"/>
      <c r="BD54" s="267" t="str">
        <f>IF(AND('Mapa final'!$K$73="Media",'Mapa final'!$O$73="Catastrófico"),CONCATENATE("R",'Mapa final'!$A$73),"")</f>
        <v/>
      </c>
      <c r="BE54" s="267"/>
      <c r="BF54" s="267" t="str">
        <f>IF(AND('Mapa final'!$K$76="Media",'Mapa final'!$O$76="Catastrófico"),CONCATENATE("R",'Mapa final'!$A$76),"")</f>
        <v/>
      </c>
      <c r="BG54" s="286"/>
      <c r="BH54" s="58"/>
      <c r="BI54" s="311" t="s">
        <v>75</v>
      </c>
      <c r="BJ54" s="312"/>
      <c r="BK54" s="312"/>
      <c r="BL54" s="312"/>
      <c r="BM54" s="312"/>
      <c r="BN54" s="313"/>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row>
    <row r="55" spans="1:100" ht="15" customHeight="1" x14ac:dyDescent="0.25">
      <c r="A55" s="58"/>
      <c r="B55" s="356"/>
      <c r="C55" s="356"/>
      <c r="D55" s="357"/>
      <c r="E55" s="331"/>
      <c r="F55" s="332"/>
      <c r="G55" s="332"/>
      <c r="H55" s="332"/>
      <c r="I55" s="333"/>
      <c r="J55" s="272"/>
      <c r="K55" s="270"/>
      <c r="L55" s="270"/>
      <c r="M55" s="270"/>
      <c r="N55" s="270"/>
      <c r="O55" s="270"/>
      <c r="P55" s="270"/>
      <c r="Q55" s="270"/>
      <c r="R55" s="270"/>
      <c r="S55" s="271"/>
      <c r="T55" s="272"/>
      <c r="U55" s="270"/>
      <c r="V55" s="270"/>
      <c r="W55" s="270"/>
      <c r="X55" s="270"/>
      <c r="Y55" s="270"/>
      <c r="Z55" s="270"/>
      <c r="AA55" s="270"/>
      <c r="AB55" s="270"/>
      <c r="AC55" s="271"/>
      <c r="AD55" s="272"/>
      <c r="AE55" s="270"/>
      <c r="AF55" s="270"/>
      <c r="AG55" s="270"/>
      <c r="AH55" s="270"/>
      <c r="AI55" s="270"/>
      <c r="AJ55" s="270"/>
      <c r="AK55" s="270"/>
      <c r="AL55" s="270"/>
      <c r="AM55" s="271"/>
      <c r="AN55" s="275"/>
      <c r="AO55" s="273"/>
      <c r="AP55" s="273"/>
      <c r="AQ55" s="273"/>
      <c r="AR55" s="273"/>
      <c r="AS55" s="273"/>
      <c r="AT55" s="273"/>
      <c r="AU55" s="273"/>
      <c r="AV55" s="273"/>
      <c r="AW55" s="273"/>
      <c r="AX55" s="285"/>
      <c r="AY55" s="267"/>
      <c r="AZ55" s="267"/>
      <c r="BA55" s="267"/>
      <c r="BB55" s="267"/>
      <c r="BC55" s="267"/>
      <c r="BD55" s="267"/>
      <c r="BE55" s="267"/>
      <c r="BF55" s="267"/>
      <c r="BG55" s="286"/>
      <c r="BH55" s="58"/>
      <c r="BI55" s="314"/>
      <c r="BJ55" s="315"/>
      <c r="BK55" s="315"/>
      <c r="BL55" s="315"/>
      <c r="BM55" s="315"/>
      <c r="BN55" s="316"/>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row>
    <row r="56" spans="1:100" ht="15" customHeight="1" x14ac:dyDescent="0.25">
      <c r="A56" s="58"/>
      <c r="B56" s="356"/>
      <c r="C56" s="356"/>
      <c r="D56" s="357"/>
      <c r="E56" s="331"/>
      <c r="F56" s="332"/>
      <c r="G56" s="332"/>
      <c r="H56" s="332"/>
      <c r="I56" s="333"/>
      <c r="J56" s="272" t="str">
        <f>IF(AND('Mapa final'!$K$79="Media",'Mapa final'!$O$79="Leve"),CONCATENATE("R",'Mapa final'!$A$79),"")</f>
        <v/>
      </c>
      <c r="K56" s="270"/>
      <c r="L56" s="270" t="str">
        <f>IF(AND('Mapa final'!$K$82="Media",'Mapa final'!$O$82="Leve"),CONCATENATE("R",'Mapa final'!$A$82),"")</f>
        <v/>
      </c>
      <c r="M56" s="270"/>
      <c r="N56" s="270" t="str">
        <f>IF(AND('Mapa final'!$K$85="Media",'Mapa final'!$O$85="Leve"),CONCATENATE("R",'Mapa final'!$A$85),"")</f>
        <v/>
      </c>
      <c r="O56" s="270"/>
      <c r="P56" s="270" t="str">
        <f>IF(AND('Mapa final'!$K$88="Media",'Mapa final'!$O$88="Leve"),CONCATENATE("R",'Mapa final'!$A$88),"")</f>
        <v/>
      </c>
      <c r="Q56" s="270"/>
      <c r="R56" s="270" t="str">
        <f>IF(AND('Mapa final'!$K$91="Media",'Mapa final'!$O$91="Leve"),CONCATENATE("R",'Mapa final'!$A$91),"")</f>
        <v/>
      </c>
      <c r="S56" s="271"/>
      <c r="T56" s="272" t="str">
        <f>IF(AND('Mapa final'!$K$79="Media",'Mapa final'!$O$79="Menor"),CONCATENATE("R",'Mapa final'!$A$79),"")</f>
        <v/>
      </c>
      <c r="U56" s="270"/>
      <c r="V56" s="270" t="str">
        <f>IF(AND('Mapa final'!$K$82="Media",'Mapa final'!$O$82="Menor"),CONCATENATE("R",'Mapa final'!$A$82),"")</f>
        <v/>
      </c>
      <c r="W56" s="270"/>
      <c r="X56" s="270" t="str">
        <f>IF(AND('Mapa final'!$K$85="Media",'Mapa final'!$O$85="Menor"),CONCATENATE("R",'Mapa final'!$A$85),"")</f>
        <v/>
      </c>
      <c r="Y56" s="270"/>
      <c r="Z56" s="270" t="str">
        <f>IF(AND('Mapa final'!$K$88="Media",'Mapa final'!$O$88="Menor"),CONCATENATE("R",'Mapa final'!$A$88),"")</f>
        <v/>
      </c>
      <c r="AA56" s="270"/>
      <c r="AB56" s="270" t="str">
        <f>IF(AND('Mapa final'!$K$91="Media",'Mapa final'!$O$91="Menor"),CONCATENATE("R",'Mapa final'!$A$91),"")</f>
        <v/>
      </c>
      <c r="AC56" s="271"/>
      <c r="AD56" s="272" t="str">
        <f>IF(AND('Mapa final'!$K$79="Media",'Mapa final'!$O$79="Moderado"),CONCATENATE("R",'Mapa final'!$A$79),"")</f>
        <v/>
      </c>
      <c r="AE56" s="270"/>
      <c r="AF56" s="270" t="str">
        <f>IF(AND('Mapa final'!$K$82="Media",'Mapa final'!$O$82="Moderado"),CONCATENATE("R",'Mapa final'!$A$82),"")</f>
        <v/>
      </c>
      <c r="AG56" s="270"/>
      <c r="AH56" s="270" t="str">
        <f>IF(AND('Mapa final'!$K$85="Media",'Mapa final'!$O$85="Moderado"),CONCATENATE("R",'Mapa final'!$A$85),"")</f>
        <v/>
      </c>
      <c r="AI56" s="270"/>
      <c r="AJ56" s="270" t="str">
        <f>IF(AND('Mapa final'!$K$88="Media",'Mapa final'!$O$88="Moderado"),CONCATENATE("R",'Mapa final'!$A$88),"")</f>
        <v/>
      </c>
      <c r="AK56" s="270"/>
      <c r="AL56" s="270" t="str">
        <f>IF(AND('Mapa final'!$K$91="Media",'Mapa final'!$O$91="Moderado"),CONCATENATE("R",'Mapa final'!$A$91),"")</f>
        <v/>
      </c>
      <c r="AM56" s="271"/>
      <c r="AN56" s="275" t="str">
        <f>IF(AND('Mapa final'!$K$79="Media",'Mapa final'!$O$79="Mayor"),CONCATENATE("R",'Mapa final'!$A$79),"")</f>
        <v/>
      </c>
      <c r="AO56" s="273"/>
      <c r="AP56" s="273" t="str">
        <f>IF(AND('Mapa final'!$K$82="Media",'Mapa final'!$O$82="Mayor"),CONCATENATE("R",'Mapa final'!$A$82),"")</f>
        <v>R26</v>
      </c>
      <c r="AQ56" s="273"/>
      <c r="AR56" s="273" t="str">
        <f>IF(AND('Mapa final'!$K$85="Media",'Mapa final'!$O$85="Mayor"),CONCATENATE("R",'Mapa final'!$A$85),"")</f>
        <v>R27</v>
      </c>
      <c r="AS56" s="273"/>
      <c r="AT56" s="273" t="str">
        <f>IF(AND('Mapa final'!$K$88="Media",'Mapa final'!$O$88="Mayor"),CONCATENATE("R",'Mapa final'!$A$88),"")</f>
        <v>R28</v>
      </c>
      <c r="AU56" s="273"/>
      <c r="AV56" s="273" t="str">
        <f>IF(AND('Mapa final'!$K$91="Media",'Mapa final'!$O$91="Mayor"),CONCATENATE("R",'Mapa final'!$A$91),"")</f>
        <v/>
      </c>
      <c r="AW56" s="273"/>
      <c r="AX56" s="285" t="str">
        <f>IF(AND('Mapa final'!$K$79="Media",'Mapa final'!$O$79="Catastrófico"),CONCATENATE("R",'Mapa final'!$A$79),"")</f>
        <v/>
      </c>
      <c r="AY56" s="267"/>
      <c r="AZ56" s="267" t="str">
        <f>IF(AND('Mapa final'!$K$82="Media",'Mapa final'!$O$82="Catastrófico"),CONCATENATE("R",'Mapa final'!$A$82),"")</f>
        <v/>
      </c>
      <c r="BA56" s="267"/>
      <c r="BB56" s="267" t="str">
        <f>IF(AND('Mapa final'!$K$85="Media",'Mapa final'!$O$85="Catastrófico"),CONCATENATE("R",'Mapa final'!$A$85),"")</f>
        <v/>
      </c>
      <c r="BC56" s="267"/>
      <c r="BD56" s="267" t="str">
        <f>IF(AND('Mapa final'!$K$88="Media",'Mapa final'!$O$88="Catastrófico"),CONCATENATE("R",'Mapa final'!$A$88),"")</f>
        <v/>
      </c>
      <c r="BE56" s="267"/>
      <c r="BF56" s="267" t="str">
        <f>IF(AND('Mapa final'!$K$91="Media",'Mapa final'!$O$91="Catastrófico"),CONCATENATE("R",'Mapa final'!$A$91),"")</f>
        <v/>
      </c>
      <c r="BG56" s="286"/>
      <c r="BH56" s="58"/>
      <c r="BI56" s="314"/>
      <c r="BJ56" s="315"/>
      <c r="BK56" s="315"/>
      <c r="BL56" s="315"/>
      <c r="BM56" s="315"/>
      <c r="BN56" s="316"/>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row>
    <row r="57" spans="1:100" ht="15" customHeight="1" x14ac:dyDescent="0.25">
      <c r="A57" s="58"/>
      <c r="B57" s="356"/>
      <c r="C57" s="356"/>
      <c r="D57" s="357"/>
      <c r="E57" s="331"/>
      <c r="F57" s="332"/>
      <c r="G57" s="332"/>
      <c r="H57" s="332"/>
      <c r="I57" s="333"/>
      <c r="J57" s="272"/>
      <c r="K57" s="270"/>
      <c r="L57" s="270"/>
      <c r="M57" s="270"/>
      <c r="N57" s="270"/>
      <c r="O57" s="270"/>
      <c r="P57" s="270"/>
      <c r="Q57" s="270"/>
      <c r="R57" s="270"/>
      <c r="S57" s="271"/>
      <c r="T57" s="272"/>
      <c r="U57" s="270"/>
      <c r="V57" s="270"/>
      <c r="W57" s="270"/>
      <c r="X57" s="270"/>
      <c r="Y57" s="270"/>
      <c r="Z57" s="270"/>
      <c r="AA57" s="270"/>
      <c r="AB57" s="270"/>
      <c r="AC57" s="271"/>
      <c r="AD57" s="272"/>
      <c r="AE57" s="270"/>
      <c r="AF57" s="270"/>
      <c r="AG57" s="270"/>
      <c r="AH57" s="270"/>
      <c r="AI57" s="270"/>
      <c r="AJ57" s="270"/>
      <c r="AK57" s="270"/>
      <c r="AL57" s="270"/>
      <c r="AM57" s="271"/>
      <c r="AN57" s="275"/>
      <c r="AO57" s="273"/>
      <c r="AP57" s="273"/>
      <c r="AQ57" s="273"/>
      <c r="AR57" s="273"/>
      <c r="AS57" s="273"/>
      <c r="AT57" s="273"/>
      <c r="AU57" s="273"/>
      <c r="AV57" s="273"/>
      <c r="AW57" s="273"/>
      <c r="AX57" s="285"/>
      <c r="AY57" s="267"/>
      <c r="AZ57" s="267"/>
      <c r="BA57" s="267"/>
      <c r="BB57" s="267"/>
      <c r="BC57" s="267"/>
      <c r="BD57" s="267"/>
      <c r="BE57" s="267"/>
      <c r="BF57" s="267"/>
      <c r="BG57" s="286"/>
      <c r="BH57" s="58"/>
      <c r="BI57" s="314"/>
      <c r="BJ57" s="315"/>
      <c r="BK57" s="315"/>
      <c r="BL57" s="315"/>
      <c r="BM57" s="315"/>
      <c r="BN57" s="316"/>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row>
    <row r="58" spans="1:100" ht="15" customHeight="1" x14ac:dyDescent="0.25">
      <c r="A58" s="58"/>
      <c r="B58" s="356"/>
      <c r="C58" s="356"/>
      <c r="D58" s="357"/>
      <c r="E58" s="331"/>
      <c r="F58" s="332"/>
      <c r="G58" s="332"/>
      <c r="H58" s="332"/>
      <c r="I58" s="333"/>
      <c r="J58" s="272" t="str">
        <f>IF(AND('Mapa final'!$K$94="Media",'Mapa final'!$O$94="Leve"),CONCATENATE("R",'Mapa final'!$A$94),"")</f>
        <v/>
      </c>
      <c r="K58" s="270"/>
      <c r="L58" s="270" t="str">
        <f>IF(AND('Mapa final'!$K$97="Media",'Mapa final'!$O$97="Leve"),CONCATENATE("R",'Mapa final'!$A$97),"")</f>
        <v/>
      </c>
      <c r="M58" s="270"/>
      <c r="N58" s="270" t="str">
        <f>IF(AND('Mapa final'!$K$100="Media",'Mapa final'!$O$100="Leve"),CONCATENATE("R",'Mapa final'!$A$100),"")</f>
        <v/>
      </c>
      <c r="O58" s="270"/>
      <c r="P58" s="270" t="str">
        <f>IF(AND('Mapa final'!$K$103="Media",'Mapa final'!$O$103="Leve"),CONCATENATE("R",'Mapa final'!$A$103),"")</f>
        <v/>
      </c>
      <c r="Q58" s="270"/>
      <c r="R58" s="270" t="str">
        <f>IF(AND('Mapa final'!$K$106="Media",'Mapa final'!$O$106="Leve"),CONCATENATE("R",'Mapa final'!$A$106),"")</f>
        <v/>
      </c>
      <c r="S58" s="271"/>
      <c r="T58" s="272" t="str">
        <f>IF(AND('Mapa final'!$K$94="Media",'Mapa final'!$O$94="Menor"),CONCATENATE("R",'Mapa final'!$A$94),"")</f>
        <v/>
      </c>
      <c r="U58" s="270"/>
      <c r="V58" s="270" t="str">
        <f>IF(AND('Mapa final'!$K$97="Media",'Mapa final'!$O$97="Menor"),CONCATENATE("R",'Mapa final'!$A$97),"")</f>
        <v/>
      </c>
      <c r="W58" s="270"/>
      <c r="X58" s="270" t="str">
        <f>IF(AND('Mapa final'!$K$100="Media",'Mapa final'!$O$100="Menor"),CONCATENATE("R",'Mapa final'!$A$100),"")</f>
        <v/>
      </c>
      <c r="Y58" s="270"/>
      <c r="Z58" s="270" t="str">
        <f>IF(AND('Mapa final'!$K$103="Media",'Mapa final'!$O$103="Menor"),CONCATENATE("R",'Mapa final'!$A$103),"")</f>
        <v/>
      </c>
      <c r="AA58" s="270"/>
      <c r="AB58" s="270" t="str">
        <f>IF(AND('Mapa final'!$K$106="Media",'Mapa final'!$O$106="Menor"),CONCATENATE("R",'Mapa final'!$A$106),"")</f>
        <v/>
      </c>
      <c r="AC58" s="271"/>
      <c r="AD58" s="272" t="str">
        <f>IF(AND('Mapa final'!$K$94="Media",'Mapa final'!$O$94="Moderado"),CONCATENATE("R",'Mapa final'!$A$94),"")</f>
        <v/>
      </c>
      <c r="AE58" s="270"/>
      <c r="AF58" s="270" t="str">
        <f>IF(AND('Mapa final'!$K$97="Media",'Mapa final'!$O$97="Moderado"),CONCATENATE("R",'Mapa final'!$A$97),"")</f>
        <v/>
      </c>
      <c r="AG58" s="270"/>
      <c r="AH58" s="270" t="str">
        <f>IF(AND('Mapa final'!$K$100="Media",'Mapa final'!$O$100="Moderado"),CONCATENATE("R",'Mapa final'!$A$100),"")</f>
        <v>R32</v>
      </c>
      <c r="AI58" s="270"/>
      <c r="AJ58" s="270" t="str">
        <f>IF(AND('Mapa final'!$K$103="Media",'Mapa final'!$O$103="Moderado"),CONCATENATE("R",'Mapa final'!$A$103),"")</f>
        <v>R33</v>
      </c>
      <c r="AK58" s="270"/>
      <c r="AL58" s="270" t="str">
        <f>IF(AND('Mapa final'!$K$106="Media",'Mapa final'!$O$106="Moderado"),CONCATENATE("R",'Mapa final'!$A$106),"")</f>
        <v/>
      </c>
      <c r="AM58" s="271"/>
      <c r="AN58" s="275" t="str">
        <f>IF(AND('Mapa final'!$K$94="Media",'Mapa final'!$O$94="Mayor"),CONCATENATE("R",'Mapa final'!$A$94),"")</f>
        <v/>
      </c>
      <c r="AO58" s="273"/>
      <c r="AP58" s="273" t="str">
        <f>IF(AND('Mapa final'!$K$97="Media",'Mapa final'!$O$97="Mayor"),CONCATENATE("R",'Mapa final'!$A$97),"")</f>
        <v/>
      </c>
      <c r="AQ58" s="273"/>
      <c r="AR58" s="273" t="str">
        <f>IF(AND('Mapa final'!$K$100="Media",'Mapa final'!$O$100="Mayor"),CONCATENATE("R",'Mapa final'!$A$100),"")</f>
        <v/>
      </c>
      <c r="AS58" s="273"/>
      <c r="AT58" s="273" t="str">
        <f>IF(AND('Mapa final'!$K$103="Media",'Mapa final'!$O$103="Mayor"),CONCATENATE("R",'Mapa final'!$A$103),"")</f>
        <v/>
      </c>
      <c r="AU58" s="273"/>
      <c r="AV58" s="273" t="str">
        <f>IF(AND('Mapa final'!$K$106="Media",'Mapa final'!$O$106="Mayor"),CONCATENATE("R",'Mapa final'!$A$106),"")</f>
        <v>R34</v>
      </c>
      <c r="AW58" s="273"/>
      <c r="AX58" s="285" t="str">
        <f>IF(AND('Mapa final'!$K$94="Media",'Mapa final'!$O$94="Catastrófico"),CONCATENATE("R",'Mapa final'!$A$94),"")</f>
        <v/>
      </c>
      <c r="AY58" s="267"/>
      <c r="AZ58" s="267" t="str">
        <f>IF(AND('Mapa final'!$K$97="Media",'Mapa final'!$O$97="Catastrófico"),CONCATENATE("R",'Mapa final'!$A$97),"")</f>
        <v/>
      </c>
      <c r="BA58" s="267"/>
      <c r="BB58" s="267" t="str">
        <f>IF(AND('Mapa final'!$K$100="Media",'Mapa final'!$O$100="Catastrófico"),CONCATENATE("R",'Mapa final'!$A$100),"")</f>
        <v/>
      </c>
      <c r="BC58" s="267"/>
      <c r="BD58" s="267" t="str">
        <f>IF(AND('Mapa final'!$K$103="Media",'Mapa final'!$O$103="Catastrófico"),CONCATENATE("R",'Mapa final'!$A$103),"")</f>
        <v/>
      </c>
      <c r="BE58" s="267"/>
      <c r="BF58" s="267" t="str">
        <f>IF(AND('Mapa final'!$K$106="Media",'Mapa final'!$O$106="Catastrófico"),CONCATENATE("R",'Mapa final'!$A$106),"")</f>
        <v/>
      </c>
      <c r="BG58" s="286"/>
      <c r="BH58" s="58"/>
      <c r="BI58" s="314"/>
      <c r="BJ58" s="315"/>
      <c r="BK58" s="315"/>
      <c r="BL58" s="315"/>
      <c r="BM58" s="315"/>
      <c r="BN58" s="316"/>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row>
    <row r="59" spans="1:100" ht="15" customHeight="1" x14ac:dyDescent="0.25">
      <c r="A59" s="58"/>
      <c r="B59" s="356"/>
      <c r="C59" s="356"/>
      <c r="D59" s="357"/>
      <c r="E59" s="331"/>
      <c r="F59" s="332"/>
      <c r="G59" s="332"/>
      <c r="H59" s="332"/>
      <c r="I59" s="333"/>
      <c r="J59" s="272"/>
      <c r="K59" s="270"/>
      <c r="L59" s="270"/>
      <c r="M59" s="270"/>
      <c r="N59" s="270"/>
      <c r="O59" s="270"/>
      <c r="P59" s="270"/>
      <c r="Q59" s="270"/>
      <c r="R59" s="270"/>
      <c r="S59" s="271"/>
      <c r="T59" s="272"/>
      <c r="U59" s="270"/>
      <c r="V59" s="270"/>
      <c r="W59" s="270"/>
      <c r="X59" s="270"/>
      <c r="Y59" s="270"/>
      <c r="Z59" s="270"/>
      <c r="AA59" s="270"/>
      <c r="AB59" s="270"/>
      <c r="AC59" s="271"/>
      <c r="AD59" s="272"/>
      <c r="AE59" s="270"/>
      <c r="AF59" s="270"/>
      <c r="AG59" s="270"/>
      <c r="AH59" s="270"/>
      <c r="AI59" s="270"/>
      <c r="AJ59" s="270"/>
      <c r="AK59" s="270"/>
      <c r="AL59" s="270"/>
      <c r="AM59" s="271"/>
      <c r="AN59" s="275"/>
      <c r="AO59" s="273"/>
      <c r="AP59" s="273"/>
      <c r="AQ59" s="273"/>
      <c r="AR59" s="273"/>
      <c r="AS59" s="273"/>
      <c r="AT59" s="273"/>
      <c r="AU59" s="273"/>
      <c r="AV59" s="273"/>
      <c r="AW59" s="273"/>
      <c r="AX59" s="285"/>
      <c r="AY59" s="267"/>
      <c r="AZ59" s="267"/>
      <c r="BA59" s="267"/>
      <c r="BB59" s="267"/>
      <c r="BC59" s="267"/>
      <c r="BD59" s="267"/>
      <c r="BE59" s="267"/>
      <c r="BF59" s="267"/>
      <c r="BG59" s="286"/>
      <c r="BH59" s="58"/>
      <c r="BI59" s="314"/>
      <c r="BJ59" s="315"/>
      <c r="BK59" s="315"/>
      <c r="BL59" s="315"/>
      <c r="BM59" s="315"/>
      <c r="BN59" s="316"/>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row>
    <row r="60" spans="1:100" ht="15" customHeight="1" x14ac:dyDescent="0.25">
      <c r="A60" s="58"/>
      <c r="B60" s="356"/>
      <c r="C60" s="356"/>
      <c r="D60" s="357"/>
      <c r="E60" s="331"/>
      <c r="F60" s="332"/>
      <c r="G60" s="332"/>
      <c r="H60" s="332"/>
      <c r="I60" s="333"/>
      <c r="J60" s="272" t="str">
        <f>IF(AND('Mapa final'!$K$109="Media",'Mapa final'!$O$109="Leve"),CONCATENATE("R",'Mapa final'!$A$109),"")</f>
        <v/>
      </c>
      <c r="K60" s="270"/>
      <c r="L60" s="270" t="str">
        <f>IF(AND('Mapa final'!$K$112="Media",'Mapa final'!$O$112="Leve"),CONCATENATE("R",'Mapa final'!$A$112),"")</f>
        <v/>
      </c>
      <c r="M60" s="270"/>
      <c r="N60" s="270" t="str">
        <f>IF(AND('Mapa final'!$K$115="Media",'Mapa final'!$O$115="Leve"),CONCATENATE("R",'Mapa final'!$A$115),"")</f>
        <v/>
      </c>
      <c r="O60" s="270"/>
      <c r="P60" s="270" t="str">
        <f>IF(AND('Mapa final'!$K$118="Media",'Mapa final'!$O$118="Leve"),CONCATENATE("R",'Mapa final'!$A$118),"")</f>
        <v/>
      </c>
      <c r="Q60" s="270"/>
      <c r="R60" s="270" t="str">
        <f>IF(AND('Mapa final'!$K$121="Media",'Mapa final'!$O$121="Leve"),CONCATENATE("R",'Mapa final'!$A$121),"")</f>
        <v/>
      </c>
      <c r="S60" s="271"/>
      <c r="T60" s="272" t="str">
        <f>IF(AND('Mapa final'!$K$109="Media",'Mapa final'!$O$109="Menor"),CONCATENATE("R",'Mapa final'!$A$109),"")</f>
        <v>R35</v>
      </c>
      <c r="U60" s="270"/>
      <c r="V60" s="270" t="str">
        <f>IF(AND('Mapa final'!$K$112="Media",'Mapa final'!$O$112="Menor"),CONCATENATE("R",'Mapa final'!$A$112),"")</f>
        <v/>
      </c>
      <c r="W60" s="270"/>
      <c r="X60" s="270" t="str">
        <f>IF(AND('Mapa final'!$K$115="Media",'Mapa final'!$O$115="Menor"),CONCATENATE("R",'Mapa final'!$A$115),"")</f>
        <v/>
      </c>
      <c r="Y60" s="270"/>
      <c r="Z60" s="270" t="str">
        <f>IF(AND('Mapa final'!$K$118="Media",'Mapa final'!$O$118="Menor"),CONCATENATE("R",'Mapa final'!$A$118),"")</f>
        <v/>
      </c>
      <c r="AA60" s="270"/>
      <c r="AB60" s="270" t="str">
        <f>IF(AND('Mapa final'!$K$121="Media",'Mapa final'!$O$121="Menor"),CONCATENATE("R",'Mapa final'!$A$121),"")</f>
        <v/>
      </c>
      <c r="AC60" s="271"/>
      <c r="AD60" s="272" t="str">
        <f>IF(AND('Mapa final'!$K$109="Media",'Mapa final'!$O$109="Moderado"),CONCATENATE("R",'Mapa final'!$A$109),"")</f>
        <v/>
      </c>
      <c r="AE60" s="270"/>
      <c r="AF60" s="270" t="str">
        <f>IF(AND('Mapa final'!$K$112="Media",'Mapa final'!$O$112="Moderado"),CONCATENATE("R",'Mapa final'!$A$112),"")</f>
        <v/>
      </c>
      <c r="AG60" s="270"/>
      <c r="AH60" s="270" t="str">
        <f>IF(AND('Mapa final'!$K$115="Media",'Mapa final'!$O$115="Moderado"),CONCATENATE("R",'Mapa final'!$A$115),"")</f>
        <v/>
      </c>
      <c r="AI60" s="270"/>
      <c r="AJ60" s="270" t="str">
        <f>IF(AND('Mapa final'!$K$118="Media",'Mapa final'!$O$118="Moderado"),CONCATENATE("R",'Mapa final'!$A$118),"")</f>
        <v/>
      </c>
      <c r="AK60" s="270"/>
      <c r="AL60" s="270" t="str">
        <f>IF(AND('Mapa final'!$K$121="Media",'Mapa final'!$O$121="Moderado"),CONCATENATE("R",'Mapa final'!$A$121),"")</f>
        <v/>
      </c>
      <c r="AM60" s="271"/>
      <c r="AN60" s="275" t="str">
        <f>IF(AND('Mapa final'!$K$109="Media",'Mapa final'!$O$109="Mayor"),CONCATENATE("R",'Mapa final'!$A$109),"")</f>
        <v/>
      </c>
      <c r="AO60" s="273"/>
      <c r="AP60" s="273" t="str">
        <f>IF(AND('Mapa final'!$K$112="Media",'Mapa final'!$O$112="Mayor"),CONCATENATE("R",'Mapa final'!$A$112),"")</f>
        <v/>
      </c>
      <c r="AQ60" s="273"/>
      <c r="AR60" s="273" t="str">
        <f>IF(AND('Mapa final'!$K$115="Media",'Mapa final'!$O$115="Mayor"),CONCATENATE("R",'Mapa final'!$A$115),"")</f>
        <v/>
      </c>
      <c r="AS60" s="273"/>
      <c r="AT60" s="273" t="str">
        <f>IF(AND('Mapa final'!$K$118="Media",'Mapa final'!$O$118="Mayor"),CONCATENATE("R",'Mapa final'!$A$118),"")</f>
        <v/>
      </c>
      <c r="AU60" s="273"/>
      <c r="AV60" s="273" t="str">
        <f>IF(AND('Mapa final'!$K$121="Media",'Mapa final'!$O$121="Mayor"),CONCATENATE("R",'Mapa final'!$A$121),"")</f>
        <v/>
      </c>
      <c r="AW60" s="273"/>
      <c r="AX60" s="285" t="str">
        <f>IF(AND('Mapa final'!$K$109="Media",'Mapa final'!$O$109="Catastrófico"),CONCATENATE("R",'Mapa final'!$A$109),"")</f>
        <v/>
      </c>
      <c r="AY60" s="267"/>
      <c r="AZ60" s="267" t="str">
        <f>IF(AND('Mapa final'!$K$112="Media",'Mapa final'!$O$112="Catastrófico"),CONCATENATE("R",'Mapa final'!$A$112),"")</f>
        <v/>
      </c>
      <c r="BA60" s="267"/>
      <c r="BB60" s="267" t="str">
        <f>IF(AND('Mapa final'!$K$115="Media",'Mapa final'!$O$115="Catastrófico"),CONCATENATE("R",'Mapa final'!$A$115),"")</f>
        <v/>
      </c>
      <c r="BC60" s="267"/>
      <c r="BD60" s="267" t="str">
        <f>IF(AND('Mapa final'!$K$118="Media",'Mapa final'!$O$118="Catastrófico"),CONCATENATE("R",'Mapa final'!$A$118),"")</f>
        <v/>
      </c>
      <c r="BE60" s="267"/>
      <c r="BF60" s="267" t="str">
        <f>IF(AND('Mapa final'!$K$121="Media",'Mapa final'!$O$121="Catastrófico"),CONCATENATE("R",'Mapa final'!$A$121),"")</f>
        <v/>
      </c>
      <c r="BG60" s="286"/>
      <c r="BH60" s="58"/>
      <c r="BI60" s="314"/>
      <c r="BJ60" s="315"/>
      <c r="BK60" s="315"/>
      <c r="BL60" s="315"/>
      <c r="BM60" s="315"/>
      <c r="BN60" s="316"/>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row>
    <row r="61" spans="1:100" ht="15" customHeight="1" x14ac:dyDescent="0.25">
      <c r="A61" s="58"/>
      <c r="B61" s="356"/>
      <c r="C61" s="356"/>
      <c r="D61" s="357"/>
      <c r="E61" s="331"/>
      <c r="F61" s="332"/>
      <c r="G61" s="332"/>
      <c r="H61" s="332"/>
      <c r="I61" s="333"/>
      <c r="J61" s="272"/>
      <c r="K61" s="270"/>
      <c r="L61" s="270"/>
      <c r="M61" s="270"/>
      <c r="N61" s="270"/>
      <c r="O61" s="270"/>
      <c r="P61" s="270"/>
      <c r="Q61" s="270"/>
      <c r="R61" s="270"/>
      <c r="S61" s="271"/>
      <c r="T61" s="272"/>
      <c r="U61" s="270"/>
      <c r="V61" s="270"/>
      <c r="W61" s="270"/>
      <c r="X61" s="270"/>
      <c r="Y61" s="270"/>
      <c r="Z61" s="270"/>
      <c r="AA61" s="270"/>
      <c r="AB61" s="270"/>
      <c r="AC61" s="271"/>
      <c r="AD61" s="272"/>
      <c r="AE61" s="270"/>
      <c r="AF61" s="270"/>
      <c r="AG61" s="270"/>
      <c r="AH61" s="270"/>
      <c r="AI61" s="270"/>
      <c r="AJ61" s="270"/>
      <c r="AK61" s="270"/>
      <c r="AL61" s="270"/>
      <c r="AM61" s="271"/>
      <c r="AN61" s="275"/>
      <c r="AO61" s="273"/>
      <c r="AP61" s="273"/>
      <c r="AQ61" s="273"/>
      <c r="AR61" s="273"/>
      <c r="AS61" s="273"/>
      <c r="AT61" s="273"/>
      <c r="AU61" s="273"/>
      <c r="AV61" s="273"/>
      <c r="AW61" s="273"/>
      <c r="AX61" s="285"/>
      <c r="AY61" s="267"/>
      <c r="AZ61" s="267"/>
      <c r="BA61" s="267"/>
      <c r="BB61" s="267"/>
      <c r="BC61" s="267"/>
      <c r="BD61" s="267"/>
      <c r="BE61" s="267"/>
      <c r="BF61" s="267"/>
      <c r="BG61" s="286"/>
      <c r="BH61" s="58"/>
      <c r="BI61" s="314"/>
      <c r="BJ61" s="315"/>
      <c r="BK61" s="315"/>
      <c r="BL61" s="315"/>
      <c r="BM61" s="315"/>
      <c r="BN61" s="316"/>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row>
    <row r="62" spans="1:100" ht="15" customHeight="1" x14ac:dyDescent="0.25">
      <c r="A62" s="58"/>
      <c r="B62" s="356"/>
      <c r="C62" s="356"/>
      <c r="D62" s="357"/>
      <c r="E62" s="331"/>
      <c r="F62" s="332"/>
      <c r="G62" s="332"/>
      <c r="H62" s="332"/>
      <c r="I62" s="333"/>
      <c r="J62" s="272" t="str">
        <f>IF(AND('Mapa final'!$K$124="Media",'Mapa final'!$O$124="Leve"),CONCATENATE("R",'Mapa final'!$A$124),"")</f>
        <v/>
      </c>
      <c r="K62" s="270"/>
      <c r="L62" s="270" t="str">
        <f>IF(AND('Mapa final'!$K$127="Media",'Mapa final'!$O$127="Leve"),CONCATENATE("R",'Mapa final'!$A$127),"")</f>
        <v/>
      </c>
      <c r="M62" s="270"/>
      <c r="N62" s="270" t="str">
        <f>IF(AND('Mapa final'!$K$130="Media",'Mapa final'!$O$130="Leve"),CONCATENATE("R",'Mapa final'!$A$130),"")</f>
        <v/>
      </c>
      <c r="O62" s="270"/>
      <c r="P62" s="270" t="str">
        <f>IF(AND('Mapa final'!$K$133="Media",'Mapa final'!$O$133="Leve"),CONCATENATE("R",'Mapa final'!$A$133),"")</f>
        <v>R43</v>
      </c>
      <c r="Q62" s="270"/>
      <c r="R62" s="270" t="str">
        <f>IF(AND('Mapa final'!$K$136="Media",'Mapa final'!$O$136="Leve"),CONCATENATE("R",'Mapa final'!$A$136),"")</f>
        <v/>
      </c>
      <c r="S62" s="271"/>
      <c r="T62" s="272" t="str">
        <f>IF(AND('Mapa final'!$K$124="Media",'Mapa final'!$O$124="Menor"),CONCATENATE("R",'Mapa final'!$A$124),"")</f>
        <v/>
      </c>
      <c r="U62" s="270"/>
      <c r="V62" s="270" t="str">
        <f>IF(AND('Mapa final'!$K$127="Media",'Mapa final'!$O$127="Menor"),CONCATENATE("R",'Mapa final'!$A$127),"")</f>
        <v/>
      </c>
      <c r="W62" s="270"/>
      <c r="X62" s="270" t="str">
        <f>IF(AND('Mapa final'!$K$130="Media",'Mapa final'!$O$130="Menor"),CONCATENATE("R",'Mapa final'!$A$130),"")</f>
        <v/>
      </c>
      <c r="Y62" s="270"/>
      <c r="Z62" s="270" t="str">
        <f>IF(AND('Mapa final'!$K$133="Media",'Mapa final'!$O$133="Menor"),CONCATENATE("R",'Mapa final'!$A$133),"")</f>
        <v/>
      </c>
      <c r="AA62" s="270"/>
      <c r="AB62" s="270" t="str">
        <f>IF(AND('Mapa final'!$K$136="Media",'Mapa final'!$O$136="Menor"),CONCATENATE("R",'Mapa final'!$A$136),"")</f>
        <v/>
      </c>
      <c r="AC62" s="271"/>
      <c r="AD62" s="272" t="str">
        <f>IF(AND('Mapa final'!$K$124="Media",'Mapa final'!$O$124="Moderado"),CONCATENATE("R",'Mapa final'!$A$124),"")</f>
        <v/>
      </c>
      <c r="AE62" s="270"/>
      <c r="AF62" s="270" t="str">
        <f>IF(AND('Mapa final'!$K$127="Media",'Mapa final'!$O$127="Moderado"),CONCATENATE("R",'Mapa final'!$A$127),"")</f>
        <v/>
      </c>
      <c r="AG62" s="270"/>
      <c r="AH62" s="270" t="str">
        <f>IF(AND('Mapa final'!$K$130="Media",'Mapa final'!$O$130="Moderado"),CONCATENATE("R",'Mapa final'!$A$130),"")</f>
        <v>R42</v>
      </c>
      <c r="AI62" s="270"/>
      <c r="AJ62" s="270" t="str">
        <f>IF(AND('Mapa final'!$K$133="Media",'Mapa final'!$O$133="Moderado"),CONCATENATE("R",'Mapa final'!$A$133),"")</f>
        <v/>
      </c>
      <c r="AK62" s="270"/>
      <c r="AL62" s="270" t="str">
        <f>IF(AND('Mapa final'!$K$136="Media",'Mapa final'!$O$136="Moderado"),CONCATENATE("R",'Mapa final'!$A$136),"")</f>
        <v/>
      </c>
      <c r="AM62" s="271"/>
      <c r="AN62" s="275" t="str">
        <f>IF(AND('Mapa final'!$K$124="Media",'Mapa final'!$O$124="Mayor"),CONCATENATE("R",'Mapa final'!$A$124),"")</f>
        <v/>
      </c>
      <c r="AO62" s="273"/>
      <c r="AP62" s="273" t="str">
        <f>IF(AND('Mapa final'!$K$127="Media",'Mapa final'!$O$127="Mayor"),CONCATENATE("R",'Mapa final'!$A$127),"")</f>
        <v>R41</v>
      </c>
      <c r="AQ62" s="273"/>
      <c r="AR62" s="273" t="str">
        <f>IF(AND('Mapa final'!$K$130="Media",'Mapa final'!$O$130="Mayor"),CONCATENATE("R",'Mapa final'!$A$130),"")</f>
        <v/>
      </c>
      <c r="AS62" s="273"/>
      <c r="AT62" s="273" t="str">
        <f>IF(AND('Mapa final'!$K$133="Media",'Mapa final'!$O$133="Mayor"),CONCATENATE("R",'Mapa final'!$A$133),"")</f>
        <v/>
      </c>
      <c r="AU62" s="273"/>
      <c r="AV62" s="273" t="str">
        <f>IF(AND('Mapa final'!$K$136="Media",'Mapa final'!$O$136="Mayor"),CONCATENATE("R",'Mapa final'!$A$136),"")</f>
        <v/>
      </c>
      <c r="AW62" s="273"/>
      <c r="AX62" s="285" t="str">
        <f>IF(AND('Mapa final'!$K$124="Media",'Mapa final'!$O$124="Catastrófico"),CONCATENATE("R",'Mapa final'!$A$124),"")</f>
        <v/>
      </c>
      <c r="AY62" s="267"/>
      <c r="AZ62" s="267" t="str">
        <f>IF(AND('Mapa final'!$K$127="Media",'Mapa final'!$O$127="Catastrófico"),CONCATENATE("R",'Mapa final'!$A$127),"")</f>
        <v/>
      </c>
      <c r="BA62" s="267"/>
      <c r="BB62" s="267" t="str">
        <f>IF(AND('Mapa final'!$K$130="Media",'Mapa final'!$O$130="Catastrófico"),CONCATENATE("R",'Mapa final'!$A$130),"")</f>
        <v/>
      </c>
      <c r="BC62" s="267"/>
      <c r="BD62" s="267" t="str">
        <f>IF(AND('Mapa final'!$K$133="Media",'Mapa final'!$O$133="Catastrófico"),CONCATENATE("R",'Mapa final'!$A$133),"")</f>
        <v/>
      </c>
      <c r="BE62" s="267"/>
      <c r="BF62" s="267" t="str">
        <f>IF(AND('Mapa final'!$K$136="Media",'Mapa final'!$O$136="Catastrófico"),CONCATENATE("R",'Mapa final'!$A$136),"")</f>
        <v/>
      </c>
      <c r="BG62" s="286"/>
      <c r="BH62" s="58"/>
      <c r="BI62" s="314"/>
      <c r="BJ62" s="315"/>
      <c r="BK62" s="315"/>
      <c r="BL62" s="315"/>
      <c r="BM62" s="315"/>
      <c r="BN62" s="316"/>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row>
    <row r="63" spans="1:100" ht="15" customHeight="1" x14ac:dyDescent="0.25">
      <c r="A63" s="58"/>
      <c r="B63" s="356"/>
      <c r="C63" s="356"/>
      <c r="D63" s="357"/>
      <c r="E63" s="331"/>
      <c r="F63" s="332"/>
      <c r="G63" s="332"/>
      <c r="H63" s="332"/>
      <c r="I63" s="333"/>
      <c r="J63" s="272"/>
      <c r="K63" s="270"/>
      <c r="L63" s="270"/>
      <c r="M63" s="270"/>
      <c r="N63" s="270"/>
      <c r="O63" s="270"/>
      <c r="P63" s="270"/>
      <c r="Q63" s="270"/>
      <c r="R63" s="270"/>
      <c r="S63" s="271"/>
      <c r="T63" s="272"/>
      <c r="U63" s="270"/>
      <c r="V63" s="270"/>
      <c r="W63" s="270"/>
      <c r="X63" s="270"/>
      <c r="Y63" s="270"/>
      <c r="Z63" s="270"/>
      <c r="AA63" s="270"/>
      <c r="AB63" s="270"/>
      <c r="AC63" s="271"/>
      <c r="AD63" s="272"/>
      <c r="AE63" s="270"/>
      <c r="AF63" s="270"/>
      <c r="AG63" s="270"/>
      <c r="AH63" s="270"/>
      <c r="AI63" s="270"/>
      <c r="AJ63" s="270"/>
      <c r="AK63" s="270"/>
      <c r="AL63" s="270"/>
      <c r="AM63" s="271"/>
      <c r="AN63" s="275"/>
      <c r="AO63" s="273"/>
      <c r="AP63" s="273"/>
      <c r="AQ63" s="273"/>
      <c r="AR63" s="273"/>
      <c r="AS63" s="273"/>
      <c r="AT63" s="273"/>
      <c r="AU63" s="273"/>
      <c r="AV63" s="273"/>
      <c r="AW63" s="273"/>
      <c r="AX63" s="285"/>
      <c r="AY63" s="267"/>
      <c r="AZ63" s="267"/>
      <c r="BA63" s="267"/>
      <c r="BB63" s="267"/>
      <c r="BC63" s="267"/>
      <c r="BD63" s="267"/>
      <c r="BE63" s="267"/>
      <c r="BF63" s="267"/>
      <c r="BG63" s="286"/>
      <c r="BH63" s="58"/>
      <c r="BI63" s="314"/>
      <c r="BJ63" s="315"/>
      <c r="BK63" s="315"/>
      <c r="BL63" s="315"/>
      <c r="BM63" s="315"/>
      <c r="BN63" s="316"/>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row>
    <row r="64" spans="1:100" ht="15" customHeight="1" x14ac:dyDescent="0.25">
      <c r="A64" s="58"/>
      <c r="B64" s="356"/>
      <c r="C64" s="356"/>
      <c r="D64" s="357"/>
      <c r="E64" s="331"/>
      <c r="F64" s="332"/>
      <c r="G64" s="332"/>
      <c r="H64" s="332"/>
      <c r="I64" s="333"/>
      <c r="J64" s="272" t="str">
        <f>IF(AND('Mapa final'!$K$139="Media",'Mapa final'!$O$139="Leve"),CONCATENATE("R",'Mapa final'!$A$139),"")</f>
        <v/>
      </c>
      <c r="K64" s="270"/>
      <c r="L64" s="270" t="str">
        <f>IF(AND('Mapa final'!$K$142="Media",'Mapa final'!$O$142="Leve"),CONCATENATE("R",'Mapa final'!$A$142),"")</f>
        <v/>
      </c>
      <c r="M64" s="270"/>
      <c r="N64" s="270" t="str">
        <f>IF(AND('Mapa final'!$K$145="Media",'Mapa final'!$O$145="Leve"),CONCATENATE("R",'Mapa final'!$A$145),"")</f>
        <v/>
      </c>
      <c r="O64" s="270"/>
      <c r="P64" s="270" t="str">
        <f>IF(AND('Mapa final'!$K$148="Media",'Mapa final'!$O$148="Leve"),CONCATENATE("R",'Mapa final'!$A$148),"")</f>
        <v/>
      </c>
      <c r="Q64" s="270"/>
      <c r="R64" s="270" t="str">
        <f>IF(AND('Mapa final'!$K$151="Media",'Mapa final'!$O$151="Leve"),CONCATENATE("R",'Mapa final'!$A$151),"")</f>
        <v/>
      </c>
      <c r="S64" s="271"/>
      <c r="T64" s="272" t="str">
        <f>IF(AND('Mapa final'!$K$139="Media",'Mapa final'!$O$139="Menor"),CONCATENATE("R",'Mapa final'!$A$139),"")</f>
        <v/>
      </c>
      <c r="U64" s="270"/>
      <c r="V64" s="270" t="str">
        <f>IF(AND('Mapa final'!$K$142="Media",'Mapa final'!$O$142="Menor"),CONCATENATE("R",'Mapa final'!$A$142),"")</f>
        <v/>
      </c>
      <c r="W64" s="270"/>
      <c r="X64" s="270" t="str">
        <f>IF(AND('Mapa final'!$K$145="Media",'Mapa final'!$O$145="Menor"),CONCATENATE("R",'Mapa final'!$A$145),"")</f>
        <v/>
      </c>
      <c r="Y64" s="270"/>
      <c r="Z64" s="270" t="str">
        <f>IF(AND('Mapa final'!$K$148="Media",'Mapa final'!$O$148="Menor"),CONCATENATE("R",'Mapa final'!$A$148),"")</f>
        <v/>
      </c>
      <c r="AA64" s="270"/>
      <c r="AB64" s="270" t="str">
        <f>IF(AND('Mapa final'!$K$151="Media",'Mapa final'!$O$151="Menor"),CONCATENATE("R",'Mapa final'!$A$151),"")</f>
        <v/>
      </c>
      <c r="AC64" s="271"/>
      <c r="AD64" s="272" t="str">
        <f>IF(AND('Mapa final'!$K$139="Media",'Mapa final'!$O$139="Moderado"),CONCATENATE("R",'Mapa final'!$A$139),"")</f>
        <v/>
      </c>
      <c r="AE64" s="270"/>
      <c r="AF64" s="270" t="str">
        <f>IF(AND('Mapa final'!$K$142="Media",'Mapa final'!$O$142="Moderado"),CONCATENATE("R",'Mapa final'!$A$142),"")</f>
        <v/>
      </c>
      <c r="AG64" s="270"/>
      <c r="AH64" s="270" t="str">
        <f>IF(AND('Mapa final'!$K$145="Media",'Mapa final'!$O$145="Moderado"),CONCATENATE("R",'Mapa final'!$A$145),"")</f>
        <v/>
      </c>
      <c r="AI64" s="270"/>
      <c r="AJ64" s="270" t="str">
        <f>IF(AND('Mapa final'!$K$148="Media",'Mapa final'!$O$148="Moderado"),CONCATENATE("R",'Mapa final'!$A$148),"")</f>
        <v/>
      </c>
      <c r="AK64" s="270"/>
      <c r="AL64" s="270" t="str">
        <f>IF(AND('Mapa final'!$K$151="Media",'Mapa final'!$O$151="Moderado"),CONCATENATE("R",'Mapa final'!$A$151),"")</f>
        <v/>
      </c>
      <c r="AM64" s="271"/>
      <c r="AN64" s="275" t="str">
        <f>IF(AND('Mapa final'!$K$139="Media",'Mapa final'!$O$139="Mayor"),CONCATENATE("R",'Mapa final'!$A$139),"")</f>
        <v/>
      </c>
      <c r="AO64" s="273"/>
      <c r="AP64" s="273" t="str">
        <f>IF(AND('Mapa final'!$K$142="Media",'Mapa final'!$O$142="Mayor"),CONCATENATE("R",'Mapa final'!$A$142),"")</f>
        <v/>
      </c>
      <c r="AQ64" s="273"/>
      <c r="AR64" s="273" t="str">
        <f>IF(AND('Mapa final'!$K$145="Media",'Mapa final'!$O$145="Mayor"),CONCATENATE("R",'Mapa final'!$A$145),"")</f>
        <v/>
      </c>
      <c r="AS64" s="273"/>
      <c r="AT64" s="273" t="str">
        <f>IF(AND('Mapa final'!$K$148="Media",'Mapa final'!$O$148="Mayor"),CONCATENATE("R",'Mapa final'!$A$148),"")</f>
        <v/>
      </c>
      <c r="AU64" s="273"/>
      <c r="AV64" s="273" t="str">
        <f>IF(AND('Mapa final'!$K$151="Media",'Mapa final'!$O$151="Mayor"),CONCATENATE("R",'Mapa final'!$A$151),"")</f>
        <v/>
      </c>
      <c r="AW64" s="273"/>
      <c r="AX64" s="285" t="str">
        <f>IF(AND('Mapa final'!$K$139="Media",'Mapa final'!$O$139="Catastrófico"),CONCATENATE("R",'Mapa final'!$A$139),"")</f>
        <v/>
      </c>
      <c r="AY64" s="267"/>
      <c r="AZ64" s="267" t="str">
        <f>IF(AND('Mapa final'!$K$142="Media",'Mapa final'!$O$142="Catastrófico"),CONCATENATE("R",'Mapa final'!$A$142),"")</f>
        <v/>
      </c>
      <c r="BA64" s="267"/>
      <c r="BB64" s="267" t="str">
        <f>IF(AND('Mapa final'!$K$145="Media",'Mapa final'!$O$145="Catastrófico"),CONCATENATE("R",'Mapa final'!$A$145),"")</f>
        <v/>
      </c>
      <c r="BC64" s="267"/>
      <c r="BD64" s="267" t="str">
        <f>IF(AND('Mapa final'!$K$148="Media",'Mapa final'!$O$148="Catastrófico"),CONCATENATE("R",'Mapa final'!$A$148),"")</f>
        <v/>
      </c>
      <c r="BE64" s="267"/>
      <c r="BF64" s="267" t="str">
        <f>IF(AND('Mapa final'!$K$151="Media",'Mapa final'!$O$151="Catastrófico"),CONCATENATE("R",'Mapa final'!$A$151),"")</f>
        <v/>
      </c>
      <c r="BG64" s="286"/>
      <c r="BH64" s="58"/>
      <c r="BI64" s="314"/>
      <c r="BJ64" s="315"/>
      <c r="BK64" s="315"/>
      <c r="BL64" s="315"/>
      <c r="BM64" s="315"/>
      <c r="BN64" s="316"/>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row>
    <row r="65" spans="1:100" ht="15.75" customHeight="1" thickBot="1" x14ac:dyDescent="0.3">
      <c r="A65" s="58"/>
      <c r="B65" s="356"/>
      <c r="C65" s="356"/>
      <c r="D65" s="357"/>
      <c r="E65" s="334"/>
      <c r="F65" s="335"/>
      <c r="G65" s="335"/>
      <c r="H65" s="335"/>
      <c r="I65" s="335"/>
      <c r="J65" s="272"/>
      <c r="K65" s="270"/>
      <c r="L65" s="270"/>
      <c r="M65" s="270"/>
      <c r="N65" s="270"/>
      <c r="O65" s="270"/>
      <c r="P65" s="270"/>
      <c r="Q65" s="270"/>
      <c r="R65" s="270"/>
      <c r="S65" s="271"/>
      <c r="T65" s="272"/>
      <c r="U65" s="270"/>
      <c r="V65" s="270"/>
      <c r="W65" s="270"/>
      <c r="X65" s="270"/>
      <c r="Y65" s="270"/>
      <c r="Z65" s="270"/>
      <c r="AA65" s="270"/>
      <c r="AB65" s="270"/>
      <c r="AC65" s="271"/>
      <c r="AD65" s="280"/>
      <c r="AE65" s="281"/>
      <c r="AF65" s="281"/>
      <c r="AG65" s="281"/>
      <c r="AH65" s="281"/>
      <c r="AI65" s="281"/>
      <c r="AJ65" s="281"/>
      <c r="AK65" s="281"/>
      <c r="AL65" s="281"/>
      <c r="AM65" s="282"/>
      <c r="AN65" s="275"/>
      <c r="AO65" s="273"/>
      <c r="AP65" s="273"/>
      <c r="AQ65" s="273"/>
      <c r="AR65" s="273"/>
      <c r="AS65" s="273"/>
      <c r="AT65" s="273"/>
      <c r="AU65" s="273"/>
      <c r="AV65" s="273"/>
      <c r="AW65" s="273"/>
      <c r="AX65" s="285"/>
      <c r="AY65" s="267"/>
      <c r="AZ65" s="267"/>
      <c r="BA65" s="267"/>
      <c r="BB65" s="267"/>
      <c r="BC65" s="267"/>
      <c r="BD65" s="267"/>
      <c r="BE65" s="267"/>
      <c r="BF65" s="267"/>
      <c r="BG65" s="286"/>
      <c r="BH65" s="58"/>
      <c r="BI65" s="314"/>
      <c r="BJ65" s="315"/>
      <c r="BK65" s="315"/>
      <c r="BL65" s="315"/>
      <c r="BM65" s="315"/>
      <c r="BN65" s="316"/>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row>
    <row r="66" spans="1:100" ht="15" customHeight="1" x14ac:dyDescent="0.25">
      <c r="A66" s="58"/>
      <c r="B66" s="356"/>
      <c r="C66" s="356"/>
      <c r="D66" s="357"/>
      <c r="E66" s="329" t="s">
        <v>108</v>
      </c>
      <c r="F66" s="330"/>
      <c r="G66" s="330"/>
      <c r="H66" s="330"/>
      <c r="I66" s="330"/>
      <c r="J66" s="353" t="str">
        <f>IF(AND('Mapa final'!$K$7="Baja",'Mapa final'!$O$7="Leve"),CONCATENATE("R",'Mapa final'!$A$7),"")</f>
        <v/>
      </c>
      <c r="K66" s="292"/>
      <c r="L66" s="292" t="str">
        <f>IF(AND('Mapa final'!$K$10="Baja",'Mapa final'!$O$10="Leve"),CONCATENATE("R",'Mapa final'!$A$10),"")</f>
        <v/>
      </c>
      <c r="M66" s="292"/>
      <c r="N66" s="292" t="str">
        <f>IF(AND('Mapa final'!$K$13="Baja",'Mapa final'!$O$13="Leve"),CONCATENATE("R",'Mapa final'!$A$13),"")</f>
        <v/>
      </c>
      <c r="O66" s="292"/>
      <c r="P66" s="292" t="str">
        <f>IF(AND('Mapa final'!$K$16="Baja",'Mapa final'!$O$16="Leve"),CONCATENATE("R",'Mapa final'!$A$16),"")</f>
        <v/>
      </c>
      <c r="Q66" s="292"/>
      <c r="R66" s="292" t="str">
        <f>IF(AND('Mapa final'!$K$19="Baja",'Mapa final'!$O$19="Leve"),CONCATENATE("R",'Mapa final'!$A$19),"")</f>
        <v/>
      </c>
      <c r="S66" s="292"/>
      <c r="T66" s="277" t="str">
        <f>IF(AND('Mapa final'!$K$7="Baja",'Mapa final'!$O$7="Menor"),CONCATENATE("R",'Mapa final'!$A$7),"")</f>
        <v/>
      </c>
      <c r="U66" s="278"/>
      <c r="V66" s="278" t="str">
        <f>IF(AND('Mapa final'!$K$10="Baja",'Mapa final'!$O$10="Menor"),CONCATENATE("R",'Mapa final'!$A$10),"")</f>
        <v/>
      </c>
      <c r="W66" s="278"/>
      <c r="X66" s="278" t="str">
        <f>IF(AND('Mapa final'!$K$13="Baja",'Mapa final'!$O$13="Menor"),CONCATENATE("R",'Mapa final'!$A$13),"")</f>
        <v/>
      </c>
      <c r="Y66" s="278"/>
      <c r="Z66" s="278" t="str">
        <f>IF(AND('Mapa final'!$K$16="Baja",'Mapa final'!$O$16="Menor"),CONCATENATE("R",'Mapa final'!$A$16),"")</f>
        <v/>
      </c>
      <c r="AA66" s="278"/>
      <c r="AB66" s="278" t="str">
        <f>IF(AND('Mapa final'!$K$19="Baja",'Mapa final'!$O$19="Menor"),CONCATENATE("R",'Mapa final'!$A$19),"")</f>
        <v/>
      </c>
      <c r="AC66" s="279"/>
      <c r="AD66" s="277" t="str">
        <f>IF(AND('Mapa final'!$K$7="Baja",'Mapa final'!$O$7="Moderado"),CONCATENATE("R",'Mapa final'!$A$7),"")</f>
        <v>R1</v>
      </c>
      <c r="AE66" s="278"/>
      <c r="AF66" s="278" t="str">
        <f>IF(AND('Mapa final'!$K$10="Baja",'Mapa final'!$O$10="Moderado"),CONCATENATE("R",'Mapa final'!$A$10),"")</f>
        <v/>
      </c>
      <c r="AG66" s="278"/>
      <c r="AH66" s="278" t="str">
        <f>IF(AND('Mapa final'!$K$13="Baja",'Mapa final'!$O$13="Moderado"),CONCATENATE("R",'Mapa final'!$A$13),"")</f>
        <v/>
      </c>
      <c r="AI66" s="278"/>
      <c r="AJ66" s="278" t="str">
        <f>IF(AND('Mapa final'!$K$16="Baja",'Mapa final'!$O$16="Moderado"),CONCATENATE("R",'Mapa final'!$A$16),"")</f>
        <v/>
      </c>
      <c r="AK66" s="278"/>
      <c r="AL66" s="278" t="str">
        <f>IF(AND('Mapa final'!$K$19="Baja",'Mapa final'!$O$19="Moderado"),CONCATENATE("R",'Mapa final'!$A$19),"")</f>
        <v/>
      </c>
      <c r="AM66" s="279"/>
      <c r="AN66" s="283" t="str">
        <f>IF(AND('Mapa final'!$K$7="Baja",'Mapa final'!$O$7="Mayor"),CONCATENATE("R",'Mapa final'!$A$7),"")</f>
        <v/>
      </c>
      <c r="AO66" s="284"/>
      <c r="AP66" s="284" t="str">
        <f>IF(AND('Mapa final'!$K$10="Baja",'Mapa final'!$O$10="Mayor"),CONCATENATE("R",'Mapa final'!$A$10),"")</f>
        <v/>
      </c>
      <c r="AQ66" s="284"/>
      <c r="AR66" s="284" t="str">
        <f>IF(AND('Mapa final'!$K$13="Baja",'Mapa final'!$O$13="Mayor"),CONCATENATE("R",'Mapa final'!$A$13),"")</f>
        <v/>
      </c>
      <c r="AS66" s="284"/>
      <c r="AT66" s="284" t="str">
        <f>IF(AND('Mapa final'!$K$16="Baja",'Mapa final'!$O$16="Mayor"),CONCATENATE("R",'Mapa final'!$A$16),"")</f>
        <v/>
      </c>
      <c r="AU66" s="284"/>
      <c r="AV66" s="284" t="str">
        <f>IF(AND('Mapa final'!$K$19="Baja",'Mapa final'!$O$19="Mayor"),CONCATENATE("R",'Mapa final'!$A$19),"")</f>
        <v/>
      </c>
      <c r="AW66" s="284"/>
      <c r="AX66" s="288" t="str">
        <f>IF(AND('Mapa final'!$K$7="Baja",'Mapa final'!$O$7="Catastrófico"),CONCATENATE("R",'Mapa final'!$A$7),"")</f>
        <v/>
      </c>
      <c r="AY66" s="289"/>
      <c r="AZ66" s="289" t="str">
        <f>IF(AND('Mapa final'!$K$10="Baja",'Mapa final'!$O$10="Catastrófico"),CONCATENATE("R",'Mapa final'!$A$10),"")</f>
        <v/>
      </c>
      <c r="BA66" s="289"/>
      <c r="BB66" s="289" t="str">
        <f>IF(AND('Mapa final'!$K$13="Baja",'Mapa final'!$O$13="Catastrófico"),CONCATENATE("R",'Mapa final'!$A$13),"")</f>
        <v/>
      </c>
      <c r="BC66" s="289"/>
      <c r="BD66" s="289" t="str">
        <f>IF(AND('Mapa final'!$K$16="Baja",'Mapa final'!$O$16="Catastrófico"),CONCATENATE("R",'Mapa final'!$A$16),"")</f>
        <v/>
      </c>
      <c r="BE66" s="289"/>
      <c r="BF66" s="289" t="str">
        <f>IF(AND('Mapa final'!$K$19="Baja",'Mapa final'!$O$19="Catastrófico"),CONCATENATE("R",'Mapa final'!$A$19),"")</f>
        <v/>
      </c>
      <c r="BG66" s="347"/>
      <c r="BH66" s="58"/>
      <c r="BI66" s="314"/>
      <c r="BJ66" s="315"/>
      <c r="BK66" s="315"/>
      <c r="BL66" s="315"/>
      <c r="BM66" s="315"/>
      <c r="BN66" s="316"/>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row>
    <row r="67" spans="1:100" ht="15" customHeight="1" x14ac:dyDescent="0.25">
      <c r="A67" s="58"/>
      <c r="B67" s="356"/>
      <c r="C67" s="356"/>
      <c r="D67" s="357"/>
      <c r="E67" s="331"/>
      <c r="F67" s="332"/>
      <c r="G67" s="332"/>
      <c r="H67" s="332"/>
      <c r="I67" s="333"/>
      <c r="J67" s="265"/>
      <c r="K67" s="266"/>
      <c r="L67" s="266"/>
      <c r="M67" s="266"/>
      <c r="N67" s="266"/>
      <c r="O67" s="266"/>
      <c r="P67" s="266"/>
      <c r="Q67" s="266"/>
      <c r="R67" s="266"/>
      <c r="S67" s="266"/>
      <c r="T67" s="272"/>
      <c r="U67" s="270"/>
      <c r="V67" s="270"/>
      <c r="W67" s="270"/>
      <c r="X67" s="270"/>
      <c r="Y67" s="270"/>
      <c r="Z67" s="270"/>
      <c r="AA67" s="270"/>
      <c r="AB67" s="270"/>
      <c r="AC67" s="271"/>
      <c r="AD67" s="272"/>
      <c r="AE67" s="270"/>
      <c r="AF67" s="270"/>
      <c r="AG67" s="270"/>
      <c r="AH67" s="270"/>
      <c r="AI67" s="270"/>
      <c r="AJ67" s="270"/>
      <c r="AK67" s="270"/>
      <c r="AL67" s="270"/>
      <c r="AM67" s="271"/>
      <c r="AN67" s="275"/>
      <c r="AO67" s="273"/>
      <c r="AP67" s="273"/>
      <c r="AQ67" s="273"/>
      <c r="AR67" s="273"/>
      <c r="AS67" s="273"/>
      <c r="AT67" s="273"/>
      <c r="AU67" s="273"/>
      <c r="AV67" s="273"/>
      <c r="AW67" s="273"/>
      <c r="AX67" s="285"/>
      <c r="AY67" s="267"/>
      <c r="AZ67" s="267"/>
      <c r="BA67" s="267"/>
      <c r="BB67" s="267"/>
      <c r="BC67" s="267"/>
      <c r="BD67" s="267"/>
      <c r="BE67" s="267"/>
      <c r="BF67" s="267"/>
      <c r="BG67" s="286"/>
      <c r="BH67" s="58"/>
      <c r="BI67" s="314"/>
      <c r="BJ67" s="315"/>
      <c r="BK67" s="315"/>
      <c r="BL67" s="315"/>
      <c r="BM67" s="315"/>
      <c r="BN67" s="316"/>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row>
    <row r="68" spans="1:100" ht="15" customHeight="1" x14ac:dyDescent="0.25">
      <c r="A68" s="58"/>
      <c r="B68" s="356"/>
      <c r="C68" s="356"/>
      <c r="D68" s="357"/>
      <c r="E68" s="331"/>
      <c r="F68" s="332"/>
      <c r="G68" s="332"/>
      <c r="H68" s="332"/>
      <c r="I68" s="333"/>
      <c r="J68" s="265" t="str">
        <f>IF(AND('Mapa final'!$K$22="Baja",'Mapa final'!$O$22="Leve"),CONCATENATE("R",'Mapa final'!$A$22),"")</f>
        <v/>
      </c>
      <c r="K68" s="266"/>
      <c r="L68" s="266" t="str">
        <f>IF(AND('Mapa final'!$K$25="Baja",'Mapa final'!$O$25="Leve"),CONCATENATE("R",'Mapa final'!$A$25),"")</f>
        <v/>
      </c>
      <c r="M68" s="266"/>
      <c r="N68" s="266" t="str">
        <f>IF(AND('Mapa final'!$K$28="Baja",'Mapa final'!$O$28="Leve"),CONCATENATE("R",'Mapa final'!$A$28),"")</f>
        <v/>
      </c>
      <c r="O68" s="266"/>
      <c r="P68" s="266" t="str">
        <f>IF(AND('Mapa final'!$K$31="Baja",'Mapa final'!$O$31="Leve"),CONCATENATE("R",'Mapa final'!$A$31),"")</f>
        <v/>
      </c>
      <c r="Q68" s="266"/>
      <c r="R68" s="266" t="str">
        <f>IF(AND('Mapa final'!$K$34="Baja",'Mapa final'!$O$34="Leve"),CONCATENATE("R",'Mapa final'!$A$34),"")</f>
        <v/>
      </c>
      <c r="S68" s="266"/>
      <c r="T68" s="272" t="str">
        <f>IF(AND('Mapa final'!$K$22="Baja",'Mapa final'!$O$22="Menor"),CONCATENATE("R",'Mapa final'!$A$22),"")</f>
        <v/>
      </c>
      <c r="U68" s="270"/>
      <c r="V68" s="270" t="str">
        <f>IF(AND('Mapa final'!$K$25="Baja",'Mapa final'!$O$25="Menor"),CONCATENATE("R",'Mapa final'!$A$25),"")</f>
        <v/>
      </c>
      <c r="W68" s="270"/>
      <c r="X68" s="270" t="str">
        <f>IF(AND('Mapa final'!$K$28="Baja",'Mapa final'!$O$28="Menor"),CONCATENATE("R",'Mapa final'!$A$28),"")</f>
        <v/>
      </c>
      <c r="Y68" s="270"/>
      <c r="Z68" s="270" t="str">
        <f>IF(AND('Mapa final'!$K$31="Baja",'Mapa final'!$O$31="Menor"),CONCATENATE("R",'Mapa final'!$A$31),"")</f>
        <v/>
      </c>
      <c r="AA68" s="270"/>
      <c r="AB68" s="270" t="str">
        <f>IF(AND('Mapa final'!$K$34="Baja",'Mapa final'!$O$34="Menor"),CONCATENATE("R",'Mapa final'!$A$34),"")</f>
        <v/>
      </c>
      <c r="AC68" s="271"/>
      <c r="AD68" s="272" t="str">
        <f>IF(AND('Mapa final'!$K$22="Baja",'Mapa final'!$O$22="Moderado"),CONCATENATE("R",'Mapa final'!$A$22),"")</f>
        <v/>
      </c>
      <c r="AE68" s="270"/>
      <c r="AF68" s="270" t="str">
        <f>IF(AND('Mapa final'!$K$25="Baja",'Mapa final'!$O$25="Moderado"),CONCATENATE("R",'Mapa final'!$A$25),"")</f>
        <v/>
      </c>
      <c r="AG68" s="270"/>
      <c r="AH68" s="270" t="str">
        <f>IF(AND('Mapa final'!$K$28="Baja",'Mapa final'!$O$28="Moderado"),CONCATENATE("R",'Mapa final'!$A$28),"")</f>
        <v/>
      </c>
      <c r="AI68" s="270"/>
      <c r="AJ68" s="270" t="str">
        <f>IF(AND('Mapa final'!$K$31="Baja",'Mapa final'!$O$31="Moderado"),CONCATENATE("R",'Mapa final'!$A$31),"")</f>
        <v/>
      </c>
      <c r="AK68" s="270"/>
      <c r="AL68" s="270" t="str">
        <f>IF(AND('Mapa final'!$K$34="Baja",'Mapa final'!$O$34="Moderado"),CONCATENATE("R",'Mapa final'!$A$34),"")</f>
        <v/>
      </c>
      <c r="AM68" s="271"/>
      <c r="AN68" s="275" t="str">
        <f>IF(AND('Mapa final'!$K$22="Baja",'Mapa final'!$O$22="Mayor"),CONCATENATE("R",'Mapa final'!$A$22),"")</f>
        <v/>
      </c>
      <c r="AO68" s="273"/>
      <c r="AP68" s="273" t="str">
        <f>IF(AND('Mapa final'!$K$25="Baja",'Mapa final'!$O$25="Mayor"),CONCATENATE("R",'Mapa final'!$A$25),"")</f>
        <v/>
      </c>
      <c r="AQ68" s="273"/>
      <c r="AR68" s="273" t="str">
        <f>IF(AND('Mapa final'!$K$28="Baja",'Mapa final'!$O$28="Mayor"),CONCATENATE("R",'Mapa final'!$A$28),"")</f>
        <v/>
      </c>
      <c r="AS68" s="273"/>
      <c r="AT68" s="273" t="str">
        <f>IF(AND('Mapa final'!$K$31="Baja",'Mapa final'!$O$31="Mayor"),CONCATENATE("R",'Mapa final'!$A$31),"")</f>
        <v/>
      </c>
      <c r="AU68" s="273"/>
      <c r="AV68" s="273" t="str">
        <f>IF(AND('Mapa final'!$K$34="Baja",'Mapa final'!$O$34="Mayor"),CONCATENATE("R",'Mapa final'!$A$34),"")</f>
        <v/>
      </c>
      <c r="AW68" s="273"/>
      <c r="AX68" s="285" t="str">
        <f>IF(AND('Mapa final'!$K$22="Baja",'Mapa final'!$O$22="Catastrófico"),CONCATENATE("R",'Mapa final'!$A$22),"")</f>
        <v/>
      </c>
      <c r="AY68" s="267"/>
      <c r="AZ68" s="267" t="str">
        <f>IF(AND('Mapa final'!$K$25="Baja",'Mapa final'!$O$25="Catastrófico"),CONCATENATE("R",'Mapa final'!$A$25),"")</f>
        <v/>
      </c>
      <c r="BA68" s="267"/>
      <c r="BB68" s="267" t="str">
        <f>IF(AND('Mapa final'!$K$28="Baja",'Mapa final'!$O$28="Catastrófico"),CONCATENATE("R",'Mapa final'!$A$28),"")</f>
        <v/>
      </c>
      <c r="BC68" s="267"/>
      <c r="BD68" s="267" t="str">
        <f>IF(AND('Mapa final'!$K$31="Baja",'Mapa final'!$O$31="Catastrófico"),CONCATENATE("R",'Mapa final'!$A$31),"")</f>
        <v/>
      </c>
      <c r="BE68" s="267"/>
      <c r="BF68" s="267" t="str">
        <f>IF(AND('Mapa final'!$K$34="Baja",'Mapa final'!$O$34="Catastrófico"),CONCATENATE("R",'Mapa final'!$A$34),"")</f>
        <v/>
      </c>
      <c r="BG68" s="286"/>
      <c r="BH68" s="58"/>
      <c r="BI68" s="314"/>
      <c r="BJ68" s="315"/>
      <c r="BK68" s="315"/>
      <c r="BL68" s="315"/>
      <c r="BM68" s="315"/>
      <c r="BN68" s="316"/>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row>
    <row r="69" spans="1:100" ht="15" customHeight="1" x14ac:dyDescent="0.25">
      <c r="A69" s="58"/>
      <c r="B69" s="356"/>
      <c r="C69" s="356"/>
      <c r="D69" s="357"/>
      <c r="E69" s="331"/>
      <c r="F69" s="332"/>
      <c r="G69" s="332"/>
      <c r="H69" s="332"/>
      <c r="I69" s="333"/>
      <c r="J69" s="265"/>
      <c r="K69" s="266"/>
      <c r="L69" s="266"/>
      <c r="M69" s="266"/>
      <c r="N69" s="266"/>
      <c r="O69" s="266"/>
      <c r="P69" s="266"/>
      <c r="Q69" s="266"/>
      <c r="R69" s="266"/>
      <c r="S69" s="266"/>
      <c r="T69" s="272"/>
      <c r="U69" s="270"/>
      <c r="V69" s="270"/>
      <c r="W69" s="270"/>
      <c r="X69" s="270"/>
      <c r="Y69" s="270"/>
      <c r="Z69" s="270"/>
      <c r="AA69" s="270"/>
      <c r="AB69" s="270"/>
      <c r="AC69" s="271"/>
      <c r="AD69" s="272"/>
      <c r="AE69" s="270"/>
      <c r="AF69" s="270"/>
      <c r="AG69" s="270"/>
      <c r="AH69" s="270"/>
      <c r="AI69" s="270"/>
      <c r="AJ69" s="270"/>
      <c r="AK69" s="270"/>
      <c r="AL69" s="270"/>
      <c r="AM69" s="271"/>
      <c r="AN69" s="275"/>
      <c r="AO69" s="273"/>
      <c r="AP69" s="273"/>
      <c r="AQ69" s="273"/>
      <c r="AR69" s="273"/>
      <c r="AS69" s="273"/>
      <c r="AT69" s="273"/>
      <c r="AU69" s="273"/>
      <c r="AV69" s="273"/>
      <c r="AW69" s="273"/>
      <c r="AX69" s="285"/>
      <c r="AY69" s="267"/>
      <c r="AZ69" s="267"/>
      <c r="BA69" s="267"/>
      <c r="BB69" s="267"/>
      <c r="BC69" s="267"/>
      <c r="BD69" s="267"/>
      <c r="BE69" s="267"/>
      <c r="BF69" s="267"/>
      <c r="BG69" s="286"/>
      <c r="BH69" s="58"/>
      <c r="BI69" s="314"/>
      <c r="BJ69" s="315"/>
      <c r="BK69" s="315"/>
      <c r="BL69" s="315"/>
      <c r="BM69" s="315"/>
      <c r="BN69" s="316"/>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row>
    <row r="70" spans="1:100" ht="15" customHeight="1" x14ac:dyDescent="0.25">
      <c r="A70" s="58"/>
      <c r="B70" s="356"/>
      <c r="C70" s="356"/>
      <c r="D70" s="357"/>
      <c r="E70" s="331"/>
      <c r="F70" s="332"/>
      <c r="G70" s="332"/>
      <c r="H70" s="332"/>
      <c r="I70" s="333"/>
      <c r="J70" s="265" t="str">
        <f>IF(AND('Mapa final'!$K$37="Baja",'Mapa final'!$O$37="Leve"),CONCATENATE("R",'Mapa final'!$A$37),"")</f>
        <v/>
      </c>
      <c r="K70" s="266"/>
      <c r="L70" s="266" t="str">
        <f>IF(AND('Mapa final'!$K$40="Baja",'Mapa final'!$O$40="Leve"),CONCATENATE("R",'Mapa final'!$A$40),"")</f>
        <v/>
      </c>
      <c r="M70" s="266"/>
      <c r="N70" s="266" t="str">
        <f>IF(AND('Mapa final'!$K$43="Baja",'Mapa final'!$O$43="Leve"),CONCATENATE("R",'Mapa final'!$A$43),"")</f>
        <v/>
      </c>
      <c r="O70" s="266"/>
      <c r="P70" s="266" t="e">
        <f>IF(AND('Mapa final'!#REF!="Baja",'Mapa final'!#REF!="Leve"),CONCATENATE("R",'Mapa final'!#REF!),"")</f>
        <v>#REF!</v>
      </c>
      <c r="Q70" s="266"/>
      <c r="R70" s="266" t="str">
        <f>IF(AND('Mapa final'!$K$46="Baja",'Mapa final'!$O$46="Leve"),CONCATENATE("R",'Mapa final'!$A$46),"")</f>
        <v/>
      </c>
      <c r="S70" s="266"/>
      <c r="T70" s="272" t="str">
        <f>IF(AND('Mapa final'!$K$37="Baja",'Mapa final'!$O$37="Menor"),CONCATENATE("R",'Mapa final'!$A$37),"")</f>
        <v/>
      </c>
      <c r="U70" s="270"/>
      <c r="V70" s="270" t="str">
        <f>IF(AND('Mapa final'!$K$40="Baja",'Mapa final'!$O$40="Menor"),CONCATENATE("R",'Mapa final'!$A$40),"")</f>
        <v/>
      </c>
      <c r="W70" s="270"/>
      <c r="X70" s="270" t="str">
        <f>IF(AND('Mapa final'!$K$43="Baja",'Mapa final'!$O$43="Menor"),CONCATENATE("R",'Mapa final'!$A$43),"")</f>
        <v/>
      </c>
      <c r="Y70" s="270"/>
      <c r="Z70" s="270" t="e">
        <f>IF(AND('Mapa final'!#REF!="Baja",'Mapa final'!#REF!="Menor"),CONCATENATE("R",'Mapa final'!#REF!),"")</f>
        <v>#REF!</v>
      </c>
      <c r="AA70" s="270"/>
      <c r="AB70" s="270" t="str">
        <f>IF(AND('Mapa final'!$K$46="Baja",'Mapa final'!$O$46="Menor"),CONCATENATE("R",'Mapa final'!$A$46),"")</f>
        <v/>
      </c>
      <c r="AC70" s="271"/>
      <c r="AD70" s="272" t="str">
        <f>IF(AND('Mapa final'!$K$37="Baja",'Mapa final'!$O$37="Moderado"),CONCATENATE("R",'Mapa final'!$A$37),"")</f>
        <v/>
      </c>
      <c r="AE70" s="270"/>
      <c r="AF70" s="270" t="str">
        <f>IF(AND('Mapa final'!$K$40="Baja",'Mapa final'!$O$40="Moderado"),CONCATENATE("R",'Mapa final'!$A$40),"")</f>
        <v>R12</v>
      </c>
      <c r="AG70" s="270"/>
      <c r="AH70" s="270" t="str">
        <f>IF(AND('Mapa final'!$K$43="Baja",'Mapa final'!$O$43="Moderado"),CONCATENATE("R",'Mapa final'!$A$43),"")</f>
        <v/>
      </c>
      <c r="AI70" s="270"/>
      <c r="AJ70" s="270" t="e">
        <f>IF(AND('Mapa final'!#REF!="Baja",'Mapa final'!#REF!="Moderado"),CONCATENATE("R",'Mapa final'!#REF!),"")</f>
        <v>#REF!</v>
      </c>
      <c r="AK70" s="270"/>
      <c r="AL70" s="270" t="str">
        <f>IF(AND('Mapa final'!$K$46="Baja",'Mapa final'!$O$46="Moderado"),CONCATENATE("R",'Mapa final'!$A$46),"")</f>
        <v>R14</v>
      </c>
      <c r="AM70" s="271"/>
      <c r="AN70" s="275" t="str">
        <f>IF(AND('Mapa final'!$K$37="Baja",'Mapa final'!$O$37="Mayor"),CONCATENATE("R",'Mapa final'!$A$37),"")</f>
        <v>R11</v>
      </c>
      <c r="AO70" s="273"/>
      <c r="AP70" s="273" t="str">
        <f>IF(AND('Mapa final'!$K$40="Baja",'Mapa final'!$O$40="Mayor"),CONCATENATE("R",'Mapa final'!$A$40),"")</f>
        <v/>
      </c>
      <c r="AQ70" s="273"/>
      <c r="AR70" s="273" t="str">
        <f>IF(AND('Mapa final'!$K$43="Baja",'Mapa final'!$O$43="Mayor"),CONCATENATE("R",'Mapa final'!$A$43),"")</f>
        <v/>
      </c>
      <c r="AS70" s="273"/>
      <c r="AT70" s="273" t="e">
        <f>IF(AND('Mapa final'!#REF!="Baja",'Mapa final'!#REF!="Mayor"),CONCATENATE("R",'Mapa final'!#REF!),"")</f>
        <v>#REF!</v>
      </c>
      <c r="AU70" s="273"/>
      <c r="AV70" s="273" t="str">
        <f>IF(AND('Mapa final'!$K$46="Baja",'Mapa final'!$O$46="Mayor"),CONCATENATE("R",'Mapa final'!$A$46),"")</f>
        <v/>
      </c>
      <c r="AW70" s="273"/>
      <c r="AX70" s="285" t="str">
        <f>IF(AND('Mapa final'!$K$37="Baja",'Mapa final'!$O$37="Catastrófico"),CONCATENATE("R",'Mapa final'!$A$37),"")</f>
        <v/>
      </c>
      <c r="AY70" s="267"/>
      <c r="AZ70" s="267" t="str">
        <f>IF(AND('Mapa final'!$K$40="Baja",'Mapa final'!$O$40="Catastrófico"),CONCATENATE("R",'Mapa final'!$A$40),"")</f>
        <v/>
      </c>
      <c r="BA70" s="267"/>
      <c r="BB70" s="267" t="str">
        <f>IF(AND('Mapa final'!$K$43="Baja",'Mapa final'!$O$43="Catastrófico"),CONCATENATE("R",'Mapa final'!$A$43),"")</f>
        <v/>
      </c>
      <c r="BC70" s="267"/>
      <c r="BD70" s="267" t="e">
        <f>IF(AND('Mapa final'!#REF!="Baja",'Mapa final'!#REF!="Catastrófico"),CONCATENATE("R",'Mapa final'!#REF!),"")</f>
        <v>#REF!</v>
      </c>
      <c r="BE70" s="267"/>
      <c r="BF70" s="267" t="str">
        <f>IF(AND('Mapa final'!$K$46="Baja",'Mapa final'!$O$46="Catastrófico"),CONCATENATE("R",'Mapa final'!$A$46),"")</f>
        <v/>
      </c>
      <c r="BG70" s="286"/>
      <c r="BH70" s="58"/>
      <c r="BI70" s="314"/>
      <c r="BJ70" s="315"/>
      <c r="BK70" s="315"/>
      <c r="BL70" s="315"/>
      <c r="BM70" s="315"/>
      <c r="BN70" s="316"/>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row>
    <row r="71" spans="1:100" ht="15" customHeight="1" x14ac:dyDescent="0.25">
      <c r="A71" s="58"/>
      <c r="B71" s="356"/>
      <c r="C71" s="356"/>
      <c r="D71" s="357"/>
      <c r="E71" s="331"/>
      <c r="F71" s="332"/>
      <c r="G71" s="332"/>
      <c r="H71" s="332"/>
      <c r="I71" s="333"/>
      <c r="J71" s="265"/>
      <c r="K71" s="266"/>
      <c r="L71" s="266"/>
      <c r="M71" s="266"/>
      <c r="N71" s="266"/>
      <c r="O71" s="266"/>
      <c r="P71" s="266"/>
      <c r="Q71" s="266"/>
      <c r="R71" s="266"/>
      <c r="S71" s="266"/>
      <c r="T71" s="272"/>
      <c r="U71" s="270"/>
      <c r="V71" s="270"/>
      <c r="W71" s="270"/>
      <c r="X71" s="270"/>
      <c r="Y71" s="270"/>
      <c r="Z71" s="270"/>
      <c r="AA71" s="270"/>
      <c r="AB71" s="270"/>
      <c r="AC71" s="271"/>
      <c r="AD71" s="272"/>
      <c r="AE71" s="270"/>
      <c r="AF71" s="270"/>
      <c r="AG71" s="270"/>
      <c r="AH71" s="270"/>
      <c r="AI71" s="270"/>
      <c r="AJ71" s="270"/>
      <c r="AK71" s="270"/>
      <c r="AL71" s="270"/>
      <c r="AM71" s="271"/>
      <c r="AN71" s="275"/>
      <c r="AO71" s="273"/>
      <c r="AP71" s="273"/>
      <c r="AQ71" s="273"/>
      <c r="AR71" s="273"/>
      <c r="AS71" s="273"/>
      <c r="AT71" s="273"/>
      <c r="AU71" s="273"/>
      <c r="AV71" s="273"/>
      <c r="AW71" s="273"/>
      <c r="AX71" s="285"/>
      <c r="AY71" s="267"/>
      <c r="AZ71" s="267"/>
      <c r="BA71" s="267"/>
      <c r="BB71" s="267"/>
      <c r="BC71" s="267"/>
      <c r="BD71" s="267"/>
      <c r="BE71" s="267"/>
      <c r="BF71" s="267"/>
      <c r="BG71" s="286"/>
      <c r="BH71" s="58"/>
      <c r="BI71" s="314"/>
      <c r="BJ71" s="315"/>
      <c r="BK71" s="315"/>
      <c r="BL71" s="315"/>
      <c r="BM71" s="315"/>
      <c r="BN71" s="316"/>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row>
    <row r="72" spans="1:100" ht="15" customHeight="1" x14ac:dyDescent="0.25">
      <c r="A72" s="58"/>
      <c r="B72" s="356"/>
      <c r="C72" s="356"/>
      <c r="D72" s="357"/>
      <c r="E72" s="331"/>
      <c r="F72" s="332"/>
      <c r="G72" s="332"/>
      <c r="H72" s="332"/>
      <c r="I72" s="333"/>
      <c r="J72" s="265" t="str">
        <f>IF(AND('Mapa final'!$K$49="Baja",'Mapa final'!$O$49="Leve"),CONCATENATE("R",'Mapa final'!$A$49),"")</f>
        <v/>
      </c>
      <c r="K72" s="266"/>
      <c r="L72" s="266" t="str">
        <f>IF(AND('Mapa final'!$K$52="Baja",'Mapa final'!$O$52="Leve"),CONCATENATE("R",'Mapa final'!$A$52),"")</f>
        <v/>
      </c>
      <c r="M72" s="266"/>
      <c r="N72" s="266" t="str">
        <f>IF(AND('Mapa final'!$K$55="Baja",'Mapa final'!$O$55="Leve"),CONCATENATE("R",'Mapa final'!$A$55),"")</f>
        <v/>
      </c>
      <c r="O72" s="266"/>
      <c r="P72" s="266" t="str">
        <f>IF(AND('Mapa final'!$K$58="Baja",'Mapa final'!$O$58="Leve"),CONCATENATE("R",'Mapa final'!$A$58),"")</f>
        <v/>
      </c>
      <c r="Q72" s="266"/>
      <c r="R72" s="266" t="str">
        <f>IF(AND('Mapa final'!$K$61="Baja",'Mapa final'!$O$61="Leve"),CONCATENATE("R",'Mapa final'!$A$61),"")</f>
        <v/>
      </c>
      <c r="S72" s="266"/>
      <c r="T72" s="272" t="str">
        <f>IF(AND('Mapa final'!$K$49="Baja",'Mapa final'!$O$49="Menor"),CONCATENATE("R",'Mapa final'!$A$49),"")</f>
        <v/>
      </c>
      <c r="U72" s="270"/>
      <c r="V72" s="270" t="str">
        <f>IF(AND('Mapa final'!$K$52="Baja",'Mapa final'!$O$52="Menor"),CONCATENATE("R",'Mapa final'!$A$52),"")</f>
        <v/>
      </c>
      <c r="W72" s="270"/>
      <c r="X72" s="270" t="str">
        <f>IF(AND('Mapa final'!$K$55="Baja",'Mapa final'!$O$55="Menor"),CONCATENATE("R",'Mapa final'!$A$55),"")</f>
        <v/>
      </c>
      <c r="Y72" s="270"/>
      <c r="Z72" s="270" t="str">
        <f>IF(AND('Mapa final'!$K$58="Baja",'Mapa final'!$O$58="Menor"),CONCATENATE("R",'Mapa final'!$A$58),"")</f>
        <v/>
      </c>
      <c r="AA72" s="270"/>
      <c r="AB72" s="270" t="str">
        <f>IF(AND('Mapa final'!$K$61="Baja",'Mapa final'!$O$61="Menor"),CONCATENATE("R",'Mapa final'!$A$61),"")</f>
        <v/>
      </c>
      <c r="AC72" s="271"/>
      <c r="AD72" s="272" t="str">
        <f>IF(AND('Mapa final'!$K$49="Baja",'Mapa final'!$O$49="Moderado"),CONCATENATE("R",'Mapa final'!$A$49),"")</f>
        <v/>
      </c>
      <c r="AE72" s="270"/>
      <c r="AF72" s="270" t="str">
        <f>IF(AND('Mapa final'!$K$52="Baja",'Mapa final'!$O$52="Moderado"),CONCATENATE("R",'Mapa final'!$A$52),"")</f>
        <v/>
      </c>
      <c r="AG72" s="270"/>
      <c r="AH72" s="270" t="str">
        <f>IF(AND('Mapa final'!$K$55="Baja",'Mapa final'!$O$55="Moderado"),CONCATENATE("R",'Mapa final'!$A$55),"")</f>
        <v/>
      </c>
      <c r="AI72" s="270"/>
      <c r="AJ72" s="270" t="str">
        <f>IF(AND('Mapa final'!$K$58="Baja",'Mapa final'!$O$58="Moderado"),CONCATENATE("R",'Mapa final'!$A$58),"")</f>
        <v/>
      </c>
      <c r="AK72" s="270"/>
      <c r="AL72" s="270" t="str">
        <f>IF(AND('Mapa final'!$K$61="Baja",'Mapa final'!$O$61="Moderado"),CONCATENATE("R",'Mapa final'!$A$61),"")</f>
        <v/>
      </c>
      <c r="AM72" s="271"/>
      <c r="AN72" s="275" t="str">
        <f>IF(AND('Mapa final'!$K$49="Baja",'Mapa final'!$O$49="Mayor"),CONCATENATE("R",'Mapa final'!$A$49),"")</f>
        <v/>
      </c>
      <c r="AO72" s="273"/>
      <c r="AP72" s="273" t="str">
        <f>IF(AND('Mapa final'!$K$52="Baja",'Mapa final'!$O$52="Mayor"),CONCATENATE("R",'Mapa final'!$A$52),"")</f>
        <v/>
      </c>
      <c r="AQ72" s="273"/>
      <c r="AR72" s="273" t="str">
        <f>IF(AND('Mapa final'!$K$55="Baja",'Mapa final'!$O$55="Mayor"),CONCATENATE("R",'Mapa final'!$A$55),"")</f>
        <v/>
      </c>
      <c r="AS72" s="273"/>
      <c r="AT72" s="273" t="str">
        <f>IF(AND('Mapa final'!$K$58="Baja",'Mapa final'!$O$58="Mayor"),CONCATENATE("R",'Mapa final'!$A$58),"")</f>
        <v/>
      </c>
      <c r="AU72" s="273"/>
      <c r="AV72" s="273" t="str">
        <f>IF(AND('Mapa final'!$K$61="Baja",'Mapa final'!$O$61="Mayor"),CONCATENATE("R",'Mapa final'!$A$61),"")</f>
        <v/>
      </c>
      <c r="AW72" s="273"/>
      <c r="AX72" s="285" t="str">
        <f>IF(AND('Mapa final'!$K$49="Baja",'Mapa final'!$O$49="Catastrófico"),CONCATENATE("R",'Mapa final'!$A$49),"")</f>
        <v/>
      </c>
      <c r="AY72" s="267"/>
      <c r="AZ72" s="267" t="str">
        <f>IF(AND('Mapa final'!$K$52="Baja",'Mapa final'!$O$52="Catastrófico"),CONCATENATE("R",'Mapa final'!$A$52),"")</f>
        <v/>
      </c>
      <c r="BA72" s="267"/>
      <c r="BB72" s="267" t="str">
        <f>IF(AND('Mapa final'!$K$55="Baja",'Mapa final'!$O$55="Catastrófico"),CONCATENATE("R",'Mapa final'!$A$55),"")</f>
        <v/>
      </c>
      <c r="BC72" s="267"/>
      <c r="BD72" s="267" t="str">
        <f>IF(AND('Mapa final'!$K$58="Baja",'Mapa final'!$O$58="Catastrófico"),CONCATENATE("R",'Mapa final'!$A$58),"")</f>
        <v/>
      </c>
      <c r="BE72" s="267"/>
      <c r="BF72" s="267" t="str">
        <f>IF(AND('Mapa final'!$K$61="Baja",'Mapa final'!$O$61="Catastrófico"),CONCATENATE("R",'Mapa final'!$A$61),"")</f>
        <v/>
      </c>
      <c r="BG72" s="286"/>
      <c r="BH72" s="58"/>
      <c r="BI72" s="314"/>
      <c r="BJ72" s="315"/>
      <c r="BK72" s="315"/>
      <c r="BL72" s="315"/>
      <c r="BM72" s="315"/>
      <c r="BN72" s="316"/>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row>
    <row r="73" spans="1:100" ht="15" customHeight="1" thickBot="1" x14ac:dyDescent="0.3">
      <c r="A73" s="58"/>
      <c r="B73" s="356"/>
      <c r="C73" s="356"/>
      <c r="D73" s="357"/>
      <c r="E73" s="331"/>
      <c r="F73" s="332"/>
      <c r="G73" s="332"/>
      <c r="H73" s="332"/>
      <c r="I73" s="333"/>
      <c r="J73" s="265"/>
      <c r="K73" s="266"/>
      <c r="L73" s="266"/>
      <c r="M73" s="266"/>
      <c r="N73" s="266"/>
      <c r="O73" s="266"/>
      <c r="P73" s="266"/>
      <c r="Q73" s="266"/>
      <c r="R73" s="266"/>
      <c r="S73" s="266"/>
      <c r="T73" s="272"/>
      <c r="U73" s="270"/>
      <c r="V73" s="270"/>
      <c r="W73" s="270"/>
      <c r="X73" s="270"/>
      <c r="Y73" s="270"/>
      <c r="Z73" s="270"/>
      <c r="AA73" s="270"/>
      <c r="AB73" s="270"/>
      <c r="AC73" s="271"/>
      <c r="AD73" s="272"/>
      <c r="AE73" s="270"/>
      <c r="AF73" s="270"/>
      <c r="AG73" s="270"/>
      <c r="AH73" s="270"/>
      <c r="AI73" s="270"/>
      <c r="AJ73" s="270"/>
      <c r="AK73" s="270"/>
      <c r="AL73" s="270"/>
      <c r="AM73" s="271"/>
      <c r="AN73" s="275"/>
      <c r="AO73" s="273"/>
      <c r="AP73" s="273"/>
      <c r="AQ73" s="273"/>
      <c r="AR73" s="273"/>
      <c r="AS73" s="273"/>
      <c r="AT73" s="273"/>
      <c r="AU73" s="273"/>
      <c r="AV73" s="273"/>
      <c r="AW73" s="273"/>
      <c r="AX73" s="285"/>
      <c r="AY73" s="267"/>
      <c r="AZ73" s="267"/>
      <c r="BA73" s="267"/>
      <c r="BB73" s="267"/>
      <c r="BC73" s="267"/>
      <c r="BD73" s="267"/>
      <c r="BE73" s="267"/>
      <c r="BF73" s="267"/>
      <c r="BG73" s="286"/>
      <c r="BH73" s="58"/>
      <c r="BI73" s="317"/>
      <c r="BJ73" s="318"/>
      <c r="BK73" s="318"/>
      <c r="BL73" s="318"/>
      <c r="BM73" s="318"/>
      <c r="BN73" s="319"/>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row>
    <row r="74" spans="1:100" ht="15" customHeight="1" x14ac:dyDescent="0.25">
      <c r="A74" s="58"/>
      <c r="B74" s="356"/>
      <c r="C74" s="356"/>
      <c r="D74" s="357"/>
      <c r="E74" s="331"/>
      <c r="F74" s="332"/>
      <c r="G74" s="332"/>
      <c r="H74" s="332"/>
      <c r="I74" s="333"/>
      <c r="J74" s="265" t="str">
        <f>IF(AND('Mapa final'!$K$64="Baja",'Mapa final'!$O$64="Leve"),CONCATENATE("R",'Mapa final'!$A$64),"")</f>
        <v/>
      </c>
      <c r="K74" s="266"/>
      <c r="L74" s="266" t="str">
        <f>IF(AND('Mapa final'!$K$67="Baja",'Mapa final'!$O$67="Leve"),CONCATENATE("R",'Mapa final'!$A$67),"")</f>
        <v>R21</v>
      </c>
      <c r="M74" s="266"/>
      <c r="N74" s="266" t="str">
        <f>IF(AND('Mapa final'!$K$70="Baja",'Mapa final'!$O$70="Leve"),CONCATENATE("R",'Mapa final'!$A$70),"")</f>
        <v/>
      </c>
      <c r="O74" s="266"/>
      <c r="P74" s="266" t="str">
        <f>IF(AND('Mapa final'!$K$73="Baja",'Mapa final'!$O$73="Leve"),CONCATENATE("R",'Mapa final'!$A$73),"")</f>
        <v/>
      </c>
      <c r="Q74" s="266"/>
      <c r="R74" s="266" t="str">
        <f>IF(AND('Mapa final'!$K$76="Baja",'Mapa final'!$O$76="Leve"),CONCATENATE("R",'Mapa final'!$A$76),"")</f>
        <v/>
      </c>
      <c r="S74" s="266"/>
      <c r="T74" s="272" t="str">
        <f>IF(AND('Mapa final'!$K$64="Baja",'Mapa final'!$O$64="Menor"),CONCATENATE("R",'Mapa final'!$A$64),"")</f>
        <v/>
      </c>
      <c r="U74" s="270"/>
      <c r="V74" s="270" t="str">
        <f>IF(AND('Mapa final'!$K$67="Baja",'Mapa final'!$O$67="Menor"),CONCATENATE("R",'Mapa final'!$A$67),"")</f>
        <v/>
      </c>
      <c r="W74" s="270"/>
      <c r="X74" s="270" t="str">
        <f>IF(AND('Mapa final'!$K$70="Baja",'Mapa final'!$O$70="Menor"),CONCATENATE("R",'Mapa final'!$A$70),"")</f>
        <v>R22</v>
      </c>
      <c r="Y74" s="270"/>
      <c r="Z74" s="270" t="str">
        <f>IF(AND('Mapa final'!$K$73="Baja",'Mapa final'!$O$73="Menor"),CONCATENATE("R",'Mapa final'!$A$73),"")</f>
        <v/>
      </c>
      <c r="AA74" s="270"/>
      <c r="AB74" s="270" t="str">
        <f>IF(AND('Mapa final'!$K$76="Baja",'Mapa final'!$O$76="Menor"),CONCATENATE("R",'Mapa final'!$A$76),"")</f>
        <v/>
      </c>
      <c r="AC74" s="271"/>
      <c r="AD74" s="272" t="str">
        <f>IF(AND('Mapa final'!$K$64="Baja",'Mapa final'!$O$64="Moderado"),CONCATENATE("R",'Mapa final'!$A$64),"")</f>
        <v/>
      </c>
      <c r="AE74" s="270"/>
      <c r="AF74" s="270" t="str">
        <f>IF(AND('Mapa final'!$K$67="Baja",'Mapa final'!$O$67="Moderado"),CONCATENATE("R",'Mapa final'!$A$67),"")</f>
        <v/>
      </c>
      <c r="AG74" s="270"/>
      <c r="AH74" s="270" t="str">
        <f>IF(AND('Mapa final'!$K$70="Baja",'Mapa final'!$O$70="Moderado"),CONCATENATE("R",'Mapa final'!$A$70),"")</f>
        <v/>
      </c>
      <c r="AI74" s="270"/>
      <c r="AJ74" s="270" t="str">
        <f>IF(AND('Mapa final'!$K$73="Baja",'Mapa final'!$O$73="Moderado"),CONCATENATE("R",'Mapa final'!$A$73),"")</f>
        <v/>
      </c>
      <c r="AK74" s="270"/>
      <c r="AL74" s="270" t="str">
        <f>IF(AND('Mapa final'!$K$76="Baja",'Mapa final'!$O$76="Moderado"),CONCATENATE("R",'Mapa final'!$A$76),"")</f>
        <v>R24</v>
      </c>
      <c r="AM74" s="271"/>
      <c r="AN74" s="275" t="str">
        <f>IF(AND('Mapa final'!$K$64="Baja",'Mapa final'!$O$64="Mayor"),CONCATENATE("R",'Mapa final'!$A$64),"")</f>
        <v/>
      </c>
      <c r="AO74" s="273"/>
      <c r="AP74" s="273" t="str">
        <f>IF(AND('Mapa final'!$K$67="Baja",'Mapa final'!$O$67="Mayor"),CONCATENATE("R",'Mapa final'!$A$67),"")</f>
        <v/>
      </c>
      <c r="AQ74" s="273"/>
      <c r="AR74" s="273" t="str">
        <f>IF(AND('Mapa final'!$K$70="Baja",'Mapa final'!$O$70="Mayor"),CONCATENATE("R",'Mapa final'!$A$70),"")</f>
        <v/>
      </c>
      <c r="AS74" s="273"/>
      <c r="AT74" s="273" t="str">
        <f>IF(AND('Mapa final'!$K$73="Baja",'Mapa final'!$O$73="Mayor"),CONCATENATE("R",'Mapa final'!$A$73),"")</f>
        <v/>
      </c>
      <c r="AU74" s="273"/>
      <c r="AV74" s="273" t="str">
        <f>IF(AND('Mapa final'!$K$76="Baja",'Mapa final'!$O$76="Mayor"),CONCATENATE("R",'Mapa final'!$A$76),"")</f>
        <v/>
      </c>
      <c r="AW74" s="273"/>
      <c r="AX74" s="285" t="str">
        <f>IF(AND('Mapa final'!$K$64="Baja",'Mapa final'!$O$64="Catastrófico"),CONCATENATE("R",'Mapa final'!$A$64),"")</f>
        <v/>
      </c>
      <c r="AY74" s="267"/>
      <c r="AZ74" s="267" t="str">
        <f>IF(AND('Mapa final'!$K$67="Baja",'Mapa final'!$O$67="Catastrófico"),CONCATENATE("R",'Mapa final'!$A$67),"")</f>
        <v/>
      </c>
      <c r="BA74" s="267"/>
      <c r="BB74" s="267" t="str">
        <f>IF(AND('Mapa final'!$K$70="Baja",'Mapa final'!$O$70="Catastrófico"),CONCATENATE("R",'Mapa final'!$A$70),"")</f>
        <v/>
      </c>
      <c r="BC74" s="267"/>
      <c r="BD74" s="267" t="str">
        <f>IF(AND('Mapa final'!$K$73="Baja",'Mapa final'!$O$73="Catastrófico"),CONCATENATE("R",'Mapa final'!$A$73),"")</f>
        <v/>
      </c>
      <c r="BE74" s="267"/>
      <c r="BF74" s="267" t="str">
        <f>IF(AND('Mapa final'!$K$76="Baja",'Mapa final'!$O$76="Catastrófico"),CONCATENATE("R",'Mapa final'!$A$76),"")</f>
        <v/>
      </c>
      <c r="BG74" s="286"/>
      <c r="BH74" s="58"/>
      <c r="BI74" s="320" t="s">
        <v>76</v>
      </c>
      <c r="BJ74" s="321"/>
      <c r="BK74" s="321"/>
      <c r="BL74" s="321"/>
      <c r="BM74" s="321"/>
      <c r="BN74" s="322"/>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row>
    <row r="75" spans="1:100" ht="15" customHeight="1" x14ac:dyDescent="0.25">
      <c r="A75" s="58"/>
      <c r="B75" s="356"/>
      <c r="C75" s="356"/>
      <c r="D75" s="357"/>
      <c r="E75" s="331"/>
      <c r="F75" s="332"/>
      <c r="G75" s="332"/>
      <c r="H75" s="332"/>
      <c r="I75" s="333"/>
      <c r="J75" s="265"/>
      <c r="K75" s="266"/>
      <c r="L75" s="266"/>
      <c r="M75" s="266"/>
      <c r="N75" s="266"/>
      <c r="O75" s="266"/>
      <c r="P75" s="266"/>
      <c r="Q75" s="266"/>
      <c r="R75" s="266"/>
      <c r="S75" s="266"/>
      <c r="T75" s="272"/>
      <c r="U75" s="270"/>
      <c r="V75" s="270"/>
      <c r="W75" s="270"/>
      <c r="X75" s="270"/>
      <c r="Y75" s="270"/>
      <c r="Z75" s="270"/>
      <c r="AA75" s="270"/>
      <c r="AB75" s="270"/>
      <c r="AC75" s="271"/>
      <c r="AD75" s="272"/>
      <c r="AE75" s="270"/>
      <c r="AF75" s="270"/>
      <c r="AG75" s="270"/>
      <c r="AH75" s="270"/>
      <c r="AI75" s="270"/>
      <c r="AJ75" s="270"/>
      <c r="AK75" s="270"/>
      <c r="AL75" s="270"/>
      <c r="AM75" s="271"/>
      <c r="AN75" s="275"/>
      <c r="AO75" s="273"/>
      <c r="AP75" s="273"/>
      <c r="AQ75" s="273"/>
      <c r="AR75" s="273"/>
      <c r="AS75" s="273"/>
      <c r="AT75" s="273"/>
      <c r="AU75" s="273"/>
      <c r="AV75" s="273"/>
      <c r="AW75" s="273"/>
      <c r="AX75" s="285"/>
      <c r="AY75" s="267"/>
      <c r="AZ75" s="267"/>
      <c r="BA75" s="267"/>
      <c r="BB75" s="267"/>
      <c r="BC75" s="267"/>
      <c r="BD75" s="267"/>
      <c r="BE75" s="267"/>
      <c r="BF75" s="267"/>
      <c r="BG75" s="286"/>
      <c r="BH75" s="58"/>
      <c r="BI75" s="323"/>
      <c r="BJ75" s="324"/>
      <c r="BK75" s="324"/>
      <c r="BL75" s="324"/>
      <c r="BM75" s="324"/>
      <c r="BN75" s="325"/>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row>
    <row r="76" spans="1:100" ht="15" customHeight="1" x14ac:dyDescent="0.25">
      <c r="A76" s="58"/>
      <c r="B76" s="356"/>
      <c r="C76" s="356"/>
      <c r="D76" s="357"/>
      <c r="E76" s="331"/>
      <c r="F76" s="332"/>
      <c r="G76" s="332"/>
      <c r="H76" s="332"/>
      <c r="I76" s="333"/>
      <c r="J76" s="265" t="str">
        <f>IF(AND('Mapa final'!$K$79="Baja",'Mapa final'!$O$79="Leve"),CONCATENATE("R",'Mapa final'!$A$79),"")</f>
        <v/>
      </c>
      <c r="K76" s="266"/>
      <c r="L76" s="266" t="str">
        <f>IF(AND('Mapa final'!$K$82="Baja",'Mapa final'!$O$82="Leve"),CONCATENATE("R",'Mapa final'!$A$82),"")</f>
        <v/>
      </c>
      <c r="M76" s="266"/>
      <c r="N76" s="266" t="str">
        <f>IF(AND('Mapa final'!$K$85="Baja",'Mapa final'!$O$85="Leve"),CONCATENATE("R",'Mapa final'!$A$85),"")</f>
        <v/>
      </c>
      <c r="O76" s="266"/>
      <c r="P76" s="266" t="str">
        <f>IF(AND('Mapa final'!$K$88="Baja",'Mapa final'!$O$88="Leve"),CONCATENATE("R",'Mapa final'!$A$88),"")</f>
        <v/>
      </c>
      <c r="Q76" s="266"/>
      <c r="R76" s="266" t="str">
        <f>IF(AND('Mapa final'!$K$91="Baja",'Mapa final'!$O$91="Leve"),CONCATENATE("R",'Mapa final'!$A$91),"")</f>
        <v/>
      </c>
      <c r="S76" s="266"/>
      <c r="T76" s="272" t="str">
        <f>IF(AND('Mapa final'!$K$79="Baja",'Mapa final'!$O$79="Menor"),CONCATENATE("R",'Mapa final'!$A$79),"")</f>
        <v/>
      </c>
      <c r="U76" s="270"/>
      <c r="V76" s="270" t="str">
        <f>IF(AND('Mapa final'!$K$82="Baja",'Mapa final'!$O$82="Menor"),CONCATENATE("R",'Mapa final'!$A$82),"")</f>
        <v/>
      </c>
      <c r="W76" s="270"/>
      <c r="X76" s="270" t="str">
        <f>IF(AND('Mapa final'!$K$85="Baja",'Mapa final'!$O$85="Menor"),CONCATENATE("R",'Mapa final'!$A$85),"")</f>
        <v/>
      </c>
      <c r="Y76" s="270"/>
      <c r="Z76" s="270" t="str">
        <f>IF(AND('Mapa final'!$K$88="Baja",'Mapa final'!$O$88="Menor"),CONCATENATE("R",'Mapa final'!$A$88),"")</f>
        <v/>
      </c>
      <c r="AA76" s="270"/>
      <c r="AB76" s="270" t="str">
        <f>IF(AND('Mapa final'!$K$91="Baja",'Mapa final'!$O$91="Menor"),CONCATENATE("R",'Mapa final'!$A$91),"")</f>
        <v/>
      </c>
      <c r="AC76" s="271"/>
      <c r="AD76" s="272" t="str">
        <f>IF(AND('Mapa final'!$K$79="Baja",'Mapa final'!$O$79="Moderado"),CONCATENATE("R",'Mapa final'!$A$79),"")</f>
        <v>R25</v>
      </c>
      <c r="AE76" s="270"/>
      <c r="AF76" s="270" t="str">
        <f>IF(AND('Mapa final'!$K$82="Baja",'Mapa final'!$O$82="Moderado"),CONCATENATE("R",'Mapa final'!$A$82),"")</f>
        <v/>
      </c>
      <c r="AG76" s="270"/>
      <c r="AH76" s="270" t="str">
        <f>IF(AND('Mapa final'!$K$85="Baja",'Mapa final'!$O$85="Moderado"),CONCATENATE("R",'Mapa final'!$A$85),"")</f>
        <v/>
      </c>
      <c r="AI76" s="270"/>
      <c r="AJ76" s="270" t="str">
        <f>IF(AND('Mapa final'!$K$88="Baja",'Mapa final'!$O$88="Moderado"),CONCATENATE("R",'Mapa final'!$A$88),"")</f>
        <v/>
      </c>
      <c r="AK76" s="270"/>
      <c r="AL76" s="270" t="str">
        <f>IF(AND('Mapa final'!$K$91="Baja",'Mapa final'!$O$91="Moderado"),CONCATENATE("R",'Mapa final'!$A$91),"")</f>
        <v/>
      </c>
      <c r="AM76" s="271"/>
      <c r="AN76" s="275" t="str">
        <f>IF(AND('Mapa final'!$K$79="Baja",'Mapa final'!$O$79="Mayor"),CONCATENATE("R",'Mapa final'!$A$79),"")</f>
        <v/>
      </c>
      <c r="AO76" s="273"/>
      <c r="AP76" s="273" t="str">
        <f>IF(AND('Mapa final'!$K$82="Baja",'Mapa final'!$O$82="Mayor"),CONCATENATE("R",'Mapa final'!$A$82),"")</f>
        <v/>
      </c>
      <c r="AQ76" s="273"/>
      <c r="AR76" s="273" t="str">
        <f>IF(AND('Mapa final'!$K$85="Baja",'Mapa final'!$O$85="Mayor"),CONCATENATE("R",'Mapa final'!$A$85),"")</f>
        <v/>
      </c>
      <c r="AS76" s="273"/>
      <c r="AT76" s="273" t="str">
        <f>IF(AND('Mapa final'!$K$88="Baja",'Mapa final'!$O$88="Mayor"),CONCATENATE("R",'Mapa final'!$A$88),"")</f>
        <v/>
      </c>
      <c r="AU76" s="273"/>
      <c r="AV76" s="273" t="str">
        <f>IF(AND('Mapa final'!$K$91="Baja",'Mapa final'!$O$91="Mayor"),CONCATENATE("R",'Mapa final'!$A$91),"")</f>
        <v/>
      </c>
      <c r="AW76" s="273"/>
      <c r="AX76" s="285" t="str">
        <f>IF(AND('Mapa final'!$K$79="Baja",'Mapa final'!$O$79="Catastrófico"),CONCATENATE("R",'Mapa final'!$A$79),"")</f>
        <v/>
      </c>
      <c r="AY76" s="267"/>
      <c r="AZ76" s="267" t="str">
        <f>IF(AND('Mapa final'!$K$82="Baja",'Mapa final'!$O$82="Catastrófico"),CONCATENATE("R",'Mapa final'!$A$82),"")</f>
        <v/>
      </c>
      <c r="BA76" s="267"/>
      <c r="BB76" s="267" t="str">
        <f>IF(AND('Mapa final'!$K$85="Baja",'Mapa final'!$O$85="Catastrófico"),CONCATENATE("R",'Mapa final'!$A$85),"")</f>
        <v/>
      </c>
      <c r="BC76" s="267"/>
      <c r="BD76" s="267" t="str">
        <f>IF(AND('Mapa final'!$K$88="Baja",'Mapa final'!$O$88="Catastrófico"),CONCATENATE("R",'Mapa final'!$A$88),"")</f>
        <v/>
      </c>
      <c r="BE76" s="267"/>
      <c r="BF76" s="267" t="str">
        <f>IF(AND('Mapa final'!$K$91="Baja",'Mapa final'!$O$91="Catastrófico"),CONCATENATE("R",'Mapa final'!$A$91),"")</f>
        <v/>
      </c>
      <c r="BG76" s="286"/>
      <c r="BH76" s="58"/>
      <c r="BI76" s="323"/>
      <c r="BJ76" s="324"/>
      <c r="BK76" s="324"/>
      <c r="BL76" s="324"/>
      <c r="BM76" s="324"/>
      <c r="BN76" s="325"/>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row>
    <row r="77" spans="1:100" ht="15" customHeight="1" x14ac:dyDescent="0.25">
      <c r="A77" s="58"/>
      <c r="B77" s="356"/>
      <c r="C77" s="356"/>
      <c r="D77" s="357"/>
      <c r="E77" s="331"/>
      <c r="F77" s="332"/>
      <c r="G77" s="332"/>
      <c r="H77" s="332"/>
      <c r="I77" s="333"/>
      <c r="J77" s="265"/>
      <c r="K77" s="266"/>
      <c r="L77" s="266"/>
      <c r="M77" s="266"/>
      <c r="N77" s="266"/>
      <c r="O77" s="266"/>
      <c r="P77" s="266"/>
      <c r="Q77" s="266"/>
      <c r="R77" s="266"/>
      <c r="S77" s="266"/>
      <c r="T77" s="272"/>
      <c r="U77" s="270"/>
      <c r="V77" s="270"/>
      <c r="W77" s="270"/>
      <c r="X77" s="270"/>
      <c r="Y77" s="270"/>
      <c r="Z77" s="270"/>
      <c r="AA77" s="270"/>
      <c r="AB77" s="270"/>
      <c r="AC77" s="271"/>
      <c r="AD77" s="272"/>
      <c r="AE77" s="270"/>
      <c r="AF77" s="270"/>
      <c r="AG77" s="270"/>
      <c r="AH77" s="270"/>
      <c r="AI77" s="270"/>
      <c r="AJ77" s="270"/>
      <c r="AK77" s="270"/>
      <c r="AL77" s="270"/>
      <c r="AM77" s="271"/>
      <c r="AN77" s="275"/>
      <c r="AO77" s="273"/>
      <c r="AP77" s="273"/>
      <c r="AQ77" s="273"/>
      <c r="AR77" s="273"/>
      <c r="AS77" s="273"/>
      <c r="AT77" s="273"/>
      <c r="AU77" s="273"/>
      <c r="AV77" s="273"/>
      <c r="AW77" s="273"/>
      <c r="AX77" s="285"/>
      <c r="AY77" s="267"/>
      <c r="AZ77" s="267"/>
      <c r="BA77" s="267"/>
      <c r="BB77" s="267"/>
      <c r="BC77" s="267"/>
      <c r="BD77" s="267"/>
      <c r="BE77" s="267"/>
      <c r="BF77" s="267"/>
      <c r="BG77" s="286"/>
      <c r="BH77" s="58"/>
      <c r="BI77" s="323"/>
      <c r="BJ77" s="324"/>
      <c r="BK77" s="324"/>
      <c r="BL77" s="324"/>
      <c r="BM77" s="324"/>
      <c r="BN77" s="325"/>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row>
    <row r="78" spans="1:100" ht="15" customHeight="1" x14ac:dyDescent="0.25">
      <c r="A78" s="58"/>
      <c r="B78" s="356"/>
      <c r="C78" s="356"/>
      <c r="D78" s="357"/>
      <c r="E78" s="331"/>
      <c r="F78" s="332"/>
      <c r="G78" s="332"/>
      <c r="H78" s="332"/>
      <c r="I78" s="333"/>
      <c r="J78" s="265" t="str">
        <f>IF(AND('Mapa final'!$K$94="Baja",'Mapa final'!$O$94="Leve"),CONCATENATE("R",'Mapa final'!$A$94),"")</f>
        <v/>
      </c>
      <c r="K78" s="266"/>
      <c r="L78" s="266" t="str">
        <f>IF(AND('Mapa final'!$K$97="Baja",'Mapa final'!$O$97="Leve"),CONCATENATE("R",'Mapa final'!$A$97),"")</f>
        <v/>
      </c>
      <c r="M78" s="266"/>
      <c r="N78" s="266" t="str">
        <f>IF(AND('Mapa final'!$K$100="Baja",'Mapa final'!$O$100="Leve"),CONCATENATE("R",'Mapa final'!$A$100),"")</f>
        <v/>
      </c>
      <c r="O78" s="266"/>
      <c r="P78" s="266" t="str">
        <f>IF(AND('Mapa final'!$K$103="Baja",'Mapa final'!$O$103="Leve"),CONCATENATE("R",'Mapa final'!$A$103),"")</f>
        <v/>
      </c>
      <c r="Q78" s="266"/>
      <c r="R78" s="266" t="str">
        <f>IF(AND('Mapa final'!$K$106="Baja",'Mapa final'!$O$106="Leve"),CONCATENATE("R",'Mapa final'!$A$106),"")</f>
        <v/>
      </c>
      <c r="S78" s="266"/>
      <c r="T78" s="272" t="str">
        <f>IF(AND('Mapa final'!$K$94="Baja",'Mapa final'!$O$94="Menor"),CONCATENATE("R",'Mapa final'!$A$94),"")</f>
        <v/>
      </c>
      <c r="U78" s="270"/>
      <c r="V78" s="270" t="str">
        <f>IF(AND('Mapa final'!$K$97="Baja",'Mapa final'!$O$97="Menor"),CONCATENATE("R",'Mapa final'!$A$97),"")</f>
        <v/>
      </c>
      <c r="W78" s="270"/>
      <c r="X78" s="270" t="str">
        <f>IF(AND('Mapa final'!$K$100="Baja",'Mapa final'!$O$100="Menor"),CONCATENATE("R",'Mapa final'!$A$100),"")</f>
        <v/>
      </c>
      <c r="Y78" s="270"/>
      <c r="Z78" s="270" t="str">
        <f>IF(AND('Mapa final'!$K$103="Baja",'Mapa final'!$O$103="Menor"),CONCATENATE("R",'Mapa final'!$A$103),"")</f>
        <v/>
      </c>
      <c r="AA78" s="270"/>
      <c r="AB78" s="270" t="str">
        <f>IF(AND('Mapa final'!$K$106="Baja",'Mapa final'!$O$106="Menor"),CONCATENATE("R",'Mapa final'!$A$106),"")</f>
        <v/>
      </c>
      <c r="AC78" s="271"/>
      <c r="AD78" s="272" t="str">
        <f>IF(AND('Mapa final'!$K$94="Baja",'Mapa final'!$O$94="Moderado"),CONCATENATE("R",'Mapa final'!$A$94),"")</f>
        <v>R30</v>
      </c>
      <c r="AE78" s="270"/>
      <c r="AF78" s="270" t="str">
        <f>IF(AND('Mapa final'!$K$97="Baja",'Mapa final'!$O$97="Moderado"),CONCATENATE("R",'Mapa final'!$A$97),"")</f>
        <v/>
      </c>
      <c r="AG78" s="270"/>
      <c r="AH78" s="270" t="str">
        <f>IF(AND('Mapa final'!$K$100="Baja",'Mapa final'!$O$100="Moderado"),CONCATENATE("R",'Mapa final'!$A$100),"")</f>
        <v/>
      </c>
      <c r="AI78" s="270"/>
      <c r="AJ78" s="270" t="str">
        <f>IF(AND('Mapa final'!$K$103="Baja",'Mapa final'!$O$103="Moderado"),CONCATENATE("R",'Mapa final'!$A$103),"")</f>
        <v/>
      </c>
      <c r="AK78" s="270"/>
      <c r="AL78" s="270" t="str">
        <f>IF(AND('Mapa final'!$K$106="Baja",'Mapa final'!$O$106="Moderado"),CONCATENATE("R",'Mapa final'!$A$106),"")</f>
        <v/>
      </c>
      <c r="AM78" s="271"/>
      <c r="AN78" s="275" t="str">
        <f>IF(AND('Mapa final'!$K$94="Baja",'Mapa final'!$O$94="Mayor"),CONCATENATE("R",'Mapa final'!$A$94),"")</f>
        <v/>
      </c>
      <c r="AO78" s="273"/>
      <c r="AP78" s="273" t="str">
        <f>IF(AND('Mapa final'!$K$97="Baja",'Mapa final'!$O$97="Mayor"),CONCATENATE("R",'Mapa final'!$A$97),"")</f>
        <v/>
      </c>
      <c r="AQ78" s="273"/>
      <c r="AR78" s="273" t="str">
        <f>IF(AND('Mapa final'!$K$100="Baja",'Mapa final'!$O$100="Mayor"),CONCATENATE("R",'Mapa final'!$A$100),"")</f>
        <v/>
      </c>
      <c r="AS78" s="273"/>
      <c r="AT78" s="273" t="str">
        <f>IF(AND('Mapa final'!$K$103="Baja",'Mapa final'!$O$103="Mayor"),CONCATENATE("R",'Mapa final'!$A$103),"")</f>
        <v/>
      </c>
      <c r="AU78" s="273"/>
      <c r="AV78" s="273" t="str">
        <f>IF(AND('Mapa final'!$K$106="Baja",'Mapa final'!$O$106="Mayor"),CONCATENATE("R",'Mapa final'!$A$106),"")</f>
        <v/>
      </c>
      <c r="AW78" s="273"/>
      <c r="AX78" s="285" t="str">
        <f>IF(AND('Mapa final'!$K$94="Baja",'Mapa final'!$O$94="Catastrófico"),CONCATENATE("R",'Mapa final'!$A$94),"")</f>
        <v/>
      </c>
      <c r="AY78" s="267"/>
      <c r="AZ78" s="267" t="str">
        <f>IF(AND('Mapa final'!$K$97="Baja",'Mapa final'!$O$97="Catastrófico"),CONCATENATE("R",'Mapa final'!$A$97),"")</f>
        <v/>
      </c>
      <c r="BA78" s="267"/>
      <c r="BB78" s="267" t="str">
        <f>IF(AND('Mapa final'!$K$100="Baja",'Mapa final'!$O$100="Catastrófico"),CONCATENATE("R",'Mapa final'!$A$100),"")</f>
        <v/>
      </c>
      <c r="BC78" s="267"/>
      <c r="BD78" s="267" t="str">
        <f>IF(AND('Mapa final'!$K$103="Baja",'Mapa final'!$O$103="Catastrófico"),CONCATENATE("R",'Mapa final'!$A$103),"")</f>
        <v/>
      </c>
      <c r="BE78" s="267"/>
      <c r="BF78" s="267" t="str">
        <f>IF(AND('Mapa final'!$K$106="Baja",'Mapa final'!$O$106="Catastrófico"),CONCATENATE("R",'Mapa final'!$A$106),"")</f>
        <v/>
      </c>
      <c r="BG78" s="286"/>
      <c r="BH78" s="58"/>
      <c r="BI78" s="323"/>
      <c r="BJ78" s="324"/>
      <c r="BK78" s="324"/>
      <c r="BL78" s="324"/>
      <c r="BM78" s="324"/>
      <c r="BN78" s="325"/>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row>
    <row r="79" spans="1:100" ht="15" customHeight="1" x14ac:dyDescent="0.25">
      <c r="A79" s="58"/>
      <c r="B79" s="356"/>
      <c r="C79" s="356"/>
      <c r="D79" s="357"/>
      <c r="E79" s="331"/>
      <c r="F79" s="332"/>
      <c r="G79" s="332"/>
      <c r="H79" s="332"/>
      <c r="I79" s="333"/>
      <c r="J79" s="265"/>
      <c r="K79" s="266"/>
      <c r="L79" s="266"/>
      <c r="M79" s="266"/>
      <c r="N79" s="266"/>
      <c r="O79" s="266"/>
      <c r="P79" s="266"/>
      <c r="Q79" s="266"/>
      <c r="R79" s="266"/>
      <c r="S79" s="266"/>
      <c r="T79" s="272"/>
      <c r="U79" s="270"/>
      <c r="V79" s="270"/>
      <c r="W79" s="270"/>
      <c r="X79" s="270"/>
      <c r="Y79" s="270"/>
      <c r="Z79" s="270"/>
      <c r="AA79" s="270"/>
      <c r="AB79" s="270"/>
      <c r="AC79" s="271"/>
      <c r="AD79" s="272"/>
      <c r="AE79" s="270"/>
      <c r="AF79" s="270"/>
      <c r="AG79" s="270"/>
      <c r="AH79" s="270"/>
      <c r="AI79" s="270"/>
      <c r="AJ79" s="270"/>
      <c r="AK79" s="270"/>
      <c r="AL79" s="270"/>
      <c r="AM79" s="271"/>
      <c r="AN79" s="275"/>
      <c r="AO79" s="273"/>
      <c r="AP79" s="273"/>
      <c r="AQ79" s="273"/>
      <c r="AR79" s="273"/>
      <c r="AS79" s="273"/>
      <c r="AT79" s="273"/>
      <c r="AU79" s="273"/>
      <c r="AV79" s="273"/>
      <c r="AW79" s="273"/>
      <c r="AX79" s="285"/>
      <c r="AY79" s="267"/>
      <c r="AZ79" s="267"/>
      <c r="BA79" s="267"/>
      <c r="BB79" s="267"/>
      <c r="BC79" s="267"/>
      <c r="BD79" s="267"/>
      <c r="BE79" s="267"/>
      <c r="BF79" s="267"/>
      <c r="BG79" s="286"/>
      <c r="BH79" s="58"/>
      <c r="BI79" s="323"/>
      <c r="BJ79" s="324"/>
      <c r="BK79" s="324"/>
      <c r="BL79" s="324"/>
      <c r="BM79" s="324"/>
      <c r="BN79" s="325"/>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row>
    <row r="80" spans="1:100" ht="15" customHeight="1" x14ac:dyDescent="0.25">
      <c r="A80" s="58"/>
      <c r="B80" s="356"/>
      <c r="C80" s="356"/>
      <c r="D80" s="357"/>
      <c r="E80" s="331"/>
      <c r="F80" s="332"/>
      <c r="G80" s="332"/>
      <c r="H80" s="332"/>
      <c r="I80" s="333"/>
      <c r="J80" s="265" t="str">
        <f>IF(AND('Mapa final'!$K$109="Baja",'Mapa final'!$O$109="Leve"),CONCATENATE("R",'Mapa final'!$A$109),"")</f>
        <v/>
      </c>
      <c r="K80" s="266"/>
      <c r="L80" s="266" t="str">
        <f>IF(AND('Mapa final'!$K$112="Baja",'Mapa final'!$O$112="Leve"),CONCATENATE("R",'Mapa final'!$A$112),"")</f>
        <v/>
      </c>
      <c r="M80" s="266"/>
      <c r="N80" s="266" t="str">
        <f>IF(AND('Mapa final'!$K$115="Baja",'Mapa final'!$O$115="Leve"),CONCATENATE("R",'Mapa final'!$A$115),"")</f>
        <v/>
      </c>
      <c r="O80" s="266"/>
      <c r="P80" s="266" t="str">
        <f>IF(AND('Mapa final'!$K$118="Baja",'Mapa final'!$O$118="Leve"),CONCATENATE("R",'Mapa final'!$A$118),"")</f>
        <v/>
      </c>
      <c r="Q80" s="266"/>
      <c r="R80" s="266" t="str">
        <f>IF(AND('Mapa final'!$K$121="Baja",'Mapa final'!$O$121="Leve"),CONCATENATE("R",'Mapa final'!$A$121),"")</f>
        <v/>
      </c>
      <c r="S80" s="266"/>
      <c r="T80" s="272" t="str">
        <f>IF(AND('Mapa final'!$K$109="Baja",'Mapa final'!$O$109="Menor"),CONCATENATE("R",'Mapa final'!$A$109),"")</f>
        <v/>
      </c>
      <c r="U80" s="270"/>
      <c r="V80" s="270" t="str">
        <f>IF(AND('Mapa final'!$K$112="Baja",'Mapa final'!$O$112="Menor"),CONCATENATE("R",'Mapa final'!$A$112),"")</f>
        <v>R36</v>
      </c>
      <c r="W80" s="270"/>
      <c r="X80" s="270" t="str">
        <f>IF(AND('Mapa final'!$K$115="Baja",'Mapa final'!$O$115="Menor"),CONCATENATE("R",'Mapa final'!$A$115),"")</f>
        <v/>
      </c>
      <c r="Y80" s="270"/>
      <c r="Z80" s="270" t="str">
        <f>IF(AND('Mapa final'!$K$118="Baja",'Mapa final'!$O$118="Menor"),CONCATENATE("R",'Mapa final'!$A$118),"")</f>
        <v/>
      </c>
      <c r="AA80" s="270"/>
      <c r="AB80" s="270" t="str">
        <f>IF(AND('Mapa final'!$K$121="Baja",'Mapa final'!$O$121="Menor"),CONCATENATE("R",'Mapa final'!$A$121),"")</f>
        <v/>
      </c>
      <c r="AC80" s="271"/>
      <c r="AD80" s="272" t="str">
        <f>IF(AND('Mapa final'!$K$109="Baja",'Mapa final'!$O$109="Moderado"),CONCATENATE("R",'Mapa final'!$A$109),"")</f>
        <v/>
      </c>
      <c r="AE80" s="270"/>
      <c r="AF80" s="270" t="str">
        <f>IF(AND('Mapa final'!$K$112="Baja",'Mapa final'!$O$112="Moderado"),CONCATENATE("R",'Mapa final'!$A$112),"")</f>
        <v/>
      </c>
      <c r="AG80" s="270"/>
      <c r="AH80" s="270" t="str">
        <f>IF(AND('Mapa final'!$K$115="Baja",'Mapa final'!$O$115="Moderado"),CONCATENATE("R",'Mapa final'!$A$115),"")</f>
        <v/>
      </c>
      <c r="AI80" s="270"/>
      <c r="AJ80" s="270" t="str">
        <f>IF(AND('Mapa final'!$K$118="Baja",'Mapa final'!$O$118="Moderado"),CONCATENATE("R",'Mapa final'!$A$118),"")</f>
        <v/>
      </c>
      <c r="AK80" s="270"/>
      <c r="AL80" s="270" t="str">
        <f>IF(AND('Mapa final'!$K$121="Baja",'Mapa final'!$O$121="Moderado"),CONCATENATE("R",'Mapa final'!$A$121),"")</f>
        <v/>
      </c>
      <c r="AM80" s="271"/>
      <c r="AN80" s="275" t="str">
        <f>IF(AND('Mapa final'!$K$109="Baja",'Mapa final'!$O$109="Mayor"),CONCATENATE("R",'Mapa final'!$A$109),"")</f>
        <v/>
      </c>
      <c r="AO80" s="273"/>
      <c r="AP80" s="273" t="str">
        <f>IF(AND('Mapa final'!$K$112="Baja",'Mapa final'!$O$112="Mayor"),CONCATENATE("R",'Mapa final'!$A$112),"")</f>
        <v/>
      </c>
      <c r="AQ80" s="273"/>
      <c r="AR80" s="273" t="str">
        <f>IF(AND('Mapa final'!$K$115="Baja",'Mapa final'!$O$115="Mayor"),CONCATENATE("R",'Mapa final'!$A$115),"")</f>
        <v/>
      </c>
      <c r="AS80" s="273"/>
      <c r="AT80" s="273" t="str">
        <f>IF(AND('Mapa final'!$K$118="Baja",'Mapa final'!$O$118="Mayor"),CONCATENATE("R",'Mapa final'!$A$118),"")</f>
        <v/>
      </c>
      <c r="AU80" s="273"/>
      <c r="AV80" s="273" t="str">
        <f>IF(AND('Mapa final'!$K$121="Baja",'Mapa final'!$O$121="Mayor"),CONCATENATE("R",'Mapa final'!$A$121),"")</f>
        <v/>
      </c>
      <c r="AW80" s="273"/>
      <c r="AX80" s="285" t="str">
        <f>IF(AND('Mapa final'!$K$109="Baja",'Mapa final'!$O$109="Catastrófico"),CONCATENATE("R",'Mapa final'!$A$109),"")</f>
        <v/>
      </c>
      <c r="AY80" s="267"/>
      <c r="AZ80" s="267" t="str">
        <f>IF(AND('Mapa final'!$K$112="Baja",'Mapa final'!$O$112="Catastrófico"),CONCATENATE("R",'Mapa final'!$A$112),"")</f>
        <v/>
      </c>
      <c r="BA80" s="267"/>
      <c r="BB80" s="267" t="str">
        <f>IF(AND('Mapa final'!$K$115="Baja",'Mapa final'!$O$115="Catastrófico"),CONCATENATE("R",'Mapa final'!$A$115),"")</f>
        <v/>
      </c>
      <c r="BC80" s="267"/>
      <c r="BD80" s="267" t="str">
        <f>IF(AND('Mapa final'!$K$118="Baja",'Mapa final'!$O$118="Catastrófico"),CONCATENATE("R",'Mapa final'!$A$118),"")</f>
        <v/>
      </c>
      <c r="BE80" s="267"/>
      <c r="BF80" s="267" t="str">
        <f>IF(AND('Mapa final'!$K$121="Baja",'Mapa final'!$O$121="Catastrófico"),CONCATENATE("R",'Mapa final'!$A$121),"")</f>
        <v/>
      </c>
      <c r="BG80" s="286"/>
      <c r="BH80" s="58"/>
      <c r="BI80" s="323"/>
      <c r="BJ80" s="324"/>
      <c r="BK80" s="324"/>
      <c r="BL80" s="324"/>
      <c r="BM80" s="324"/>
      <c r="BN80" s="325"/>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row>
    <row r="81" spans="1:100" ht="15" customHeight="1" x14ac:dyDescent="0.25">
      <c r="A81" s="58"/>
      <c r="B81" s="356"/>
      <c r="C81" s="356"/>
      <c r="D81" s="357"/>
      <c r="E81" s="331"/>
      <c r="F81" s="332"/>
      <c r="G81" s="332"/>
      <c r="H81" s="332"/>
      <c r="I81" s="333"/>
      <c r="J81" s="265"/>
      <c r="K81" s="266"/>
      <c r="L81" s="266"/>
      <c r="M81" s="266"/>
      <c r="N81" s="266"/>
      <c r="O81" s="266"/>
      <c r="P81" s="266"/>
      <c r="Q81" s="266"/>
      <c r="R81" s="266"/>
      <c r="S81" s="266"/>
      <c r="T81" s="272"/>
      <c r="U81" s="270"/>
      <c r="V81" s="270"/>
      <c r="W81" s="270"/>
      <c r="X81" s="270"/>
      <c r="Y81" s="270"/>
      <c r="Z81" s="270"/>
      <c r="AA81" s="270"/>
      <c r="AB81" s="270"/>
      <c r="AC81" s="271"/>
      <c r="AD81" s="272"/>
      <c r="AE81" s="270"/>
      <c r="AF81" s="270"/>
      <c r="AG81" s="270"/>
      <c r="AH81" s="270"/>
      <c r="AI81" s="270"/>
      <c r="AJ81" s="270"/>
      <c r="AK81" s="270"/>
      <c r="AL81" s="270"/>
      <c r="AM81" s="271"/>
      <c r="AN81" s="275"/>
      <c r="AO81" s="273"/>
      <c r="AP81" s="273"/>
      <c r="AQ81" s="273"/>
      <c r="AR81" s="273"/>
      <c r="AS81" s="273"/>
      <c r="AT81" s="273"/>
      <c r="AU81" s="273"/>
      <c r="AV81" s="273"/>
      <c r="AW81" s="273"/>
      <c r="AX81" s="285"/>
      <c r="AY81" s="267"/>
      <c r="AZ81" s="267"/>
      <c r="BA81" s="267"/>
      <c r="BB81" s="267"/>
      <c r="BC81" s="267"/>
      <c r="BD81" s="267"/>
      <c r="BE81" s="267"/>
      <c r="BF81" s="267"/>
      <c r="BG81" s="286"/>
      <c r="BH81" s="58"/>
      <c r="BI81" s="323"/>
      <c r="BJ81" s="324"/>
      <c r="BK81" s="324"/>
      <c r="BL81" s="324"/>
      <c r="BM81" s="324"/>
      <c r="BN81" s="325"/>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row>
    <row r="82" spans="1:100" ht="15" customHeight="1" x14ac:dyDescent="0.25">
      <c r="A82" s="58"/>
      <c r="B82" s="356"/>
      <c r="C82" s="356"/>
      <c r="D82" s="357"/>
      <c r="E82" s="331"/>
      <c r="F82" s="332"/>
      <c r="G82" s="332"/>
      <c r="H82" s="332"/>
      <c r="I82" s="333"/>
      <c r="J82" s="265" t="str">
        <f>IF(AND('Mapa final'!$K$124="Baja",'Mapa final'!$O$124="Leve"),CONCATENATE("R",'Mapa final'!$A$124),"")</f>
        <v/>
      </c>
      <c r="K82" s="266"/>
      <c r="L82" s="266" t="str">
        <f>IF(AND('Mapa final'!$K$127="Baja",'Mapa final'!$O$127="Leve"),CONCATENATE("R",'Mapa final'!$A$127),"")</f>
        <v/>
      </c>
      <c r="M82" s="266"/>
      <c r="N82" s="266" t="str">
        <f>IF(AND('Mapa final'!$K$130="Baja",'Mapa final'!$O$130="Leve"),CONCATENATE("R",'Mapa final'!$A$130),"")</f>
        <v/>
      </c>
      <c r="O82" s="266"/>
      <c r="P82" s="266" t="str">
        <f>IF(AND('Mapa final'!$K$133="Baja",'Mapa final'!$O$133="Leve"),CONCATENATE("R",'Mapa final'!$A$133),"")</f>
        <v/>
      </c>
      <c r="Q82" s="266"/>
      <c r="R82" s="266" t="str">
        <f>IF(AND('Mapa final'!$K$136="Baja",'Mapa final'!$O$136="Leve"),CONCATENATE("R",'Mapa final'!$A$136),"")</f>
        <v/>
      </c>
      <c r="S82" s="266"/>
      <c r="T82" s="272" t="str">
        <f>IF(AND('Mapa final'!$K$124="Baja",'Mapa final'!$O$124="Menor"),CONCATENATE("R",'Mapa final'!$A$124),"")</f>
        <v/>
      </c>
      <c r="U82" s="270"/>
      <c r="V82" s="270" t="str">
        <f>IF(AND('Mapa final'!$K$127="Baja",'Mapa final'!$O$127="Menor"),CONCATENATE("R",'Mapa final'!$A$127),"")</f>
        <v/>
      </c>
      <c r="W82" s="270"/>
      <c r="X82" s="270" t="str">
        <f>IF(AND('Mapa final'!$K$130="Baja",'Mapa final'!$O$130="Menor"),CONCATENATE("R",'Mapa final'!$A$130),"")</f>
        <v/>
      </c>
      <c r="Y82" s="270"/>
      <c r="Z82" s="270" t="str">
        <f>IF(AND('Mapa final'!$K$133="Baja",'Mapa final'!$O$133="Menor"),CONCATENATE("R",'Mapa final'!$A$133),"")</f>
        <v/>
      </c>
      <c r="AA82" s="270"/>
      <c r="AB82" s="270" t="str">
        <f>IF(AND('Mapa final'!$K$136="Baja",'Mapa final'!$O$136="Menor"),CONCATENATE("R",'Mapa final'!$A$136),"")</f>
        <v/>
      </c>
      <c r="AC82" s="271"/>
      <c r="AD82" s="272" t="str">
        <f>IF(AND('Mapa final'!$K$124="Baja",'Mapa final'!$O$124="Moderado"),CONCATENATE("R",'Mapa final'!$A$124),"")</f>
        <v/>
      </c>
      <c r="AE82" s="270"/>
      <c r="AF82" s="270" t="str">
        <f>IF(AND('Mapa final'!$K$127="Baja",'Mapa final'!$O$127="Moderado"),CONCATENATE("R",'Mapa final'!$A$127),"")</f>
        <v/>
      </c>
      <c r="AG82" s="270"/>
      <c r="AH82" s="270" t="str">
        <f>IF(AND('Mapa final'!$K$130="Baja",'Mapa final'!$O$130="Moderado"),CONCATENATE("R",'Mapa final'!$A$130),"")</f>
        <v/>
      </c>
      <c r="AI82" s="270"/>
      <c r="AJ82" s="270" t="str">
        <f>IF(AND('Mapa final'!$K$133="Baja",'Mapa final'!$O$133="Moderado"),CONCATENATE("R",'Mapa final'!$A$133),"")</f>
        <v/>
      </c>
      <c r="AK82" s="270"/>
      <c r="AL82" s="270" t="str">
        <f>IF(AND('Mapa final'!$K$136="Baja",'Mapa final'!$O$136="Moderado"),CONCATENATE("R",'Mapa final'!$A$136),"")</f>
        <v/>
      </c>
      <c r="AM82" s="271"/>
      <c r="AN82" s="275" t="str">
        <f>IF(AND('Mapa final'!$K$124="Baja",'Mapa final'!$O$124="Mayor"),CONCATENATE("R",'Mapa final'!$A$124),"")</f>
        <v/>
      </c>
      <c r="AO82" s="273"/>
      <c r="AP82" s="273" t="str">
        <f>IF(AND('Mapa final'!$K$127="Baja",'Mapa final'!$O$127="Mayor"),CONCATENATE("R",'Mapa final'!$A$127),"")</f>
        <v/>
      </c>
      <c r="AQ82" s="273"/>
      <c r="AR82" s="273" t="str">
        <f>IF(AND('Mapa final'!$K$130="Baja",'Mapa final'!$O$130="Mayor"),CONCATENATE("R",'Mapa final'!$A$130),"")</f>
        <v/>
      </c>
      <c r="AS82" s="273"/>
      <c r="AT82" s="273" t="str">
        <f>IF(AND('Mapa final'!$K$133="Baja",'Mapa final'!$O$133="Mayor"),CONCATENATE("R",'Mapa final'!$A$133),"")</f>
        <v/>
      </c>
      <c r="AU82" s="273"/>
      <c r="AV82" s="273" t="str">
        <f>IF(AND('Mapa final'!$K$136="Baja",'Mapa final'!$O$136="Mayor"),CONCATENATE("R",'Mapa final'!$A$136),"")</f>
        <v/>
      </c>
      <c r="AW82" s="273"/>
      <c r="AX82" s="285" t="str">
        <f>IF(AND('Mapa final'!$K$124="Baja",'Mapa final'!$O$124="Catastrófico"),CONCATENATE("R",'Mapa final'!$A$124),"")</f>
        <v/>
      </c>
      <c r="AY82" s="267"/>
      <c r="AZ82" s="267" t="str">
        <f>IF(AND('Mapa final'!$K$127="Baja",'Mapa final'!$O$127="Catastrófico"),CONCATENATE("R",'Mapa final'!$A$127),"")</f>
        <v/>
      </c>
      <c r="BA82" s="267"/>
      <c r="BB82" s="267" t="str">
        <f>IF(AND('Mapa final'!$K$130="Baja",'Mapa final'!$O$130="Catastrófico"),CONCATENATE("R",'Mapa final'!$A$130),"")</f>
        <v/>
      </c>
      <c r="BC82" s="267"/>
      <c r="BD82" s="267" t="str">
        <f>IF(AND('Mapa final'!$K$133="Baja",'Mapa final'!$O$133="Catastrófico"),CONCATENATE("R",'Mapa final'!$A$133),"")</f>
        <v/>
      </c>
      <c r="BE82" s="267"/>
      <c r="BF82" s="267" t="str">
        <f>IF(AND('Mapa final'!$K$136="Baja",'Mapa final'!$O$136="Catastrófico"),CONCATENATE("R",'Mapa final'!$A$136),"")</f>
        <v/>
      </c>
      <c r="BG82" s="286"/>
      <c r="BH82" s="58"/>
      <c r="BI82" s="323"/>
      <c r="BJ82" s="324"/>
      <c r="BK82" s="324"/>
      <c r="BL82" s="324"/>
      <c r="BM82" s="324"/>
      <c r="BN82" s="325"/>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row>
    <row r="83" spans="1:100" ht="15" customHeight="1" x14ac:dyDescent="0.25">
      <c r="A83" s="58"/>
      <c r="B83" s="356"/>
      <c r="C83" s="356"/>
      <c r="D83" s="357"/>
      <c r="E83" s="331"/>
      <c r="F83" s="332"/>
      <c r="G83" s="332"/>
      <c r="H83" s="332"/>
      <c r="I83" s="333"/>
      <c r="J83" s="265"/>
      <c r="K83" s="266"/>
      <c r="L83" s="266"/>
      <c r="M83" s="266"/>
      <c r="N83" s="266"/>
      <c r="O83" s="266"/>
      <c r="P83" s="266"/>
      <c r="Q83" s="266"/>
      <c r="R83" s="266"/>
      <c r="S83" s="266"/>
      <c r="T83" s="272"/>
      <c r="U83" s="270"/>
      <c r="V83" s="270"/>
      <c r="W83" s="270"/>
      <c r="X83" s="270"/>
      <c r="Y83" s="270"/>
      <c r="Z83" s="270"/>
      <c r="AA83" s="270"/>
      <c r="AB83" s="270"/>
      <c r="AC83" s="271"/>
      <c r="AD83" s="272"/>
      <c r="AE83" s="270"/>
      <c r="AF83" s="270"/>
      <c r="AG83" s="270"/>
      <c r="AH83" s="270"/>
      <c r="AI83" s="270"/>
      <c r="AJ83" s="270"/>
      <c r="AK83" s="270"/>
      <c r="AL83" s="270"/>
      <c r="AM83" s="271"/>
      <c r="AN83" s="275"/>
      <c r="AO83" s="273"/>
      <c r="AP83" s="273"/>
      <c r="AQ83" s="273"/>
      <c r="AR83" s="273"/>
      <c r="AS83" s="273"/>
      <c r="AT83" s="273"/>
      <c r="AU83" s="273"/>
      <c r="AV83" s="273"/>
      <c r="AW83" s="273"/>
      <c r="AX83" s="285"/>
      <c r="AY83" s="267"/>
      <c r="AZ83" s="267"/>
      <c r="BA83" s="267"/>
      <c r="BB83" s="267"/>
      <c r="BC83" s="267"/>
      <c r="BD83" s="267"/>
      <c r="BE83" s="267"/>
      <c r="BF83" s="267"/>
      <c r="BG83" s="286"/>
      <c r="BH83" s="58"/>
      <c r="BI83" s="323"/>
      <c r="BJ83" s="324"/>
      <c r="BK83" s="324"/>
      <c r="BL83" s="324"/>
      <c r="BM83" s="324"/>
      <c r="BN83" s="325"/>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58"/>
      <c r="CV83" s="58"/>
    </row>
    <row r="84" spans="1:100" ht="15" customHeight="1" x14ac:dyDescent="0.25">
      <c r="A84" s="58"/>
      <c r="B84" s="356"/>
      <c r="C84" s="356"/>
      <c r="D84" s="357"/>
      <c r="E84" s="331"/>
      <c r="F84" s="332"/>
      <c r="G84" s="332"/>
      <c r="H84" s="332"/>
      <c r="I84" s="333"/>
      <c r="J84" s="265" t="str">
        <f>IF(AND('Mapa final'!$K$139="Baja",'Mapa final'!$O$139="Leve"),CONCATENATE("R",'Mapa final'!$A$139),"")</f>
        <v/>
      </c>
      <c r="K84" s="266"/>
      <c r="L84" s="266" t="str">
        <f>IF(AND('Mapa final'!$K$142="Baja",'Mapa final'!$O$142="Leve"),CONCATENATE("R",'Mapa final'!$A$142),"")</f>
        <v/>
      </c>
      <c r="M84" s="266"/>
      <c r="N84" s="266" t="str">
        <f>IF(AND('Mapa final'!$K$145="Baja",'Mapa final'!$O$145="Leve"),CONCATENATE("R",'Mapa final'!$A$145),"")</f>
        <v/>
      </c>
      <c r="O84" s="266"/>
      <c r="P84" s="266" t="str">
        <f>IF(AND('Mapa final'!$K$148="Baja",'Mapa final'!$O$148="Leve"),CONCATENATE("R",'Mapa final'!$A$148),"")</f>
        <v/>
      </c>
      <c r="Q84" s="266"/>
      <c r="R84" s="266" t="str">
        <f>IF(AND('Mapa final'!$K$151="Baja",'Mapa final'!$O$151="Leve"),CONCATENATE("R",'Mapa final'!$A$151),"")</f>
        <v/>
      </c>
      <c r="S84" s="266"/>
      <c r="T84" s="272" t="str">
        <f>IF(AND('Mapa final'!$K$139="Baja",'Mapa final'!$O$139="Menor"),CONCATENATE("R",'Mapa final'!$A$139),"")</f>
        <v/>
      </c>
      <c r="U84" s="270"/>
      <c r="V84" s="270" t="str">
        <f>IF(AND('Mapa final'!$K$142="Baja",'Mapa final'!$O$142="Menor"),CONCATENATE("R",'Mapa final'!$A$142),"")</f>
        <v/>
      </c>
      <c r="W84" s="270"/>
      <c r="X84" s="270" t="str">
        <f>IF(AND('Mapa final'!$K$145="Baja",'Mapa final'!$O$145="Menor"),CONCATENATE("R",'Mapa final'!$A$145),"")</f>
        <v/>
      </c>
      <c r="Y84" s="270"/>
      <c r="Z84" s="270" t="str">
        <f>IF(AND('Mapa final'!$K$148="Baja",'Mapa final'!$O$148="Menor"),CONCATENATE("R",'Mapa final'!$A$148),"")</f>
        <v/>
      </c>
      <c r="AA84" s="270"/>
      <c r="AB84" s="270" t="str">
        <f>IF(AND('Mapa final'!$K$151="Baja",'Mapa final'!$O$151="Menor"),CONCATENATE("R",'Mapa final'!$A$151),"")</f>
        <v/>
      </c>
      <c r="AC84" s="271"/>
      <c r="AD84" s="272" t="str">
        <f>IF(AND('Mapa final'!$K$139="Baja",'Mapa final'!$O$139="Moderado"),CONCATENATE("R",'Mapa final'!$A$139),"")</f>
        <v/>
      </c>
      <c r="AE84" s="270"/>
      <c r="AF84" s="270" t="str">
        <f>IF(AND('Mapa final'!$K$142="Baja",'Mapa final'!$O$142="Moderado"),CONCATENATE("R",'Mapa final'!$A$142),"")</f>
        <v/>
      </c>
      <c r="AG84" s="270"/>
      <c r="AH84" s="270" t="str">
        <f>IF(AND('Mapa final'!$K$145="Baja",'Mapa final'!$O$145="Moderado"),CONCATENATE("R",'Mapa final'!$A$145),"")</f>
        <v/>
      </c>
      <c r="AI84" s="270"/>
      <c r="AJ84" s="270" t="str">
        <f>IF(AND('Mapa final'!$K$148="Baja",'Mapa final'!$O$148="Moderado"),CONCATENATE("R",'Mapa final'!$A$148),"")</f>
        <v/>
      </c>
      <c r="AK84" s="270"/>
      <c r="AL84" s="270" t="str">
        <f>IF(AND('Mapa final'!$K$151="Baja",'Mapa final'!$O$151="Moderado"),CONCATENATE("R",'Mapa final'!$A$151),"")</f>
        <v/>
      </c>
      <c r="AM84" s="271"/>
      <c r="AN84" s="275" t="str">
        <f>IF(AND('Mapa final'!$K$139="Baja",'Mapa final'!$O$139="Mayor"),CONCATENATE("R",'Mapa final'!$A$139),"")</f>
        <v/>
      </c>
      <c r="AO84" s="273"/>
      <c r="AP84" s="273" t="str">
        <f>IF(AND('Mapa final'!$K$142="Baja",'Mapa final'!$O$142="Mayor"),CONCATENATE("R",'Mapa final'!$A$142),"")</f>
        <v/>
      </c>
      <c r="AQ84" s="273"/>
      <c r="AR84" s="273" t="str">
        <f>IF(AND('Mapa final'!$K$145="Baja",'Mapa final'!$O$145="Mayor"),CONCATENATE("R",'Mapa final'!$A$145),"")</f>
        <v/>
      </c>
      <c r="AS84" s="273"/>
      <c r="AT84" s="273" t="str">
        <f>IF(AND('Mapa final'!$K$148="Baja",'Mapa final'!$O$148="Mayor"),CONCATENATE("R",'Mapa final'!$A$148),"")</f>
        <v/>
      </c>
      <c r="AU84" s="273"/>
      <c r="AV84" s="273" t="str">
        <f>IF(AND('Mapa final'!$K$151="Baja",'Mapa final'!$O$151="Mayor"),CONCATENATE("R",'Mapa final'!$A$151),"")</f>
        <v/>
      </c>
      <c r="AW84" s="273"/>
      <c r="AX84" s="285" t="str">
        <f>IF(AND('Mapa final'!$K$139="Baja",'Mapa final'!$O$139="Catastrófico"),CONCATENATE("R",'Mapa final'!$A$139),"")</f>
        <v/>
      </c>
      <c r="AY84" s="267"/>
      <c r="AZ84" s="267" t="str">
        <f>IF(AND('Mapa final'!$K$142="Baja",'Mapa final'!$O$142="Catastrófico"),CONCATENATE("R",'Mapa final'!$A$142),"")</f>
        <v/>
      </c>
      <c r="BA84" s="267"/>
      <c r="BB84" s="267" t="str">
        <f>IF(AND('Mapa final'!$K$145="Baja",'Mapa final'!$O$145="Catastrófico"),CONCATENATE("R",'Mapa final'!$A$145),"")</f>
        <v/>
      </c>
      <c r="BC84" s="267"/>
      <c r="BD84" s="267" t="str">
        <f>IF(AND('Mapa final'!$K$148="Baja",'Mapa final'!$O$148="Catastrófico"),CONCATENATE("R",'Mapa final'!$A$148),"")</f>
        <v/>
      </c>
      <c r="BE84" s="267"/>
      <c r="BF84" s="267" t="str">
        <f>IF(AND('Mapa final'!$K$151="Baja",'Mapa final'!$O$151="Catastrófico"),CONCATENATE("R",'Mapa final'!$A$151),"")</f>
        <v/>
      </c>
      <c r="BG84" s="286"/>
      <c r="BH84" s="58"/>
      <c r="BI84" s="323"/>
      <c r="BJ84" s="324"/>
      <c r="BK84" s="324"/>
      <c r="BL84" s="324"/>
      <c r="BM84" s="324"/>
      <c r="BN84" s="325"/>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58"/>
      <c r="CV84" s="58"/>
    </row>
    <row r="85" spans="1:100" ht="15.75" customHeight="1" thickBot="1" x14ac:dyDescent="0.3">
      <c r="A85" s="58"/>
      <c r="B85" s="356"/>
      <c r="C85" s="356"/>
      <c r="D85" s="357"/>
      <c r="E85" s="334"/>
      <c r="F85" s="335"/>
      <c r="G85" s="335"/>
      <c r="H85" s="335"/>
      <c r="I85" s="335"/>
      <c r="J85" s="290"/>
      <c r="K85" s="291"/>
      <c r="L85" s="291"/>
      <c r="M85" s="291"/>
      <c r="N85" s="291"/>
      <c r="O85" s="291"/>
      <c r="P85" s="291"/>
      <c r="Q85" s="291"/>
      <c r="R85" s="291"/>
      <c r="S85" s="291"/>
      <c r="T85" s="272"/>
      <c r="U85" s="270"/>
      <c r="V85" s="270"/>
      <c r="W85" s="270"/>
      <c r="X85" s="270"/>
      <c r="Y85" s="270"/>
      <c r="Z85" s="270"/>
      <c r="AA85" s="270"/>
      <c r="AB85" s="270"/>
      <c r="AC85" s="271"/>
      <c r="AD85" s="280"/>
      <c r="AE85" s="281"/>
      <c r="AF85" s="281"/>
      <c r="AG85" s="281"/>
      <c r="AH85" s="281"/>
      <c r="AI85" s="281"/>
      <c r="AJ85" s="281"/>
      <c r="AK85" s="281"/>
      <c r="AL85" s="281"/>
      <c r="AM85" s="282"/>
      <c r="AN85" s="275"/>
      <c r="AO85" s="273"/>
      <c r="AP85" s="273"/>
      <c r="AQ85" s="273"/>
      <c r="AR85" s="273"/>
      <c r="AS85" s="273"/>
      <c r="AT85" s="273"/>
      <c r="AU85" s="273"/>
      <c r="AV85" s="273"/>
      <c r="AW85" s="273"/>
      <c r="AX85" s="285"/>
      <c r="AY85" s="267"/>
      <c r="AZ85" s="267"/>
      <c r="BA85" s="267"/>
      <c r="BB85" s="267"/>
      <c r="BC85" s="267"/>
      <c r="BD85" s="267"/>
      <c r="BE85" s="267"/>
      <c r="BF85" s="267"/>
      <c r="BG85" s="286"/>
      <c r="BH85" s="58"/>
      <c r="BI85" s="323"/>
      <c r="BJ85" s="324"/>
      <c r="BK85" s="324"/>
      <c r="BL85" s="324"/>
      <c r="BM85" s="324"/>
      <c r="BN85" s="325"/>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58"/>
      <c r="CV85" s="58"/>
    </row>
    <row r="86" spans="1:100" ht="15" customHeight="1" x14ac:dyDescent="0.25">
      <c r="A86" s="58"/>
      <c r="B86" s="356"/>
      <c r="C86" s="356"/>
      <c r="D86" s="357"/>
      <c r="E86" s="329" t="s">
        <v>107</v>
      </c>
      <c r="F86" s="330"/>
      <c r="G86" s="330"/>
      <c r="H86" s="330"/>
      <c r="I86" s="336"/>
      <c r="J86" s="353" t="str">
        <f>IF(AND('Mapa final'!$K$7="Muy Baja",'Mapa final'!$O$7="Leve"),CONCATENATE("R",'Mapa final'!$A$7),"")</f>
        <v/>
      </c>
      <c r="K86" s="292"/>
      <c r="L86" s="292" t="str">
        <f>IF(AND('Mapa final'!$K$10="Muy Baja",'Mapa final'!$O$10="Leve"),CONCATENATE("R",'Mapa final'!$A$10),"")</f>
        <v/>
      </c>
      <c r="M86" s="292"/>
      <c r="N86" s="292" t="str">
        <f>IF(AND('Mapa final'!$K$13="Muy Baja",'Mapa final'!$O$13="Leve"),CONCATENATE("R",'Mapa final'!$A$13),"")</f>
        <v/>
      </c>
      <c r="O86" s="292"/>
      <c r="P86" s="292" t="str">
        <f>IF(AND('Mapa final'!$K$16="Muy Baja",'Mapa final'!$O$16="Leve"),CONCATENATE("R",'Mapa final'!$A$16),"")</f>
        <v/>
      </c>
      <c r="Q86" s="292"/>
      <c r="R86" s="292" t="str">
        <f>IF(AND('Mapa final'!$K$19="Muy Baja",'Mapa final'!$O$19="Leve"),CONCATENATE("R",'Mapa final'!$A$19),"")</f>
        <v/>
      </c>
      <c r="S86" s="292"/>
      <c r="T86" s="353" t="str">
        <f>IF(AND('Mapa final'!$K$7="Muy Baja",'Mapa final'!$O$7="Menor"),CONCATENATE("R",'Mapa final'!$A$7),"")</f>
        <v/>
      </c>
      <c r="U86" s="292"/>
      <c r="V86" s="292" t="str">
        <f>IF(AND('Mapa final'!$K$10="Muy Baja",'Mapa final'!$O$10="Menor"),CONCATENATE("R",'Mapa final'!$A$10),"")</f>
        <v/>
      </c>
      <c r="W86" s="292"/>
      <c r="X86" s="292" t="str">
        <f>IF(AND('Mapa final'!$K$13="Muy Baja",'Mapa final'!$O$13="Menor"),CONCATENATE("R",'Mapa final'!$A$13),"")</f>
        <v/>
      </c>
      <c r="Y86" s="292"/>
      <c r="Z86" s="292" t="str">
        <f>IF(AND('Mapa final'!$K$16="Muy Baja",'Mapa final'!$O$16="Menor"),CONCATENATE("R",'Mapa final'!$A$16),"")</f>
        <v/>
      </c>
      <c r="AA86" s="292"/>
      <c r="AB86" s="292" t="str">
        <f>IF(AND('Mapa final'!$K$19="Muy Baja",'Mapa final'!$O$19="Menor"),CONCATENATE("R",'Mapa final'!$A$19),"")</f>
        <v/>
      </c>
      <c r="AC86" s="292"/>
      <c r="AD86" s="277" t="str">
        <f>IF(AND('Mapa final'!$K$7="Muy Baja",'Mapa final'!$O$7="Moderado"),CONCATENATE("R",'Mapa final'!$A$7),"")</f>
        <v/>
      </c>
      <c r="AE86" s="278"/>
      <c r="AF86" s="278" t="str">
        <f>IF(AND('Mapa final'!$K$10="Muy Baja",'Mapa final'!$O$10="Moderado"),CONCATENATE("R",'Mapa final'!$A$10),"")</f>
        <v/>
      </c>
      <c r="AG86" s="278"/>
      <c r="AH86" s="278" t="str">
        <f>IF(AND('Mapa final'!$K$13="Muy Baja",'Mapa final'!$O$13="Moderado"),CONCATENATE("R",'Mapa final'!$A$13),"")</f>
        <v/>
      </c>
      <c r="AI86" s="278"/>
      <c r="AJ86" s="278" t="str">
        <f>IF(AND('Mapa final'!$K$16="Muy Baja",'Mapa final'!$O$16="Moderado"),CONCATENATE("R",'Mapa final'!$A$16),"")</f>
        <v/>
      </c>
      <c r="AK86" s="278"/>
      <c r="AL86" s="278" t="str">
        <f>IF(AND('Mapa final'!$K$19="Muy Baja",'Mapa final'!$O$19="Moderado"),CONCATENATE("R",'Mapa final'!$A$19),"")</f>
        <v/>
      </c>
      <c r="AM86" s="279"/>
      <c r="AN86" s="345" t="str">
        <f>IF(AND('Mapa final'!$K$7="Muy Baja",'Mapa final'!$O$7="Mayor"),CONCATENATE("R",'Mapa final'!$A$7),"")</f>
        <v/>
      </c>
      <c r="AO86" s="341"/>
      <c r="AP86" s="341" t="str">
        <f>IF(AND('Mapa final'!$K$10="Muy Baja",'Mapa final'!$O$10="Mayor"),CONCATENATE("R",'Mapa final'!$A$10),"")</f>
        <v/>
      </c>
      <c r="AQ86" s="341"/>
      <c r="AR86" s="341" t="str">
        <f>IF(AND('Mapa final'!$K$13="Muy Baja",'Mapa final'!$O$13="Mayor"),CONCATENATE("R",'Mapa final'!$A$13),"")</f>
        <v/>
      </c>
      <c r="AS86" s="341"/>
      <c r="AT86" s="341" t="str">
        <f>IF(AND('Mapa final'!$K$16="Muy Baja",'Mapa final'!$O$16="Mayor"),CONCATENATE("R",'Mapa final'!$A$16),"")</f>
        <v/>
      </c>
      <c r="AU86" s="341"/>
      <c r="AV86" s="341" t="str">
        <f>IF(AND('Mapa final'!$K$19="Muy Baja",'Mapa final'!$O$19="Mayor"),CONCATENATE("R",'Mapa final'!$A$19),"")</f>
        <v/>
      </c>
      <c r="AW86" s="346"/>
      <c r="AX86" s="351" t="str">
        <f>IF(AND('Mapa final'!$K$7="Muy Baja",'Mapa final'!$O$7="Catastrófico"),CONCATENATE("R",'Mapa final'!$A$7),"")</f>
        <v/>
      </c>
      <c r="AY86" s="287"/>
      <c r="AZ86" s="287" t="str">
        <f>IF(AND('Mapa final'!$K$10="Muy Baja",'Mapa final'!$O$10="Catastrófico"),CONCATENATE("R",'Mapa final'!$A$10),"")</f>
        <v/>
      </c>
      <c r="BA86" s="287"/>
      <c r="BB86" s="287" t="str">
        <f>IF(AND('Mapa final'!$K$13="Muy Baja",'Mapa final'!$O$13="Catastrófico"),CONCATENATE("R",'Mapa final'!$A$13),"")</f>
        <v/>
      </c>
      <c r="BC86" s="287"/>
      <c r="BD86" s="287" t="str">
        <f>IF(AND('Mapa final'!$K$16="Muy Baja",'Mapa final'!$O$16="Catastrófico"),CONCATENATE("R",'Mapa final'!$A$16),"")</f>
        <v/>
      </c>
      <c r="BE86" s="287"/>
      <c r="BF86" s="287" t="str">
        <f>IF(AND('Mapa final'!$K$19="Muy Baja",'Mapa final'!$O$19="Catastrófico"),CONCATENATE("R",'Mapa final'!$A$19),"")</f>
        <v/>
      </c>
      <c r="BG86" s="352"/>
      <c r="BH86" s="58"/>
      <c r="BI86" s="323"/>
      <c r="BJ86" s="324"/>
      <c r="BK86" s="324"/>
      <c r="BL86" s="324"/>
      <c r="BM86" s="324"/>
      <c r="BN86" s="325"/>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58"/>
      <c r="CV86" s="58"/>
    </row>
    <row r="87" spans="1:100" ht="15" customHeight="1" x14ac:dyDescent="0.25">
      <c r="A87" s="58"/>
      <c r="B87" s="356"/>
      <c r="C87" s="356"/>
      <c r="D87" s="357"/>
      <c r="E87" s="331"/>
      <c r="F87" s="332"/>
      <c r="G87" s="332"/>
      <c r="H87" s="332"/>
      <c r="I87" s="337"/>
      <c r="J87" s="265"/>
      <c r="K87" s="266"/>
      <c r="L87" s="266"/>
      <c r="M87" s="266"/>
      <c r="N87" s="266"/>
      <c r="O87" s="266"/>
      <c r="P87" s="266"/>
      <c r="Q87" s="266"/>
      <c r="R87" s="266"/>
      <c r="S87" s="266"/>
      <c r="T87" s="265"/>
      <c r="U87" s="266"/>
      <c r="V87" s="266"/>
      <c r="W87" s="266"/>
      <c r="X87" s="266"/>
      <c r="Y87" s="266"/>
      <c r="Z87" s="266"/>
      <c r="AA87" s="266"/>
      <c r="AB87" s="266"/>
      <c r="AC87" s="266"/>
      <c r="AD87" s="272"/>
      <c r="AE87" s="270"/>
      <c r="AF87" s="270"/>
      <c r="AG87" s="270"/>
      <c r="AH87" s="270"/>
      <c r="AI87" s="270"/>
      <c r="AJ87" s="270"/>
      <c r="AK87" s="270"/>
      <c r="AL87" s="270"/>
      <c r="AM87" s="271"/>
      <c r="AN87" s="276"/>
      <c r="AO87" s="273"/>
      <c r="AP87" s="273"/>
      <c r="AQ87" s="273"/>
      <c r="AR87" s="273"/>
      <c r="AS87" s="273"/>
      <c r="AT87" s="273"/>
      <c r="AU87" s="273"/>
      <c r="AV87" s="273"/>
      <c r="AW87" s="274"/>
      <c r="AX87" s="269"/>
      <c r="AY87" s="267"/>
      <c r="AZ87" s="267"/>
      <c r="BA87" s="267"/>
      <c r="BB87" s="267"/>
      <c r="BC87" s="267"/>
      <c r="BD87" s="267"/>
      <c r="BE87" s="267"/>
      <c r="BF87" s="267"/>
      <c r="BG87" s="268"/>
      <c r="BH87" s="58"/>
      <c r="BI87" s="323"/>
      <c r="BJ87" s="324"/>
      <c r="BK87" s="324"/>
      <c r="BL87" s="324"/>
      <c r="BM87" s="324"/>
      <c r="BN87" s="325"/>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58"/>
      <c r="CV87" s="58"/>
    </row>
    <row r="88" spans="1:100" ht="15" customHeight="1" x14ac:dyDescent="0.25">
      <c r="A88" s="58"/>
      <c r="B88" s="356"/>
      <c r="C88" s="356"/>
      <c r="D88" s="357"/>
      <c r="E88" s="331"/>
      <c r="F88" s="332"/>
      <c r="G88" s="332"/>
      <c r="H88" s="332"/>
      <c r="I88" s="337"/>
      <c r="J88" s="265" t="str">
        <f>IF(AND('Mapa final'!$K$22="Muy Baja",'Mapa final'!$O$22="Leve"),CONCATENATE("R",'Mapa final'!$A$22),"")</f>
        <v/>
      </c>
      <c r="K88" s="266"/>
      <c r="L88" s="266" t="str">
        <f>IF(AND('Mapa final'!$K$25="Muy Baja",'Mapa final'!$O$25="Leve"),CONCATENATE("R",'Mapa final'!$A$25),"")</f>
        <v/>
      </c>
      <c r="M88" s="266"/>
      <c r="N88" s="266" t="str">
        <f>IF(AND('Mapa final'!$K$28="Muy Baja",'Mapa final'!$O$28="Leve"),CONCATENATE("R",'Mapa final'!$A$28),"")</f>
        <v/>
      </c>
      <c r="O88" s="266"/>
      <c r="P88" s="266" t="str">
        <f>IF(AND('Mapa final'!$K$31="Muy Baja",'Mapa final'!$O$31="Leve"),CONCATENATE("R",'Mapa final'!$A$31),"")</f>
        <v/>
      </c>
      <c r="Q88" s="266"/>
      <c r="R88" s="266" t="str">
        <f>IF(AND('Mapa final'!$K$34="Muy Baja",'Mapa final'!$O$34="Leve"),CONCATENATE("R",'Mapa final'!$A$34),"")</f>
        <v/>
      </c>
      <c r="S88" s="266"/>
      <c r="T88" s="265" t="str">
        <f>IF(AND('Mapa final'!$K$22="Muy Baja",'Mapa final'!$O$22="Menor"),CONCATENATE("R",'Mapa final'!$A$22),"")</f>
        <v/>
      </c>
      <c r="U88" s="266"/>
      <c r="V88" s="266" t="str">
        <f>IF(AND('Mapa final'!$K$25="Muy Baja",'Mapa final'!$O$25="Menor"),CONCATENATE("R",'Mapa final'!$A$25),"")</f>
        <v/>
      </c>
      <c r="W88" s="266"/>
      <c r="X88" s="266" t="str">
        <f>IF(AND('Mapa final'!$K$28="Muy Baja",'Mapa final'!$O$28="Menor"),CONCATENATE("R",'Mapa final'!$A$28),"")</f>
        <v/>
      </c>
      <c r="Y88" s="266"/>
      <c r="Z88" s="266" t="str">
        <f>IF(AND('Mapa final'!$K$31="Muy Baja",'Mapa final'!$O$31="Menor"),CONCATENATE("R",'Mapa final'!$A$31),"")</f>
        <v/>
      </c>
      <c r="AA88" s="266"/>
      <c r="AB88" s="266" t="str">
        <f>IF(AND('Mapa final'!$K$34="Muy Baja",'Mapa final'!$O$34="Menor"),CONCATENATE("R",'Mapa final'!$A$34),"")</f>
        <v/>
      </c>
      <c r="AC88" s="266"/>
      <c r="AD88" s="272" t="str">
        <f>IF(AND('Mapa final'!$K$22="Muy Baja",'Mapa final'!$O$22="Moderado"),CONCATENATE("R",'Mapa final'!$A$22),"")</f>
        <v>R6</v>
      </c>
      <c r="AE88" s="270"/>
      <c r="AF88" s="270" t="str">
        <f>IF(AND('Mapa final'!$K$25="Muy Baja",'Mapa final'!$O$25="Moderado"),CONCATENATE("R",'Mapa final'!$A$25),"")</f>
        <v>R7</v>
      </c>
      <c r="AG88" s="270"/>
      <c r="AH88" s="270" t="str">
        <f>IF(AND('Mapa final'!$K$28="Muy Baja",'Mapa final'!$O$28="Moderado"),CONCATENATE("R",'Mapa final'!$A$28),"")</f>
        <v/>
      </c>
      <c r="AI88" s="270"/>
      <c r="AJ88" s="270" t="str">
        <f>IF(AND('Mapa final'!$K$31="Muy Baja",'Mapa final'!$O$31="Moderado"),CONCATENATE("R",'Mapa final'!$A$31),"")</f>
        <v/>
      </c>
      <c r="AK88" s="270"/>
      <c r="AL88" s="270" t="str">
        <f>IF(AND('Mapa final'!$K$34="Muy Baja",'Mapa final'!$O$34="Moderado"),CONCATENATE("R",'Mapa final'!$A$34),"")</f>
        <v/>
      </c>
      <c r="AM88" s="271"/>
      <c r="AN88" s="276" t="str">
        <f>IF(AND('Mapa final'!$K$22="Muy Baja",'Mapa final'!$O$22="Mayor"),CONCATENATE("R",'Mapa final'!$A$22),"")</f>
        <v/>
      </c>
      <c r="AO88" s="273"/>
      <c r="AP88" s="273" t="str">
        <f>IF(AND('Mapa final'!$K$25="Muy Baja",'Mapa final'!$O$25="Mayor"),CONCATENATE("R",'Mapa final'!$A$25),"")</f>
        <v/>
      </c>
      <c r="AQ88" s="273"/>
      <c r="AR88" s="273" t="str">
        <f>IF(AND('Mapa final'!$K$28="Muy Baja",'Mapa final'!$O$28="Mayor"),CONCATENATE("R",'Mapa final'!$A$28),"")</f>
        <v/>
      </c>
      <c r="AS88" s="273"/>
      <c r="AT88" s="273" t="str">
        <f>IF(AND('Mapa final'!$K$31="Muy Baja",'Mapa final'!$O$31="Mayor"),CONCATENATE("R",'Mapa final'!$A$31),"")</f>
        <v/>
      </c>
      <c r="AU88" s="273"/>
      <c r="AV88" s="273" t="str">
        <f>IF(AND('Mapa final'!$K$34="Muy Baja",'Mapa final'!$O$34="Mayor"),CONCATENATE("R",'Mapa final'!$A$34),"")</f>
        <v/>
      </c>
      <c r="AW88" s="274"/>
      <c r="AX88" s="269" t="str">
        <f>IF(AND('Mapa final'!$K$22="Muy Baja",'Mapa final'!$O$22="Catastrófico"),CONCATENATE("R",'Mapa final'!$A$22),"")</f>
        <v/>
      </c>
      <c r="AY88" s="267"/>
      <c r="AZ88" s="267" t="str">
        <f>IF(AND('Mapa final'!$K$25="Muy Baja",'Mapa final'!$O$25="Catastrófico"),CONCATENATE("R",'Mapa final'!$A$25),"")</f>
        <v/>
      </c>
      <c r="BA88" s="267"/>
      <c r="BB88" s="267" t="str">
        <f>IF(AND('Mapa final'!$K$28="Muy Baja",'Mapa final'!$O$28="Catastrófico"),CONCATENATE("R",'Mapa final'!$A$28),"")</f>
        <v/>
      </c>
      <c r="BC88" s="267"/>
      <c r="BD88" s="267" t="str">
        <f>IF(AND('Mapa final'!$K$31="Muy Baja",'Mapa final'!$O$31="Catastrófico"),CONCATENATE("R",'Mapa final'!$A$31),"")</f>
        <v/>
      </c>
      <c r="BE88" s="267"/>
      <c r="BF88" s="267" t="str">
        <f>IF(AND('Mapa final'!$K$34="Muy Baja",'Mapa final'!$O$34="Catastrófico"),CONCATENATE("R",'Mapa final'!$A$34),"")</f>
        <v/>
      </c>
      <c r="BG88" s="268"/>
      <c r="BH88" s="58"/>
      <c r="BI88" s="323"/>
      <c r="BJ88" s="324"/>
      <c r="BK88" s="324"/>
      <c r="BL88" s="324"/>
      <c r="BM88" s="324"/>
      <c r="BN88" s="325"/>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58"/>
      <c r="CV88" s="58"/>
    </row>
    <row r="89" spans="1:100" ht="15" customHeight="1" x14ac:dyDescent="0.25">
      <c r="A89" s="58"/>
      <c r="B89" s="356"/>
      <c r="C89" s="356"/>
      <c r="D89" s="357"/>
      <c r="E89" s="331"/>
      <c r="F89" s="332"/>
      <c r="G89" s="332"/>
      <c r="H89" s="332"/>
      <c r="I89" s="337"/>
      <c r="J89" s="265"/>
      <c r="K89" s="266"/>
      <c r="L89" s="266"/>
      <c r="M89" s="266"/>
      <c r="N89" s="266"/>
      <c r="O89" s="266"/>
      <c r="P89" s="266"/>
      <c r="Q89" s="266"/>
      <c r="R89" s="266"/>
      <c r="S89" s="266"/>
      <c r="T89" s="265"/>
      <c r="U89" s="266"/>
      <c r="V89" s="266"/>
      <c r="W89" s="266"/>
      <c r="X89" s="266"/>
      <c r="Y89" s="266"/>
      <c r="Z89" s="266"/>
      <c r="AA89" s="266"/>
      <c r="AB89" s="266"/>
      <c r="AC89" s="266"/>
      <c r="AD89" s="272"/>
      <c r="AE89" s="270"/>
      <c r="AF89" s="270"/>
      <c r="AG89" s="270"/>
      <c r="AH89" s="270"/>
      <c r="AI89" s="270"/>
      <c r="AJ89" s="270"/>
      <c r="AK89" s="270"/>
      <c r="AL89" s="270"/>
      <c r="AM89" s="271"/>
      <c r="AN89" s="276"/>
      <c r="AO89" s="273"/>
      <c r="AP89" s="273"/>
      <c r="AQ89" s="273"/>
      <c r="AR89" s="273"/>
      <c r="AS89" s="273"/>
      <c r="AT89" s="273"/>
      <c r="AU89" s="273"/>
      <c r="AV89" s="273"/>
      <c r="AW89" s="274"/>
      <c r="AX89" s="269"/>
      <c r="AY89" s="267"/>
      <c r="AZ89" s="267"/>
      <c r="BA89" s="267"/>
      <c r="BB89" s="267"/>
      <c r="BC89" s="267"/>
      <c r="BD89" s="267"/>
      <c r="BE89" s="267"/>
      <c r="BF89" s="267"/>
      <c r="BG89" s="268"/>
      <c r="BH89" s="58"/>
      <c r="BI89" s="323"/>
      <c r="BJ89" s="324"/>
      <c r="BK89" s="324"/>
      <c r="BL89" s="324"/>
      <c r="BM89" s="324"/>
      <c r="BN89" s="325"/>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58"/>
      <c r="CV89" s="58"/>
    </row>
    <row r="90" spans="1:100" ht="15" customHeight="1" x14ac:dyDescent="0.25">
      <c r="A90" s="58"/>
      <c r="B90" s="356"/>
      <c r="C90" s="356"/>
      <c r="D90" s="357"/>
      <c r="E90" s="331"/>
      <c r="F90" s="332"/>
      <c r="G90" s="332"/>
      <c r="H90" s="332"/>
      <c r="I90" s="337"/>
      <c r="J90" s="265" t="str">
        <f>IF(AND('Mapa final'!$K$37="Muy Baja",'Mapa final'!$O$37="Leve"),CONCATENATE("R",'Mapa final'!$A$37),"")</f>
        <v/>
      </c>
      <c r="K90" s="266"/>
      <c r="L90" s="266" t="str">
        <f>IF(AND('Mapa final'!$K$40="Muy Baja",'Mapa final'!$O$40="Leve"),CONCATENATE("R",'Mapa final'!$A$40),"")</f>
        <v/>
      </c>
      <c r="M90" s="266"/>
      <c r="N90" s="266" t="str">
        <f>IF(AND('Mapa final'!$K$43="Muy Baja",'Mapa final'!$O$43="Leve"),CONCATENATE("R",'Mapa final'!$A$43),"")</f>
        <v/>
      </c>
      <c r="O90" s="266"/>
      <c r="P90" s="266" t="e">
        <f>IF(AND('Mapa final'!#REF!="Muy Baja",'Mapa final'!#REF!="Leve"),CONCATENATE("R",'Mapa final'!#REF!),"")</f>
        <v>#REF!</v>
      </c>
      <c r="Q90" s="266"/>
      <c r="R90" s="266" t="str">
        <f>IF(AND('Mapa final'!$K$46="Muy Baja",'Mapa final'!$O$46="Leve"),CONCATENATE("R",'Mapa final'!$A$46),"")</f>
        <v/>
      </c>
      <c r="S90" s="266"/>
      <c r="T90" s="265" t="str">
        <f>IF(AND('Mapa final'!$K$37="Muy Baja",'Mapa final'!$O$37="Menor"),CONCATENATE("R",'Mapa final'!$A$37),"")</f>
        <v/>
      </c>
      <c r="U90" s="266"/>
      <c r="V90" s="266" t="str">
        <f>IF(AND('Mapa final'!$K$40="Muy Baja",'Mapa final'!$O$40="Menor"),CONCATENATE("R",'Mapa final'!$A$40),"")</f>
        <v/>
      </c>
      <c r="W90" s="266"/>
      <c r="X90" s="266" t="str">
        <f>IF(AND('Mapa final'!$K$43="Muy Baja",'Mapa final'!$O$43="Menor"),CONCATENATE("R",'Mapa final'!$A$43),"")</f>
        <v/>
      </c>
      <c r="Y90" s="266"/>
      <c r="Z90" s="266" t="e">
        <f>IF(AND('Mapa final'!#REF!="Muy Baja",'Mapa final'!#REF!="Menor"),CONCATENATE("R",'Mapa final'!#REF!),"")</f>
        <v>#REF!</v>
      </c>
      <c r="AA90" s="266"/>
      <c r="AB90" s="266" t="str">
        <f>IF(AND('Mapa final'!$K$46="Muy Baja",'Mapa final'!$O$46="Menor"),CONCATENATE("R",'Mapa final'!$A$46),"")</f>
        <v/>
      </c>
      <c r="AC90" s="266"/>
      <c r="AD90" s="272" t="str">
        <f>IF(AND('Mapa final'!$K$37="Muy Baja",'Mapa final'!$O$37="Moderado"),CONCATENATE("R",'Mapa final'!$A$37),"")</f>
        <v/>
      </c>
      <c r="AE90" s="270"/>
      <c r="AF90" s="270" t="str">
        <f>IF(AND('Mapa final'!$K$40="Muy Baja",'Mapa final'!$O$40="Moderado"),CONCATENATE("R",'Mapa final'!$A$40),"")</f>
        <v/>
      </c>
      <c r="AG90" s="270"/>
      <c r="AH90" s="270" t="str">
        <f>IF(AND('Mapa final'!$K$43="Muy Baja",'Mapa final'!$O$43="Moderado"),CONCATENATE("R",'Mapa final'!$A$43),"")</f>
        <v>R13</v>
      </c>
      <c r="AI90" s="270"/>
      <c r="AJ90" s="270" t="e">
        <f>IF(AND('Mapa final'!#REF!="Muy Baja",'Mapa final'!#REF!="Moderado"),CONCATENATE("R",'Mapa final'!#REF!),"")</f>
        <v>#REF!</v>
      </c>
      <c r="AK90" s="270"/>
      <c r="AL90" s="270" t="str">
        <f>IF(AND('Mapa final'!$K$46="Muy Baja",'Mapa final'!$O$46="Moderado"),CONCATENATE("R",'Mapa final'!$A$46),"")</f>
        <v/>
      </c>
      <c r="AM90" s="271"/>
      <c r="AN90" s="276" t="str">
        <f>IF(AND('Mapa final'!$K$37="Muy Baja",'Mapa final'!$O$37="Mayor"),CONCATENATE("R",'Mapa final'!$A$37),"")</f>
        <v/>
      </c>
      <c r="AO90" s="273"/>
      <c r="AP90" s="273" t="str">
        <f>IF(AND('Mapa final'!$K$40="Muy Baja",'Mapa final'!$O$40="Mayor"),CONCATENATE("R",'Mapa final'!$A$40),"")</f>
        <v/>
      </c>
      <c r="AQ90" s="273"/>
      <c r="AR90" s="273" t="str">
        <f>IF(AND('Mapa final'!$K$43="Muy Baja",'Mapa final'!$O$43="Mayor"),CONCATENATE("R",'Mapa final'!$A$43),"")</f>
        <v/>
      </c>
      <c r="AS90" s="273"/>
      <c r="AT90" s="273" t="e">
        <f>IF(AND('Mapa final'!#REF!="Muy Baja",'Mapa final'!#REF!="Mayor"),CONCATENATE("R",'Mapa final'!#REF!),"")</f>
        <v>#REF!</v>
      </c>
      <c r="AU90" s="273"/>
      <c r="AV90" s="273" t="str">
        <f>IF(AND('Mapa final'!$K$46="Muy Baja",'Mapa final'!$O$46="Mayor"),CONCATENATE("R",'Mapa final'!$A$46),"")</f>
        <v/>
      </c>
      <c r="AW90" s="274"/>
      <c r="AX90" s="269" t="str">
        <f>IF(AND('Mapa final'!$K$37="Muy Baja",'Mapa final'!$O$37="Catastrófico"),CONCATENATE("R",'Mapa final'!$A$37),"")</f>
        <v/>
      </c>
      <c r="AY90" s="267"/>
      <c r="AZ90" s="267" t="str">
        <f>IF(AND('Mapa final'!$K$40="Muy Baja",'Mapa final'!$O$40="Catastrófico"),CONCATENATE("R",'Mapa final'!$A$40),"")</f>
        <v/>
      </c>
      <c r="BA90" s="267"/>
      <c r="BB90" s="267" t="str">
        <f>IF(AND('Mapa final'!$K$43="Muy Baja",'Mapa final'!$O$43="Catastrófico"),CONCATENATE("R",'Mapa final'!$A$43),"")</f>
        <v/>
      </c>
      <c r="BC90" s="267"/>
      <c r="BD90" s="267" t="e">
        <f>IF(AND('Mapa final'!#REF!="Muy Baja",'Mapa final'!#REF!="Catastrófico"),CONCATENATE("R",'Mapa final'!#REF!),"")</f>
        <v>#REF!</v>
      </c>
      <c r="BE90" s="267"/>
      <c r="BF90" s="267" t="str">
        <f>IF(AND('Mapa final'!$K$46="Muy Baja",'Mapa final'!$O$46="Catastrófico"),CONCATENATE("R",'Mapa final'!$A$46),"")</f>
        <v/>
      </c>
      <c r="BG90" s="268"/>
      <c r="BH90" s="58"/>
      <c r="BI90" s="323"/>
      <c r="BJ90" s="324"/>
      <c r="BK90" s="324"/>
      <c r="BL90" s="324"/>
      <c r="BM90" s="324"/>
      <c r="BN90" s="325"/>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58"/>
      <c r="CV90" s="58"/>
    </row>
    <row r="91" spans="1:100" ht="15" customHeight="1" x14ac:dyDescent="0.25">
      <c r="A91" s="58"/>
      <c r="B91" s="356"/>
      <c r="C91" s="356"/>
      <c r="D91" s="357"/>
      <c r="E91" s="331"/>
      <c r="F91" s="332"/>
      <c r="G91" s="332"/>
      <c r="H91" s="332"/>
      <c r="I91" s="337"/>
      <c r="J91" s="265"/>
      <c r="K91" s="266"/>
      <c r="L91" s="266"/>
      <c r="M91" s="266"/>
      <c r="N91" s="266"/>
      <c r="O91" s="266"/>
      <c r="P91" s="266"/>
      <c r="Q91" s="266"/>
      <c r="R91" s="266"/>
      <c r="S91" s="266"/>
      <c r="T91" s="265"/>
      <c r="U91" s="266"/>
      <c r="V91" s="266"/>
      <c r="W91" s="266"/>
      <c r="X91" s="266"/>
      <c r="Y91" s="266"/>
      <c r="Z91" s="266"/>
      <c r="AA91" s="266"/>
      <c r="AB91" s="266"/>
      <c r="AC91" s="266"/>
      <c r="AD91" s="272"/>
      <c r="AE91" s="270"/>
      <c r="AF91" s="270"/>
      <c r="AG91" s="270"/>
      <c r="AH91" s="270"/>
      <c r="AI91" s="270"/>
      <c r="AJ91" s="270"/>
      <c r="AK91" s="270"/>
      <c r="AL91" s="270"/>
      <c r="AM91" s="271"/>
      <c r="AN91" s="276"/>
      <c r="AO91" s="273"/>
      <c r="AP91" s="273"/>
      <c r="AQ91" s="273"/>
      <c r="AR91" s="273"/>
      <c r="AS91" s="273"/>
      <c r="AT91" s="273"/>
      <c r="AU91" s="273"/>
      <c r="AV91" s="273"/>
      <c r="AW91" s="274"/>
      <c r="AX91" s="269"/>
      <c r="AY91" s="267"/>
      <c r="AZ91" s="267"/>
      <c r="BA91" s="267"/>
      <c r="BB91" s="267"/>
      <c r="BC91" s="267"/>
      <c r="BD91" s="267"/>
      <c r="BE91" s="267"/>
      <c r="BF91" s="267"/>
      <c r="BG91" s="268"/>
      <c r="BH91" s="58"/>
      <c r="BI91" s="323"/>
      <c r="BJ91" s="324"/>
      <c r="BK91" s="324"/>
      <c r="BL91" s="324"/>
      <c r="BM91" s="324"/>
      <c r="BN91" s="325"/>
      <c r="BO91" s="58"/>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8"/>
      <c r="CR91" s="58"/>
      <c r="CS91" s="58"/>
      <c r="CT91" s="58"/>
      <c r="CU91" s="58"/>
      <c r="CV91" s="58"/>
    </row>
    <row r="92" spans="1:100" ht="15" customHeight="1" x14ac:dyDescent="0.25">
      <c r="A92" s="58"/>
      <c r="B92" s="356"/>
      <c r="C92" s="356"/>
      <c r="D92" s="357"/>
      <c r="E92" s="331"/>
      <c r="F92" s="332"/>
      <c r="G92" s="332"/>
      <c r="H92" s="332"/>
      <c r="I92" s="337"/>
      <c r="J92" s="265" t="str">
        <f>IF(AND('Mapa final'!$K$49="Muy Baja",'Mapa final'!$O$49="Leve"),CONCATENATE("R",'Mapa final'!$A$49),"")</f>
        <v/>
      </c>
      <c r="K92" s="266"/>
      <c r="L92" s="266" t="str">
        <f>IF(AND('Mapa final'!$K$52="Muy Baja",'Mapa final'!$O$52="Leve"),CONCATENATE("R",'Mapa final'!$A$52),"")</f>
        <v/>
      </c>
      <c r="M92" s="266"/>
      <c r="N92" s="266" t="str">
        <f>IF(AND('Mapa final'!$K$55="Muy Baja",'Mapa final'!$O$55="Leve"),CONCATENATE("R",'Mapa final'!$A$55),"")</f>
        <v/>
      </c>
      <c r="O92" s="266"/>
      <c r="P92" s="266" t="str">
        <f>IF(AND('Mapa final'!$K$58="Muy Baja",'Mapa final'!$O$58="Leve"),CONCATENATE("R",'Mapa final'!$A$58),"")</f>
        <v/>
      </c>
      <c r="Q92" s="266"/>
      <c r="R92" s="266" t="str">
        <f>IF(AND('Mapa final'!$K$61="Muy Baja",'Mapa final'!$O$61="Leve"),CONCATENATE("R",'Mapa final'!$A$61),"")</f>
        <v/>
      </c>
      <c r="S92" s="266"/>
      <c r="T92" s="265" t="str">
        <f>IF(AND('Mapa final'!$K$49="Muy Baja",'Mapa final'!$O$49="Menor"),CONCATENATE("R",'Mapa final'!$A$49),"")</f>
        <v/>
      </c>
      <c r="U92" s="266"/>
      <c r="V92" s="266" t="str">
        <f>IF(AND('Mapa final'!$K$52="Muy Baja",'Mapa final'!$O$52="Menor"),CONCATENATE("R",'Mapa final'!$A$52),"")</f>
        <v/>
      </c>
      <c r="W92" s="266"/>
      <c r="X92" s="266" t="str">
        <f>IF(AND('Mapa final'!$K$55="Muy Baja",'Mapa final'!$O$55="Menor"),CONCATENATE("R",'Mapa final'!$A$55),"")</f>
        <v/>
      </c>
      <c r="Y92" s="266"/>
      <c r="Z92" s="266" t="str">
        <f>IF(AND('Mapa final'!$K$58="Muy Baja",'Mapa final'!$O$58="Menor"),CONCATENATE("R",'Mapa final'!$A$58),"")</f>
        <v/>
      </c>
      <c r="AA92" s="266"/>
      <c r="AB92" s="266" t="str">
        <f>IF(AND('Mapa final'!$K$61="Muy Baja",'Mapa final'!$O$61="Menor"),CONCATENATE("R",'Mapa final'!$A$61),"")</f>
        <v/>
      </c>
      <c r="AC92" s="266"/>
      <c r="AD92" s="272" t="str">
        <f>IF(AND('Mapa final'!$K$49="Muy Baja",'Mapa final'!$O$49="Moderado"),CONCATENATE("R",'Mapa final'!$A$49),"")</f>
        <v/>
      </c>
      <c r="AE92" s="270"/>
      <c r="AF92" s="270" t="str">
        <f>IF(AND('Mapa final'!$K$52="Muy Baja",'Mapa final'!$O$52="Moderado"),CONCATENATE("R",'Mapa final'!$A$52),"")</f>
        <v/>
      </c>
      <c r="AG92" s="270"/>
      <c r="AH92" s="270" t="str">
        <f>IF(AND('Mapa final'!$K$55="Muy Baja",'Mapa final'!$O$55="Moderado"),CONCATENATE("R",'Mapa final'!$A$55),"")</f>
        <v/>
      </c>
      <c r="AI92" s="270"/>
      <c r="AJ92" s="270" t="str">
        <f>IF(AND('Mapa final'!$K$58="Muy Baja",'Mapa final'!$O$58="Moderado"),CONCATENATE("R",'Mapa final'!$A$58),"")</f>
        <v/>
      </c>
      <c r="AK92" s="270"/>
      <c r="AL92" s="270" t="str">
        <f>IF(AND('Mapa final'!$K$61="Muy Baja",'Mapa final'!$O$61="Moderado"),CONCATENATE("R",'Mapa final'!$A$61),"")</f>
        <v/>
      </c>
      <c r="AM92" s="271"/>
      <c r="AN92" s="276" t="str">
        <f>IF(AND('Mapa final'!$K$49="Muy Baja",'Mapa final'!$O$49="Mayor"),CONCATENATE("R",'Mapa final'!$A$49),"")</f>
        <v/>
      </c>
      <c r="AO92" s="273"/>
      <c r="AP92" s="273" t="str">
        <f>IF(AND('Mapa final'!$K$52="Muy Baja",'Mapa final'!$O$52="Mayor"),CONCATENATE("R",'Mapa final'!$A$52),"")</f>
        <v/>
      </c>
      <c r="AQ92" s="273"/>
      <c r="AR92" s="273" t="str">
        <f>IF(AND('Mapa final'!$K$55="Muy Baja",'Mapa final'!$O$55="Mayor"),CONCATENATE("R",'Mapa final'!$A$55),"")</f>
        <v/>
      </c>
      <c r="AS92" s="273"/>
      <c r="AT92" s="273" t="str">
        <f>IF(AND('Mapa final'!$K$58="Muy Baja",'Mapa final'!$O$58="Mayor"),CONCATENATE("R",'Mapa final'!$A$58),"")</f>
        <v/>
      </c>
      <c r="AU92" s="273"/>
      <c r="AV92" s="273" t="str">
        <f>IF(AND('Mapa final'!$K$61="Muy Baja",'Mapa final'!$O$61="Mayor"),CONCATENATE("R",'Mapa final'!$A$61),"")</f>
        <v/>
      </c>
      <c r="AW92" s="274"/>
      <c r="AX92" s="269" t="str">
        <f>IF(AND('Mapa final'!$K$49="Muy Baja",'Mapa final'!$O$49="Catastrófico"),CONCATENATE("R",'Mapa final'!$A$49),"")</f>
        <v/>
      </c>
      <c r="AY92" s="267"/>
      <c r="AZ92" s="267" t="str">
        <f>IF(AND('Mapa final'!$K$52="Muy Baja",'Mapa final'!$O$52="Catastrófico"),CONCATENATE("R",'Mapa final'!$A$52),"")</f>
        <v/>
      </c>
      <c r="BA92" s="267"/>
      <c r="BB92" s="267" t="str">
        <f>IF(AND('Mapa final'!$K$55="Muy Baja",'Mapa final'!$O$55="Catastrófico"),CONCATENATE("R",'Mapa final'!$A$55),"")</f>
        <v/>
      </c>
      <c r="BC92" s="267"/>
      <c r="BD92" s="267" t="str">
        <f>IF(AND('Mapa final'!$K$58="Muy Baja",'Mapa final'!$O$58="Catastrófico"),CONCATENATE("R",'Mapa final'!$A$58),"")</f>
        <v/>
      </c>
      <c r="BE92" s="267"/>
      <c r="BF92" s="267" t="str">
        <f>IF(AND('Mapa final'!$K$61="Muy Baja",'Mapa final'!$O$61="Catastrófico"),CONCATENATE("R",'Mapa final'!$A$61),"")</f>
        <v/>
      </c>
      <c r="BG92" s="268"/>
      <c r="BH92" s="58"/>
      <c r="BI92" s="323"/>
      <c r="BJ92" s="324"/>
      <c r="BK92" s="324"/>
      <c r="BL92" s="324"/>
      <c r="BM92" s="324"/>
      <c r="BN92" s="325"/>
      <c r="BO92" s="58"/>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8"/>
      <c r="CR92" s="58"/>
      <c r="CS92" s="58"/>
      <c r="CT92" s="58"/>
      <c r="CU92" s="58"/>
      <c r="CV92" s="58"/>
    </row>
    <row r="93" spans="1:100" ht="15" customHeight="1" x14ac:dyDescent="0.25">
      <c r="A93" s="58"/>
      <c r="B93" s="356"/>
      <c r="C93" s="356"/>
      <c r="D93" s="357"/>
      <c r="E93" s="331"/>
      <c r="F93" s="332"/>
      <c r="G93" s="332"/>
      <c r="H93" s="332"/>
      <c r="I93" s="337"/>
      <c r="J93" s="265"/>
      <c r="K93" s="266"/>
      <c r="L93" s="266"/>
      <c r="M93" s="266"/>
      <c r="N93" s="266"/>
      <c r="O93" s="266"/>
      <c r="P93" s="266"/>
      <c r="Q93" s="266"/>
      <c r="R93" s="266"/>
      <c r="S93" s="266"/>
      <c r="T93" s="265"/>
      <c r="U93" s="266"/>
      <c r="V93" s="266"/>
      <c r="W93" s="266"/>
      <c r="X93" s="266"/>
      <c r="Y93" s="266"/>
      <c r="Z93" s="266"/>
      <c r="AA93" s="266"/>
      <c r="AB93" s="266"/>
      <c r="AC93" s="266"/>
      <c r="AD93" s="272"/>
      <c r="AE93" s="270"/>
      <c r="AF93" s="270"/>
      <c r="AG93" s="270"/>
      <c r="AH93" s="270"/>
      <c r="AI93" s="270"/>
      <c r="AJ93" s="270"/>
      <c r="AK93" s="270"/>
      <c r="AL93" s="270"/>
      <c r="AM93" s="271"/>
      <c r="AN93" s="276"/>
      <c r="AO93" s="273"/>
      <c r="AP93" s="273"/>
      <c r="AQ93" s="273"/>
      <c r="AR93" s="273"/>
      <c r="AS93" s="273"/>
      <c r="AT93" s="273"/>
      <c r="AU93" s="273"/>
      <c r="AV93" s="273"/>
      <c r="AW93" s="274"/>
      <c r="AX93" s="269"/>
      <c r="AY93" s="267"/>
      <c r="AZ93" s="267"/>
      <c r="BA93" s="267"/>
      <c r="BB93" s="267"/>
      <c r="BC93" s="267"/>
      <c r="BD93" s="267"/>
      <c r="BE93" s="267"/>
      <c r="BF93" s="267"/>
      <c r="BG93" s="268"/>
      <c r="BH93" s="58"/>
      <c r="BI93" s="323"/>
      <c r="BJ93" s="324"/>
      <c r="BK93" s="324"/>
      <c r="BL93" s="324"/>
      <c r="BM93" s="324"/>
      <c r="BN93" s="325"/>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8"/>
      <c r="CR93" s="58"/>
      <c r="CS93" s="58"/>
      <c r="CT93" s="58"/>
      <c r="CU93" s="58"/>
      <c r="CV93" s="58"/>
    </row>
    <row r="94" spans="1:100" ht="15" customHeight="1" x14ac:dyDescent="0.25">
      <c r="A94" s="58"/>
      <c r="B94" s="356"/>
      <c r="C94" s="356"/>
      <c r="D94" s="357"/>
      <c r="E94" s="331"/>
      <c r="F94" s="332"/>
      <c r="G94" s="332"/>
      <c r="H94" s="332"/>
      <c r="I94" s="337"/>
      <c r="J94" s="265" t="str">
        <f>IF(AND('Mapa final'!$K$64="Muy Baja",'Mapa final'!$O$64="Leve"),CONCATENATE("R",'Mapa final'!$A$64),"")</f>
        <v/>
      </c>
      <c r="K94" s="266"/>
      <c r="L94" s="266" t="str">
        <f>IF(AND('Mapa final'!$K$67="Muy Baja",'Mapa final'!$O$67="Leve"),CONCATENATE("R",'Mapa final'!$A$67),"")</f>
        <v/>
      </c>
      <c r="M94" s="266"/>
      <c r="N94" s="266" t="str">
        <f>IF(AND('Mapa final'!$K$70="Muy Baja",'Mapa final'!$O$70="Leve"),CONCATENATE("R",'Mapa final'!$A$70),"")</f>
        <v/>
      </c>
      <c r="O94" s="266"/>
      <c r="P94" s="266" t="str">
        <f>IF(AND('Mapa final'!$K$73="Muy Baja",'Mapa final'!$O$73="Leve"),CONCATENATE("R",'Mapa final'!$A$73),"")</f>
        <v/>
      </c>
      <c r="Q94" s="266"/>
      <c r="R94" s="266" t="str">
        <f>IF(AND('Mapa final'!$K$76="Muy Baja",'Mapa final'!$O$76="Leve"),CONCATENATE("R",'Mapa final'!$A$76),"")</f>
        <v/>
      </c>
      <c r="S94" s="266"/>
      <c r="T94" s="265" t="str">
        <f>IF(AND('Mapa final'!$K$64="Muy Baja",'Mapa final'!$O$64="Menor"),CONCATENATE("R",'Mapa final'!$A$64),"")</f>
        <v/>
      </c>
      <c r="U94" s="266"/>
      <c r="V94" s="266" t="str">
        <f>IF(AND('Mapa final'!$K$67="Muy Baja",'Mapa final'!$O$67="Menor"),CONCATENATE("R",'Mapa final'!$A$67),"")</f>
        <v/>
      </c>
      <c r="W94" s="266"/>
      <c r="X94" s="266" t="str">
        <f>IF(AND('Mapa final'!$K$70="Muy Baja",'Mapa final'!$O$70="Menor"),CONCATENATE("R",'Mapa final'!$A$70),"")</f>
        <v/>
      </c>
      <c r="Y94" s="266"/>
      <c r="Z94" s="266" t="str">
        <f>IF(AND('Mapa final'!$K$73="Muy Baja",'Mapa final'!$O$73="Menor"),CONCATENATE("R",'Mapa final'!$A$73),"")</f>
        <v/>
      </c>
      <c r="AA94" s="266"/>
      <c r="AB94" s="266" t="str">
        <f>IF(AND('Mapa final'!$K$76="Muy Baja",'Mapa final'!$O$76="Menor"),CONCATENATE("R",'Mapa final'!$A$76),"")</f>
        <v/>
      </c>
      <c r="AC94" s="266"/>
      <c r="AD94" s="272" t="str">
        <f>IF(AND('Mapa final'!$K$64="Muy Baja",'Mapa final'!$O$64="Moderado"),CONCATENATE("R",'Mapa final'!$A$64),"")</f>
        <v/>
      </c>
      <c r="AE94" s="270"/>
      <c r="AF94" s="270" t="str">
        <f>IF(AND('Mapa final'!$K$67="Muy Baja",'Mapa final'!$O$67="Moderado"),CONCATENATE("R",'Mapa final'!$A$67),"")</f>
        <v/>
      </c>
      <c r="AG94" s="270"/>
      <c r="AH94" s="270" t="str">
        <f>IF(AND('Mapa final'!$K$70="Muy Baja",'Mapa final'!$O$70="Moderado"),CONCATENATE("R",'Mapa final'!$A$70),"")</f>
        <v/>
      </c>
      <c r="AI94" s="270"/>
      <c r="AJ94" s="270" t="str">
        <f>IF(AND('Mapa final'!$K$73="Muy Baja",'Mapa final'!$O$73="Moderado"),CONCATENATE("R",'Mapa final'!$A$73),"")</f>
        <v/>
      </c>
      <c r="AK94" s="270"/>
      <c r="AL94" s="270" t="str">
        <f>IF(AND('Mapa final'!$K$76="Muy Baja",'Mapa final'!$O$76="Moderado"),CONCATENATE("R",'Mapa final'!$A$76),"")</f>
        <v/>
      </c>
      <c r="AM94" s="271"/>
      <c r="AN94" s="276" t="str">
        <f>IF(AND('Mapa final'!$K$64="Muy Baja",'Mapa final'!$O$64="Mayor"),CONCATENATE("R",'Mapa final'!$A$64),"")</f>
        <v/>
      </c>
      <c r="AO94" s="273"/>
      <c r="AP94" s="273" t="str">
        <f>IF(AND('Mapa final'!$K$67="Muy Baja",'Mapa final'!$O$67="Mayor"),CONCATENATE("R",'Mapa final'!$A$67),"")</f>
        <v/>
      </c>
      <c r="AQ94" s="273"/>
      <c r="AR94" s="273" t="str">
        <f>IF(AND('Mapa final'!$K$70="Muy Baja",'Mapa final'!$O$70="Mayor"),CONCATENATE("R",'Mapa final'!$A$70),"")</f>
        <v/>
      </c>
      <c r="AS94" s="273"/>
      <c r="AT94" s="273" t="str">
        <f>IF(AND('Mapa final'!$K$73="Muy Baja",'Mapa final'!$O$73="Mayor"),CONCATENATE("R",'Mapa final'!$A$73),"")</f>
        <v/>
      </c>
      <c r="AU94" s="273"/>
      <c r="AV94" s="273" t="str">
        <f>IF(AND('Mapa final'!$K$76="Muy Baja",'Mapa final'!$O$76="Mayor"),CONCATENATE("R",'Mapa final'!$A$76),"")</f>
        <v/>
      </c>
      <c r="AW94" s="274"/>
      <c r="AX94" s="269" t="str">
        <f>IF(AND('Mapa final'!$K$64="Muy Baja",'Mapa final'!$O$64="Catastrófico"),CONCATENATE("R",'Mapa final'!$A$64),"")</f>
        <v/>
      </c>
      <c r="AY94" s="267"/>
      <c r="AZ94" s="267" t="str">
        <f>IF(AND('Mapa final'!$K$67="Muy Baja",'Mapa final'!$O$67="Catastrófico"),CONCATENATE("R",'Mapa final'!$A$67),"")</f>
        <v/>
      </c>
      <c r="BA94" s="267"/>
      <c r="BB94" s="267" t="str">
        <f>IF(AND('Mapa final'!$K$70="Muy Baja",'Mapa final'!$O$70="Catastrófico"),CONCATENATE("R",'Mapa final'!$A$70),"")</f>
        <v/>
      </c>
      <c r="BC94" s="267"/>
      <c r="BD94" s="267" t="str">
        <f>IF(AND('Mapa final'!$K$73="Muy Baja",'Mapa final'!$O$73="Catastrófico"),CONCATENATE("R",'Mapa final'!$A$73),"")</f>
        <v/>
      </c>
      <c r="BE94" s="267"/>
      <c r="BF94" s="267" t="str">
        <f>IF(AND('Mapa final'!$K$76="Muy Baja",'Mapa final'!$O$76="Catastrófico"),CONCATENATE("R",'Mapa final'!$A$76),"")</f>
        <v/>
      </c>
      <c r="BG94" s="268"/>
      <c r="BH94" s="58"/>
      <c r="BI94" s="323"/>
      <c r="BJ94" s="324"/>
      <c r="BK94" s="324"/>
      <c r="BL94" s="324"/>
      <c r="BM94" s="324"/>
      <c r="BN94" s="325"/>
      <c r="BO94" s="58"/>
      <c r="BP94" s="58"/>
      <c r="BQ94" s="58"/>
      <c r="BR94" s="58"/>
      <c r="BS94" s="58"/>
      <c r="BT94" s="58"/>
      <c r="BU94" s="58"/>
      <c r="BV94" s="58"/>
      <c r="BW94" s="58"/>
      <c r="BX94" s="58"/>
      <c r="BY94" s="58"/>
      <c r="BZ94" s="58"/>
      <c r="CA94" s="58"/>
      <c r="CB94" s="58"/>
      <c r="CC94" s="58"/>
      <c r="CD94" s="58"/>
      <c r="CE94" s="58"/>
      <c r="CF94" s="58"/>
      <c r="CG94" s="58"/>
      <c r="CH94" s="58"/>
      <c r="CI94" s="58"/>
      <c r="CJ94" s="58"/>
      <c r="CK94" s="58"/>
      <c r="CL94" s="58"/>
      <c r="CM94" s="58"/>
      <c r="CN94" s="58"/>
      <c r="CO94" s="58"/>
      <c r="CP94" s="58"/>
      <c r="CQ94" s="58"/>
      <c r="CR94" s="58"/>
      <c r="CS94" s="58"/>
      <c r="CT94" s="58"/>
      <c r="CU94" s="58"/>
      <c r="CV94" s="58"/>
    </row>
    <row r="95" spans="1:100" ht="15" customHeight="1" x14ac:dyDescent="0.25">
      <c r="A95" s="58"/>
      <c r="B95" s="356"/>
      <c r="C95" s="356"/>
      <c r="D95" s="357"/>
      <c r="E95" s="331"/>
      <c r="F95" s="332"/>
      <c r="G95" s="332"/>
      <c r="H95" s="332"/>
      <c r="I95" s="337"/>
      <c r="J95" s="265"/>
      <c r="K95" s="266"/>
      <c r="L95" s="266"/>
      <c r="M95" s="266"/>
      <c r="N95" s="266"/>
      <c r="O95" s="266"/>
      <c r="P95" s="266"/>
      <c r="Q95" s="266"/>
      <c r="R95" s="266"/>
      <c r="S95" s="266"/>
      <c r="T95" s="265"/>
      <c r="U95" s="266"/>
      <c r="V95" s="266"/>
      <c r="W95" s="266"/>
      <c r="X95" s="266"/>
      <c r="Y95" s="266"/>
      <c r="Z95" s="266"/>
      <c r="AA95" s="266"/>
      <c r="AB95" s="266"/>
      <c r="AC95" s="266"/>
      <c r="AD95" s="272"/>
      <c r="AE95" s="270"/>
      <c r="AF95" s="270"/>
      <c r="AG95" s="270"/>
      <c r="AH95" s="270"/>
      <c r="AI95" s="270"/>
      <c r="AJ95" s="270"/>
      <c r="AK95" s="270"/>
      <c r="AL95" s="270"/>
      <c r="AM95" s="271"/>
      <c r="AN95" s="276"/>
      <c r="AO95" s="273"/>
      <c r="AP95" s="273"/>
      <c r="AQ95" s="273"/>
      <c r="AR95" s="273"/>
      <c r="AS95" s="273"/>
      <c r="AT95" s="273"/>
      <c r="AU95" s="273"/>
      <c r="AV95" s="273"/>
      <c r="AW95" s="274"/>
      <c r="AX95" s="269"/>
      <c r="AY95" s="267"/>
      <c r="AZ95" s="267"/>
      <c r="BA95" s="267"/>
      <c r="BB95" s="267"/>
      <c r="BC95" s="267"/>
      <c r="BD95" s="267"/>
      <c r="BE95" s="267"/>
      <c r="BF95" s="267"/>
      <c r="BG95" s="268"/>
      <c r="BH95" s="58"/>
      <c r="BI95" s="323"/>
      <c r="BJ95" s="324"/>
      <c r="BK95" s="324"/>
      <c r="BL95" s="324"/>
      <c r="BM95" s="324"/>
      <c r="BN95" s="325"/>
      <c r="BO95" s="58"/>
      <c r="BP95" s="58"/>
      <c r="BQ95" s="58"/>
      <c r="BR95" s="58"/>
      <c r="BS95" s="58"/>
      <c r="BT95" s="58"/>
      <c r="BU95" s="58"/>
      <c r="BV95" s="58"/>
      <c r="BW95" s="58"/>
      <c r="BX95" s="58"/>
      <c r="BY95" s="58"/>
      <c r="BZ95" s="58"/>
      <c r="CA95" s="58"/>
      <c r="CB95" s="58"/>
      <c r="CC95" s="58"/>
      <c r="CD95" s="58"/>
      <c r="CE95" s="58"/>
      <c r="CF95" s="58"/>
      <c r="CG95" s="58"/>
      <c r="CH95" s="58"/>
      <c r="CI95" s="58"/>
      <c r="CJ95" s="58"/>
      <c r="CK95" s="58"/>
      <c r="CL95" s="58"/>
      <c r="CM95" s="58"/>
      <c r="CN95" s="58"/>
      <c r="CO95" s="58"/>
      <c r="CP95" s="58"/>
      <c r="CQ95" s="58"/>
      <c r="CR95" s="58"/>
      <c r="CS95" s="58"/>
      <c r="CT95" s="58"/>
      <c r="CU95" s="58"/>
      <c r="CV95" s="58"/>
    </row>
    <row r="96" spans="1:100" ht="15" customHeight="1" x14ac:dyDescent="0.25">
      <c r="A96" s="58"/>
      <c r="B96" s="356"/>
      <c r="C96" s="356"/>
      <c r="D96" s="357"/>
      <c r="E96" s="331"/>
      <c r="F96" s="332"/>
      <c r="G96" s="332"/>
      <c r="H96" s="332"/>
      <c r="I96" s="337"/>
      <c r="J96" s="265" t="str">
        <f>IF(AND('Mapa final'!$K$79="Muy Baja",'Mapa final'!$O$79="Leve"),CONCATENATE("R",'Mapa final'!$A$79),"")</f>
        <v/>
      </c>
      <c r="K96" s="266"/>
      <c r="L96" s="266" t="str">
        <f>IF(AND('Mapa final'!$K$82="Muy Baja",'Mapa final'!$O$82="Leve"),CONCATENATE("R",'Mapa final'!$A$82),"")</f>
        <v/>
      </c>
      <c r="M96" s="266"/>
      <c r="N96" s="266" t="str">
        <f>IF(AND('Mapa final'!$K$85="Muy Baja",'Mapa final'!$O$85="Leve"),CONCATENATE("R",'Mapa final'!$A$85),"")</f>
        <v/>
      </c>
      <c r="O96" s="266"/>
      <c r="P96" s="266" t="str">
        <f>IF(AND('Mapa final'!$K$88="Muy Baja",'Mapa final'!$O$88="Leve"),CONCATENATE("R",'Mapa final'!$A$88),"")</f>
        <v/>
      </c>
      <c r="Q96" s="266"/>
      <c r="R96" s="266" t="str">
        <f>IF(AND('Mapa final'!$K$91="Muy Baja",'Mapa final'!$O$91="Leve"),CONCATENATE("R",'Mapa final'!$A$91),"")</f>
        <v/>
      </c>
      <c r="S96" s="266"/>
      <c r="T96" s="265" t="str">
        <f>IF(AND('Mapa final'!$K$79="Muy Baja",'Mapa final'!$O$79="Menor"),CONCATENATE("R",'Mapa final'!$A$79),"")</f>
        <v/>
      </c>
      <c r="U96" s="266"/>
      <c r="V96" s="266" t="str">
        <f>IF(AND('Mapa final'!$K$82="Muy Baja",'Mapa final'!$O$82="Menor"),CONCATENATE("R",'Mapa final'!$A$82),"")</f>
        <v/>
      </c>
      <c r="W96" s="266"/>
      <c r="X96" s="266" t="str">
        <f>IF(AND('Mapa final'!$K$85="Muy Baja",'Mapa final'!$O$85="Menor"),CONCATENATE("R",'Mapa final'!$A$85),"")</f>
        <v/>
      </c>
      <c r="Y96" s="266"/>
      <c r="Z96" s="266" t="str">
        <f>IF(AND('Mapa final'!$K$88="Muy Baja",'Mapa final'!$O$88="Menor"),CONCATENATE("R",'Mapa final'!$A$88),"")</f>
        <v/>
      </c>
      <c r="AA96" s="266"/>
      <c r="AB96" s="266" t="str">
        <f>IF(AND('Mapa final'!$K$91="Muy Baja",'Mapa final'!$O$91="Menor"),CONCATENATE("R",'Mapa final'!$A$91),"")</f>
        <v/>
      </c>
      <c r="AC96" s="266"/>
      <c r="AD96" s="272" t="str">
        <f>IF(AND('Mapa final'!$K$79="Muy Baja",'Mapa final'!$O$79="Moderado"),CONCATENATE("R",'Mapa final'!$A$79),"")</f>
        <v/>
      </c>
      <c r="AE96" s="270"/>
      <c r="AF96" s="270" t="str">
        <f>IF(AND('Mapa final'!$K$82="Muy Baja",'Mapa final'!$O$82="Moderado"),CONCATENATE("R",'Mapa final'!$A$82),"")</f>
        <v/>
      </c>
      <c r="AG96" s="270"/>
      <c r="AH96" s="270" t="str">
        <f>IF(AND('Mapa final'!$K$85="Muy Baja",'Mapa final'!$O$85="Moderado"),CONCATENATE("R",'Mapa final'!$A$85),"")</f>
        <v/>
      </c>
      <c r="AI96" s="270"/>
      <c r="AJ96" s="270" t="str">
        <f>IF(AND('Mapa final'!$K$88="Muy Baja",'Mapa final'!$O$88="Moderado"),CONCATENATE("R",'Mapa final'!$A$88),"")</f>
        <v/>
      </c>
      <c r="AK96" s="270"/>
      <c r="AL96" s="270" t="str">
        <f>IF(AND('Mapa final'!$K$91="Muy Baja",'Mapa final'!$O$91="Moderado"),CONCATENATE("R",'Mapa final'!$A$91),"")</f>
        <v/>
      </c>
      <c r="AM96" s="271"/>
      <c r="AN96" s="276" t="str">
        <f>IF(AND('Mapa final'!$K$79="Muy Baja",'Mapa final'!$O$79="Mayor"),CONCATENATE("R",'Mapa final'!$A$79),"")</f>
        <v/>
      </c>
      <c r="AO96" s="273"/>
      <c r="AP96" s="273" t="str">
        <f>IF(AND('Mapa final'!$K$82="Muy Baja",'Mapa final'!$O$82="Mayor"),CONCATENATE("R",'Mapa final'!$A$82),"")</f>
        <v/>
      </c>
      <c r="AQ96" s="273"/>
      <c r="AR96" s="273" t="str">
        <f>IF(AND('Mapa final'!$K$85="Muy Baja",'Mapa final'!$O$85="Mayor"),CONCATENATE("R",'Mapa final'!$A$85),"")</f>
        <v/>
      </c>
      <c r="AS96" s="273"/>
      <c r="AT96" s="273" t="str">
        <f>IF(AND('Mapa final'!$K$88="Muy Baja",'Mapa final'!$O$88="Mayor"),CONCATENATE("R",'Mapa final'!$A$88),"")</f>
        <v/>
      </c>
      <c r="AU96" s="273"/>
      <c r="AV96" s="273" t="str">
        <f>IF(AND('Mapa final'!$K$91="Muy Baja",'Mapa final'!$O$91="Mayor"),CONCATENATE("R",'Mapa final'!$A$91),"")</f>
        <v/>
      </c>
      <c r="AW96" s="274"/>
      <c r="AX96" s="269" t="str">
        <f>IF(AND('Mapa final'!$K$79="Muy Baja",'Mapa final'!$O$79="Catastrófico"),CONCATENATE("R",'Mapa final'!$A$79),"")</f>
        <v/>
      </c>
      <c r="AY96" s="267"/>
      <c r="AZ96" s="267" t="str">
        <f>IF(AND('Mapa final'!$K$82="Muy Baja",'Mapa final'!$O$82="Catastrófico"),CONCATENATE("R",'Mapa final'!$A$82),"")</f>
        <v/>
      </c>
      <c r="BA96" s="267"/>
      <c r="BB96" s="267" t="str">
        <f>IF(AND('Mapa final'!$K$85="Muy Baja",'Mapa final'!$O$85="Catastrófico"),CONCATENATE("R",'Mapa final'!$A$85),"")</f>
        <v/>
      </c>
      <c r="BC96" s="267"/>
      <c r="BD96" s="267" t="str">
        <f>IF(AND('Mapa final'!$K$88="Muy Baja",'Mapa final'!$O$88="Catastrófico"),CONCATENATE("R",'Mapa final'!$A$88),"")</f>
        <v/>
      </c>
      <c r="BE96" s="267"/>
      <c r="BF96" s="267" t="str">
        <f>IF(AND('Mapa final'!$K$91="Muy Baja",'Mapa final'!$O$91="Catastrófico"),CONCATENATE("R",'Mapa final'!$A$91),"")</f>
        <v/>
      </c>
      <c r="BG96" s="268"/>
      <c r="BH96" s="58"/>
      <c r="BI96" s="323"/>
      <c r="BJ96" s="324"/>
      <c r="BK96" s="324"/>
      <c r="BL96" s="324"/>
      <c r="BM96" s="324"/>
      <c r="BN96" s="325"/>
      <c r="BO96" s="58"/>
      <c r="BP96" s="58"/>
      <c r="BQ96" s="58"/>
      <c r="BR96" s="58"/>
      <c r="BS96" s="58"/>
      <c r="BT96" s="58"/>
      <c r="BU96" s="58"/>
      <c r="BV96" s="58"/>
      <c r="BW96" s="58"/>
      <c r="BX96" s="58"/>
      <c r="BY96" s="58"/>
      <c r="BZ96" s="58"/>
      <c r="CA96" s="58"/>
      <c r="CB96" s="58"/>
      <c r="CC96" s="58"/>
      <c r="CD96" s="58"/>
      <c r="CE96" s="58"/>
      <c r="CF96" s="58"/>
      <c r="CG96" s="58"/>
      <c r="CH96" s="58"/>
      <c r="CI96" s="58"/>
      <c r="CJ96" s="58"/>
      <c r="CK96" s="58"/>
      <c r="CL96" s="58"/>
      <c r="CM96" s="58"/>
      <c r="CN96" s="58"/>
      <c r="CO96" s="58"/>
      <c r="CP96" s="58"/>
      <c r="CQ96" s="58"/>
      <c r="CR96" s="58"/>
      <c r="CS96" s="58"/>
      <c r="CT96" s="58"/>
      <c r="CU96" s="58"/>
      <c r="CV96" s="58"/>
    </row>
    <row r="97" spans="1:100" ht="15" customHeight="1" thickBot="1" x14ac:dyDescent="0.3">
      <c r="A97" s="58"/>
      <c r="B97" s="356"/>
      <c r="C97" s="356"/>
      <c r="D97" s="357"/>
      <c r="E97" s="331"/>
      <c r="F97" s="332"/>
      <c r="G97" s="332"/>
      <c r="H97" s="332"/>
      <c r="I97" s="337"/>
      <c r="J97" s="265"/>
      <c r="K97" s="266"/>
      <c r="L97" s="266"/>
      <c r="M97" s="266"/>
      <c r="N97" s="266"/>
      <c r="O97" s="266"/>
      <c r="P97" s="266"/>
      <c r="Q97" s="266"/>
      <c r="R97" s="266"/>
      <c r="S97" s="266"/>
      <c r="T97" s="265"/>
      <c r="U97" s="266"/>
      <c r="V97" s="266"/>
      <c r="W97" s="266"/>
      <c r="X97" s="266"/>
      <c r="Y97" s="266"/>
      <c r="Z97" s="266"/>
      <c r="AA97" s="266"/>
      <c r="AB97" s="266"/>
      <c r="AC97" s="266"/>
      <c r="AD97" s="272"/>
      <c r="AE97" s="270"/>
      <c r="AF97" s="270"/>
      <c r="AG97" s="270"/>
      <c r="AH97" s="270"/>
      <c r="AI97" s="270"/>
      <c r="AJ97" s="270"/>
      <c r="AK97" s="270"/>
      <c r="AL97" s="270"/>
      <c r="AM97" s="271"/>
      <c r="AN97" s="276"/>
      <c r="AO97" s="273"/>
      <c r="AP97" s="273"/>
      <c r="AQ97" s="273"/>
      <c r="AR97" s="273"/>
      <c r="AS97" s="273"/>
      <c r="AT97" s="273"/>
      <c r="AU97" s="273"/>
      <c r="AV97" s="273"/>
      <c r="AW97" s="274"/>
      <c r="AX97" s="269"/>
      <c r="AY97" s="267"/>
      <c r="AZ97" s="267"/>
      <c r="BA97" s="267"/>
      <c r="BB97" s="267"/>
      <c r="BC97" s="267"/>
      <c r="BD97" s="267"/>
      <c r="BE97" s="267"/>
      <c r="BF97" s="267"/>
      <c r="BG97" s="268"/>
      <c r="BH97" s="58"/>
      <c r="BI97" s="326"/>
      <c r="BJ97" s="327"/>
      <c r="BK97" s="327"/>
      <c r="BL97" s="327"/>
      <c r="BM97" s="327"/>
      <c r="BN97" s="328"/>
      <c r="BO97" s="58"/>
      <c r="BP97" s="58"/>
      <c r="BQ97" s="58"/>
      <c r="BR97" s="58"/>
      <c r="BS97" s="58"/>
      <c r="BT97" s="58"/>
      <c r="BU97" s="58"/>
      <c r="BV97" s="58"/>
      <c r="BW97" s="58"/>
      <c r="BX97" s="58"/>
      <c r="BY97" s="58"/>
      <c r="BZ97" s="58"/>
      <c r="CA97" s="58"/>
      <c r="CB97" s="58"/>
      <c r="CC97" s="58"/>
      <c r="CD97" s="58"/>
      <c r="CE97" s="58"/>
      <c r="CF97" s="58"/>
      <c r="CG97" s="58"/>
      <c r="CH97" s="58"/>
      <c r="CI97" s="58"/>
      <c r="CJ97" s="58"/>
      <c r="CK97" s="58"/>
      <c r="CL97" s="58"/>
      <c r="CM97" s="58"/>
      <c r="CN97" s="58"/>
      <c r="CO97" s="58"/>
      <c r="CP97" s="58"/>
      <c r="CQ97" s="58"/>
      <c r="CR97" s="58"/>
      <c r="CS97" s="58"/>
      <c r="CT97" s="58"/>
      <c r="CU97" s="58"/>
      <c r="CV97" s="58"/>
    </row>
    <row r="98" spans="1:100" ht="15" customHeight="1" x14ac:dyDescent="0.25">
      <c r="A98" s="58"/>
      <c r="B98" s="356"/>
      <c r="C98" s="356"/>
      <c r="D98" s="357"/>
      <c r="E98" s="331"/>
      <c r="F98" s="332"/>
      <c r="G98" s="332"/>
      <c r="H98" s="332"/>
      <c r="I98" s="337"/>
      <c r="J98" s="265" t="str">
        <f>IF(AND('Mapa final'!$K$94="Muy Baja",'Mapa final'!$O$94="Leve"),CONCATENATE("R",'Mapa final'!$A$94),"")</f>
        <v/>
      </c>
      <c r="K98" s="266"/>
      <c r="L98" s="266" t="str">
        <f>IF(AND('Mapa final'!$K$97="Muy Baja",'Mapa final'!$O$97="Leve"),CONCATENATE("R",'Mapa final'!$A$97),"")</f>
        <v/>
      </c>
      <c r="M98" s="266"/>
      <c r="N98" s="266" t="str">
        <f>IF(AND('Mapa final'!$K$100="Muy Baja",'Mapa final'!$O$100="Leve"),CONCATENATE("R",'Mapa final'!$A$100),"")</f>
        <v/>
      </c>
      <c r="O98" s="266"/>
      <c r="P98" s="266" t="str">
        <f>IF(AND('Mapa final'!$K$103="Muy Baja",'Mapa final'!$O$103="Leve"),CONCATENATE("R",'Mapa final'!$A$103),"")</f>
        <v/>
      </c>
      <c r="Q98" s="266"/>
      <c r="R98" s="266" t="str">
        <f>IF(AND('Mapa final'!$K$106="Muy Baja",'Mapa final'!$O$106="Leve"),CONCATENATE("R",'Mapa final'!$A$106),"")</f>
        <v/>
      </c>
      <c r="S98" s="266"/>
      <c r="T98" s="265" t="str">
        <f>IF(AND('Mapa final'!$K$94="Muy Baja",'Mapa final'!$O$94="Menor"),CONCATENATE("R",'Mapa final'!$A$94),"")</f>
        <v/>
      </c>
      <c r="U98" s="266"/>
      <c r="V98" s="266" t="str">
        <f>IF(AND('Mapa final'!$K$97="Muy Baja",'Mapa final'!$O$97="Menor"),CONCATENATE("R",'Mapa final'!$A$97),"")</f>
        <v/>
      </c>
      <c r="W98" s="266"/>
      <c r="X98" s="266" t="str">
        <f>IF(AND('Mapa final'!$K$100="Muy Baja",'Mapa final'!$O$100="Menor"),CONCATENATE("R",'Mapa final'!$A$100),"")</f>
        <v/>
      </c>
      <c r="Y98" s="266"/>
      <c r="Z98" s="266" t="str">
        <f>IF(AND('Mapa final'!$K$103="Muy Baja",'Mapa final'!$O$103="Menor"),CONCATENATE("R",'Mapa final'!$A$103),"")</f>
        <v/>
      </c>
      <c r="AA98" s="266"/>
      <c r="AB98" s="266" t="str">
        <f>IF(AND('Mapa final'!$K$106="Muy Baja",'Mapa final'!$O$106="Menor"),CONCATENATE("R",'Mapa final'!$A$106),"")</f>
        <v/>
      </c>
      <c r="AC98" s="266"/>
      <c r="AD98" s="272" t="str">
        <f>IF(AND('Mapa final'!$K$94="Muy Baja",'Mapa final'!$O$94="Moderado"),CONCATENATE("R",'Mapa final'!$A$94),"")</f>
        <v/>
      </c>
      <c r="AE98" s="270"/>
      <c r="AF98" s="270" t="str">
        <f>IF(AND('Mapa final'!$K$97="Muy Baja",'Mapa final'!$O$97="Moderado"),CONCATENATE("R",'Mapa final'!$A$97),"")</f>
        <v/>
      </c>
      <c r="AG98" s="270"/>
      <c r="AH98" s="270" t="str">
        <f>IF(AND('Mapa final'!$K$100="Muy Baja",'Mapa final'!$O$100="Moderado"),CONCATENATE("R",'Mapa final'!$A$100),"")</f>
        <v/>
      </c>
      <c r="AI98" s="270"/>
      <c r="AJ98" s="270" t="str">
        <f>IF(AND('Mapa final'!$K$103="Muy Baja",'Mapa final'!$O$103="Moderado"),CONCATENATE("R",'Mapa final'!$A$103),"")</f>
        <v/>
      </c>
      <c r="AK98" s="270"/>
      <c r="AL98" s="270" t="str">
        <f>IF(AND('Mapa final'!$K$106="Muy Baja",'Mapa final'!$O$106="Moderado"),CONCATENATE("R",'Mapa final'!$A$106),"")</f>
        <v/>
      </c>
      <c r="AM98" s="271"/>
      <c r="AN98" s="276" t="str">
        <f>IF(AND('Mapa final'!$K$94="Muy Baja",'Mapa final'!$O$94="Mayor"),CONCATENATE("R",'Mapa final'!$A$94),"")</f>
        <v/>
      </c>
      <c r="AO98" s="273"/>
      <c r="AP98" s="273" t="str">
        <f>IF(AND('Mapa final'!$K$97="Muy Baja",'Mapa final'!$O$97="Mayor"),CONCATENATE("R",'Mapa final'!$A$97),"")</f>
        <v/>
      </c>
      <c r="AQ98" s="273"/>
      <c r="AR98" s="273" t="str">
        <f>IF(AND('Mapa final'!$K$100="Muy Baja",'Mapa final'!$O$100="Mayor"),CONCATENATE("R",'Mapa final'!$A$100),"")</f>
        <v/>
      </c>
      <c r="AS98" s="273"/>
      <c r="AT98" s="273" t="str">
        <f>IF(AND('Mapa final'!$K$103="Muy Baja",'Mapa final'!$O$103="Mayor"),CONCATENATE("R",'Mapa final'!$A$103),"")</f>
        <v/>
      </c>
      <c r="AU98" s="273"/>
      <c r="AV98" s="273" t="str">
        <f>IF(AND('Mapa final'!$K$106="Muy Baja",'Mapa final'!$O$106="Mayor"),CONCATENATE("R",'Mapa final'!$A$106),"")</f>
        <v/>
      </c>
      <c r="AW98" s="274"/>
      <c r="AX98" s="269" t="str">
        <f>IF(AND('Mapa final'!$K$94="Muy Baja",'Mapa final'!$O$94="Catastrófico"),CONCATENATE("R",'Mapa final'!$A$94),"")</f>
        <v/>
      </c>
      <c r="AY98" s="267"/>
      <c r="AZ98" s="267" t="str">
        <f>IF(AND('Mapa final'!$K$97="Muy Baja",'Mapa final'!$O$97="Catastrófico"),CONCATENATE("R",'Mapa final'!$A$97),"")</f>
        <v/>
      </c>
      <c r="BA98" s="267"/>
      <c r="BB98" s="267" t="str">
        <f>IF(AND('Mapa final'!$K$100="Muy Baja",'Mapa final'!$O$100="Catastrófico"),CONCATENATE("R",'Mapa final'!$A$100),"")</f>
        <v/>
      </c>
      <c r="BC98" s="267"/>
      <c r="BD98" s="267" t="str">
        <f>IF(AND('Mapa final'!$K$103="Muy Baja",'Mapa final'!$O$103="Catastrófico"),CONCATENATE("R",'Mapa final'!$A$103),"")</f>
        <v/>
      </c>
      <c r="BE98" s="267"/>
      <c r="BF98" s="267" t="str">
        <f>IF(AND('Mapa final'!$K$106="Muy Baja",'Mapa final'!$O$106="Catastrófico"),CONCATENATE("R",'Mapa final'!$A$106),"")</f>
        <v/>
      </c>
      <c r="BG98" s="268"/>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c r="CH98" s="58"/>
      <c r="CI98" s="58"/>
      <c r="CJ98" s="58"/>
      <c r="CK98" s="58"/>
      <c r="CL98" s="58"/>
      <c r="CM98" s="58"/>
      <c r="CN98" s="58"/>
      <c r="CO98" s="58"/>
      <c r="CP98" s="58"/>
      <c r="CQ98" s="58"/>
      <c r="CR98" s="58"/>
      <c r="CS98" s="58"/>
      <c r="CT98" s="58"/>
      <c r="CU98" s="58"/>
      <c r="CV98" s="58"/>
    </row>
    <row r="99" spans="1:100" ht="15" customHeight="1" x14ac:dyDescent="0.25">
      <c r="A99" s="58"/>
      <c r="B99" s="356"/>
      <c r="C99" s="356"/>
      <c r="D99" s="357"/>
      <c r="E99" s="331"/>
      <c r="F99" s="332"/>
      <c r="G99" s="332"/>
      <c r="H99" s="332"/>
      <c r="I99" s="337"/>
      <c r="J99" s="265"/>
      <c r="K99" s="266"/>
      <c r="L99" s="266"/>
      <c r="M99" s="266"/>
      <c r="N99" s="266"/>
      <c r="O99" s="266"/>
      <c r="P99" s="266"/>
      <c r="Q99" s="266"/>
      <c r="R99" s="266"/>
      <c r="S99" s="266"/>
      <c r="T99" s="265"/>
      <c r="U99" s="266"/>
      <c r="V99" s="266"/>
      <c r="W99" s="266"/>
      <c r="X99" s="266"/>
      <c r="Y99" s="266"/>
      <c r="Z99" s="266"/>
      <c r="AA99" s="266"/>
      <c r="AB99" s="266"/>
      <c r="AC99" s="266"/>
      <c r="AD99" s="272"/>
      <c r="AE99" s="270"/>
      <c r="AF99" s="270"/>
      <c r="AG99" s="270"/>
      <c r="AH99" s="270"/>
      <c r="AI99" s="270"/>
      <c r="AJ99" s="270"/>
      <c r="AK99" s="270"/>
      <c r="AL99" s="270"/>
      <c r="AM99" s="271"/>
      <c r="AN99" s="276"/>
      <c r="AO99" s="273"/>
      <c r="AP99" s="273"/>
      <c r="AQ99" s="273"/>
      <c r="AR99" s="273"/>
      <c r="AS99" s="273"/>
      <c r="AT99" s="273"/>
      <c r="AU99" s="273"/>
      <c r="AV99" s="273"/>
      <c r="AW99" s="274"/>
      <c r="AX99" s="269"/>
      <c r="AY99" s="267"/>
      <c r="AZ99" s="267"/>
      <c r="BA99" s="267"/>
      <c r="BB99" s="267"/>
      <c r="BC99" s="267"/>
      <c r="BD99" s="267"/>
      <c r="BE99" s="267"/>
      <c r="BF99" s="267"/>
      <c r="BG99" s="268"/>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8"/>
      <c r="CQ99" s="58"/>
      <c r="CR99" s="58"/>
      <c r="CS99" s="58"/>
      <c r="CT99" s="58"/>
      <c r="CU99" s="58"/>
      <c r="CV99" s="58"/>
    </row>
    <row r="100" spans="1:100" ht="15" customHeight="1" x14ac:dyDescent="0.25">
      <c r="A100" s="58"/>
      <c r="B100" s="356"/>
      <c r="C100" s="356"/>
      <c r="D100" s="357"/>
      <c r="E100" s="331"/>
      <c r="F100" s="332"/>
      <c r="G100" s="332"/>
      <c r="H100" s="332"/>
      <c r="I100" s="337"/>
      <c r="J100" s="265" t="str">
        <f>IF(AND('Mapa final'!$K$109="Muy Baja",'Mapa final'!$O$109="Leve"),CONCATENATE("R",'Mapa final'!$A$109),"")</f>
        <v/>
      </c>
      <c r="K100" s="266"/>
      <c r="L100" s="266" t="str">
        <f>IF(AND('Mapa final'!$K$112="Muy Baja",'Mapa final'!$O$112="Leve"),CONCATENATE("R",'Mapa final'!$A$112),"")</f>
        <v/>
      </c>
      <c r="M100" s="266"/>
      <c r="N100" s="266" t="str">
        <f>IF(AND('Mapa final'!$K$115="Muy Baja",'Mapa final'!$O$115="Leve"),CONCATENATE("R",'Mapa final'!$A$115),"")</f>
        <v/>
      </c>
      <c r="O100" s="266"/>
      <c r="P100" s="266" t="str">
        <f>IF(AND('Mapa final'!$K$118="Muy Baja",'Mapa final'!$O$118="Leve"),CONCATENATE("R",'Mapa final'!$A$118),"")</f>
        <v/>
      </c>
      <c r="Q100" s="266"/>
      <c r="R100" s="266" t="str">
        <f>IF(AND('Mapa final'!$K$121="Muy Baja",'Mapa final'!$O$121="Leve"),CONCATENATE("R",'Mapa final'!$A$121),"")</f>
        <v/>
      </c>
      <c r="S100" s="266"/>
      <c r="T100" s="265" t="str">
        <f>IF(AND('Mapa final'!$K$109="Muy Baja",'Mapa final'!$O$109="Menor"),CONCATENATE("R",'Mapa final'!$A$109),"")</f>
        <v/>
      </c>
      <c r="U100" s="266"/>
      <c r="V100" s="266" t="str">
        <f>IF(AND('Mapa final'!$K$112="Muy Baja",'Mapa final'!$O$112="Menor"),CONCATENATE("R",'Mapa final'!$A$112),"")</f>
        <v/>
      </c>
      <c r="W100" s="266"/>
      <c r="X100" s="266" t="str">
        <f>IF(AND('Mapa final'!$K$115="Muy Baja",'Mapa final'!$O$115="Menor"),CONCATENATE("R",'Mapa final'!$A$115),"")</f>
        <v/>
      </c>
      <c r="Y100" s="266"/>
      <c r="Z100" s="266" t="str">
        <f>IF(AND('Mapa final'!$K$118="Muy Baja",'Mapa final'!$O$118="Menor"),CONCATENATE("R",'Mapa final'!$A$118),"")</f>
        <v/>
      </c>
      <c r="AA100" s="266"/>
      <c r="AB100" s="266" t="str">
        <f>IF(AND('Mapa final'!$K$121="Muy Baja",'Mapa final'!$O$121="Menor"),CONCATENATE("R",'Mapa final'!$A$121),"")</f>
        <v/>
      </c>
      <c r="AC100" s="266"/>
      <c r="AD100" s="272" t="str">
        <f>IF(AND('Mapa final'!$K$109="Muy Baja",'Mapa final'!$O$109="Moderado"),CONCATENATE("R",'Mapa final'!$A$109),"")</f>
        <v/>
      </c>
      <c r="AE100" s="270"/>
      <c r="AF100" s="270" t="str">
        <f>IF(AND('Mapa final'!$K$112="Muy Baja",'Mapa final'!$O$112="Moderado"),CONCATENATE("R",'Mapa final'!$A$112),"")</f>
        <v/>
      </c>
      <c r="AG100" s="270"/>
      <c r="AH100" s="270" t="str">
        <f>IF(AND('Mapa final'!$K$115="Muy Baja",'Mapa final'!$O$115="Moderado"),CONCATENATE("R",'Mapa final'!$A$115),"")</f>
        <v/>
      </c>
      <c r="AI100" s="270"/>
      <c r="AJ100" s="270" t="str">
        <f>IF(AND('Mapa final'!$K$118="Muy Baja",'Mapa final'!$O$118="Moderado"),CONCATENATE("R",'Mapa final'!$A$118),"")</f>
        <v/>
      </c>
      <c r="AK100" s="270"/>
      <c r="AL100" s="270" t="str">
        <f>IF(AND('Mapa final'!$K$121="Muy Baja",'Mapa final'!$O$121="Moderado"),CONCATENATE("R",'Mapa final'!$A$121),"")</f>
        <v/>
      </c>
      <c r="AM100" s="271"/>
      <c r="AN100" s="276" t="str">
        <f>IF(AND('Mapa final'!$K$109="Muy Baja",'Mapa final'!$O$109="Mayor"),CONCATENATE("R",'Mapa final'!$A$109),"")</f>
        <v/>
      </c>
      <c r="AO100" s="273"/>
      <c r="AP100" s="273" t="str">
        <f>IF(AND('Mapa final'!$K$112="Muy Baja",'Mapa final'!$O$112="Mayor"),CONCATENATE("R",'Mapa final'!$A$112),"")</f>
        <v/>
      </c>
      <c r="AQ100" s="273"/>
      <c r="AR100" s="273" t="str">
        <f>IF(AND('Mapa final'!$K$115="Muy Baja",'Mapa final'!$O$115="Mayor"),CONCATENATE("R",'Mapa final'!$A$115),"")</f>
        <v/>
      </c>
      <c r="AS100" s="273"/>
      <c r="AT100" s="273" t="str">
        <f>IF(AND('Mapa final'!$K$118="Muy Baja",'Mapa final'!$O$118="Mayor"),CONCATENATE("R",'Mapa final'!$A$118),"")</f>
        <v/>
      </c>
      <c r="AU100" s="273"/>
      <c r="AV100" s="273" t="str">
        <f>IF(AND('Mapa final'!$K$121="Muy Baja",'Mapa final'!$O$121="Mayor"),CONCATENATE("R",'Mapa final'!$A$121),"")</f>
        <v/>
      </c>
      <c r="AW100" s="274"/>
      <c r="AX100" s="269" t="str">
        <f>IF(AND('Mapa final'!$K$109="Muy Baja",'Mapa final'!$O$109="Catastrófico"),CONCATENATE("R",'Mapa final'!$A$109),"")</f>
        <v/>
      </c>
      <c r="AY100" s="267"/>
      <c r="AZ100" s="267" t="str">
        <f>IF(AND('Mapa final'!$K$112="Muy Baja",'Mapa final'!$O$112="Catastrófico"),CONCATENATE("R",'Mapa final'!$A$112),"")</f>
        <v/>
      </c>
      <c r="BA100" s="267"/>
      <c r="BB100" s="267" t="str">
        <f>IF(AND('Mapa final'!$K$115="Muy Baja",'Mapa final'!$O$115="Catastrófico"),CONCATENATE("R",'Mapa final'!$A$115),"")</f>
        <v/>
      </c>
      <c r="BC100" s="267"/>
      <c r="BD100" s="267" t="str">
        <f>IF(AND('Mapa final'!$K$118="Muy Baja",'Mapa final'!$O$118="Catastrófico"),CONCATENATE("R",'Mapa final'!$A$118),"")</f>
        <v/>
      </c>
      <c r="BE100" s="267"/>
      <c r="BF100" s="267" t="str">
        <f>IF(AND('Mapa final'!$K$121="Muy Baja",'Mapa final'!$O$121="Catastrófico"),CONCATENATE("R",'Mapa final'!$A$121),"")</f>
        <v/>
      </c>
      <c r="BG100" s="268"/>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8"/>
      <c r="CL100" s="58"/>
      <c r="CM100" s="58"/>
      <c r="CN100" s="58"/>
      <c r="CO100" s="58"/>
      <c r="CP100" s="58"/>
      <c r="CQ100" s="58"/>
      <c r="CR100" s="58"/>
      <c r="CS100" s="58"/>
      <c r="CT100" s="58"/>
      <c r="CU100" s="58"/>
      <c r="CV100" s="58"/>
    </row>
    <row r="101" spans="1:100" ht="15" customHeight="1" x14ac:dyDescent="0.25">
      <c r="A101" s="58"/>
      <c r="B101" s="356"/>
      <c r="C101" s="356"/>
      <c r="D101" s="357"/>
      <c r="E101" s="331"/>
      <c r="F101" s="332"/>
      <c r="G101" s="332"/>
      <c r="H101" s="332"/>
      <c r="I101" s="337"/>
      <c r="J101" s="265"/>
      <c r="K101" s="266"/>
      <c r="L101" s="266"/>
      <c r="M101" s="266"/>
      <c r="N101" s="266"/>
      <c r="O101" s="266"/>
      <c r="P101" s="266"/>
      <c r="Q101" s="266"/>
      <c r="R101" s="266"/>
      <c r="S101" s="266"/>
      <c r="T101" s="265"/>
      <c r="U101" s="266"/>
      <c r="V101" s="266"/>
      <c r="W101" s="266"/>
      <c r="X101" s="266"/>
      <c r="Y101" s="266"/>
      <c r="Z101" s="266"/>
      <c r="AA101" s="266"/>
      <c r="AB101" s="266"/>
      <c r="AC101" s="266"/>
      <c r="AD101" s="272"/>
      <c r="AE101" s="270"/>
      <c r="AF101" s="270"/>
      <c r="AG101" s="270"/>
      <c r="AH101" s="270"/>
      <c r="AI101" s="270"/>
      <c r="AJ101" s="270"/>
      <c r="AK101" s="270"/>
      <c r="AL101" s="270"/>
      <c r="AM101" s="271"/>
      <c r="AN101" s="276"/>
      <c r="AO101" s="273"/>
      <c r="AP101" s="273"/>
      <c r="AQ101" s="273"/>
      <c r="AR101" s="273"/>
      <c r="AS101" s="273"/>
      <c r="AT101" s="273"/>
      <c r="AU101" s="273"/>
      <c r="AV101" s="273"/>
      <c r="AW101" s="274"/>
      <c r="AX101" s="269"/>
      <c r="AY101" s="267"/>
      <c r="AZ101" s="267"/>
      <c r="BA101" s="267"/>
      <c r="BB101" s="267"/>
      <c r="BC101" s="267"/>
      <c r="BD101" s="267"/>
      <c r="BE101" s="267"/>
      <c r="BF101" s="267"/>
      <c r="BG101" s="268"/>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c r="CH101" s="58"/>
      <c r="CI101" s="58"/>
      <c r="CJ101" s="58"/>
      <c r="CK101" s="58"/>
      <c r="CL101" s="58"/>
      <c r="CM101" s="58"/>
      <c r="CN101" s="58"/>
      <c r="CO101" s="58"/>
      <c r="CP101" s="58"/>
      <c r="CQ101" s="58"/>
      <c r="CR101" s="58"/>
      <c r="CS101" s="58"/>
      <c r="CT101" s="58"/>
      <c r="CU101" s="58"/>
      <c r="CV101" s="58"/>
    </row>
    <row r="102" spans="1:100" ht="15" customHeight="1" x14ac:dyDescent="0.25">
      <c r="A102" s="58"/>
      <c r="B102" s="356"/>
      <c r="C102" s="356"/>
      <c r="D102" s="357"/>
      <c r="E102" s="331"/>
      <c r="F102" s="332"/>
      <c r="G102" s="332"/>
      <c r="H102" s="332"/>
      <c r="I102" s="337"/>
      <c r="J102" s="265" t="str">
        <f>IF(AND('Mapa final'!$K$124="Muy Baja",'Mapa final'!$O$124="Leve"),CONCATENATE("R",'Mapa final'!$A$124),"")</f>
        <v/>
      </c>
      <c r="K102" s="266"/>
      <c r="L102" s="266" t="str">
        <f>IF(AND('Mapa final'!$K$127="Muy Baja",'Mapa final'!$O$127="Leve"),CONCATENATE("R",'Mapa final'!$A$127),"")</f>
        <v/>
      </c>
      <c r="M102" s="266"/>
      <c r="N102" s="266" t="str">
        <f>IF(AND('Mapa final'!$K$130="Muy Baja",'Mapa final'!$O$130="Leve"),CONCATENATE("R",'Mapa final'!$A$130),"")</f>
        <v/>
      </c>
      <c r="O102" s="266"/>
      <c r="P102" s="266" t="str">
        <f>IF(AND('Mapa final'!$K$133="Muy Baja",'Mapa final'!$O$133="Leve"),CONCATENATE("R",'Mapa final'!$A$133),"")</f>
        <v/>
      </c>
      <c r="Q102" s="266"/>
      <c r="R102" s="266" t="str">
        <f>IF(AND('Mapa final'!$K$136="Muy Baja",'Mapa final'!$O$136="Leve"),CONCATENATE("R",'Mapa final'!$A$136),"")</f>
        <v/>
      </c>
      <c r="S102" s="266"/>
      <c r="T102" s="265" t="str">
        <f>IF(AND('Mapa final'!$K$124="Muy Baja",'Mapa final'!$O$124="Menor"),CONCATENATE("R",'Mapa final'!$A$124),"")</f>
        <v/>
      </c>
      <c r="U102" s="266"/>
      <c r="V102" s="266" t="str">
        <f>IF(AND('Mapa final'!$K$127="Muy Baja",'Mapa final'!$O$127="Menor"),CONCATENATE("R",'Mapa final'!$A$127),"")</f>
        <v/>
      </c>
      <c r="W102" s="266"/>
      <c r="X102" s="266" t="str">
        <f>IF(AND('Mapa final'!$K$130="Muy Baja",'Mapa final'!$O$130="Menor"),CONCATENATE("R",'Mapa final'!$A$130),"")</f>
        <v/>
      </c>
      <c r="Y102" s="266"/>
      <c r="Z102" s="266" t="str">
        <f>IF(AND('Mapa final'!$K$133="Muy Baja",'Mapa final'!$O$133="Menor"),CONCATENATE("R",'Mapa final'!$A$133),"")</f>
        <v/>
      </c>
      <c r="AA102" s="266"/>
      <c r="AB102" s="266" t="str">
        <f>IF(AND('Mapa final'!$K$136="Muy Baja",'Mapa final'!$O$136="Menor"),CONCATENATE("R",'Mapa final'!$A$136),"")</f>
        <v/>
      </c>
      <c r="AC102" s="266"/>
      <c r="AD102" s="272" t="str">
        <f>IF(AND('Mapa final'!$K$124="Muy Baja",'Mapa final'!$O$124="Moderado"),CONCATENATE("R",'Mapa final'!$A$124),"")</f>
        <v/>
      </c>
      <c r="AE102" s="270"/>
      <c r="AF102" s="270" t="str">
        <f>IF(AND('Mapa final'!$K$127="Muy Baja",'Mapa final'!$O$127="Moderado"),CONCATENATE("R",'Mapa final'!$A$127),"")</f>
        <v/>
      </c>
      <c r="AG102" s="270"/>
      <c r="AH102" s="270" t="str">
        <f>IF(AND('Mapa final'!$K$130="Muy Baja",'Mapa final'!$O$130="Moderado"),CONCATENATE("R",'Mapa final'!$A$130),"")</f>
        <v/>
      </c>
      <c r="AI102" s="270"/>
      <c r="AJ102" s="270" t="str">
        <f>IF(AND('Mapa final'!$K$133="Muy Baja",'Mapa final'!$O$133="Moderado"),CONCATENATE("R",'Mapa final'!$A$133),"")</f>
        <v/>
      </c>
      <c r="AK102" s="270"/>
      <c r="AL102" s="270" t="str">
        <f>IF(AND('Mapa final'!$K$136="Muy Baja",'Mapa final'!$O$136="Moderado"),CONCATENATE("R",'Mapa final'!$A$136),"")</f>
        <v/>
      </c>
      <c r="AM102" s="271"/>
      <c r="AN102" s="276" t="str">
        <f>IF(AND('Mapa final'!$K$124="Muy Baja",'Mapa final'!$O$124="Mayor"),CONCATENATE("R",'Mapa final'!$A$124),"")</f>
        <v/>
      </c>
      <c r="AO102" s="273"/>
      <c r="AP102" s="273" t="str">
        <f>IF(AND('Mapa final'!$K$127="Muy Baja",'Mapa final'!$O$127="Mayor"),CONCATENATE("R",'Mapa final'!$A$127),"")</f>
        <v/>
      </c>
      <c r="AQ102" s="273"/>
      <c r="AR102" s="273" t="str">
        <f>IF(AND('Mapa final'!$K$130="Muy Baja",'Mapa final'!$O$130="Mayor"),CONCATENATE("R",'Mapa final'!$A$130),"")</f>
        <v/>
      </c>
      <c r="AS102" s="273"/>
      <c r="AT102" s="273" t="str">
        <f>IF(AND('Mapa final'!$K$133="Muy Baja",'Mapa final'!$O$133="Mayor"),CONCATENATE("R",'Mapa final'!$A$133),"")</f>
        <v/>
      </c>
      <c r="AU102" s="273"/>
      <c r="AV102" s="273" t="str">
        <f>IF(AND('Mapa final'!$K$136="Muy Baja",'Mapa final'!$O$136="Mayor"),CONCATENATE("R",'Mapa final'!$A$136),"")</f>
        <v/>
      </c>
      <c r="AW102" s="274"/>
      <c r="AX102" s="269" t="str">
        <f>IF(AND('Mapa final'!$K$124="Muy Baja",'Mapa final'!$O$124="Catastrófico"),CONCATENATE("R",'Mapa final'!$A$124),"")</f>
        <v/>
      </c>
      <c r="AY102" s="267"/>
      <c r="AZ102" s="267" t="str">
        <f>IF(AND('Mapa final'!$K$127="Muy Baja",'Mapa final'!$O$127="Catastrófico"),CONCATENATE("R",'Mapa final'!$A$127),"")</f>
        <v/>
      </c>
      <c r="BA102" s="267"/>
      <c r="BB102" s="267" t="str">
        <f>IF(AND('Mapa final'!$K$130="Muy Baja",'Mapa final'!$O$130="Catastrófico"),CONCATENATE("R",'Mapa final'!$A$130),"")</f>
        <v/>
      </c>
      <c r="BC102" s="267"/>
      <c r="BD102" s="267" t="str">
        <f>IF(AND('Mapa final'!$K$133="Muy Baja",'Mapa final'!$O$133="Catastrófico"),CONCATENATE("R",'Mapa final'!$A$133),"")</f>
        <v/>
      </c>
      <c r="BE102" s="267"/>
      <c r="BF102" s="267" t="str">
        <f>IF(AND('Mapa final'!$K$136="Muy Baja",'Mapa final'!$O$136="Catastrófico"),CONCATENATE("R",'Mapa final'!$A$136),"")</f>
        <v/>
      </c>
      <c r="BG102" s="268"/>
      <c r="BH102" s="58"/>
      <c r="BI102" s="58"/>
      <c r="BJ102" s="58"/>
      <c r="BK102" s="58"/>
      <c r="BL102" s="58"/>
      <c r="BM102" s="58"/>
      <c r="BN102" s="58"/>
      <c r="BO102" s="58"/>
      <c r="BP102" s="58"/>
      <c r="BQ102" s="58"/>
      <c r="BR102" s="58"/>
      <c r="BS102" s="58"/>
      <c r="BT102" s="58"/>
      <c r="BU102" s="58"/>
      <c r="BV102" s="58"/>
      <c r="BW102" s="58"/>
      <c r="BX102" s="58"/>
      <c r="BY102" s="58"/>
      <c r="BZ102" s="58"/>
      <c r="CA102" s="58"/>
      <c r="CB102" s="58"/>
      <c r="CC102" s="58"/>
      <c r="CD102" s="58"/>
      <c r="CE102" s="58"/>
      <c r="CF102" s="58"/>
      <c r="CG102" s="58"/>
      <c r="CH102" s="58"/>
      <c r="CI102" s="58"/>
      <c r="CJ102" s="58"/>
      <c r="CK102" s="58"/>
      <c r="CL102" s="58"/>
      <c r="CM102" s="58"/>
      <c r="CN102" s="58"/>
      <c r="CO102" s="58"/>
      <c r="CP102" s="58"/>
      <c r="CQ102" s="58"/>
      <c r="CR102" s="58"/>
      <c r="CS102" s="58"/>
      <c r="CT102" s="58"/>
      <c r="CU102" s="58"/>
      <c r="CV102" s="58"/>
    </row>
    <row r="103" spans="1:100" ht="15" customHeight="1" x14ac:dyDescent="0.25">
      <c r="A103" s="58"/>
      <c r="B103" s="356"/>
      <c r="C103" s="356"/>
      <c r="D103" s="357"/>
      <c r="E103" s="331"/>
      <c r="F103" s="332"/>
      <c r="G103" s="332"/>
      <c r="H103" s="332"/>
      <c r="I103" s="337"/>
      <c r="J103" s="265"/>
      <c r="K103" s="266"/>
      <c r="L103" s="266"/>
      <c r="M103" s="266"/>
      <c r="N103" s="266"/>
      <c r="O103" s="266"/>
      <c r="P103" s="266"/>
      <c r="Q103" s="266"/>
      <c r="R103" s="266"/>
      <c r="S103" s="266"/>
      <c r="T103" s="265"/>
      <c r="U103" s="266"/>
      <c r="V103" s="266"/>
      <c r="W103" s="266"/>
      <c r="X103" s="266"/>
      <c r="Y103" s="266"/>
      <c r="Z103" s="266"/>
      <c r="AA103" s="266"/>
      <c r="AB103" s="266"/>
      <c r="AC103" s="266"/>
      <c r="AD103" s="272"/>
      <c r="AE103" s="270"/>
      <c r="AF103" s="270"/>
      <c r="AG103" s="270"/>
      <c r="AH103" s="270"/>
      <c r="AI103" s="270"/>
      <c r="AJ103" s="270"/>
      <c r="AK103" s="270"/>
      <c r="AL103" s="270"/>
      <c r="AM103" s="271"/>
      <c r="AN103" s="276"/>
      <c r="AO103" s="273"/>
      <c r="AP103" s="273"/>
      <c r="AQ103" s="273"/>
      <c r="AR103" s="273"/>
      <c r="AS103" s="273"/>
      <c r="AT103" s="273"/>
      <c r="AU103" s="273"/>
      <c r="AV103" s="273"/>
      <c r="AW103" s="274"/>
      <c r="AX103" s="269"/>
      <c r="AY103" s="267"/>
      <c r="AZ103" s="267"/>
      <c r="BA103" s="267"/>
      <c r="BB103" s="267"/>
      <c r="BC103" s="267"/>
      <c r="BD103" s="267"/>
      <c r="BE103" s="267"/>
      <c r="BF103" s="267"/>
      <c r="BG103" s="268"/>
      <c r="BH103" s="58"/>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58"/>
      <c r="CG103" s="58"/>
      <c r="CH103" s="58"/>
      <c r="CI103" s="58"/>
      <c r="CJ103" s="58"/>
      <c r="CK103" s="58"/>
      <c r="CL103" s="58"/>
      <c r="CM103" s="58"/>
      <c r="CN103" s="58"/>
      <c r="CO103" s="58"/>
      <c r="CP103" s="58"/>
      <c r="CQ103" s="58"/>
      <c r="CR103" s="58"/>
      <c r="CS103" s="58"/>
      <c r="CT103" s="58"/>
      <c r="CU103" s="58"/>
      <c r="CV103" s="58"/>
    </row>
    <row r="104" spans="1:100" ht="15" customHeight="1" x14ac:dyDescent="0.25">
      <c r="A104" s="58"/>
      <c r="B104" s="356"/>
      <c r="C104" s="356"/>
      <c r="D104" s="357"/>
      <c r="E104" s="331"/>
      <c r="F104" s="332"/>
      <c r="G104" s="332"/>
      <c r="H104" s="332"/>
      <c r="I104" s="337"/>
      <c r="J104" s="265" t="str">
        <f>IF(AND('Mapa final'!$K$139="Muy Baja",'Mapa final'!$O$139="Leve"),CONCATENATE("R",'Mapa final'!$A$139),"")</f>
        <v/>
      </c>
      <c r="K104" s="266"/>
      <c r="L104" s="266" t="str">
        <f>IF(AND('Mapa final'!$K$142="Muy Baja",'Mapa final'!$O$142="Leve"),CONCATENATE("R",'Mapa final'!$A$142),"")</f>
        <v/>
      </c>
      <c r="M104" s="266"/>
      <c r="N104" s="266" t="str">
        <f>IF(AND('Mapa final'!$K$145="Muy Baja",'Mapa final'!$O$145="Leve"),CONCATENATE("R",'Mapa final'!$A$145),"")</f>
        <v/>
      </c>
      <c r="O104" s="266"/>
      <c r="P104" s="266" t="str">
        <f>IF(AND('Mapa final'!$K$148="Muy Baja",'Mapa final'!$O$148="Leve"),CONCATENATE("R",'Mapa final'!$A$148),"")</f>
        <v/>
      </c>
      <c r="Q104" s="266"/>
      <c r="R104" s="266" t="str">
        <f>IF(AND('Mapa final'!$K$151="Muy Baja",'Mapa final'!$O$151="Leve"),CONCATENATE("R",'Mapa final'!$A$151),"")</f>
        <v/>
      </c>
      <c r="S104" s="266"/>
      <c r="T104" s="265" t="str">
        <f>IF(AND('Mapa final'!$K$139="Muy Baja",'Mapa final'!$O$139="Menor"),CONCATENATE("R",'Mapa final'!$A$139),"")</f>
        <v/>
      </c>
      <c r="U104" s="266"/>
      <c r="V104" s="266" t="str">
        <f>IF(AND('Mapa final'!$K$142="Muy Baja",'Mapa final'!$O$142="Menor"),CONCATENATE("R",'Mapa final'!$A$142),"")</f>
        <v/>
      </c>
      <c r="W104" s="266"/>
      <c r="X104" s="266" t="str">
        <f>IF(AND('Mapa final'!$K$145="Muy Baja",'Mapa final'!$O$145="Menor"),CONCATENATE("R",'Mapa final'!$A$145),"")</f>
        <v/>
      </c>
      <c r="Y104" s="266"/>
      <c r="Z104" s="266" t="str">
        <f>IF(AND('Mapa final'!$K$148="Muy Baja",'Mapa final'!$O$148="Menor"),CONCATENATE("R",'Mapa final'!$A$148),"")</f>
        <v/>
      </c>
      <c r="AA104" s="266"/>
      <c r="AB104" s="266" t="str">
        <f>IF(AND('Mapa final'!$K$151="Muy Baja",'Mapa final'!$O$151="Menor"),CONCATENATE("R",'Mapa final'!$A$151),"")</f>
        <v/>
      </c>
      <c r="AC104" s="266"/>
      <c r="AD104" s="272" t="str">
        <f>IF(AND('Mapa final'!$K$139="Muy Baja",'Mapa final'!$O$139="Moderado"),CONCATENATE("R",'Mapa final'!$A$139),"")</f>
        <v/>
      </c>
      <c r="AE104" s="270"/>
      <c r="AF104" s="270" t="str">
        <f>IF(AND('Mapa final'!$K$142="Muy Baja",'Mapa final'!$O$142="Moderado"),CONCATENATE("R",'Mapa final'!$A$142),"")</f>
        <v/>
      </c>
      <c r="AG104" s="270"/>
      <c r="AH104" s="270" t="str">
        <f>IF(AND('Mapa final'!$K$145="Muy Baja",'Mapa final'!$O$145="Moderado"),CONCATENATE("R",'Mapa final'!$A$145),"")</f>
        <v/>
      </c>
      <c r="AI104" s="270"/>
      <c r="AJ104" s="270" t="str">
        <f>IF(AND('Mapa final'!$K$148="Muy Baja",'Mapa final'!$O$148="Moderado"),CONCATENATE("R",'Mapa final'!$A$148),"")</f>
        <v/>
      </c>
      <c r="AK104" s="270"/>
      <c r="AL104" s="270" t="str">
        <f>IF(AND('Mapa final'!$K$151="Muy Baja",'Mapa final'!$O$151="Moderado"),CONCATENATE("R",'Mapa final'!$A$151),"")</f>
        <v/>
      </c>
      <c r="AM104" s="271"/>
      <c r="AN104" s="276" t="str">
        <f>IF(AND('Mapa final'!$K$139="Muy Baja",'Mapa final'!$O$139="Mayor"),CONCATENATE("R",'Mapa final'!$A$139),"")</f>
        <v/>
      </c>
      <c r="AO104" s="273"/>
      <c r="AP104" s="273" t="str">
        <f>IF(AND('Mapa final'!$K$142="Muy Baja",'Mapa final'!$O$142="Mayor"),CONCATENATE("R",'Mapa final'!$A$142),"")</f>
        <v/>
      </c>
      <c r="AQ104" s="273"/>
      <c r="AR104" s="273" t="str">
        <f>IF(AND('Mapa final'!$K$145="Muy Baja",'Mapa final'!$O$145="Mayor"),CONCATENATE("R",'Mapa final'!$A$145),"")</f>
        <v/>
      </c>
      <c r="AS104" s="273"/>
      <c r="AT104" s="273" t="str">
        <f>IF(AND('Mapa final'!$K$148="Muy Baja",'Mapa final'!$O$148="Mayor"),CONCATENATE("R",'Mapa final'!$A$148),"")</f>
        <v/>
      </c>
      <c r="AU104" s="273"/>
      <c r="AV104" s="273" t="str">
        <f>IF(AND('Mapa final'!$K$151="Muy Baja",'Mapa final'!$O$151="Mayor"),CONCATENATE("R",'Mapa final'!$A$151),"")</f>
        <v/>
      </c>
      <c r="AW104" s="274"/>
      <c r="AX104" s="269" t="str">
        <f>IF(AND('Mapa final'!$K$139="Muy Baja",'Mapa final'!$O$139="Catastrófico"),CONCATENATE("R",'Mapa final'!$A$139),"")</f>
        <v/>
      </c>
      <c r="AY104" s="267"/>
      <c r="AZ104" s="267" t="str">
        <f>IF(AND('Mapa final'!$K$142="Muy Baja",'Mapa final'!$O$142="Catastrófico"),CONCATENATE("R",'Mapa final'!$A$142),"")</f>
        <v/>
      </c>
      <c r="BA104" s="267"/>
      <c r="BB104" s="267" t="str">
        <f>IF(AND('Mapa final'!$K$145="Muy Baja",'Mapa final'!$O$145="Catastrófico"),CONCATENATE("R",'Mapa final'!$A$145),"")</f>
        <v/>
      </c>
      <c r="BC104" s="267"/>
      <c r="BD104" s="267" t="str">
        <f>IF(AND('Mapa final'!$K$148="Muy Baja",'Mapa final'!$O$148="Catastrófico"),CONCATENATE("R",'Mapa final'!$A$148),"")</f>
        <v/>
      </c>
      <c r="BE104" s="267"/>
      <c r="BF104" s="267" t="str">
        <f>IF(AND('Mapa final'!$K$151="Muy Baja",'Mapa final'!$O$151="Catastrófico"),CONCATENATE("R",'Mapa final'!$A$151),"")</f>
        <v/>
      </c>
      <c r="BG104" s="268"/>
      <c r="BH104" s="58"/>
      <c r="BI104" s="58"/>
      <c r="BJ104" s="58"/>
      <c r="BK104" s="58"/>
      <c r="BL104" s="58"/>
      <c r="BM104" s="58"/>
      <c r="BN104" s="58"/>
      <c r="BO104" s="58"/>
      <c r="BP104" s="58"/>
      <c r="BQ104" s="58"/>
      <c r="BR104" s="58"/>
      <c r="BS104" s="58"/>
      <c r="BT104" s="58"/>
      <c r="BU104" s="58"/>
      <c r="BV104" s="58"/>
      <c r="BW104" s="58"/>
      <c r="BX104" s="58"/>
      <c r="BY104" s="58"/>
      <c r="BZ104" s="58"/>
      <c r="CA104" s="58"/>
      <c r="CB104" s="58"/>
      <c r="CC104" s="58"/>
      <c r="CD104" s="58"/>
      <c r="CE104" s="58"/>
      <c r="CF104" s="58"/>
      <c r="CG104" s="58"/>
      <c r="CH104" s="58"/>
      <c r="CI104" s="58"/>
      <c r="CJ104" s="58"/>
      <c r="CK104" s="58"/>
      <c r="CL104" s="58"/>
      <c r="CM104" s="58"/>
      <c r="CN104" s="58"/>
      <c r="CO104" s="58"/>
      <c r="CP104" s="58"/>
      <c r="CQ104" s="58"/>
      <c r="CR104" s="58"/>
      <c r="CS104" s="58"/>
      <c r="CT104" s="58"/>
      <c r="CU104" s="58"/>
      <c r="CV104" s="58"/>
    </row>
    <row r="105" spans="1:100" ht="15.75" customHeight="1" thickBot="1" x14ac:dyDescent="0.3">
      <c r="A105" s="58"/>
      <c r="B105" s="356"/>
      <c r="C105" s="356"/>
      <c r="D105" s="357"/>
      <c r="E105" s="334"/>
      <c r="F105" s="335"/>
      <c r="G105" s="335"/>
      <c r="H105" s="335"/>
      <c r="I105" s="338"/>
      <c r="J105" s="290"/>
      <c r="K105" s="291"/>
      <c r="L105" s="291"/>
      <c r="M105" s="291"/>
      <c r="N105" s="291"/>
      <c r="O105" s="291"/>
      <c r="P105" s="291"/>
      <c r="Q105" s="291"/>
      <c r="R105" s="291"/>
      <c r="S105" s="291"/>
      <c r="T105" s="290"/>
      <c r="U105" s="291"/>
      <c r="V105" s="291"/>
      <c r="W105" s="291"/>
      <c r="X105" s="291"/>
      <c r="Y105" s="291"/>
      <c r="Z105" s="291"/>
      <c r="AA105" s="291"/>
      <c r="AB105" s="291"/>
      <c r="AC105" s="291"/>
      <c r="AD105" s="280"/>
      <c r="AE105" s="281"/>
      <c r="AF105" s="281"/>
      <c r="AG105" s="281"/>
      <c r="AH105" s="281"/>
      <c r="AI105" s="281"/>
      <c r="AJ105" s="281"/>
      <c r="AK105" s="281"/>
      <c r="AL105" s="281"/>
      <c r="AM105" s="282"/>
      <c r="AN105" s="342"/>
      <c r="AO105" s="343"/>
      <c r="AP105" s="343"/>
      <c r="AQ105" s="343"/>
      <c r="AR105" s="343"/>
      <c r="AS105" s="343"/>
      <c r="AT105" s="343"/>
      <c r="AU105" s="343"/>
      <c r="AV105" s="343"/>
      <c r="AW105" s="344"/>
      <c r="AX105" s="348"/>
      <c r="AY105" s="349"/>
      <c r="AZ105" s="349"/>
      <c r="BA105" s="349"/>
      <c r="BB105" s="349"/>
      <c r="BC105" s="349"/>
      <c r="BD105" s="349"/>
      <c r="BE105" s="349"/>
      <c r="BF105" s="349"/>
      <c r="BG105" s="350"/>
      <c r="BH105" s="58"/>
      <c r="BI105" s="58"/>
      <c r="BJ105" s="58"/>
      <c r="BK105" s="58"/>
      <c r="BL105" s="58"/>
      <c r="BM105" s="58"/>
      <c r="BN105" s="58"/>
      <c r="BO105" s="58"/>
      <c r="BP105" s="58"/>
      <c r="BQ105" s="58"/>
      <c r="BR105" s="58"/>
      <c r="BS105" s="58"/>
      <c r="BT105" s="58"/>
      <c r="BU105" s="58"/>
      <c r="BV105" s="58"/>
      <c r="BW105" s="58"/>
      <c r="BX105" s="58"/>
      <c r="BY105" s="58"/>
      <c r="BZ105" s="58"/>
      <c r="CA105" s="58"/>
      <c r="CB105" s="58"/>
      <c r="CC105" s="58"/>
      <c r="CD105" s="58"/>
      <c r="CE105" s="58"/>
      <c r="CF105" s="58"/>
      <c r="CG105" s="58"/>
      <c r="CH105" s="58"/>
      <c r="CI105" s="58"/>
      <c r="CJ105" s="58"/>
      <c r="CK105" s="58"/>
      <c r="CL105" s="58"/>
      <c r="CM105" s="58"/>
      <c r="CN105" s="58"/>
      <c r="CO105" s="58"/>
      <c r="CP105" s="58"/>
      <c r="CQ105" s="58"/>
      <c r="CR105" s="58"/>
      <c r="CS105" s="58"/>
      <c r="CT105" s="58"/>
      <c r="CU105" s="58"/>
      <c r="CV105" s="58"/>
    </row>
    <row r="106" spans="1:100" x14ac:dyDescent="0.25">
      <c r="A106" s="58"/>
      <c r="B106" s="58"/>
      <c r="C106" s="58"/>
      <c r="D106" s="58"/>
      <c r="E106" s="58"/>
      <c r="F106" s="58"/>
      <c r="G106" s="58"/>
      <c r="H106" s="58"/>
      <c r="I106" s="58"/>
      <c r="J106" s="329" t="s">
        <v>106</v>
      </c>
      <c r="K106" s="330"/>
      <c r="L106" s="330"/>
      <c r="M106" s="330"/>
      <c r="N106" s="330"/>
      <c r="O106" s="330"/>
      <c r="P106" s="330"/>
      <c r="Q106" s="330"/>
      <c r="R106" s="330"/>
      <c r="S106" s="336"/>
      <c r="T106" s="339" t="s">
        <v>105</v>
      </c>
      <c r="U106" s="333"/>
      <c r="V106" s="333"/>
      <c r="W106" s="333"/>
      <c r="X106" s="333"/>
      <c r="Y106" s="333"/>
      <c r="Z106" s="333"/>
      <c r="AA106" s="333"/>
      <c r="AB106" s="333"/>
      <c r="AC106" s="337"/>
      <c r="AD106" s="339" t="s">
        <v>104</v>
      </c>
      <c r="AE106" s="333"/>
      <c r="AF106" s="333"/>
      <c r="AG106" s="333"/>
      <c r="AH106" s="333"/>
      <c r="AI106" s="333"/>
      <c r="AJ106" s="333"/>
      <c r="AK106" s="333"/>
      <c r="AL106" s="333"/>
      <c r="AM106" s="337"/>
      <c r="AN106" s="339" t="s">
        <v>103</v>
      </c>
      <c r="AO106" s="340"/>
      <c r="AP106" s="340"/>
      <c r="AQ106" s="340"/>
      <c r="AR106" s="340"/>
      <c r="AS106" s="340"/>
      <c r="AT106" s="333"/>
      <c r="AU106" s="333"/>
      <c r="AV106" s="333"/>
      <c r="AW106" s="337"/>
      <c r="AX106" s="339" t="s">
        <v>102</v>
      </c>
      <c r="AY106" s="333"/>
      <c r="AZ106" s="333"/>
      <c r="BA106" s="333"/>
      <c r="BB106" s="333"/>
      <c r="BC106" s="333"/>
      <c r="BD106" s="333"/>
      <c r="BE106" s="333"/>
      <c r="BF106" s="333"/>
      <c r="BG106" s="337"/>
      <c r="BH106" s="58"/>
      <c r="BI106" s="58"/>
      <c r="BJ106" s="58"/>
      <c r="BK106" s="58"/>
      <c r="BL106" s="58"/>
      <c r="BM106" s="58"/>
      <c r="BN106" s="58"/>
      <c r="BO106" s="58"/>
      <c r="BP106" s="58"/>
      <c r="BQ106" s="58"/>
      <c r="BR106" s="58"/>
      <c r="BS106" s="58"/>
      <c r="BT106" s="58"/>
      <c r="BU106" s="58"/>
      <c r="BV106" s="58"/>
      <c r="BW106" s="58"/>
      <c r="BX106" s="58"/>
      <c r="BY106" s="58"/>
      <c r="BZ106" s="58"/>
      <c r="CA106" s="58"/>
      <c r="CB106" s="58"/>
      <c r="CC106" s="58"/>
      <c r="CD106" s="58"/>
      <c r="CE106" s="58"/>
      <c r="CF106" s="58"/>
      <c r="CG106" s="58"/>
      <c r="CH106" s="58"/>
      <c r="CI106" s="58"/>
      <c r="CJ106" s="58"/>
      <c r="CK106" s="58"/>
      <c r="CL106" s="58"/>
      <c r="CM106" s="58"/>
      <c r="CN106" s="58"/>
      <c r="CO106" s="58"/>
      <c r="CP106" s="58"/>
      <c r="CQ106" s="58"/>
      <c r="CR106" s="58"/>
      <c r="CS106" s="58"/>
      <c r="CT106" s="58"/>
      <c r="CU106" s="58"/>
      <c r="CV106" s="58"/>
    </row>
    <row r="107" spans="1:100" x14ac:dyDescent="0.25">
      <c r="A107" s="58"/>
      <c r="B107" s="58"/>
      <c r="C107" s="58"/>
      <c r="D107" s="58"/>
      <c r="E107" s="58"/>
      <c r="F107" s="58"/>
      <c r="G107" s="58"/>
      <c r="H107" s="58"/>
      <c r="I107" s="58"/>
      <c r="J107" s="331"/>
      <c r="K107" s="332"/>
      <c r="L107" s="332"/>
      <c r="M107" s="332"/>
      <c r="N107" s="332"/>
      <c r="O107" s="332"/>
      <c r="P107" s="332"/>
      <c r="Q107" s="332"/>
      <c r="R107" s="332"/>
      <c r="S107" s="337"/>
      <c r="T107" s="331"/>
      <c r="U107" s="332"/>
      <c r="V107" s="332"/>
      <c r="W107" s="332"/>
      <c r="X107" s="332"/>
      <c r="Y107" s="332"/>
      <c r="Z107" s="332"/>
      <c r="AA107" s="332"/>
      <c r="AB107" s="332"/>
      <c r="AC107" s="337"/>
      <c r="AD107" s="331"/>
      <c r="AE107" s="332"/>
      <c r="AF107" s="332"/>
      <c r="AG107" s="332"/>
      <c r="AH107" s="332"/>
      <c r="AI107" s="332"/>
      <c r="AJ107" s="332"/>
      <c r="AK107" s="332"/>
      <c r="AL107" s="332"/>
      <c r="AM107" s="337"/>
      <c r="AN107" s="331"/>
      <c r="AO107" s="332"/>
      <c r="AP107" s="332"/>
      <c r="AQ107" s="332"/>
      <c r="AR107" s="332"/>
      <c r="AS107" s="332"/>
      <c r="AT107" s="332"/>
      <c r="AU107" s="332"/>
      <c r="AV107" s="332"/>
      <c r="AW107" s="337"/>
      <c r="AX107" s="331"/>
      <c r="AY107" s="332"/>
      <c r="AZ107" s="332"/>
      <c r="BA107" s="332"/>
      <c r="BB107" s="332"/>
      <c r="BC107" s="332"/>
      <c r="BD107" s="332"/>
      <c r="BE107" s="332"/>
      <c r="BF107" s="332"/>
      <c r="BG107" s="337"/>
      <c r="BH107" s="58"/>
      <c r="BI107" s="58"/>
      <c r="BJ107" s="58"/>
      <c r="BK107" s="58"/>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c r="CH107" s="58"/>
      <c r="CI107" s="58"/>
      <c r="CJ107" s="58"/>
      <c r="CK107" s="58"/>
      <c r="CL107" s="58"/>
      <c r="CM107" s="58"/>
      <c r="CN107" s="58"/>
      <c r="CO107" s="58"/>
      <c r="CP107" s="58"/>
      <c r="CQ107" s="58"/>
      <c r="CR107" s="58"/>
      <c r="CS107" s="58"/>
      <c r="CT107" s="58"/>
      <c r="CU107" s="58"/>
      <c r="CV107" s="58"/>
    </row>
    <row r="108" spans="1:100" x14ac:dyDescent="0.25">
      <c r="A108" s="58"/>
      <c r="B108" s="58"/>
      <c r="C108" s="58"/>
      <c r="D108" s="58"/>
      <c r="E108" s="58"/>
      <c r="F108" s="58"/>
      <c r="G108" s="58"/>
      <c r="H108" s="58"/>
      <c r="I108" s="58"/>
      <c r="J108" s="331"/>
      <c r="K108" s="332"/>
      <c r="L108" s="332"/>
      <c r="M108" s="332"/>
      <c r="N108" s="332"/>
      <c r="O108" s="332"/>
      <c r="P108" s="332"/>
      <c r="Q108" s="332"/>
      <c r="R108" s="332"/>
      <c r="S108" s="337"/>
      <c r="T108" s="331"/>
      <c r="U108" s="332"/>
      <c r="V108" s="332"/>
      <c r="W108" s="332"/>
      <c r="X108" s="332"/>
      <c r="Y108" s="332"/>
      <c r="Z108" s="332"/>
      <c r="AA108" s="332"/>
      <c r="AB108" s="332"/>
      <c r="AC108" s="337"/>
      <c r="AD108" s="331"/>
      <c r="AE108" s="332"/>
      <c r="AF108" s="332"/>
      <c r="AG108" s="332"/>
      <c r="AH108" s="332"/>
      <c r="AI108" s="332"/>
      <c r="AJ108" s="332"/>
      <c r="AK108" s="332"/>
      <c r="AL108" s="332"/>
      <c r="AM108" s="337"/>
      <c r="AN108" s="331"/>
      <c r="AO108" s="332"/>
      <c r="AP108" s="332"/>
      <c r="AQ108" s="332"/>
      <c r="AR108" s="332"/>
      <c r="AS108" s="332"/>
      <c r="AT108" s="332"/>
      <c r="AU108" s="332"/>
      <c r="AV108" s="332"/>
      <c r="AW108" s="337"/>
      <c r="AX108" s="331"/>
      <c r="AY108" s="332"/>
      <c r="AZ108" s="332"/>
      <c r="BA108" s="332"/>
      <c r="BB108" s="332"/>
      <c r="BC108" s="332"/>
      <c r="BD108" s="332"/>
      <c r="BE108" s="332"/>
      <c r="BF108" s="332"/>
      <c r="BG108" s="337"/>
      <c r="BH108" s="58"/>
      <c r="BI108" s="58"/>
      <c r="BJ108" s="58"/>
      <c r="BK108" s="58"/>
      <c r="BL108" s="58"/>
      <c r="BM108" s="58"/>
      <c r="BN108" s="58"/>
      <c r="BO108" s="58"/>
      <c r="BP108" s="58"/>
      <c r="BQ108" s="58"/>
      <c r="BR108" s="58"/>
      <c r="BS108" s="58"/>
      <c r="BT108" s="58"/>
      <c r="BU108" s="58"/>
      <c r="BV108" s="58"/>
      <c r="BW108" s="58"/>
      <c r="BX108" s="58"/>
      <c r="BY108" s="58"/>
      <c r="BZ108" s="58"/>
      <c r="CA108" s="58"/>
      <c r="CB108" s="58"/>
      <c r="CC108" s="58"/>
      <c r="CD108" s="58"/>
      <c r="CE108" s="58"/>
      <c r="CF108" s="58"/>
      <c r="CG108" s="58"/>
      <c r="CH108" s="58"/>
      <c r="CI108" s="58"/>
      <c r="CJ108" s="58"/>
      <c r="CK108" s="58"/>
      <c r="CL108" s="58"/>
      <c r="CM108" s="58"/>
      <c r="CN108" s="58"/>
      <c r="CO108" s="58"/>
      <c r="CP108" s="58"/>
      <c r="CQ108" s="58"/>
      <c r="CR108" s="58"/>
      <c r="CS108" s="58"/>
      <c r="CT108" s="58"/>
      <c r="CU108" s="58"/>
      <c r="CV108" s="58"/>
    </row>
    <row r="109" spans="1:100" x14ac:dyDescent="0.25">
      <c r="A109" s="58"/>
      <c r="B109" s="58"/>
      <c r="C109" s="58"/>
      <c r="D109" s="58"/>
      <c r="E109" s="58"/>
      <c r="F109" s="58"/>
      <c r="G109" s="58"/>
      <c r="H109" s="58"/>
      <c r="I109" s="58"/>
      <c r="J109" s="331"/>
      <c r="K109" s="332"/>
      <c r="L109" s="332"/>
      <c r="M109" s="332"/>
      <c r="N109" s="332"/>
      <c r="O109" s="332"/>
      <c r="P109" s="332"/>
      <c r="Q109" s="332"/>
      <c r="R109" s="332"/>
      <c r="S109" s="337"/>
      <c r="T109" s="331"/>
      <c r="U109" s="332"/>
      <c r="V109" s="332"/>
      <c r="W109" s="332"/>
      <c r="X109" s="332"/>
      <c r="Y109" s="332"/>
      <c r="Z109" s="332"/>
      <c r="AA109" s="332"/>
      <c r="AB109" s="332"/>
      <c r="AC109" s="337"/>
      <c r="AD109" s="331"/>
      <c r="AE109" s="332"/>
      <c r="AF109" s="332"/>
      <c r="AG109" s="332"/>
      <c r="AH109" s="332"/>
      <c r="AI109" s="332"/>
      <c r="AJ109" s="332"/>
      <c r="AK109" s="332"/>
      <c r="AL109" s="332"/>
      <c r="AM109" s="337"/>
      <c r="AN109" s="331"/>
      <c r="AO109" s="332"/>
      <c r="AP109" s="332"/>
      <c r="AQ109" s="332"/>
      <c r="AR109" s="332"/>
      <c r="AS109" s="332"/>
      <c r="AT109" s="332"/>
      <c r="AU109" s="332"/>
      <c r="AV109" s="332"/>
      <c r="AW109" s="337"/>
      <c r="AX109" s="331"/>
      <c r="AY109" s="332"/>
      <c r="AZ109" s="332"/>
      <c r="BA109" s="332"/>
      <c r="BB109" s="332"/>
      <c r="BC109" s="332"/>
      <c r="BD109" s="332"/>
      <c r="BE109" s="332"/>
      <c r="BF109" s="332"/>
      <c r="BG109" s="337"/>
      <c r="BH109" s="58"/>
      <c r="BI109" s="58"/>
      <c r="BJ109" s="58"/>
      <c r="BK109" s="58"/>
      <c r="BL109" s="58"/>
      <c r="BM109" s="58"/>
      <c r="BN109" s="58"/>
      <c r="BO109" s="58"/>
      <c r="BP109" s="58"/>
      <c r="BQ109" s="58"/>
      <c r="BR109" s="58"/>
      <c r="BS109" s="58"/>
      <c r="BT109" s="58"/>
      <c r="BU109" s="58"/>
      <c r="BV109" s="58"/>
      <c r="BW109" s="58"/>
      <c r="BX109" s="58"/>
      <c r="BY109" s="58"/>
      <c r="BZ109" s="58"/>
      <c r="CA109" s="58"/>
      <c r="CB109" s="58"/>
      <c r="CC109" s="58"/>
      <c r="CD109" s="58"/>
      <c r="CE109" s="58"/>
      <c r="CF109" s="58"/>
      <c r="CG109" s="58"/>
      <c r="CH109" s="58"/>
      <c r="CI109" s="58"/>
      <c r="CJ109" s="58"/>
      <c r="CK109" s="58"/>
      <c r="CL109" s="58"/>
      <c r="CM109" s="58"/>
      <c r="CN109" s="58"/>
      <c r="CO109" s="58"/>
      <c r="CP109" s="58"/>
      <c r="CQ109" s="58"/>
      <c r="CR109" s="58"/>
      <c r="CS109" s="58"/>
      <c r="CT109" s="58"/>
      <c r="CU109" s="58"/>
      <c r="CV109" s="58"/>
    </row>
    <row r="110" spans="1:100" x14ac:dyDescent="0.25">
      <c r="A110" s="58"/>
      <c r="B110" s="58"/>
      <c r="C110" s="58"/>
      <c r="D110" s="58"/>
      <c r="E110" s="58"/>
      <c r="F110" s="58"/>
      <c r="G110" s="58"/>
      <c r="H110" s="58"/>
      <c r="I110" s="58"/>
      <c r="J110" s="331"/>
      <c r="K110" s="332"/>
      <c r="L110" s="332"/>
      <c r="M110" s="332"/>
      <c r="N110" s="332"/>
      <c r="O110" s="332"/>
      <c r="P110" s="332"/>
      <c r="Q110" s="332"/>
      <c r="R110" s="332"/>
      <c r="S110" s="337"/>
      <c r="T110" s="331"/>
      <c r="U110" s="332"/>
      <c r="V110" s="332"/>
      <c r="W110" s="332"/>
      <c r="X110" s="332"/>
      <c r="Y110" s="332"/>
      <c r="Z110" s="332"/>
      <c r="AA110" s="332"/>
      <c r="AB110" s="332"/>
      <c r="AC110" s="337"/>
      <c r="AD110" s="331"/>
      <c r="AE110" s="332"/>
      <c r="AF110" s="332"/>
      <c r="AG110" s="332"/>
      <c r="AH110" s="332"/>
      <c r="AI110" s="332"/>
      <c r="AJ110" s="332"/>
      <c r="AK110" s="332"/>
      <c r="AL110" s="332"/>
      <c r="AM110" s="337"/>
      <c r="AN110" s="331"/>
      <c r="AO110" s="332"/>
      <c r="AP110" s="332"/>
      <c r="AQ110" s="332"/>
      <c r="AR110" s="332"/>
      <c r="AS110" s="332"/>
      <c r="AT110" s="332"/>
      <c r="AU110" s="332"/>
      <c r="AV110" s="332"/>
      <c r="AW110" s="337"/>
      <c r="AX110" s="331"/>
      <c r="AY110" s="332"/>
      <c r="AZ110" s="332"/>
      <c r="BA110" s="332"/>
      <c r="BB110" s="332"/>
      <c r="BC110" s="332"/>
      <c r="BD110" s="332"/>
      <c r="BE110" s="332"/>
      <c r="BF110" s="332"/>
      <c r="BG110" s="337"/>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8"/>
      <c r="CL110" s="58"/>
      <c r="CM110" s="58"/>
      <c r="CN110" s="58"/>
      <c r="CO110" s="58"/>
      <c r="CP110" s="58"/>
      <c r="CQ110" s="58"/>
      <c r="CR110" s="58"/>
      <c r="CS110" s="58"/>
      <c r="CT110" s="58"/>
      <c r="CU110" s="58"/>
      <c r="CV110" s="58"/>
    </row>
    <row r="111" spans="1:100" ht="15.75" thickBot="1" x14ac:dyDescent="0.3">
      <c r="A111" s="58"/>
      <c r="B111" s="58"/>
      <c r="C111" s="58"/>
      <c r="D111" s="58"/>
      <c r="E111" s="58"/>
      <c r="F111" s="58"/>
      <c r="G111" s="58"/>
      <c r="H111" s="58"/>
      <c r="I111" s="58"/>
      <c r="J111" s="334"/>
      <c r="K111" s="335"/>
      <c r="L111" s="335"/>
      <c r="M111" s="335"/>
      <c r="N111" s="335"/>
      <c r="O111" s="335"/>
      <c r="P111" s="335"/>
      <c r="Q111" s="335"/>
      <c r="R111" s="335"/>
      <c r="S111" s="338"/>
      <c r="T111" s="334"/>
      <c r="U111" s="335"/>
      <c r="V111" s="335"/>
      <c r="W111" s="335"/>
      <c r="X111" s="335"/>
      <c r="Y111" s="335"/>
      <c r="Z111" s="335"/>
      <c r="AA111" s="335"/>
      <c r="AB111" s="335"/>
      <c r="AC111" s="338"/>
      <c r="AD111" s="334"/>
      <c r="AE111" s="335"/>
      <c r="AF111" s="335"/>
      <c r="AG111" s="335"/>
      <c r="AH111" s="335"/>
      <c r="AI111" s="335"/>
      <c r="AJ111" s="335"/>
      <c r="AK111" s="335"/>
      <c r="AL111" s="335"/>
      <c r="AM111" s="338"/>
      <c r="AN111" s="334"/>
      <c r="AO111" s="335"/>
      <c r="AP111" s="335"/>
      <c r="AQ111" s="335"/>
      <c r="AR111" s="335"/>
      <c r="AS111" s="335"/>
      <c r="AT111" s="335"/>
      <c r="AU111" s="335"/>
      <c r="AV111" s="335"/>
      <c r="AW111" s="338"/>
      <c r="AX111" s="334"/>
      <c r="AY111" s="335"/>
      <c r="AZ111" s="335"/>
      <c r="BA111" s="335"/>
      <c r="BB111" s="335"/>
      <c r="BC111" s="335"/>
      <c r="BD111" s="335"/>
      <c r="BE111" s="335"/>
      <c r="BF111" s="335"/>
      <c r="BG111" s="338"/>
      <c r="BH111" s="58"/>
      <c r="BI111" s="58"/>
      <c r="BJ111" s="58"/>
      <c r="BK111" s="58"/>
      <c r="BL111" s="58"/>
      <c r="BM111" s="58"/>
      <c r="BN111" s="58"/>
      <c r="BO111" s="58"/>
      <c r="BP111" s="58"/>
      <c r="BQ111" s="58"/>
      <c r="BR111" s="58"/>
      <c r="BS111" s="58"/>
      <c r="BT111" s="58"/>
      <c r="BU111" s="58"/>
      <c r="BV111" s="58"/>
      <c r="BW111" s="58"/>
      <c r="BX111" s="58"/>
      <c r="BY111" s="58"/>
      <c r="BZ111" s="58"/>
      <c r="CA111" s="58"/>
      <c r="CB111" s="58"/>
      <c r="CC111" s="58"/>
      <c r="CD111" s="58"/>
      <c r="CE111" s="58"/>
      <c r="CF111" s="58"/>
      <c r="CG111" s="58"/>
      <c r="CH111" s="58"/>
      <c r="CI111" s="58"/>
      <c r="CJ111" s="58"/>
      <c r="CK111" s="58"/>
      <c r="CL111" s="58"/>
      <c r="CM111" s="58"/>
      <c r="CN111" s="58"/>
      <c r="CO111" s="58"/>
      <c r="CP111" s="58"/>
      <c r="CQ111" s="58"/>
      <c r="CR111" s="58"/>
      <c r="CS111" s="58"/>
      <c r="CT111" s="58"/>
      <c r="CU111" s="58"/>
      <c r="CV111" s="58"/>
    </row>
    <row r="112" spans="1:100" x14ac:dyDescent="0.25">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c r="BO112" s="58"/>
      <c r="BP112" s="58"/>
      <c r="BQ112" s="58"/>
      <c r="BR112" s="58"/>
      <c r="BS112" s="58"/>
      <c r="BT112" s="58"/>
      <c r="BU112" s="58"/>
      <c r="BV112" s="58"/>
      <c r="BW112" s="58"/>
      <c r="BX112" s="58"/>
      <c r="BY112" s="58"/>
      <c r="BZ112" s="58"/>
      <c r="CA112" s="58"/>
      <c r="CB112" s="58"/>
      <c r="CC112" s="58"/>
      <c r="CD112" s="58"/>
      <c r="CE112" s="58"/>
      <c r="CF112" s="58"/>
      <c r="CG112" s="58"/>
      <c r="CH112" s="58"/>
      <c r="CI112" s="58"/>
      <c r="CJ112" s="58"/>
      <c r="CK112" s="58"/>
      <c r="CL112" s="58"/>
      <c r="CM112" s="58"/>
      <c r="CN112" s="58"/>
      <c r="CO112" s="58"/>
      <c r="CP112" s="58"/>
      <c r="CQ112" s="58"/>
      <c r="CR112" s="58"/>
      <c r="CS112" s="58"/>
      <c r="CT112" s="58"/>
      <c r="CU112" s="58"/>
      <c r="CV112" s="58"/>
    </row>
    <row r="113" spans="1:100" ht="15" customHeight="1" x14ac:dyDescent="0.25">
      <c r="A113" s="58"/>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58"/>
      <c r="BJ113" s="58"/>
      <c r="BK113" s="58"/>
      <c r="BL113" s="58"/>
      <c r="BM113" s="58"/>
      <c r="BN113" s="58"/>
      <c r="BO113" s="58"/>
      <c r="BP113" s="58"/>
      <c r="BQ113" s="58"/>
      <c r="BR113" s="58"/>
      <c r="BS113" s="58"/>
      <c r="BT113" s="58"/>
      <c r="BU113" s="58"/>
      <c r="BV113" s="58"/>
      <c r="BW113" s="58"/>
      <c r="BX113" s="58"/>
      <c r="BY113" s="58"/>
      <c r="BZ113" s="58"/>
      <c r="CA113" s="58"/>
      <c r="CB113" s="58"/>
      <c r="CC113" s="58"/>
      <c r="CD113" s="58"/>
      <c r="CE113" s="58"/>
      <c r="CF113" s="58"/>
      <c r="CG113" s="58"/>
      <c r="CH113" s="58"/>
      <c r="CI113" s="58"/>
      <c r="CJ113" s="58"/>
      <c r="CK113" s="58"/>
      <c r="CL113" s="58"/>
      <c r="CM113" s="58"/>
      <c r="CN113" s="58"/>
      <c r="CO113" s="58"/>
      <c r="CP113" s="58"/>
      <c r="CQ113" s="58"/>
      <c r="CR113" s="58"/>
      <c r="CS113" s="58"/>
      <c r="CT113" s="58"/>
      <c r="CU113" s="58"/>
      <c r="CV113" s="58"/>
    </row>
    <row r="114" spans="1:100" ht="15" customHeight="1" x14ac:dyDescent="0.25">
      <c r="A114" s="58"/>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58"/>
      <c r="BJ114" s="58"/>
      <c r="BK114" s="58"/>
      <c r="BL114" s="58"/>
      <c r="BM114" s="58"/>
      <c r="BN114" s="58"/>
      <c r="BO114" s="58"/>
      <c r="BP114" s="58"/>
      <c r="BQ114" s="58"/>
      <c r="BR114" s="58"/>
      <c r="BS114" s="58"/>
      <c r="BT114" s="58"/>
      <c r="BU114" s="58"/>
      <c r="BV114" s="58"/>
      <c r="BW114" s="58"/>
      <c r="BX114" s="58"/>
      <c r="BY114" s="58"/>
      <c r="BZ114" s="58"/>
      <c r="CA114" s="58"/>
      <c r="CB114" s="58"/>
      <c r="CC114" s="58"/>
      <c r="CD114" s="58"/>
      <c r="CE114" s="58"/>
      <c r="CF114" s="58"/>
      <c r="CG114" s="58"/>
      <c r="CH114" s="58"/>
      <c r="CI114" s="58"/>
      <c r="CJ114" s="58"/>
      <c r="CK114" s="58"/>
      <c r="CL114" s="58"/>
      <c r="CM114" s="58"/>
      <c r="CN114" s="58"/>
      <c r="CO114" s="58"/>
      <c r="CP114" s="58"/>
      <c r="CQ114" s="58"/>
      <c r="CR114" s="58"/>
      <c r="CS114" s="58"/>
      <c r="CT114" s="58"/>
      <c r="CU114" s="58"/>
      <c r="CV114" s="58"/>
    </row>
    <row r="115" spans="1:100" x14ac:dyDescent="0.25">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row>
    <row r="116" spans="1:100" x14ac:dyDescent="0.25">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c r="BO116" s="58"/>
      <c r="BP116" s="58"/>
      <c r="BQ116" s="58"/>
      <c r="BR116" s="58"/>
      <c r="BS116" s="58"/>
      <c r="BT116" s="58"/>
      <c r="BU116" s="58"/>
      <c r="BV116" s="58"/>
      <c r="BW116" s="58"/>
      <c r="BX116" s="58"/>
      <c r="BY116" s="58"/>
      <c r="BZ116" s="58"/>
      <c r="CA116" s="58"/>
      <c r="CB116" s="58"/>
      <c r="CC116" s="58"/>
      <c r="CD116" s="58"/>
      <c r="CE116" s="58"/>
      <c r="CF116" s="58"/>
      <c r="CG116" s="58"/>
      <c r="CH116" s="58"/>
      <c r="CI116" s="58"/>
      <c r="CJ116" s="58"/>
      <c r="CK116" s="58"/>
      <c r="CL116" s="58"/>
      <c r="CM116" s="58"/>
      <c r="CN116" s="58"/>
      <c r="CO116" s="58"/>
      <c r="CP116" s="58"/>
      <c r="CQ116" s="58"/>
      <c r="CR116" s="58"/>
      <c r="CS116" s="58"/>
      <c r="CT116" s="58"/>
      <c r="CU116" s="58"/>
      <c r="CV116" s="58"/>
    </row>
    <row r="117" spans="1:100" x14ac:dyDescent="0.25">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c r="BO117" s="58"/>
      <c r="BP117" s="58"/>
      <c r="BQ117" s="58"/>
      <c r="BR117" s="58"/>
      <c r="BS117" s="58"/>
      <c r="BT117" s="58"/>
      <c r="BU117" s="58"/>
      <c r="BV117" s="58"/>
      <c r="BW117" s="58"/>
      <c r="BX117" s="58"/>
      <c r="BY117" s="58"/>
      <c r="BZ117" s="58"/>
      <c r="CA117" s="58"/>
      <c r="CB117" s="58"/>
      <c r="CC117" s="58"/>
      <c r="CD117" s="58"/>
      <c r="CE117" s="58"/>
      <c r="CF117" s="58"/>
      <c r="CG117" s="58"/>
      <c r="CH117" s="58"/>
      <c r="CI117" s="58"/>
      <c r="CJ117" s="58"/>
      <c r="CK117" s="58"/>
      <c r="CL117" s="58"/>
      <c r="CM117" s="58"/>
      <c r="CN117" s="58"/>
      <c r="CO117" s="58"/>
      <c r="CP117" s="58"/>
      <c r="CQ117" s="58"/>
      <c r="CR117" s="58"/>
      <c r="CS117" s="58"/>
      <c r="CT117" s="58"/>
      <c r="CU117" s="58"/>
      <c r="CV117" s="58"/>
    </row>
    <row r="118" spans="1:100" x14ac:dyDescent="0.25">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c r="BO118" s="58"/>
      <c r="BP118" s="58"/>
      <c r="BQ118" s="58"/>
      <c r="BR118" s="58"/>
      <c r="BS118" s="58"/>
      <c r="BT118" s="58"/>
      <c r="BU118" s="58"/>
      <c r="BV118" s="58"/>
      <c r="BW118" s="58"/>
      <c r="BX118" s="58"/>
      <c r="BY118" s="58"/>
      <c r="BZ118" s="58"/>
      <c r="CA118" s="58"/>
      <c r="CB118" s="58"/>
      <c r="CC118" s="58"/>
      <c r="CD118" s="58"/>
      <c r="CE118" s="58"/>
      <c r="CF118" s="58"/>
      <c r="CG118" s="58"/>
      <c r="CH118" s="58"/>
      <c r="CI118" s="58"/>
      <c r="CJ118" s="58"/>
      <c r="CK118" s="58"/>
      <c r="CL118" s="58"/>
      <c r="CM118" s="58"/>
      <c r="CN118" s="58"/>
      <c r="CO118" s="58"/>
      <c r="CP118" s="58"/>
      <c r="CQ118" s="58"/>
      <c r="CR118" s="58"/>
      <c r="CS118" s="58"/>
      <c r="CT118" s="58"/>
      <c r="CU118" s="58"/>
      <c r="CV118" s="58"/>
    </row>
    <row r="119" spans="1:100" x14ac:dyDescent="0.25">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c r="BO119" s="58"/>
      <c r="BP119" s="58"/>
      <c r="BQ119" s="58"/>
      <c r="BR119" s="58"/>
      <c r="BS119" s="58"/>
      <c r="BT119" s="58"/>
      <c r="BU119" s="58"/>
      <c r="BV119" s="58"/>
      <c r="BW119" s="58"/>
      <c r="BX119" s="58"/>
      <c r="BY119" s="58"/>
      <c r="BZ119" s="58"/>
      <c r="CA119" s="58"/>
      <c r="CB119" s="58"/>
      <c r="CC119" s="58"/>
      <c r="CD119" s="58"/>
      <c r="CE119" s="58"/>
      <c r="CF119" s="58"/>
      <c r="CG119" s="58"/>
      <c r="CH119" s="58"/>
      <c r="CI119" s="58"/>
      <c r="CJ119" s="58"/>
      <c r="CK119" s="58"/>
      <c r="CL119" s="58"/>
      <c r="CM119" s="58"/>
      <c r="CN119" s="58"/>
      <c r="CO119" s="58"/>
      <c r="CP119" s="58"/>
      <c r="CQ119" s="58"/>
      <c r="CR119" s="58"/>
      <c r="CS119" s="58"/>
      <c r="CT119" s="58"/>
      <c r="CU119" s="58"/>
      <c r="CV119" s="58"/>
    </row>
    <row r="120" spans="1:100" x14ac:dyDescent="0.25">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c r="BO120" s="58"/>
      <c r="BP120" s="58"/>
      <c r="BQ120" s="58"/>
      <c r="BR120" s="58"/>
      <c r="BS120" s="58"/>
      <c r="BT120" s="58"/>
      <c r="BU120" s="58"/>
      <c r="BV120" s="58"/>
      <c r="BW120" s="58"/>
      <c r="BX120" s="58"/>
      <c r="BY120" s="58"/>
      <c r="BZ120" s="58"/>
      <c r="CA120" s="58"/>
      <c r="CB120" s="58"/>
      <c r="CC120" s="58"/>
      <c r="CD120" s="58"/>
      <c r="CE120" s="58"/>
      <c r="CF120" s="58"/>
      <c r="CG120" s="58"/>
      <c r="CH120" s="58"/>
      <c r="CI120" s="58"/>
      <c r="CJ120" s="58"/>
      <c r="CK120" s="58"/>
      <c r="CL120" s="58"/>
      <c r="CM120" s="58"/>
      <c r="CN120" s="58"/>
      <c r="CO120" s="58"/>
      <c r="CP120" s="58"/>
      <c r="CQ120" s="58"/>
      <c r="CR120" s="58"/>
      <c r="CS120" s="58"/>
      <c r="CT120" s="58"/>
      <c r="CU120" s="58"/>
      <c r="CV120" s="58"/>
    </row>
    <row r="121" spans="1:100" ht="21" x14ac:dyDescent="0.25">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62"/>
      <c r="BJ121" s="62"/>
      <c r="BK121" s="62"/>
      <c r="BL121" s="62"/>
      <c r="BM121" s="62"/>
      <c r="BN121" s="62"/>
      <c r="BO121" s="58"/>
      <c r="BP121" s="58"/>
      <c r="BQ121" s="58"/>
      <c r="BR121" s="58"/>
      <c r="BS121" s="58"/>
      <c r="BT121" s="58"/>
      <c r="BU121" s="58"/>
      <c r="BV121" s="58"/>
      <c r="BW121" s="58"/>
      <c r="BX121" s="58"/>
      <c r="BY121" s="58"/>
      <c r="BZ121" s="58"/>
      <c r="CA121" s="58"/>
      <c r="CB121" s="58"/>
      <c r="CC121" s="58"/>
      <c r="CD121" s="58"/>
      <c r="CE121" s="58"/>
      <c r="CF121" s="58"/>
      <c r="CG121" s="58"/>
      <c r="CH121" s="58"/>
      <c r="CI121" s="58"/>
      <c r="CJ121" s="58"/>
      <c r="CK121" s="58"/>
      <c r="CL121" s="58"/>
      <c r="CM121" s="58"/>
      <c r="CN121" s="58"/>
      <c r="CO121" s="58"/>
      <c r="CP121" s="58"/>
      <c r="CQ121" s="58"/>
      <c r="CR121" s="58"/>
      <c r="CS121" s="58"/>
      <c r="CT121" s="58"/>
      <c r="CU121" s="58"/>
      <c r="CV121" s="58"/>
    </row>
    <row r="122" spans="1:100" ht="21" x14ac:dyDescent="0.25">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62"/>
      <c r="BJ122" s="62"/>
      <c r="BK122" s="62"/>
      <c r="BL122" s="62"/>
      <c r="BM122" s="62"/>
      <c r="BN122" s="62"/>
      <c r="BO122" s="58"/>
      <c r="BP122" s="58"/>
      <c r="BQ122" s="58"/>
      <c r="BR122" s="58"/>
      <c r="BS122" s="58"/>
      <c r="BT122" s="58"/>
      <c r="BU122" s="58"/>
      <c r="BV122" s="58"/>
      <c r="BW122" s="58"/>
      <c r="BX122" s="58"/>
      <c r="BY122" s="58"/>
      <c r="BZ122" s="58"/>
      <c r="CA122" s="58"/>
      <c r="CB122" s="58"/>
      <c r="CC122" s="58"/>
      <c r="CD122" s="58"/>
      <c r="CE122" s="58"/>
      <c r="CF122" s="58"/>
      <c r="CG122" s="58"/>
      <c r="CH122" s="58"/>
      <c r="CI122" s="58"/>
      <c r="CJ122" s="58"/>
      <c r="CK122" s="58"/>
      <c r="CL122" s="58"/>
      <c r="CM122" s="58"/>
      <c r="CN122" s="58"/>
      <c r="CO122" s="58"/>
      <c r="CP122" s="58"/>
      <c r="CQ122" s="58"/>
      <c r="CR122" s="58"/>
      <c r="CS122" s="58"/>
      <c r="CT122" s="58"/>
      <c r="CU122" s="58"/>
      <c r="CV122" s="58"/>
    </row>
    <row r="123" spans="1:100" x14ac:dyDescent="0.25">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8"/>
      <c r="BS123" s="58"/>
      <c r="BT123" s="58"/>
      <c r="BU123" s="58"/>
      <c r="BV123" s="58"/>
      <c r="BW123" s="58"/>
      <c r="BX123" s="58"/>
      <c r="BY123" s="58"/>
      <c r="BZ123" s="58"/>
      <c r="CA123" s="58"/>
      <c r="CB123" s="58"/>
      <c r="CC123" s="58"/>
      <c r="CD123" s="58"/>
      <c r="CE123" s="58"/>
      <c r="CF123" s="58"/>
      <c r="CG123" s="58"/>
      <c r="CH123" s="58"/>
      <c r="CI123" s="58"/>
      <c r="CJ123" s="58"/>
      <c r="CK123" s="58"/>
      <c r="CL123" s="58"/>
      <c r="CM123" s="58"/>
      <c r="CN123" s="58"/>
      <c r="CO123" s="58"/>
      <c r="CP123" s="58"/>
      <c r="CQ123" s="58"/>
      <c r="CR123" s="58"/>
      <c r="CS123" s="58"/>
      <c r="CT123" s="58"/>
      <c r="CU123" s="58"/>
      <c r="CV123" s="58"/>
    </row>
    <row r="124" spans="1:100" x14ac:dyDescent="0.25">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c r="BO124" s="58"/>
      <c r="BP124" s="58"/>
      <c r="BQ124" s="58"/>
      <c r="BR124" s="58"/>
      <c r="BS124" s="58"/>
      <c r="BT124" s="58"/>
      <c r="BU124" s="58"/>
      <c r="BV124" s="58"/>
      <c r="BW124" s="58"/>
      <c r="BX124" s="58"/>
      <c r="BY124" s="58"/>
      <c r="BZ124" s="58"/>
      <c r="CA124" s="58"/>
      <c r="CB124" s="58"/>
      <c r="CC124" s="58"/>
      <c r="CD124" s="58"/>
      <c r="CE124" s="58"/>
      <c r="CF124" s="58"/>
      <c r="CG124" s="58"/>
      <c r="CH124" s="58"/>
      <c r="CI124" s="58"/>
      <c r="CJ124" s="58"/>
      <c r="CK124" s="58"/>
      <c r="CL124" s="58"/>
      <c r="CM124" s="58"/>
      <c r="CN124" s="58"/>
      <c r="CO124" s="58"/>
      <c r="CP124" s="58"/>
      <c r="CQ124" s="58"/>
      <c r="CR124" s="58"/>
      <c r="CS124" s="58"/>
      <c r="CT124" s="58"/>
      <c r="CU124" s="58"/>
      <c r="CV124" s="58"/>
    </row>
    <row r="125" spans="1:100" x14ac:dyDescent="0.25">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c r="BO125" s="58"/>
      <c r="BP125" s="58"/>
      <c r="BQ125" s="58"/>
      <c r="BR125" s="58"/>
      <c r="BS125" s="58"/>
      <c r="BT125" s="58"/>
      <c r="BU125" s="58"/>
      <c r="BV125" s="58"/>
      <c r="BW125" s="58"/>
      <c r="BX125" s="58"/>
      <c r="BY125" s="58"/>
      <c r="BZ125" s="58"/>
      <c r="CA125" s="58"/>
      <c r="CB125" s="58"/>
      <c r="CC125" s="58"/>
      <c r="CD125" s="58"/>
      <c r="CE125" s="58"/>
      <c r="CF125" s="58"/>
      <c r="CG125" s="58"/>
      <c r="CH125" s="58"/>
      <c r="CI125" s="58"/>
      <c r="CJ125" s="58"/>
      <c r="CK125" s="58"/>
      <c r="CL125" s="58"/>
      <c r="CM125" s="58"/>
      <c r="CN125" s="58"/>
      <c r="CO125" s="58"/>
      <c r="CP125" s="58"/>
      <c r="CQ125" s="58"/>
      <c r="CR125" s="58"/>
      <c r="CS125" s="58"/>
      <c r="CT125" s="58"/>
      <c r="CU125" s="58"/>
      <c r="CV125" s="58"/>
    </row>
    <row r="126" spans="1:100" x14ac:dyDescent="0.25">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c r="BO126" s="58"/>
      <c r="BP126" s="58"/>
      <c r="BQ126" s="58"/>
      <c r="BR126" s="58"/>
      <c r="BS126" s="58"/>
      <c r="BT126" s="58"/>
      <c r="BU126" s="58"/>
      <c r="BV126" s="58"/>
      <c r="BW126" s="58"/>
      <c r="BX126" s="58"/>
      <c r="BY126" s="58"/>
      <c r="BZ126" s="58"/>
      <c r="CA126" s="58"/>
      <c r="CB126" s="58"/>
      <c r="CC126" s="58"/>
      <c r="CD126" s="58"/>
      <c r="CE126" s="58"/>
      <c r="CF126" s="58"/>
      <c r="CG126" s="58"/>
      <c r="CH126" s="58"/>
      <c r="CI126" s="58"/>
      <c r="CJ126" s="58"/>
      <c r="CK126" s="58"/>
      <c r="CL126" s="58"/>
      <c r="CM126" s="58"/>
      <c r="CN126" s="58"/>
      <c r="CO126" s="58"/>
      <c r="CP126" s="58"/>
      <c r="CQ126" s="58"/>
      <c r="CR126" s="58"/>
      <c r="CS126" s="58"/>
      <c r="CT126" s="58"/>
      <c r="CU126" s="58"/>
      <c r="CV126" s="58"/>
    </row>
    <row r="127" spans="1:100" x14ac:dyDescent="0.25">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c r="BO127" s="58"/>
      <c r="BP127" s="58"/>
      <c r="BQ127" s="58"/>
      <c r="BR127" s="58"/>
      <c r="BS127" s="58"/>
      <c r="BT127" s="58"/>
      <c r="BU127" s="58"/>
      <c r="BV127" s="58"/>
      <c r="BW127" s="58"/>
      <c r="BX127" s="58"/>
      <c r="BY127" s="58"/>
      <c r="BZ127" s="58"/>
      <c r="CA127" s="58"/>
      <c r="CB127" s="58"/>
      <c r="CC127" s="58"/>
      <c r="CD127" s="58"/>
      <c r="CE127" s="58"/>
      <c r="CF127" s="58"/>
      <c r="CG127" s="58"/>
      <c r="CH127" s="58"/>
      <c r="CI127" s="58"/>
      <c r="CJ127" s="58"/>
      <c r="CK127" s="58"/>
      <c r="CL127" s="58"/>
      <c r="CM127" s="58"/>
      <c r="CN127" s="58"/>
      <c r="CO127" s="58"/>
      <c r="CP127" s="58"/>
      <c r="CQ127" s="58"/>
      <c r="CR127" s="58"/>
      <c r="CS127" s="58"/>
      <c r="CT127" s="58"/>
      <c r="CU127" s="58"/>
      <c r="CV127" s="58"/>
    </row>
    <row r="128" spans="1:100" x14ac:dyDescent="0.25">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c r="BO128" s="58"/>
      <c r="BP128" s="58"/>
      <c r="BQ128" s="58"/>
      <c r="BR128" s="58"/>
      <c r="BS128" s="58"/>
      <c r="BT128" s="58"/>
      <c r="BU128" s="58"/>
      <c r="BV128" s="58"/>
      <c r="BW128" s="58"/>
      <c r="BX128" s="58"/>
      <c r="BY128" s="58"/>
      <c r="BZ128" s="58"/>
      <c r="CA128" s="58"/>
      <c r="CB128" s="58"/>
      <c r="CC128" s="58"/>
      <c r="CD128" s="58"/>
      <c r="CE128" s="58"/>
      <c r="CF128" s="58"/>
      <c r="CG128" s="58"/>
      <c r="CH128" s="58"/>
      <c r="CI128" s="58"/>
      <c r="CJ128" s="58"/>
      <c r="CK128" s="58"/>
      <c r="CL128" s="58"/>
      <c r="CM128" s="58"/>
      <c r="CN128" s="58"/>
      <c r="CO128" s="58"/>
      <c r="CP128" s="58"/>
      <c r="CQ128" s="58"/>
      <c r="CR128" s="58"/>
      <c r="CS128" s="58"/>
      <c r="CT128" s="58"/>
      <c r="CU128" s="58"/>
      <c r="CV128" s="58"/>
    </row>
    <row r="129" spans="1:100" x14ac:dyDescent="0.25">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c r="BO129" s="58"/>
      <c r="BP129" s="58"/>
      <c r="BQ129" s="58"/>
      <c r="BR129" s="58"/>
      <c r="BS129" s="58"/>
      <c r="BT129" s="58"/>
      <c r="BU129" s="58"/>
      <c r="BV129" s="58"/>
      <c r="BW129" s="58"/>
      <c r="BX129" s="58"/>
      <c r="BY129" s="58"/>
      <c r="BZ129" s="58"/>
      <c r="CA129" s="58"/>
      <c r="CB129" s="58"/>
      <c r="CC129" s="58"/>
      <c r="CD129" s="58"/>
      <c r="CE129" s="58"/>
      <c r="CF129" s="58"/>
      <c r="CG129" s="58"/>
      <c r="CH129" s="58"/>
      <c r="CI129" s="58"/>
      <c r="CJ129" s="58"/>
      <c r="CK129" s="58"/>
      <c r="CL129" s="58"/>
      <c r="CM129" s="58"/>
      <c r="CN129" s="58"/>
      <c r="CO129" s="58"/>
      <c r="CP129" s="58"/>
      <c r="CQ129" s="58"/>
      <c r="CR129" s="58"/>
      <c r="CS129" s="58"/>
      <c r="CT129" s="58"/>
      <c r="CU129" s="58"/>
      <c r="CV129" s="58"/>
    </row>
    <row r="130" spans="1:100" x14ac:dyDescent="0.25">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c r="BO130" s="58"/>
      <c r="BP130" s="58"/>
      <c r="BQ130" s="58"/>
      <c r="BR130" s="58"/>
      <c r="BS130" s="58"/>
      <c r="BT130" s="58"/>
      <c r="BU130" s="58"/>
      <c r="BV130" s="58"/>
      <c r="BW130" s="58"/>
      <c r="BX130" s="58"/>
      <c r="BY130" s="58"/>
      <c r="BZ130" s="58"/>
      <c r="CA130" s="58"/>
      <c r="CB130" s="58"/>
      <c r="CC130" s="58"/>
      <c r="CD130" s="58"/>
      <c r="CE130" s="58"/>
      <c r="CF130" s="58"/>
      <c r="CG130" s="58"/>
      <c r="CH130" s="58"/>
      <c r="CI130" s="58"/>
      <c r="CJ130" s="58"/>
      <c r="CK130" s="58"/>
      <c r="CL130" s="58"/>
      <c r="CM130" s="58"/>
      <c r="CN130" s="58"/>
      <c r="CO130" s="58"/>
      <c r="CP130" s="58"/>
      <c r="CQ130" s="58"/>
      <c r="CR130" s="58"/>
      <c r="CS130" s="58"/>
      <c r="CT130" s="58"/>
      <c r="CU130" s="58"/>
      <c r="CV130" s="58"/>
    </row>
    <row r="131" spans="1:100" x14ac:dyDescent="0.25">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c r="BO131" s="58"/>
      <c r="BP131" s="58"/>
      <c r="BQ131" s="58"/>
      <c r="BR131" s="58"/>
      <c r="BS131" s="58"/>
      <c r="BT131" s="58"/>
      <c r="BU131" s="58"/>
      <c r="BV131" s="58"/>
      <c r="BW131" s="58"/>
      <c r="BX131" s="58"/>
      <c r="BY131" s="58"/>
      <c r="BZ131" s="58"/>
      <c r="CA131" s="58"/>
      <c r="CB131" s="58"/>
      <c r="CC131" s="58"/>
      <c r="CD131" s="58"/>
      <c r="CE131" s="58"/>
      <c r="CF131" s="58"/>
      <c r="CG131" s="58"/>
      <c r="CH131" s="58"/>
      <c r="CI131" s="58"/>
      <c r="CJ131" s="58"/>
      <c r="CK131" s="58"/>
      <c r="CL131" s="58"/>
      <c r="CM131" s="58"/>
      <c r="CN131" s="58"/>
      <c r="CO131" s="58"/>
      <c r="CP131" s="58"/>
      <c r="CQ131" s="58"/>
      <c r="CR131" s="58"/>
      <c r="CS131" s="58"/>
      <c r="CT131" s="58"/>
      <c r="CU131" s="58"/>
      <c r="CV131" s="58"/>
    </row>
    <row r="132" spans="1:100" x14ac:dyDescent="0.25">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c r="BO132" s="58"/>
      <c r="BP132" s="58"/>
      <c r="BQ132" s="58"/>
      <c r="BR132" s="58"/>
      <c r="BS132" s="58"/>
      <c r="BT132" s="58"/>
      <c r="BU132" s="58"/>
      <c r="BV132" s="58"/>
      <c r="BW132" s="58"/>
      <c r="BX132" s="58"/>
      <c r="BY132" s="58"/>
      <c r="BZ132" s="58"/>
      <c r="CA132" s="58"/>
      <c r="CB132" s="58"/>
      <c r="CC132" s="58"/>
      <c r="CD132" s="58"/>
      <c r="CE132" s="58"/>
      <c r="CF132" s="58"/>
      <c r="CG132" s="58"/>
      <c r="CH132" s="58"/>
      <c r="CI132" s="58"/>
      <c r="CJ132" s="58"/>
      <c r="CK132" s="58"/>
      <c r="CL132" s="58"/>
      <c r="CM132" s="58"/>
      <c r="CN132" s="58"/>
      <c r="CO132" s="58"/>
      <c r="CP132" s="58"/>
      <c r="CQ132" s="58"/>
      <c r="CR132" s="58"/>
      <c r="CS132" s="58"/>
      <c r="CT132" s="58"/>
      <c r="CU132" s="58"/>
      <c r="CV132" s="58"/>
    </row>
    <row r="133" spans="1:100" x14ac:dyDescent="0.25">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c r="BO133" s="58"/>
      <c r="BP133" s="58"/>
      <c r="BQ133" s="58"/>
      <c r="BR133" s="58"/>
      <c r="BS133" s="58"/>
      <c r="BT133" s="58"/>
      <c r="BU133" s="58"/>
      <c r="BV133" s="58"/>
      <c r="BW133" s="58"/>
      <c r="BX133" s="58"/>
      <c r="BY133" s="58"/>
      <c r="BZ133" s="58"/>
      <c r="CA133" s="58"/>
      <c r="CB133" s="58"/>
      <c r="CC133" s="58"/>
      <c r="CD133" s="58"/>
      <c r="CE133" s="58"/>
      <c r="CF133" s="58"/>
      <c r="CG133" s="58"/>
      <c r="CH133" s="58"/>
      <c r="CI133" s="58"/>
      <c r="CJ133" s="58"/>
      <c r="CK133" s="58"/>
      <c r="CL133" s="58"/>
      <c r="CM133" s="58"/>
      <c r="CN133" s="58"/>
      <c r="CO133" s="58"/>
      <c r="CP133" s="58"/>
      <c r="CQ133" s="58"/>
      <c r="CR133" s="58"/>
      <c r="CS133" s="58"/>
      <c r="CT133" s="58"/>
      <c r="CU133" s="58"/>
      <c r="CV133" s="58"/>
    </row>
    <row r="134" spans="1:100" x14ac:dyDescent="0.25">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c r="BO134" s="58"/>
      <c r="BP134" s="58"/>
      <c r="BQ134" s="58"/>
      <c r="BR134" s="58"/>
      <c r="BS134" s="58"/>
      <c r="BT134" s="58"/>
      <c r="BU134" s="58"/>
      <c r="BV134" s="58"/>
      <c r="BW134" s="58"/>
      <c r="BX134" s="58"/>
      <c r="BY134" s="58"/>
      <c r="BZ134" s="58"/>
      <c r="CA134" s="58"/>
      <c r="CB134" s="58"/>
      <c r="CC134" s="58"/>
      <c r="CD134" s="58"/>
      <c r="CE134" s="58"/>
      <c r="CF134" s="58"/>
      <c r="CG134" s="58"/>
      <c r="CH134" s="58"/>
      <c r="CI134" s="58"/>
      <c r="CJ134" s="58"/>
      <c r="CK134" s="58"/>
      <c r="CL134" s="58"/>
      <c r="CM134" s="58"/>
      <c r="CN134" s="58"/>
      <c r="CO134" s="58"/>
      <c r="CP134" s="58"/>
      <c r="CQ134" s="58"/>
      <c r="CR134" s="58"/>
      <c r="CS134" s="58"/>
      <c r="CT134" s="58"/>
      <c r="CU134" s="58"/>
      <c r="CV134" s="58"/>
    </row>
    <row r="135" spans="1:100" x14ac:dyDescent="0.25">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c r="BO135" s="58"/>
      <c r="BP135" s="58"/>
      <c r="BQ135" s="58"/>
      <c r="BR135" s="58"/>
      <c r="BS135" s="58"/>
      <c r="BT135" s="58"/>
      <c r="BU135" s="58"/>
      <c r="BV135" s="58"/>
      <c r="BW135" s="58"/>
      <c r="BX135" s="58"/>
      <c r="BY135" s="58"/>
      <c r="BZ135" s="58"/>
      <c r="CA135" s="58"/>
      <c r="CB135" s="58"/>
      <c r="CC135" s="58"/>
      <c r="CD135" s="58"/>
      <c r="CE135" s="58"/>
      <c r="CF135" s="58"/>
      <c r="CG135" s="58"/>
      <c r="CH135" s="58"/>
      <c r="CI135" s="58"/>
      <c r="CJ135" s="58"/>
      <c r="CK135" s="58"/>
      <c r="CL135" s="58"/>
      <c r="CM135" s="58"/>
      <c r="CN135" s="58"/>
      <c r="CO135" s="58"/>
      <c r="CP135" s="58"/>
      <c r="CQ135" s="58"/>
      <c r="CR135" s="58"/>
      <c r="CS135" s="58"/>
      <c r="CT135" s="58"/>
      <c r="CU135" s="58"/>
      <c r="CV135" s="58"/>
    </row>
    <row r="136" spans="1:100" x14ac:dyDescent="0.25">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c r="BO136" s="58"/>
      <c r="BP136" s="58"/>
      <c r="BQ136" s="58"/>
      <c r="BR136" s="58"/>
      <c r="BS136" s="58"/>
      <c r="BT136" s="58"/>
      <c r="BU136" s="58"/>
      <c r="BV136" s="58"/>
      <c r="BW136" s="58"/>
      <c r="BX136" s="58"/>
      <c r="BY136" s="58"/>
      <c r="BZ136" s="58"/>
      <c r="CA136" s="58"/>
      <c r="CB136" s="58"/>
      <c r="CC136" s="58"/>
      <c r="CD136" s="58"/>
      <c r="CE136" s="58"/>
      <c r="CF136" s="58"/>
      <c r="CG136" s="58"/>
      <c r="CH136" s="58"/>
      <c r="CI136" s="58"/>
      <c r="CJ136" s="58"/>
      <c r="CK136" s="58"/>
      <c r="CL136" s="58"/>
      <c r="CM136" s="58"/>
      <c r="CN136" s="58"/>
      <c r="CO136" s="58"/>
      <c r="CP136" s="58"/>
      <c r="CQ136" s="58"/>
      <c r="CR136" s="58"/>
      <c r="CS136" s="58"/>
      <c r="CT136" s="58"/>
      <c r="CU136" s="58"/>
      <c r="CV136" s="58"/>
    </row>
    <row r="137" spans="1:100" x14ac:dyDescent="0.25">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c r="BO137" s="58"/>
      <c r="BP137" s="58"/>
      <c r="BQ137" s="58"/>
      <c r="BR137" s="58"/>
      <c r="BS137" s="58"/>
      <c r="BT137" s="58"/>
      <c r="BU137" s="58"/>
      <c r="BV137" s="58"/>
      <c r="BW137" s="58"/>
      <c r="BX137" s="58"/>
      <c r="BY137" s="58"/>
      <c r="BZ137" s="58"/>
      <c r="CA137" s="58"/>
      <c r="CB137" s="58"/>
      <c r="CC137" s="58"/>
      <c r="CD137" s="58"/>
      <c r="CE137" s="58"/>
      <c r="CF137" s="58"/>
      <c r="CG137" s="58"/>
      <c r="CH137" s="58"/>
      <c r="CI137" s="58"/>
      <c r="CJ137" s="58"/>
      <c r="CK137" s="58"/>
      <c r="CL137" s="58"/>
      <c r="CM137" s="58"/>
      <c r="CN137" s="58"/>
      <c r="CO137" s="58"/>
      <c r="CP137" s="58"/>
      <c r="CQ137" s="58"/>
      <c r="CR137" s="58"/>
      <c r="CS137" s="58"/>
      <c r="CT137" s="58"/>
      <c r="CU137" s="58"/>
      <c r="CV137" s="58"/>
    </row>
    <row r="138" spans="1:100" x14ac:dyDescent="0.25">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c r="BO138" s="58"/>
      <c r="BP138" s="58"/>
      <c r="BQ138" s="58"/>
      <c r="BR138" s="58"/>
      <c r="BS138" s="58"/>
      <c r="BT138" s="58"/>
      <c r="BU138" s="58"/>
      <c r="BV138" s="58"/>
      <c r="BW138" s="58"/>
      <c r="BX138" s="58"/>
      <c r="BY138" s="58"/>
      <c r="BZ138" s="58"/>
      <c r="CA138" s="58"/>
      <c r="CB138" s="58"/>
      <c r="CC138" s="58"/>
      <c r="CD138" s="58"/>
      <c r="CE138" s="58"/>
      <c r="CF138" s="58"/>
      <c r="CG138" s="58"/>
      <c r="CH138" s="58"/>
      <c r="CI138" s="58"/>
      <c r="CJ138" s="58"/>
      <c r="CK138" s="58"/>
      <c r="CL138" s="58"/>
      <c r="CM138" s="58"/>
      <c r="CN138" s="58"/>
      <c r="CO138" s="58"/>
      <c r="CP138" s="58"/>
      <c r="CQ138" s="58"/>
      <c r="CR138" s="58"/>
      <c r="CS138" s="58"/>
      <c r="CT138" s="58"/>
      <c r="CU138" s="58"/>
      <c r="CV138" s="58"/>
    </row>
    <row r="139" spans="1:100" x14ac:dyDescent="0.25">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c r="BO139" s="58"/>
      <c r="BP139" s="58"/>
      <c r="BQ139" s="58"/>
      <c r="BR139" s="58"/>
      <c r="BS139" s="58"/>
      <c r="BT139" s="58"/>
      <c r="BU139" s="58"/>
      <c r="BV139" s="58"/>
      <c r="BW139" s="58"/>
      <c r="BX139" s="58"/>
      <c r="BY139" s="58"/>
      <c r="BZ139" s="58"/>
      <c r="CA139" s="58"/>
      <c r="CB139" s="58"/>
      <c r="CC139" s="58"/>
      <c r="CD139" s="58"/>
      <c r="CE139" s="58"/>
    </row>
    <row r="140" spans="1:100" x14ac:dyDescent="0.25">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c r="BO140" s="58"/>
      <c r="BP140" s="58"/>
      <c r="BQ140" s="58"/>
      <c r="BR140" s="58"/>
      <c r="BS140" s="58"/>
      <c r="BT140" s="58"/>
      <c r="BU140" s="58"/>
      <c r="BV140" s="58"/>
      <c r="BW140" s="58"/>
      <c r="BX140" s="58"/>
      <c r="BY140" s="58"/>
      <c r="BZ140" s="58"/>
      <c r="CA140" s="58"/>
      <c r="CB140" s="58"/>
      <c r="CC140" s="58"/>
      <c r="CD140" s="58"/>
      <c r="CE140" s="58"/>
    </row>
    <row r="141" spans="1:100" x14ac:dyDescent="0.25">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c r="BO141" s="58"/>
      <c r="BP141" s="58"/>
      <c r="BQ141" s="58"/>
      <c r="BR141" s="58"/>
      <c r="BS141" s="58"/>
      <c r="BT141" s="58"/>
      <c r="BU141" s="58"/>
      <c r="BV141" s="58"/>
      <c r="BW141" s="58"/>
      <c r="BX141" s="58"/>
      <c r="BY141" s="58"/>
      <c r="BZ141" s="58"/>
      <c r="CA141" s="58"/>
      <c r="CB141" s="58"/>
      <c r="CC141" s="58"/>
      <c r="CD141" s="58"/>
      <c r="CE141" s="58"/>
    </row>
    <row r="142" spans="1:100" x14ac:dyDescent="0.25">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c r="BO142" s="58"/>
      <c r="BP142" s="58"/>
      <c r="BQ142" s="58"/>
      <c r="BR142" s="58"/>
      <c r="BS142" s="58"/>
      <c r="BT142" s="58"/>
      <c r="BU142" s="58"/>
      <c r="BV142" s="58"/>
      <c r="BW142" s="58"/>
      <c r="BX142" s="58"/>
      <c r="BY142" s="58"/>
      <c r="BZ142" s="58"/>
      <c r="CA142" s="58"/>
      <c r="CB142" s="58"/>
      <c r="CC142" s="58"/>
      <c r="CD142" s="58"/>
      <c r="CE142" s="58"/>
    </row>
    <row r="143" spans="1:100" x14ac:dyDescent="0.25">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c r="BO143" s="58"/>
      <c r="BP143" s="58"/>
      <c r="BQ143" s="58"/>
      <c r="BR143" s="58"/>
      <c r="BS143" s="58"/>
      <c r="BT143" s="58"/>
      <c r="BU143" s="58"/>
      <c r="BV143" s="58"/>
      <c r="BW143" s="58"/>
      <c r="BX143" s="58"/>
      <c r="BY143" s="58"/>
      <c r="BZ143" s="58"/>
      <c r="CA143" s="58"/>
      <c r="CB143" s="58"/>
      <c r="CC143" s="58"/>
      <c r="CD143" s="58"/>
      <c r="CE143" s="58"/>
    </row>
    <row r="144" spans="1:100" x14ac:dyDescent="0.25">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c r="BO144" s="58"/>
      <c r="BP144" s="58"/>
      <c r="BQ144" s="58"/>
      <c r="BR144" s="58"/>
      <c r="BS144" s="58"/>
      <c r="BT144" s="58"/>
      <c r="BU144" s="58"/>
      <c r="BV144" s="58"/>
      <c r="BW144" s="58"/>
      <c r="BX144" s="58"/>
      <c r="BY144" s="58"/>
      <c r="BZ144" s="58"/>
      <c r="CA144" s="58"/>
      <c r="CB144" s="58"/>
      <c r="CC144" s="58"/>
      <c r="CD144" s="58"/>
      <c r="CE144" s="58"/>
    </row>
    <row r="145" spans="1:83" x14ac:dyDescent="0.25">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c r="BO145" s="58"/>
      <c r="BP145" s="58"/>
      <c r="BQ145" s="58"/>
      <c r="BR145" s="58"/>
      <c r="BS145" s="58"/>
      <c r="BT145" s="58"/>
      <c r="BU145" s="58"/>
      <c r="BV145" s="58"/>
      <c r="BW145" s="58"/>
      <c r="BX145" s="58"/>
      <c r="BY145" s="58"/>
      <c r="BZ145" s="58"/>
      <c r="CA145" s="58"/>
      <c r="CB145" s="58"/>
      <c r="CC145" s="58"/>
      <c r="CD145" s="58"/>
      <c r="CE145" s="58"/>
    </row>
    <row r="146" spans="1:83" x14ac:dyDescent="0.25">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c r="BO146" s="58"/>
      <c r="BP146" s="58"/>
      <c r="BQ146" s="58"/>
      <c r="BR146" s="58"/>
      <c r="BS146" s="58"/>
      <c r="BT146" s="58"/>
      <c r="BU146" s="58"/>
      <c r="BV146" s="58"/>
      <c r="BW146" s="58"/>
      <c r="BX146" s="58"/>
      <c r="BY146" s="58"/>
      <c r="BZ146" s="58"/>
      <c r="CA146" s="58"/>
      <c r="CB146" s="58"/>
      <c r="CC146" s="58"/>
      <c r="CD146" s="58"/>
      <c r="CE146" s="58"/>
    </row>
    <row r="147" spans="1:83" x14ac:dyDescent="0.25">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c r="BO147" s="58"/>
      <c r="BP147" s="58"/>
      <c r="BQ147" s="58"/>
      <c r="BR147" s="58"/>
      <c r="BS147" s="58"/>
      <c r="BT147" s="58"/>
      <c r="BU147" s="58"/>
      <c r="BV147" s="58"/>
      <c r="BW147" s="58"/>
      <c r="BX147" s="58"/>
      <c r="BY147" s="58"/>
      <c r="BZ147" s="58"/>
      <c r="CA147" s="58"/>
      <c r="CB147" s="58"/>
      <c r="CC147" s="58"/>
      <c r="CD147" s="58"/>
      <c r="CE147" s="58"/>
    </row>
    <row r="148" spans="1:83" x14ac:dyDescent="0.25">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c r="BO148" s="58"/>
      <c r="BP148" s="58"/>
      <c r="BQ148" s="58"/>
      <c r="BR148" s="58"/>
      <c r="BS148" s="58"/>
      <c r="BT148" s="58"/>
      <c r="BU148" s="58"/>
      <c r="BV148" s="58"/>
      <c r="BW148" s="58"/>
      <c r="BX148" s="58"/>
      <c r="BY148" s="58"/>
      <c r="BZ148" s="58"/>
      <c r="CA148" s="58"/>
      <c r="CB148" s="58"/>
      <c r="CC148" s="58"/>
      <c r="CD148" s="58"/>
      <c r="CE148" s="58"/>
    </row>
    <row r="149" spans="1:83" x14ac:dyDescent="0.25">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c r="BO149" s="58"/>
      <c r="BP149" s="58"/>
      <c r="BQ149" s="58"/>
      <c r="BR149" s="58"/>
      <c r="BS149" s="58"/>
      <c r="BT149" s="58"/>
      <c r="BU149" s="58"/>
      <c r="BV149" s="58"/>
      <c r="BW149" s="58"/>
      <c r="BX149" s="58"/>
      <c r="BY149" s="58"/>
      <c r="BZ149" s="58"/>
      <c r="CA149" s="58"/>
      <c r="CB149" s="58"/>
      <c r="CC149" s="58"/>
      <c r="CD149" s="58"/>
      <c r="CE149" s="58"/>
    </row>
    <row r="150" spans="1:83" x14ac:dyDescent="0.25">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row>
    <row r="151" spans="1:83" x14ac:dyDescent="0.25">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c r="BO151" s="58"/>
      <c r="BP151" s="58"/>
      <c r="BQ151" s="58"/>
      <c r="BR151" s="58"/>
      <c r="BS151" s="58"/>
      <c r="BT151" s="58"/>
      <c r="BU151" s="58"/>
      <c r="BV151" s="58"/>
      <c r="BW151" s="58"/>
      <c r="BX151" s="58"/>
      <c r="BY151" s="58"/>
      <c r="BZ151" s="58"/>
      <c r="CA151" s="58"/>
      <c r="CB151" s="58"/>
      <c r="CC151" s="58"/>
      <c r="CD151" s="58"/>
      <c r="CE151" s="58"/>
    </row>
    <row r="152" spans="1:83" x14ac:dyDescent="0.25">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8"/>
      <c r="BS152" s="58"/>
      <c r="BT152" s="58"/>
      <c r="BU152" s="58"/>
      <c r="BV152" s="58"/>
      <c r="BW152" s="58"/>
      <c r="BX152" s="58"/>
      <c r="BY152" s="58"/>
      <c r="BZ152" s="58"/>
      <c r="CA152" s="58"/>
      <c r="CB152" s="58"/>
      <c r="CC152" s="58"/>
      <c r="CD152" s="58"/>
      <c r="CE152" s="58"/>
    </row>
    <row r="153" spans="1:83" x14ac:dyDescent="0.25">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c r="BO153" s="58"/>
      <c r="BP153" s="58"/>
      <c r="BQ153" s="58"/>
      <c r="BR153" s="58"/>
      <c r="BS153" s="58"/>
      <c r="BT153" s="58"/>
      <c r="BU153" s="58"/>
      <c r="BV153" s="58"/>
      <c r="BW153" s="58"/>
      <c r="BX153" s="58"/>
      <c r="BY153" s="58"/>
      <c r="BZ153" s="58"/>
      <c r="CA153" s="58"/>
      <c r="CB153" s="58"/>
      <c r="CC153" s="58"/>
      <c r="CD153" s="58"/>
      <c r="CE153" s="58"/>
    </row>
    <row r="154" spans="1:83" x14ac:dyDescent="0.25">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c r="BO154" s="58"/>
      <c r="BP154" s="58"/>
      <c r="BQ154" s="58"/>
      <c r="BR154" s="58"/>
      <c r="BS154" s="58"/>
      <c r="BT154" s="58"/>
      <c r="BU154" s="58"/>
      <c r="BV154" s="58"/>
      <c r="BW154" s="58"/>
      <c r="BX154" s="58"/>
      <c r="BY154" s="58"/>
      <c r="BZ154" s="58"/>
      <c r="CA154" s="58"/>
      <c r="CB154" s="58"/>
      <c r="CC154" s="58"/>
      <c r="CD154" s="58"/>
      <c r="CE154" s="58"/>
    </row>
    <row r="155" spans="1:83" x14ac:dyDescent="0.25">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c r="BO155" s="58"/>
      <c r="BP155" s="58"/>
      <c r="BQ155" s="58"/>
      <c r="BR155" s="58"/>
      <c r="BS155" s="58"/>
      <c r="BT155" s="58"/>
      <c r="BU155" s="58"/>
      <c r="BV155" s="58"/>
      <c r="BW155" s="58"/>
      <c r="BX155" s="58"/>
      <c r="BY155" s="58"/>
      <c r="BZ155" s="58"/>
      <c r="CA155" s="58"/>
      <c r="CB155" s="58"/>
      <c r="CC155" s="58"/>
      <c r="CD155" s="58"/>
      <c r="CE155" s="58"/>
    </row>
    <row r="156" spans="1:83" x14ac:dyDescent="0.25">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row>
    <row r="157" spans="1:83" x14ac:dyDescent="0.25">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c r="BO157" s="58"/>
      <c r="BP157" s="58"/>
      <c r="BQ157" s="58"/>
      <c r="BR157" s="58"/>
      <c r="BS157" s="58"/>
      <c r="BT157" s="58"/>
      <c r="BU157" s="58"/>
      <c r="BV157" s="58"/>
      <c r="BW157" s="58"/>
      <c r="BX157" s="58"/>
      <c r="BY157" s="58"/>
      <c r="BZ157" s="58"/>
      <c r="CA157" s="58"/>
      <c r="CB157" s="58"/>
      <c r="CC157" s="58"/>
      <c r="CD157" s="58"/>
      <c r="CE157" s="58"/>
    </row>
    <row r="158" spans="1:83" x14ac:dyDescent="0.25">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c r="BO158" s="58"/>
      <c r="BP158" s="58"/>
      <c r="BQ158" s="58"/>
      <c r="BR158" s="58"/>
      <c r="BS158" s="58"/>
      <c r="BT158" s="58"/>
      <c r="BU158" s="58"/>
      <c r="BV158" s="58"/>
      <c r="BW158" s="58"/>
      <c r="BX158" s="58"/>
      <c r="BY158" s="58"/>
      <c r="BZ158" s="58"/>
      <c r="CA158" s="58"/>
      <c r="CB158" s="58"/>
      <c r="CC158" s="58"/>
      <c r="CD158" s="58"/>
      <c r="CE158" s="58"/>
    </row>
    <row r="159" spans="1:83" x14ac:dyDescent="0.25">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c r="BO159" s="58"/>
      <c r="BP159" s="58"/>
      <c r="BQ159" s="58"/>
      <c r="BR159" s="58"/>
      <c r="BS159" s="58"/>
      <c r="BT159" s="58"/>
      <c r="BU159" s="58"/>
      <c r="BV159" s="58"/>
      <c r="BW159" s="58"/>
      <c r="BX159" s="58"/>
      <c r="BY159" s="58"/>
      <c r="BZ159" s="58"/>
      <c r="CA159" s="58"/>
      <c r="CB159" s="58"/>
      <c r="CC159" s="58"/>
      <c r="CD159" s="58"/>
      <c r="CE159" s="58"/>
    </row>
    <row r="160" spans="1:83" x14ac:dyDescent="0.25">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c r="BO160" s="58"/>
      <c r="BP160" s="58"/>
      <c r="BQ160" s="58"/>
      <c r="BR160" s="58"/>
      <c r="BS160" s="58"/>
      <c r="BT160" s="58"/>
      <c r="BU160" s="58"/>
      <c r="BV160" s="58"/>
      <c r="BW160" s="58"/>
      <c r="BX160" s="58"/>
      <c r="BY160" s="58"/>
      <c r="BZ160" s="58"/>
      <c r="CA160" s="58"/>
      <c r="CB160" s="58"/>
      <c r="CC160" s="58"/>
      <c r="CD160" s="58"/>
      <c r="CE160" s="58"/>
    </row>
    <row r="161" spans="1:83" x14ac:dyDescent="0.25">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c r="BN161" s="58"/>
      <c r="BO161" s="58"/>
      <c r="BP161" s="58"/>
      <c r="BQ161" s="58"/>
      <c r="BR161" s="58"/>
      <c r="BS161" s="58"/>
      <c r="BT161" s="58"/>
      <c r="BU161" s="58"/>
      <c r="BV161" s="58"/>
      <c r="BW161" s="58"/>
      <c r="BX161" s="58"/>
      <c r="BY161" s="58"/>
      <c r="BZ161" s="58"/>
      <c r="CA161" s="58"/>
      <c r="CB161" s="58"/>
      <c r="CC161" s="58"/>
      <c r="CD161" s="58"/>
      <c r="CE161" s="58"/>
    </row>
    <row r="162" spans="1:83" x14ac:dyDescent="0.25">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c r="BJ162" s="58"/>
      <c r="BK162" s="58"/>
      <c r="BL162" s="58"/>
      <c r="BM162" s="58"/>
      <c r="BN162" s="58"/>
      <c r="BO162" s="58"/>
      <c r="BP162" s="58"/>
      <c r="BQ162" s="58"/>
      <c r="BR162" s="58"/>
      <c r="BS162" s="58"/>
      <c r="BT162" s="58"/>
      <c r="BU162" s="58"/>
      <c r="BV162" s="58"/>
      <c r="BW162" s="58"/>
      <c r="BX162" s="58"/>
      <c r="BY162" s="58"/>
      <c r="BZ162" s="58"/>
      <c r="CA162" s="58"/>
      <c r="CB162" s="58"/>
      <c r="CC162" s="58"/>
      <c r="CD162" s="58"/>
      <c r="CE162" s="58"/>
    </row>
    <row r="163" spans="1:83" x14ac:dyDescent="0.25">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c r="BJ163" s="58"/>
      <c r="BK163" s="58"/>
      <c r="BL163" s="58"/>
      <c r="BM163" s="58"/>
      <c r="BN163" s="58"/>
      <c r="BO163" s="58"/>
      <c r="BP163" s="58"/>
      <c r="BQ163" s="58"/>
      <c r="BR163" s="58"/>
      <c r="BS163" s="58"/>
      <c r="BT163" s="58"/>
      <c r="BU163" s="58"/>
      <c r="BV163" s="58"/>
      <c r="BW163" s="58"/>
      <c r="BX163" s="58"/>
      <c r="BY163" s="58"/>
      <c r="BZ163" s="58"/>
      <c r="CA163" s="58"/>
      <c r="CB163" s="58"/>
      <c r="CC163" s="58"/>
      <c r="CD163" s="58"/>
      <c r="CE163" s="58"/>
    </row>
    <row r="164" spans="1:83" x14ac:dyDescent="0.25">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c r="BJ164" s="58"/>
      <c r="BK164" s="58"/>
      <c r="BL164" s="58"/>
      <c r="BM164" s="58"/>
      <c r="BN164" s="58"/>
      <c r="BO164" s="58"/>
      <c r="BP164" s="58"/>
      <c r="BQ164" s="58"/>
      <c r="BR164" s="58"/>
      <c r="BS164" s="58"/>
      <c r="BT164" s="58"/>
      <c r="BU164" s="58"/>
      <c r="BV164" s="58"/>
      <c r="BW164" s="58"/>
      <c r="BX164" s="58"/>
      <c r="BY164" s="58"/>
      <c r="BZ164" s="58"/>
      <c r="CA164" s="58"/>
      <c r="CB164" s="58"/>
      <c r="CC164" s="58"/>
      <c r="CD164" s="58"/>
      <c r="CE164" s="58"/>
    </row>
    <row r="165" spans="1:83" x14ac:dyDescent="0.25">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c r="BJ165" s="58"/>
      <c r="BK165" s="58"/>
      <c r="BL165" s="58"/>
      <c r="BM165" s="58"/>
      <c r="BN165" s="58"/>
      <c r="BO165" s="58"/>
      <c r="BP165" s="58"/>
      <c r="BQ165" s="58"/>
      <c r="BR165" s="58"/>
      <c r="BS165" s="58"/>
      <c r="BT165" s="58"/>
      <c r="BU165" s="58"/>
      <c r="BV165" s="58"/>
      <c r="BW165" s="58"/>
      <c r="BX165" s="58"/>
      <c r="BY165" s="58"/>
      <c r="BZ165" s="58"/>
      <c r="CA165" s="58"/>
      <c r="CB165" s="58"/>
      <c r="CC165" s="58"/>
      <c r="CD165" s="58"/>
      <c r="CE165" s="58"/>
    </row>
    <row r="166" spans="1:83" x14ac:dyDescent="0.25">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c r="BJ166" s="58"/>
      <c r="BK166" s="58"/>
      <c r="BL166" s="58"/>
      <c r="BM166" s="58"/>
      <c r="BN166" s="58"/>
      <c r="BO166" s="58"/>
      <c r="BP166" s="58"/>
      <c r="BQ166" s="58"/>
      <c r="BR166" s="58"/>
      <c r="BS166" s="58"/>
      <c r="BT166" s="58"/>
      <c r="BU166" s="58"/>
      <c r="BV166" s="58"/>
      <c r="BW166" s="58"/>
      <c r="BX166" s="58"/>
      <c r="BY166" s="58"/>
      <c r="BZ166" s="58"/>
      <c r="CA166" s="58"/>
      <c r="CB166" s="58"/>
      <c r="CC166" s="58"/>
      <c r="CD166" s="58"/>
      <c r="CE166" s="58"/>
    </row>
    <row r="167" spans="1:83" x14ac:dyDescent="0.25">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c r="BJ167" s="58"/>
      <c r="BK167" s="58"/>
      <c r="BL167" s="58"/>
      <c r="BM167" s="58"/>
      <c r="BN167" s="58"/>
      <c r="BO167" s="58"/>
      <c r="BP167" s="58"/>
      <c r="BQ167" s="58"/>
      <c r="BR167" s="58"/>
      <c r="BS167" s="58"/>
      <c r="BT167" s="58"/>
      <c r="BU167" s="58"/>
      <c r="BV167" s="58"/>
      <c r="BW167" s="58"/>
      <c r="BX167" s="58"/>
      <c r="BY167" s="58"/>
      <c r="BZ167" s="58"/>
      <c r="CA167" s="58"/>
      <c r="CB167" s="58"/>
      <c r="CC167" s="58"/>
      <c r="CD167" s="58"/>
      <c r="CE167" s="58"/>
    </row>
    <row r="168" spans="1:83" x14ac:dyDescent="0.25">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58"/>
      <c r="BN168" s="58"/>
      <c r="BO168" s="58"/>
      <c r="BP168" s="58"/>
      <c r="BQ168" s="58"/>
      <c r="BR168" s="58"/>
      <c r="BS168" s="58"/>
      <c r="BT168" s="58"/>
      <c r="BU168" s="58"/>
      <c r="BV168" s="58"/>
      <c r="BW168" s="58"/>
      <c r="BX168" s="58"/>
      <c r="BY168" s="58"/>
      <c r="BZ168" s="58"/>
      <c r="CA168" s="58"/>
      <c r="CB168" s="58"/>
      <c r="CC168" s="58"/>
      <c r="CD168" s="58"/>
      <c r="CE168" s="58"/>
    </row>
    <row r="169" spans="1:83" x14ac:dyDescent="0.25">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c r="BC169" s="58"/>
      <c r="BD169" s="58"/>
      <c r="BE169" s="58"/>
      <c r="BF169" s="58"/>
      <c r="BG169" s="58"/>
      <c r="BH169" s="58"/>
      <c r="BI169" s="58"/>
      <c r="BJ169" s="58"/>
      <c r="BK169" s="58"/>
      <c r="BL169" s="58"/>
      <c r="BM169" s="58"/>
      <c r="BN169" s="58"/>
      <c r="BO169" s="58"/>
      <c r="BP169" s="58"/>
      <c r="BQ169" s="58"/>
      <c r="BR169" s="58"/>
      <c r="BS169" s="58"/>
      <c r="BT169" s="58"/>
      <c r="BU169" s="58"/>
      <c r="BV169" s="58"/>
      <c r="BW169" s="58"/>
      <c r="BX169" s="58"/>
      <c r="BY169" s="58"/>
      <c r="BZ169" s="58"/>
      <c r="CA169" s="58"/>
      <c r="CB169" s="58"/>
      <c r="CC169" s="58"/>
      <c r="CD169" s="58"/>
      <c r="CE169" s="58"/>
    </row>
    <row r="170" spans="1:83" x14ac:dyDescent="0.25">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c r="BJ170" s="58"/>
      <c r="BK170" s="58"/>
      <c r="BL170" s="58"/>
      <c r="BM170" s="58"/>
      <c r="BN170" s="58"/>
      <c r="BO170" s="58"/>
      <c r="BP170" s="58"/>
      <c r="BQ170" s="58"/>
      <c r="BR170" s="58"/>
      <c r="BS170" s="58"/>
      <c r="BT170" s="58"/>
      <c r="BU170" s="58"/>
      <c r="BV170" s="58"/>
      <c r="BW170" s="58"/>
      <c r="BX170" s="58"/>
      <c r="BY170" s="58"/>
      <c r="BZ170" s="58"/>
      <c r="CA170" s="58"/>
      <c r="CB170" s="58"/>
      <c r="CC170" s="58"/>
      <c r="CD170" s="58"/>
      <c r="CE170" s="58"/>
    </row>
    <row r="171" spans="1:83" x14ac:dyDescent="0.25">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c r="BJ171" s="58"/>
      <c r="BK171" s="58"/>
      <c r="BL171" s="58"/>
      <c r="BM171" s="58"/>
      <c r="BN171" s="58"/>
      <c r="BO171" s="58"/>
      <c r="BP171" s="58"/>
      <c r="BQ171" s="58"/>
      <c r="BR171" s="58"/>
      <c r="BS171" s="58"/>
      <c r="BT171" s="58"/>
      <c r="BU171" s="58"/>
      <c r="BV171" s="58"/>
      <c r="BW171" s="58"/>
      <c r="BX171" s="58"/>
      <c r="BY171" s="58"/>
      <c r="BZ171" s="58"/>
      <c r="CA171" s="58"/>
      <c r="CB171" s="58"/>
      <c r="CC171" s="58"/>
      <c r="CD171" s="58"/>
      <c r="CE171" s="58"/>
    </row>
    <row r="172" spans="1:83" x14ac:dyDescent="0.25">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c r="BJ172" s="58"/>
      <c r="BK172" s="58"/>
      <c r="BL172" s="58"/>
      <c r="BM172" s="58"/>
      <c r="BN172" s="58"/>
      <c r="BO172" s="58"/>
      <c r="BP172" s="58"/>
      <c r="BQ172" s="58"/>
      <c r="BR172" s="58"/>
      <c r="BS172" s="58"/>
      <c r="BT172" s="58"/>
      <c r="BU172" s="58"/>
      <c r="BV172" s="58"/>
      <c r="BW172" s="58"/>
      <c r="BX172" s="58"/>
      <c r="BY172" s="58"/>
      <c r="BZ172" s="58"/>
      <c r="CA172" s="58"/>
      <c r="CB172" s="58"/>
      <c r="CC172" s="58"/>
      <c r="CD172" s="58"/>
      <c r="CE172" s="58"/>
    </row>
    <row r="173" spans="1:83" x14ac:dyDescent="0.25">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c r="BJ173" s="58"/>
      <c r="BK173" s="58"/>
      <c r="BL173" s="58"/>
      <c r="BM173" s="58"/>
      <c r="BN173" s="58"/>
      <c r="BO173" s="58"/>
      <c r="BP173" s="58"/>
      <c r="BQ173" s="58"/>
      <c r="BR173" s="58"/>
      <c r="BS173" s="58"/>
      <c r="BT173" s="58"/>
      <c r="BU173" s="58"/>
      <c r="BV173" s="58"/>
      <c r="BW173" s="58"/>
      <c r="BX173" s="58"/>
      <c r="BY173" s="58"/>
      <c r="BZ173" s="58"/>
      <c r="CA173" s="58"/>
      <c r="CB173" s="58"/>
      <c r="CC173" s="58"/>
      <c r="CD173" s="58"/>
      <c r="CE173" s="58"/>
    </row>
    <row r="174" spans="1:83" x14ac:dyDescent="0.25">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c r="BJ174" s="58"/>
      <c r="BK174" s="58"/>
      <c r="BL174" s="58"/>
      <c r="BM174" s="58"/>
      <c r="BN174" s="58"/>
      <c r="BO174" s="58"/>
      <c r="BP174" s="58"/>
      <c r="BQ174" s="58"/>
      <c r="BR174" s="58"/>
      <c r="BS174" s="58"/>
      <c r="BT174" s="58"/>
      <c r="BU174" s="58"/>
      <c r="BV174" s="58"/>
      <c r="BW174" s="58"/>
      <c r="BX174" s="58"/>
      <c r="BY174" s="58"/>
      <c r="BZ174" s="58"/>
      <c r="CA174" s="58"/>
      <c r="CB174" s="58"/>
      <c r="CC174" s="58"/>
      <c r="CD174" s="58"/>
      <c r="CE174" s="58"/>
    </row>
    <row r="175" spans="1:83" x14ac:dyDescent="0.25">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c r="BJ175" s="58"/>
      <c r="BK175" s="58"/>
      <c r="BL175" s="58"/>
      <c r="BM175" s="58"/>
      <c r="BN175" s="58"/>
      <c r="BO175" s="58"/>
      <c r="BP175" s="58"/>
      <c r="BQ175" s="58"/>
      <c r="BR175" s="58"/>
      <c r="BS175" s="58"/>
      <c r="BT175" s="58"/>
      <c r="BU175" s="58"/>
      <c r="BV175" s="58"/>
      <c r="BW175" s="58"/>
      <c r="BX175" s="58"/>
      <c r="BY175" s="58"/>
      <c r="BZ175" s="58"/>
      <c r="CA175" s="58"/>
      <c r="CB175" s="58"/>
      <c r="CC175" s="58"/>
      <c r="CD175" s="58"/>
      <c r="CE175" s="58"/>
    </row>
    <row r="176" spans="1:83" x14ac:dyDescent="0.25">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c r="BJ176" s="58"/>
      <c r="BK176" s="58"/>
      <c r="BL176" s="58"/>
      <c r="BM176" s="58"/>
      <c r="BN176" s="58"/>
      <c r="BO176" s="58"/>
      <c r="BP176" s="58"/>
      <c r="BQ176" s="58"/>
      <c r="BR176" s="58"/>
      <c r="BS176" s="58"/>
      <c r="BT176" s="58"/>
      <c r="BU176" s="58"/>
      <c r="BV176" s="58"/>
      <c r="BW176" s="58"/>
      <c r="BX176" s="58"/>
      <c r="BY176" s="58"/>
      <c r="BZ176" s="58"/>
      <c r="CA176" s="58"/>
      <c r="CB176" s="58"/>
      <c r="CC176" s="58"/>
      <c r="CD176" s="58"/>
      <c r="CE176" s="58"/>
    </row>
    <row r="177" spans="1:83" x14ac:dyDescent="0.25">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c r="BJ177" s="58"/>
      <c r="BK177" s="58"/>
      <c r="BL177" s="58"/>
      <c r="BM177" s="58"/>
      <c r="BN177" s="58"/>
      <c r="BO177" s="58"/>
      <c r="BP177" s="58"/>
      <c r="BQ177" s="58"/>
      <c r="BR177" s="58"/>
      <c r="BS177" s="58"/>
      <c r="BT177" s="58"/>
      <c r="BU177" s="58"/>
      <c r="BV177" s="58"/>
      <c r="BW177" s="58"/>
      <c r="BX177" s="58"/>
      <c r="BY177" s="58"/>
      <c r="BZ177" s="58"/>
      <c r="CA177" s="58"/>
      <c r="CB177" s="58"/>
      <c r="CC177" s="58"/>
      <c r="CD177" s="58"/>
      <c r="CE177" s="58"/>
    </row>
    <row r="178" spans="1:83" x14ac:dyDescent="0.25">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c r="BJ178" s="58"/>
      <c r="BK178" s="58"/>
      <c r="BL178" s="58"/>
      <c r="BM178" s="58"/>
      <c r="BN178" s="58"/>
      <c r="BO178" s="58"/>
      <c r="BP178" s="58"/>
      <c r="BQ178" s="58"/>
      <c r="BR178" s="58"/>
      <c r="BS178" s="58"/>
      <c r="BT178" s="58"/>
      <c r="BU178" s="58"/>
      <c r="BV178" s="58"/>
      <c r="BW178" s="58"/>
      <c r="BX178" s="58"/>
      <c r="BY178" s="58"/>
      <c r="BZ178" s="58"/>
      <c r="CA178" s="58"/>
      <c r="CB178" s="58"/>
      <c r="CC178" s="58"/>
      <c r="CD178" s="58"/>
      <c r="CE178" s="58"/>
    </row>
    <row r="179" spans="1:83" x14ac:dyDescent="0.25">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c r="BJ179" s="58"/>
      <c r="BK179" s="58"/>
      <c r="BL179" s="58"/>
      <c r="BM179" s="58"/>
      <c r="BN179" s="58"/>
      <c r="BO179" s="58"/>
      <c r="BP179" s="58"/>
      <c r="BQ179" s="58"/>
      <c r="BR179" s="58"/>
      <c r="BS179" s="58"/>
      <c r="BT179" s="58"/>
      <c r="BU179" s="58"/>
      <c r="BV179" s="58"/>
      <c r="BW179" s="58"/>
      <c r="BX179" s="58"/>
      <c r="BY179" s="58"/>
      <c r="BZ179" s="58"/>
      <c r="CA179" s="58"/>
      <c r="CB179" s="58"/>
      <c r="CC179" s="58"/>
      <c r="CD179" s="58"/>
      <c r="CE179" s="58"/>
    </row>
    <row r="180" spans="1:83" x14ac:dyDescent="0.25">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c r="BJ180" s="58"/>
      <c r="BK180" s="58"/>
      <c r="BL180" s="58"/>
      <c r="BM180" s="58"/>
      <c r="BN180" s="58"/>
      <c r="BO180" s="58"/>
      <c r="BP180" s="58"/>
      <c r="BQ180" s="58"/>
      <c r="BR180" s="58"/>
      <c r="BS180" s="58"/>
      <c r="BT180" s="58"/>
      <c r="BU180" s="58"/>
      <c r="BV180" s="58"/>
      <c r="BW180" s="58"/>
      <c r="BX180" s="58"/>
      <c r="BY180" s="58"/>
      <c r="BZ180" s="58"/>
      <c r="CA180" s="58"/>
      <c r="CB180" s="58"/>
      <c r="CC180" s="58"/>
      <c r="CD180" s="58"/>
      <c r="CE180" s="58"/>
    </row>
    <row r="181" spans="1:83" x14ac:dyDescent="0.25">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c r="BJ181" s="58"/>
      <c r="BK181" s="58"/>
      <c r="BL181" s="58"/>
      <c r="BM181" s="58"/>
      <c r="BN181" s="58"/>
      <c r="BO181" s="58"/>
      <c r="BP181" s="58"/>
      <c r="BQ181" s="58"/>
      <c r="BR181" s="58"/>
      <c r="BS181" s="58"/>
      <c r="BT181" s="58"/>
      <c r="BU181" s="58"/>
      <c r="BV181" s="58"/>
      <c r="BW181" s="58"/>
      <c r="BX181" s="58"/>
      <c r="BY181" s="58"/>
      <c r="BZ181" s="58"/>
      <c r="CA181" s="58"/>
      <c r="CB181" s="58"/>
      <c r="CC181" s="58"/>
      <c r="CD181" s="58"/>
      <c r="CE181" s="58"/>
    </row>
    <row r="182" spans="1:83" x14ac:dyDescent="0.25">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c r="BJ182" s="58"/>
      <c r="BK182" s="58"/>
      <c r="BL182" s="58"/>
      <c r="BM182" s="58"/>
      <c r="BN182" s="58"/>
      <c r="BO182" s="58"/>
      <c r="BP182" s="58"/>
      <c r="BQ182" s="58"/>
      <c r="BR182" s="58"/>
      <c r="BS182" s="58"/>
      <c r="BT182" s="58"/>
      <c r="BU182" s="58"/>
      <c r="BV182" s="58"/>
      <c r="BW182" s="58"/>
      <c r="BX182" s="58"/>
      <c r="BY182" s="58"/>
      <c r="BZ182" s="58"/>
      <c r="CA182" s="58"/>
      <c r="CB182" s="58"/>
      <c r="CC182" s="58"/>
      <c r="CD182" s="58"/>
      <c r="CE182" s="58"/>
    </row>
    <row r="183" spans="1:83" x14ac:dyDescent="0.25">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c r="BJ183" s="58"/>
      <c r="BK183" s="58"/>
      <c r="BL183" s="58"/>
      <c r="BM183" s="58"/>
      <c r="BN183" s="58"/>
      <c r="BO183" s="58"/>
      <c r="BP183" s="58"/>
      <c r="BQ183" s="58"/>
      <c r="BR183" s="58"/>
      <c r="BS183" s="58"/>
      <c r="BT183" s="58"/>
      <c r="BU183" s="58"/>
      <c r="BV183" s="58"/>
      <c r="BW183" s="58"/>
      <c r="BX183" s="58"/>
      <c r="BY183" s="58"/>
      <c r="BZ183" s="58"/>
      <c r="CA183" s="58"/>
      <c r="CB183" s="58"/>
      <c r="CC183" s="58"/>
      <c r="CD183" s="58"/>
      <c r="CE183" s="58"/>
    </row>
    <row r="184" spans="1:83" x14ac:dyDescent="0.25">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c r="BJ184" s="58"/>
      <c r="BK184" s="58"/>
      <c r="BL184" s="58"/>
      <c r="BM184" s="58"/>
      <c r="BN184" s="58"/>
      <c r="BO184" s="58"/>
      <c r="BP184" s="58"/>
      <c r="BQ184" s="58"/>
      <c r="BR184" s="58"/>
      <c r="BS184" s="58"/>
      <c r="BT184" s="58"/>
      <c r="BU184" s="58"/>
      <c r="BV184" s="58"/>
      <c r="BW184" s="58"/>
      <c r="BX184" s="58"/>
      <c r="BY184" s="58"/>
      <c r="BZ184" s="58"/>
      <c r="CA184" s="58"/>
      <c r="CB184" s="58"/>
      <c r="CC184" s="58"/>
      <c r="CD184" s="58"/>
      <c r="CE184" s="58"/>
    </row>
    <row r="185" spans="1:83" x14ac:dyDescent="0.25">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c r="BJ185" s="58"/>
      <c r="BK185" s="58"/>
      <c r="BL185" s="58"/>
      <c r="BM185" s="58"/>
      <c r="BN185" s="58"/>
      <c r="BO185" s="58"/>
      <c r="BP185" s="58"/>
      <c r="BQ185" s="58"/>
      <c r="BR185" s="58"/>
      <c r="BS185" s="58"/>
      <c r="BT185" s="58"/>
      <c r="BU185" s="58"/>
      <c r="BV185" s="58"/>
      <c r="BW185" s="58"/>
      <c r="BX185" s="58"/>
      <c r="BY185" s="58"/>
      <c r="BZ185" s="58"/>
      <c r="CA185" s="58"/>
      <c r="CB185" s="58"/>
      <c r="CC185" s="58"/>
      <c r="CD185" s="58"/>
      <c r="CE185" s="58"/>
    </row>
    <row r="186" spans="1:83" x14ac:dyDescent="0.25">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c r="BJ186" s="58"/>
      <c r="BK186" s="58"/>
      <c r="BL186" s="58"/>
      <c r="BM186" s="58"/>
      <c r="BN186" s="58"/>
      <c r="BO186" s="58"/>
      <c r="BP186" s="58"/>
      <c r="BQ186" s="58"/>
      <c r="BR186" s="58"/>
      <c r="BS186" s="58"/>
      <c r="BT186" s="58"/>
      <c r="BU186" s="58"/>
      <c r="BV186" s="58"/>
      <c r="BW186" s="58"/>
      <c r="BX186" s="58"/>
      <c r="BY186" s="58"/>
      <c r="BZ186" s="58"/>
      <c r="CA186" s="58"/>
      <c r="CB186" s="58"/>
      <c r="CC186" s="58"/>
      <c r="CD186" s="58"/>
      <c r="CE186" s="58"/>
    </row>
    <row r="187" spans="1:83" x14ac:dyDescent="0.25">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c r="BJ187" s="58"/>
      <c r="BK187" s="58"/>
      <c r="BL187" s="58"/>
      <c r="BM187" s="58"/>
      <c r="BN187" s="58"/>
      <c r="BO187" s="58"/>
      <c r="BP187" s="58"/>
      <c r="BQ187" s="58"/>
      <c r="BR187" s="58"/>
      <c r="BS187" s="58"/>
      <c r="BT187" s="58"/>
      <c r="BU187" s="58"/>
      <c r="BV187" s="58"/>
      <c r="BW187" s="58"/>
      <c r="BX187" s="58"/>
      <c r="BY187" s="58"/>
      <c r="BZ187" s="58"/>
      <c r="CA187" s="58"/>
      <c r="CB187" s="58"/>
      <c r="CC187" s="58"/>
      <c r="CD187" s="58"/>
      <c r="CE187" s="58"/>
    </row>
    <row r="188" spans="1:83" x14ac:dyDescent="0.25">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c r="BN188" s="58"/>
      <c r="BO188" s="58"/>
      <c r="BP188" s="58"/>
      <c r="BQ188" s="58"/>
      <c r="BR188" s="58"/>
      <c r="BS188" s="58"/>
      <c r="BT188" s="58"/>
      <c r="BU188" s="58"/>
      <c r="BV188" s="58"/>
      <c r="BW188" s="58"/>
      <c r="BX188" s="58"/>
      <c r="BY188" s="58"/>
      <c r="BZ188" s="58"/>
      <c r="CA188" s="58"/>
      <c r="CB188" s="58"/>
      <c r="CC188" s="58"/>
      <c r="CD188" s="58"/>
      <c r="CE188" s="58"/>
    </row>
    <row r="189" spans="1:83" x14ac:dyDescent="0.25">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c r="BJ189" s="58"/>
      <c r="BK189" s="58"/>
      <c r="BL189" s="58"/>
      <c r="BM189" s="58"/>
      <c r="BN189" s="58"/>
      <c r="BO189" s="58"/>
      <c r="BP189" s="58"/>
      <c r="BQ189" s="58"/>
      <c r="BR189" s="58"/>
      <c r="BS189" s="58"/>
      <c r="BT189" s="58"/>
      <c r="BU189" s="58"/>
      <c r="BV189" s="58"/>
      <c r="BW189" s="58"/>
      <c r="BX189" s="58"/>
      <c r="BY189" s="58"/>
      <c r="BZ189" s="58"/>
      <c r="CA189" s="58"/>
      <c r="CB189" s="58"/>
      <c r="CC189" s="58"/>
      <c r="CD189" s="58"/>
      <c r="CE189" s="58"/>
    </row>
    <row r="190" spans="1:83" x14ac:dyDescent="0.25">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c r="BJ190" s="58"/>
      <c r="BK190" s="58"/>
      <c r="BL190" s="58"/>
      <c r="BM190" s="58"/>
      <c r="BN190" s="58"/>
      <c r="BO190" s="58"/>
      <c r="BP190" s="58"/>
      <c r="BQ190" s="58"/>
      <c r="BR190" s="58"/>
      <c r="BS190" s="58"/>
      <c r="BT190" s="58"/>
      <c r="BU190" s="58"/>
      <c r="BV190" s="58"/>
      <c r="BW190" s="58"/>
      <c r="BX190" s="58"/>
      <c r="BY190" s="58"/>
      <c r="BZ190" s="58"/>
      <c r="CA190" s="58"/>
      <c r="CB190" s="58"/>
      <c r="CC190" s="58"/>
      <c r="CD190" s="58"/>
      <c r="CE190" s="58"/>
    </row>
    <row r="191" spans="1:83" x14ac:dyDescent="0.25">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c r="BB191" s="58"/>
      <c r="BC191" s="58"/>
      <c r="BD191" s="58"/>
      <c r="BE191" s="58"/>
      <c r="BF191" s="58"/>
      <c r="BG191" s="58"/>
      <c r="BH191" s="58"/>
      <c r="BI191" s="58"/>
      <c r="BJ191" s="58"/>
      <c r="BK191" s="58"/>
      <c r="BL191" s="58"/>
      <c r="BM191" s="58"/>
      <c r="BN191" s="58"/>
      <c r="BO191" s="58"/>
      <c r="BP191" s="58"/>
      <c r="BQ191" s="58"/>
      <c r="BR191" s="58"/>
      <c r="BS191" s="58"/>
      <c r="BT191" s="58"/>
      <c r="BU191" s="58"/>
      <c r="BV191" s="58"/>
      <c r="BW191" s="58"/>
      <c r="BX191" s="58"/>
      <c r="BY191" s="58"/>
      <c r="BZ191" s="58"/>
      <c r="CA191" s="58"/>
      <c r="CB191" s="58"/>
      <c r="CC191" s="58"/>
      <c r="CD191" s="58"/>
      <c r="CE191" s="58"/>
    </row>
    <row r="192" spans="1:83" x14ac:dyDescent="0.25">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c r="BJ192" s="58"/>
      <c r="BK192" s="58"/>
      <c r="BL192" s="58"/>
      <c r="BM192" s="58"/>
      <c r="BN192" s="58"/>
      <c r="BO192" s="58"/>
      <c r="BP192" s="58"/>
      <c r="BQ192" s="58"/>
      <c r="BR192" s="58"/>
      <c r="BS192" s="58"/>
      <c r="BT192" s="58"/>
      <c r="BU192" s="58"/>
      <c r="BV192" s="58"/>
      <c r="BW192" s="58"/>
      <c r="BX192" s="58"/>
      <c r="BY192" s="58"/>
      <c r="BZ192" s="58"/>
      <c r="CA192" s="58"/>
      <c r="CB192" s="58"/>
      <c r="CC192" s="58"/>
      <c r="CD192" s="58"/>
      <c r="CE192" s="58"/>
    </row>
    <row r="193" spans="2:83" x14ac:dyDescent="0.25">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c r="BJ193" s="58"/>
      <c r="BK193" s="58"/>
      <c r="BL193" s="58"/>
      <c r="BM193" s="58"/>
      <c r="BN193" s="58"/>
      <c r="BO193" s="58"/>
      <c r="BP193" s="58"/>
      <c r="BQ193" s="58"/>
      <c r="BR193" s="58"/>
      <c r="BS193" s="58"/>
      <c r="BT193" s="58"/>
      <c r="BU193" s="58"/>
      <c r="BV193" s="58"/>
      <c r="BW193" s="58"/>
      <c r="BX193" s="58"/>
      <c r="BY193" s="58"/>
      <c r="BZ193" s="58"/>
      <c r="CA193" s="58"/>
      <c r="CB193" s="58"/>
      <c r="CC193" s="58"/>
      <c r="CD193" s="58"/>
      <c r="CE193" s="58"/>
    </row>
    <row r="194" spans="2:83" x14ac:dyDescent="0.25">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c r="BJ194" s="58"/>
      <c r="BK194" s="58"/>
      <c r="BL194" s="58"/>
      <c r="BM194" s="58"/>
      <c r="BN194" s="58"/>
      <c r="BO194" s="58"/>
      <c r="BP194" s="58"/>
      <c r="BQ194" s="58"/>
      <c r="BR194" s="58"/>
      <c r="BS194" s="58"/>
      <c r="BT194" s="58"/>
      <c r="BU194" s="58"/>
      <c r="BV194" s="58"/>
      <c r="BW194" s="58"/>
      <c r="BX194" s="58"/>
      <c r="BY194" s="58"/>
      <c r="BZ194" s="58"/>
      <c r="CA194" s="58"/>
      <c r="CB194" s="58"/>
      <c r="CC194" s="58"/>
      <c r="CD194" s="58"/>
      <c r="CE194" s="58"/>
    </row>
    <row r="195" spans="2:83" x14ac:dyDescent="0.25">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c r="BJ195" s="58"/>
      <c r="BK195" s="58"/>
      <c r="BL195" s="58"/>
      <c r="BM195" s="58"/>
      <c r="BN195" s="58"/>
      <c r="BO195" s="58"/>
      <c r="BP195" s="58"/>
      <c r="BQ195" s="58"/>
      <c r="BR195" s="58"/>
      <c r="BS195" s="58"/>
      <c r="BT195" s="58"/>
      <c r="BU195" s="58"/>
      <c r="BV195" s="58"/>
      <c r="BW195" s="58"/>
      <c r="BX195" s="58"/>
      <c r="BY195" s="58"/>
      <c r="BZ195" s="58"/>
      <c r="CA195" s="58"/>
      <c r="CB195" s="58"/>
      <c r="CC195" s="58"/>
      <c r="CD195" s="58"/>
      <c r="CE195" s="58"/>
    </row>
    <row r="196" spans="2:83" x14ac:dyDescent="0.25">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c r="BJ196" s="58"/>
      <c r="BK196" s="58"/>
      <c r="BL196" s="58"/>
      <c r="BM196" s="58"/>
      <c r="BN196" s="58"/>
      <c r="BO196" s="58"/>
      <c r="BP196" s="58"/>
      <c r="BQ196" s="58"/>
      <c r="BR196" s="58"/>
      <c r="BS196" s="58"/>
      <c r="BT196" s="58"/>
      <c r="BU196" s="58"/>
      <c r="BV196" s="58"/>
      <c r="BW196" s="58"/>
      <c r="BX196" s="58"/>
      <c r="BY196" s="58"/>
      <c r="BZ196" s="58"/>
      <c r="CA196" s="58"/>
      <c r="CB196" s="58"/>
      <c r="CC196" s="58"/>
      <c r="CD196" s="58"/>
      <c r="CE196" s="58"/>
    </row>
    <row r="197" spans="2:83" x14ac:dyDescent="0.25">
      <c r="B197" s="58"/>
      <c r="C197" s="58"/>
      <c r="D197" s="58"/>
      <c r="E197" s="58"/>
      <c r="F197" s="58"/>
      <c r="G197" s="58"/>
      <c r="H197" s="58"/>
      <c r="I197" s="58"/>
      <c r="BI197" s="58"/>
      <c r="BJ197" s="58"/>
      <c r="BK197" s="58"/>
      <c r="BL197" s="58"/>
      <c r="BM197" s="58"/>
      <c r="BN197" s="58"/>
    </row>
    <row r="198" spans="2:83" x14ac:dyDescent="0.25">
      <c r="B198" s="58"/>
      <c r="C198" s="58"/>
      <c r="D198" s="58"/>
      <c r="E198" s="58"/>
      <c r="F198" s="58"/>
      <c r="G198" s="58"/>
      <c r="H198" s="58"/>
      <c r="I198" s="58"/>
      <c r="BI198" s="58"/>
      <c r="BJ198" s="58"/>
      <c r="BK198" s="58"/>
      <c r="BL198" s="58"/>
      <c r="BM198" s="58"/>
      <c r="BN198" s="58"/>
    </row>
    <row r="199" spans="2:83" x14ac:dyDescent="0.25">
      <c r="B199" s="58"/>
      <c r="C199" s="58"/>
      <c r="D199" s="58"/>
      <c r="E199" s="58"/>
      <c r="F199" s="58"/>
      <c r="G199" s="58"/>
      <c r="H199" s="58"/>
      <c r="I199" s="58"/>
      <c r="BI199" s="58"/>
      <c r="BJ199" s="58"/>
      <c r="BK199" s="58"/>
      <c r="BL199" s="58"/>
      <c r="BM199" s="58"/>
      <c r="BN199" s="58"/>
    </row>
    <row r="200" spans="2:83" x14ac:dyDescent="0.25">
      <c r="B200" s="58"/>
      <c r="C200" s="58"/>
      <c r="D200" s="58"/>
      <c r="E200" s="58"/>
      <c r="F200" s="58"/>
      <c r="G200" s="58"/>
      <c r="H200" s="58"/>
      <c r="I200" s="58"/>
      <c r="BI200" s="58"/>
      <c r="BJ200" s="58"/>
      <c r="BK200" s="58"/>
      <c r="BL200" s="58"/>
      <c r="BM200" s="58"/>
      <c r="BN200" s="58"/>
    </row>
    <row r="201" spans="2:83" x14ac:dyDescent="0.25">
      <c r="BI201" s="58"/>
      <c r="BJ201" s="58"/>
      <c r="BK201" s="58"/>
      <c r="BL201" s="58"/>
      <c r="BM201" s="58"/>
      <c r="BN201" s="58"/>
    </row>
    <row r="202" spans="2:83" x14ac:dyDescent="0.25">
      <c r="BI202" s="58"/>
      <c r="BJ202" s="58"/>
      <c r="BK202" s="58"/>
      <c r="BL202" s="58"/>
      <c r="BM202" s="58"/>
      <c r="BN202" s="58"/>
    </row>
    <row r="203" spans="2:83" x14ac:dyDescent="0.25">
      <c r="BI203" s="58"/>
      <c r="BJ203" s="58"/>
      <c r="BK203" s="58"/>
      <c r="BL203" s="58"/>
      <c r="BM203" s="58"/>
      <c r="BN203" s="58"/>
    </row>
    <row r="204" spans="2:83" x14ac:dyDescent="0.25">
      <c r="BI204" s="58"/>
      <c r="BJ204" s="58"/>
      <c r="BK204" s="58"/>
      <c r="BL204" s="58"/>
      <c r="BM204" s="58"/>
      <c r="BN204" s="58"/>
    </row>
  </sheetData>
  <mergeCells count="1267">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X448"/>
  <sheetViews>
    <sheetView topLeftCell="B146" zoomScale="48" zoomScaleNormal="48" workbookViewId="0">
      <selection activeCell="J191" sqref="J191"/>
    </sheetView>
  </sheetViews>
  <sheetFormatPr baseColWidth="10" defaultRowHeight="15" x14ac:dyDescent="0.25"/>
  <cols>
    <col min="2" max="9" width="5.7109375" customWidth="1"/>
    <col min="10" max="10" width="11.42578125" customWidth="1"/>
    <col min="11" max="12" width="12" bestFit="1" customWidth="1"/>
    <col min="13" max="13" width="13.5703125" customWidth="1"/>
    <col min="14" max="14" width="13" customWidth="1"/>
    <col min="15" max="15" width="10.85546875" customWidth="1"/>
    <col min="16" max="16" width="14.140625" customWidth="1"/>
    <col min="17" max="17" width="10.28515625" bestFit="1" customWidth="1"/>
    <col min="18" max="18" width="9.7109375" customWidth="1"/>
    <col min="19" max="19" width="11.42578125" customWidth="1"/>
    <col min="20" max="21" width="9.7109375" customWidth="1"/>
    <col min="22" max="22" width="10.85546875" bestFit="1" customWidth="1"/>
    <col min="23" max="24" width="9.7109375" customWidth="1"/>
    <col min="26" max="31" width="5.7109375" customWidth="1"/>
  </cols>
  <sheetData>
    <row r="1" spans="1:76" x14ac:dyDescent="0.2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row>
    <row r="2" spans="1:76" ht="18" customHeight="1" x14ac:dyDescent="0.25">
      <c r="A2" s="58"/>
      <c r="B2" s="384" t="s">
        <v>151</v>
      </c>
      <c r="C2" s="385"/>
      <c r="D2" s="385"/>
      <c r="E2" s="385"/>
      <c r="F2" s="385"/>
      <c r="G2" s="385"/>
      <c r="H2" s="385"/>
      <c r="I2" s="385"/>
      <c r="J2" s="355" t="s">
        <v>2</v>
      </c>
      <c r="K2" s="355"/>
      <c r="L2" s="355"/>
      <c r="M2" s="355"/>
      <c r="N2" s="355"/>
      <c r="O2" s="355"/>
      <c r="P2" s="355"/>
      <c r="Q2" s="355"/>
      <c r="R2" s="355"/>
      <c r="S2" s="355"/>
      <c r="T2" s="355"/>
      <c r="U2" s="355"/>
      <c r="V2" s="355"/>
      <c r="W2" s="355"/>
      <c r="X2" s="355"/>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row>
    <row r="3" spans="1:76" ht="18.75" customHeight="1" x14ac:dyDescent="0.25">
      <c r="A3" s="58"/>
      <c r="B3" s="385"/>
      <c r="C3" s="385"/>
      <c r="D3" s="385"/>
      <c r="E3" s="385"/>
      <c r="F3" s="385"/>
      <c r="G3" s="385"/>
      <c r="H3" s="385"/>
      <c r="I3" s="385"/>
      <c r="J3" s="355"/>
      <c r="K3" s="355"/>
      <c r="L3" s="355"/>
      <c r="M3" s="355"/>
      <c r="N3" s="355"/>
      <c r="O3" s="355"/>
      <c r="P3" s="355"/>
      <c r="Q3" s="355"/>
      <c r="R3" s="355"/>
      <c r="S3" s="355"/>
      <c r="T3" s="355"/>
      <c r="U3" s="355"/>
      <c r="V3" s="355"/>
      <c r="W3" s="355"/>
      <c r="X3" s="355"/>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row>
    <row r="4" spans="1:76" ht="15" customHeight="1" x14ac:dyDescent="0.25">
      <c r="A4" s="58"/>
      <c r="B4" s="385"/>
      <c r="C4" s="385"/>
      <c r="D4" s="385"/>
      <c r="E4" s="385"/>
      <c r="F4" s="385"/>
      <c r="G4" s="385"/>
      <c r="H4" s="385"/>
      <c r="I4" s="385"/>
      <c r="J4" s="355"/>
      <c r="K4" s="355"/>
      <c r="L4" s="355"/>
      <c r="M4" s="355"/>
      <c r="N4" s="355"/>
      <c r="O4" s="355"/>
      <c r="P4" s="355"/>
      <c r="Q4" s="355"/>
      <c r="R4" s="355"/>
      <c r="S4" s="355"/>
      <c r="T4" s="355"/>
      <c r="U4" s="355"/>
      <c r="V4" s="355"/>
      <c r="W4" s="355"/>
      <c r="X4" s="355"/>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row>
    <row r="5" spans="1:76" ht="15.75" thickBot="1" x14ac:dyDescent="0.3">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row>
    <row r="6" spans="1:76" ht="15" customHeight="1" x14ac:dyDescent="0.25">
      <c r="A6" s="58"/>
      <c r="B6" s="356" t="s">
        <v>4</v>
      </c>
      <c r="C6" s="356"/>
      <c r="D6" s="357"/>
      <c r="E6" s="367" t="s">
        <v>110</v>
      </c>
      <c r="F6" s="368"/>
      <c r="G6" s="368"/>
      <c r="H6" s="368"/>
      <c r="I6" s="368"/>
      <c r="J6" s="116" t="str">
        <f>IF(AND('Mapa final'!$AB$7="Muy Alta",'Mapa final'!$AD$7="Leve"),CONCATENATE("R1C",'Mapa final'!$R$7),"")</f>
        <v/>
      </c>
      <c r="K6" s="117" t="str">
        <f>IF(AND('Mapa final'!$AB$8="Muy Alta",'Mapa final'!$AD$8="Leve"),CONCATENATE("R1C",'Mapa final'!$R$8),"")</f>
        <v/>
      </c>
      <c r="L6" s="118" t="str">
        <f>IF(AND('Mapa final'!$AB$9="Muy Alta",'Mapa final'!$AD$9="Leve"),CONCATENATE("R1C",'Mapa final'!$R$9),"")</f>
        <v/>
      </c>
      <c r="M6" s="116" t="str">
        <f>IF(AND('Mapa final'!$AB$7="Muy Alta",'Mapa final'!$AD$7="Menor"),CONCATENATE("R1C",'Mapa final'!$R$7),"")</f>
        <v/>
      </c>
      <c r="N6" s="117" t="str">
        <f>IF(AND('Mapa final'!$AB$8="Muy Alta",'Mapa final'!$AD$8="Menor"),CONCATENATE("R1C",'Mapa final'!$R$8),"")</f>
        <v/>
      </c>
      <c r="O6" s="117" t="str">
        <f>IF(AND('Mapa final'!$AB$9="Muy Alta",'Mapa final'!$AD$9="Menor"),CONCATENATE("R1C",'Mapa final'!$R$9),"")</f>
        <v/>
      </c>
      <c r="P6" s="116" t="str">
        <f>IF(AND('Mapa final'!$AB$7="Muy Alta",'Mapa final'!$AD$7="Moderado"),CONCATENATE("R1C",'Mapa final'!$R$7),"")</f>
        <v/>
      </c>
      <c r="Q6" s="117" t="str">
        <f>IF(AND('Mapa final'!$AB$8="Muy Alta",'Mapa final'!$AD$8="Moderado"),CONCATENATE("R1C",'Mapa final'!$R$8),"")</f>
        <v/>
      </c>
      <c r="R6" s="118" t="str">
        <f>IF(AND('Mapa final'!$AB$9="Muy Alta",'Mapa final'!$AD$9="Moderado"),CONCATENATE("R1C",'Mapa final'!$R$9),"")</f>
        <v/>
      </c>
      <c r="S6" s="116" t="str">
        <f>IF(AND('Mapa final'!$AB$7="Muy Alta",'Mapa final'!$AD$7="Mayor"),CONCATENATE("R1C",'Mapa final'!$R$7),"")</f>
        <v/>
      </c>
      <c r="T6" s="117" t="str">
        <f>IF(AND('Mapa final'!$AB$8="Muy Alta",'Mapa final'!$AD$8="Mayor"),CONCATENATE("R1C",'Mapa final'!$R$8),"")</f>
        <v/>
      </c>
      <c r="U6" s="118" t="str">
        <f>IF(AND('Mapa final'!$AB$9="Muy Alta",'Mapa final'!$AD$9="Mayor"),CONCATENATE("R1C",'Mapa final'!$R$9),"")</f>
        <v/>
      </c>
      <c r="V6" s="42" t="str">
        <f>IF(AND('Mapa final'!$AB$7="Muy Alta",'Mapa final'!$AD$7="Catastrófico"),CONCATENATE("R1C",'Mapa final'!$R$7),"")</f>
        <v/>
      </c>
      <c r="W6" s="43" t="str">
        <f>IF(AND('Mapa final'!$AB$8="Muy Alta",'Mapa final'!$AD$8="Catastrófico"),CONCATENATE("R1C",'Mapa final'!$R$8),"")</f>
        <v/>
      </c>
      <c r="X6" s="113" t="str">
        <f>IF(AND('Mapa final'!$AB$9="Muy Alta",'Mapa final'!$AD$9="Catastrófico"),CONCATENATE("R1C",'Mapa final'!$R$9),"")</f>
        <v/>
      </c>
      <c r="Y6" s="58"/>
      <c r="Z6" s="375" t="s">
        <v>73</v>
      </c>
      <c r="AA6" s="376"/>
      <c r="AB6" s="376"/>
      <c r="AC6" s="376"/>
      <c r="AD6" s="376"/>
      <c r="AE6" s="377"/>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row>
    <row r="7" spans="1:76" ht="15" customHeight="1" x14ac:dyDescent="0.25">
      <c r="A7" s="58"/>
      <c r="B7" s="356"/>
      <c r="C7" s="356"/>
      <c r="D7" s="357"/>
      <c r="E7" s="371"/>
      <c r="F7" s="372"/>
      <c r="G7" s="372"/>
      <c r="H7" s="372"/>
      <c r="I7" s="370"/>
      <c r="J7" s="119" t="str">
        <f>IF(AND('Mapa final'!$AB$10="Muy Alta",'Mapa final'!$AD$10="Leve"),CONCATENATE("R2C",'Mapa final'!$R$10),"")</f>
        <v/>
      </c>
      <c r="K7" s="44" t="str">
        <f>IF(AND('Mapa final'!$AB$11="Muy Alta",'Mapa final'!$AD$11="Leve"),CONCATENATE("R2C",'Mapa final'!$R$11),"")</f>
        <v/>
      </c>
      <c r="L7" s="120" t="str">
        <f>IF(AND('Mapa final'!$AB$12="Muy Alta",'Mapa final'!$AD$12="Leve"),CONCATENATE("R2C",'Mapa final'!$R$12),"")</f>
        <v/>
      </c>
      <c r="M7" s="119" t="str">
        <f>IF(AND('Mapa final'!$AB$10="Muy Alta",'Mapa final'!$AD$10="Menor"),CONCATENATE("R2C",'Mapa final'!$R$10),"")</f>
        <v/>
      </c>
      <c r="N7" s="44" t="str">
        <f>IF(AND('Mapa final'!$AB$11="Muy Alta",'Mapa final'!$AD$11="Menor"),CONCATENATE("R2C",'Mapa final'!$R$11),"")</f>
        <v/>
      </c>
      <c r="O7" s="44" t="str">
        <f>IF(AND('Mapa final'!$AB$12="Muy Alta",'Mapa final'!$AD$12="Menor"),CONCATENATE("R2C",'Mapa final'!$R$12),"")</f>
        <v/>
      </c>
      <c r="P7" s="119" t="str">
        <f>IF(AND('Mapa final'!$AB$10="Muy Alta",'Mapa final'!$AD$10="Moderado"),CONCATENATE("R2C",'Mapa final'!$R$10),"")</f>
        <v/>
      </c>
      <c r="Q7" s="44" t="str">
        <f>IF(AND('Mapa final'!$AB$11="Muy Alta",'Mapa final'!$AD$11="Moderado"),CONCATENATE("R2C",'Mapa final'!$R$11),"")</f>
        <v/>
      </c>
      <c r="R7" s="120" t="str">
        <f>IF(AND('Mapa final'!$AB$12="Muy Alta",'Mapa final'!$AD$12="Moderado"),CONCATENATE("R2C",'Mapa final'!$R$12),"")</f>
        <v/>
      </c>
      <c r="S7" s="119" t="str">
        <f>IF(AND('Mapa final'!$AB$10="Muy Alta",'Mapa final'!$AD$10="Mayor"),CONCATENATE("R2C",'Mapa final'!$R$10),"")</f>
        <v/>
      </c>
      <c r="T7" s="44" t="str">
        <f>IF(AND('Mapa final'!$AB$11="Muy Alta",'Mapa final'!$AD$11="Mayor"),CONCATENATE("R2C",'Mapa final'!$R$11),"")</f>
        <v/>
      </c>
      <c r="U7" s="120" t="str">
        <f>IF(AND('Mapa final'!$AB$12="Muy Alta",'Mapa final'!$AD$12="Mayor"),CONCATENATE("R2C",'Mapa final'!$R$12),"")</f>
        <v/>
      </c>
      <c r="V7" s="45" t="str">
        <f>IF(AND('Mapa final'!$AB$10="Muy Alta",'Mapa final'!$AD$10="Catastrófico"),CONCATENATE("R2C",'Mapa final'!$R$10),"")</f>
        <v/>
      </c>
      <c r="W7" s="46" t="str">
        <f>IF(AND('Mapa final'!$AB$11="Muy Alta",'Mapa final'!$AD$11="Catastrófico"),CONCATENATE("R2C",'Mapa final'!$R$11),"")</f>
        <v/>
      </c>
      <c r="X7" s="114" t="str">
        <f>IF(AND('Mapa final'!$AB$12="Muy Alta",'Mapa final'!$AD$12="Catastrófico"),CONCATENATE("R2C",'Mapa final'!$R$12),"")</f>
        <v/>
      </c>
      <c r="Y7" s="58"/>
      <c r="Z7" s="378"/>
      <c r="AA7" s="379"/>
      <c r="AB7" s="379"/>
      <c r="AC7" s="379"/>
      <c r="AD7" s="379"/>
      <c r="AE7" s="380"/>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row>
    <row r="8" spans="1:76" ht="15" customHeight="1" x14ac:dyDescent="0.25">
      <c r="A8" s="58"/>
      <c r="B8" s="356"/>
      <c r="C8" s="356"/>
      <c r="D8" s="357"/>
      <c r="E8" s="371"/>
      <c r="F8" s="372"/>
      <c r="G8" s="372"/>
      <c r="H8" s="372"/>
      <c r="I8" s="370"/>
      <c r="J8" s="119" t="str">
        <f>IF(AND('Mapa final'!$AB$13="Muy Alta",'Mapa final'!$AD$13="Leve"),CONCATENATE("R3C",'Mapa final'!$R$13),"")</f>
        <v/>
      </c>
      <c r="K8" s="44" t="str">
        <f>IF(AND('Mapa final'!$AB$14="Muy Alta",'Mapa final'!$AD$14="Leve"),CONCATENATE("R3C",'Mapa final'!$R$14),"")</f>
        <v/>
      </c>
      <c r="L8" s="120" t="str">
        <f>IF(AND('Mapa final'!$AB$15="Muy Alta",'Mapa final'!$AD$15="Leve"),CONCATENATE("R3C",'Mapa final'!$R$15),"")</f>
        <v/>
      </c>
      <c r="M8" s="119" t="str">
        <f>IF(AND('Mapa final'!$AB$13="Muy Alta",'Mapa final'!$AD$13="Menor"),CONCATENATE("R3C",'Mapa final'!$R$13),"")</f>
        <v/>
      </c>
      <c r="N8" s="44" t="str">
        <f>IF(AND('Mapa final'!$AB$14="Muy Alta",'Mapa final'!$AD$14="Menor"),CONCATENATE("R3C",'Mapa final'!$R$14),"")</f>
        <v/>
      </c>
      <c r="O8" s="44" t="str">
        <f>IF(AND('Mapa final'!$AB$15="Muy Alta",'Mapa final'!$AD$15="Menor"),CONCATENATE("R3C",'Mapa final'!$R$15),"")</f>
        <v/>
      </c>
      <c r="P8" s="119" t="str">
        <f>IF(AND('Mapa final'!$AB$13="Muy Alta",'Mapa final'!$AD$13="Moderado"),CONCATENATE("R3C",'Mapa final'!$R$13),"")</f>
        <v/>
      </c>
      <c r="Q8" s="44" t="str">
        <f>IF(AND('Mapa final'!$AB$14="Muy Alta",'Mapa final'!$AD$14="Moderado"),CONCATENATE("R3C",'Mapa final'!$R$14),"")</f>
        <v/>
      </c>
      <c r="R8" s="120" t="str">
        <f>IF(AND('Mapa final'!$AB$15="Muy Alta",'Mapa final'!$AD$15="Moderado"),CONCATENATE("R3C",'Mapa final'!$R$15),"")</f>
        <v/>
      </c>
      <c r="S8" s="119" t="str">
        <f>IF(AND('Mapa final'!$AB$13="Muy Alta",'Mapa final'!$AD$13="Mayor"),CONCATENATE("R3C",'Mapa final'!$R$13),"")</f>
        <v/>
      </c>
      <c r="T8" s="44" t="str">
        <f>IF(AND('Mapa final'!$AB$14="Muy Alta",'Mapa final'!$AD$14="Mayor"),CONCATENATE("R3C",'Mapa final'!$R$14),"")</f>
        <v/>
      </c>
      <c r="U8" s="120" t="str">
        <f>IF(AND('Mapa final'!$AB$15="Muy Alta",'Mapa final'!$AD$15="Mayor"),CONCATENATE("R3C",'Mapa final'!$R$15),"")</f>
        <v/>
      </c>
      <c r="V8" s="45" t="str">
        <f>IF(AND('Mapa final'!$AB$13="Muy Alta",'Mapa final'!$AD$13="Catastrófico"),CONCATENATE("R3C",'Mapa final'!$R$13),"")</f>
        <v/>
      </c>
      <c r="W8" s="46" t="str">
        <f>IF(AND('Mapa final'!$AB$14="Muy Alta",'Mapa final'!$AD$14="Catastrófico"),CONCATENATE("R3C",'Mapa final'!$R$14),"")</f>
        <v/>
      </c>
      <c r="X8" s="114" t="str">
        <f>IF(AND('Mapa final'!$AB$15="Muy Alta",'Mapa final'!$AD$15="Catastrófico"),CONCATENATE("R3C",'Mapa final'!$R$15),"")</f>
        <v/>
      </c>
      <c r="Y8" s="58"/>
      <c r="Z8" s="378"/>
      <c r="AA8" s="379"/>
      <c r="AB8" s="379"/>
      <c r="AC8" s="379"/>
      <c r="AD8" s="379"/>
      <c r="AE8" s="380"/>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row>
    <row r="9" spans="1:76" ht="15" customHeight="1" x14ac:dyDescent="0.25">
      <c r="A9" s="58"/>
      <c r="B9" s="356"/>
      <c r="C9" s="356"/>
      <c r="D9" s="357"/>
      <c r="E9" s="371"/>
      <c r="F9" s="372"/>
      <c r="G9" s="372"/>
      <c r="H9" s="372"/>
      <c r="I9" s="370"/>
      <c r="J9" s="119" t="str">
        <f>IF(AND('Mapa final'!$AB$16="Muy Alta",'Mapa final'!$AD$16="Leve"),CONCATENATE("R4C",'Mapa final'!$R$16),"")</f>
        <v/>
      </c>
      <c r="K9" s="44" t="str">
        <f>IF(AND('Mapa final'!$AB$17="Muy Alta",'Mapa final'!$AD$17="Leve"),CONCATENATE("R4C",'Mapa final'!$R$17),"")</f>
        <v/>
      </c>
      <c r="L9" s="120" t="str">
        <f>IF(AND('Mapa final'!$AB$18="Muy Alta",'Mapa final'!$AD$18="Leve"),CONCATENATE("R4C",'Mapa final'!$R$18),"")</f>
        <v/>
      </c>
      <c r="M9" s="119" t="str">
        <f>IF(AND('Mapa final'!$AB$16="Muy Alta",'Mapa final'!$AD$16="Menor"),CONCATENATE("R4C",'Mapa final'!$R$16),"")</f>
        <v/>
      </c>
      <c r="N9" s="44" t="str">
        <f>IF(AND('Mapa final'!$AB$17="Muy Alta",'Mapa final'!$AD$17="Menor"),CONCATENATE("R4C",'Mapa final'!$R$17),"")</f>
        <v/>
      </c>
      <c r="O9" s="44" t="str">
        <f>IF(AND('Mapa final'!$AB$18="Muy Alta",'Mapa final'!$AD$18="Menor"),CONCATENATE("R4C",'Mapa final'!$R$18),"")</f>
        <v/>
      </c>
      <c r="P9" s="119" t="str">
        <f>IF(AND('Mapa final'!$AB$16="Muy Alta",'Mapa final'!$AD$16="Moderado"),CONCATENATE("R4C",'Mapa final'!$R$16),"")</f>
        <v/>
      </c>
      <c r="Q9" s="44" t="str">
        <f>IF(AND('Mapa final'!$AB$17="Muy Alta",'Mapa final'!$AD$17="Moderado"),CONCATENATE("R4C",'Mapa final'!$R$17),"")</f>
        <v/>
      </c>
      <c r="R9" s="120" t="str">
        <f>IF(AND('Mapa final'!$AB$18="Muy Alta",'Mapa final'!$AD$18="Moderado"),CONCATENATE("R4C",'Mapa final'!$R$18),"")</f>
        <v/>
      </c>
      <c r="S9" s="119" t="str">
        <f>IF(AND('Mapa final'!$AB$16="Muy Alta",'Mapa final'!$AD$16="Mayor"),CONCATENATE("R4C",'Mapa final'!$R$16),"")</f>
        <v/>
      </c>
      <c r="T9" s="44" t="str">
        <f>IF(AND('Mapa final'!$AB$17="Muy Alta",'Mapa final'!$AD$17="Mayor"),CONCATENATE("R4C",'Mapa final'!$R$17),"")</f>
        <v/>
      </c>
      <c r="U9" s="120" t="str">
        <f>IF(AND('Mapa final'!$AB$18="Muy Alta",'Mapa final'!$AD$18="Mayor"),CONCATENATE("R4C",'Mapa final'!$R$18),"")</f>
        <v/>
      </c>
      <c r="V9" s="45" t="str">
        <f>IF(AND('Mapa final'!$AB$16="Muy Alta",'Mapa final'!$AD$16="Catastrófico"),CONCATENATE("R4C",'Mapa final'!$R$16),"")</f>
        <v/>
      </c>
      <c r="W9" s="46" t="str">
        <f>IF(AND('Mapa final'!$AB$17="Muy Alta",'Mapa final'!$AD$17="Catastrófico"),CONCATENATE("R4C",'Mapa final'!$R$17),"")</f>
        <v/>
      </c>
      <c r="X9" s="114" t="str">
        <f>IF(AND('Mapa final'!$AB$18="Muy Alta",'Mapa final'!$AD$18="Catastrófico"),CONCATENATE("R4C",'Mapa final'!$R$18),"")</f>
        <v/>
      </c>
      <c r="Y9" s="58"/>
      <c r="Z9" s="378"/>
      <c r="AA9" s="379"/>
      <c r="AB9" s="379"/>
      <c r="AC9" s="379"/>
      <c r="AD9" s="379"/>
      <c r="AE9" s="380"/>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row>
    <row r="10" spans="1:76" ht="15" customHeight="1" x14ac:dyDescent="0.25">
      <c r="A10" s="58"/>
      <c r="B10" s="356"/>
      <c r="C10" s="356"/>
      <c r="D10" s="357"/>
      <c r="E10" s="371"/>
      <c r="F10" s="372"/>
      <c r="G10" s="372"/>
      <c r="H10" s="372"/>
      <c r="I10" s="370"/>
      <c r="J10" s="119" t="str">
        <f>IF(AND('Mapa final'!$AB$19="Muy Alta",'Mapa final'!$AD$19="Leve"),CONCATENATE("R5C",'Mapa final'!$R$19),"")</f>
        <v/>
      </c>
      <c r="K10" s="44" t="str">
        <f>IF(AND('Mapa final'!$AB$20="Muy Alta",'Mapa final'!$AD$20="Leve"),CONCATENATE("R5C",'Mapa final'!$R$20),"")</f>
        <v/>
      </c>
      <c r="L10" s="120" t="str">
        <f>IF(AND('Mapa final'!$AB$21="Muy Alta",'Mapa final'!$AD$21="Leve"),CONCATENATE("R5C",'Mapa final'!$R$21),"")</f>
        <v/>
      </c>
      <c r="M10" s="119" t="str">
        <f>IF(AND('Mapa final'!$AB$19="Muy Alta",'Mapa final'!$AD$19="Menor"),CONCATENATE("R5C",'Mapa final'!$R$19),"")</f>
        <v/>
      </c>
      <c r="N10" s="44" t="str">
        <f>IF(AND('Mapa final'!$AB$20="Muy Alta",'Mapa final'!$AD$20="Menor"),CONCATENATE("R5C",'Mapa final'!$R$20),"")</f>
        <v/>
      </c>
      <c r="O10" s="44" t="str">
        <f>IF(AND('Mapa final'!$AB$21="Muy Alta",'Mapa final'!$AD$21="Menor"),CONCATENATE("R5C",'Mapa final'!$R$21),"")</f>
        <v/>
      </c>
      <c r="P10" s="119" t="str">
        <f>IF(AND('Mapa final'!$AB$19="Muy Alta",'Mapa final'!$AD$19="Moderado"),CONCATENATE("R5C",'Mapa final'!$R$19),"")</f>
        <v/>
      </c>
      <c r="Q10" s="44" t="str">
        <f>IF(AND('Mapa final'!$AB$20="Muy Alta",'Mapa final'!$AD$20="Moderado"),CONCATENATE("R5C",'Mapa final'!$R$20),"")</f>
        <v/>
      </c>
      <c r="R10" s="120" t="str">
        <f>IF(AND('Mapa final'!$AB$21="Muy Alta",'Mapa final'!$AD$21="Moderado"),CONCATENATE("R5C",'Mapa final'!$R$21),"")</f>
        <v/>
      </c>
      <c r="S10" s="119" t="str">
        <f>IF(AND('Mapa final'!$AB$19="Muy Alta",'Mapa final'!$AD$19="Mayor"),CONCATENATE("R5C",'Mapa final'!$R$19),"")</f>
        <v/>
      </c>
      <c r="T10" s="44" t="str">
        <f>IF(AND('Mapa final'!$AB$20="Muy Alta",'Mapa final'!$AD$20="Mayor"),CONCATENATE("R5C",'Mapa final'!$R$20),"")</f>
        <v/>
      </c>
      <c r="U10" s="120" t="str">
        <f>IF(AND('Mapa final'!$AB$21="Muy Alta",'Mapa final'!$AD$21="Mayor"),CONCATENATE("R5C",'Mapa final'!$R$21),"")</f>
        <v/>
      </c>
      <c r="V10" s="45" t="str">
        <f>IF(AND('Mapa final'!$AB$19="Muy Alta",'Mapa final'!$AD$19="Catastrófico"),CONCATENATE("R5C",'Mapa final'!$R$19),"")</f>
        <v/>
      </c>
      <c r="W10" s="46" t="str">
        <f>IF(AND('Mapa final'!$AB$20="Muy Alta",'Mapa final'!$AD$20="Catastrófico"),CONCATENATE("R5C",'Mapa final'!$R$20),"")</f>
        <v/>
      </c>
      <c r="X10" s="114" t="str">
        <f>IF(AND('Mapa final'!$AB$21="Muy Alta",'Mapa final'!$AD$21="Catastrófico"),CONCATENATE("R5C",'Mapa final'!$R$21),"")</f>
        <v/>
      </c>
      <c r="Y10" s="58"/>
      <c r="Z10" s="378"/>
      <c r="AA10" s="379"/>
      <c r="AB10" s="379"/>
      <c r="AC10" s="379"/>
      <c r="AD10" s="379"/>
      <c r="AE10" s="380"/>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row>
    <row r="11" spans="1:76" ht="15" customHeight="1" x14ac:dyDescent="0.25">
      <c r="A11" s="58"/>
      <c r="B11" s="356"/>
      <c r="C11" s="356"/>
      <c r="D11" s="357"/>
      <c r="E11" s="371"/>
      <c r="F11" s="372"/>
      <c r="G11" s="372"/>
      <c r="H11" s="372"/>
      <c r="I11" s="370"/>
      <c r="J11" s="119" t="str">
        <f>IF(AND('Mapa final'!$AB$22="Muy Alta",'Mapa final'!$AD$22="Leve"),CONCATENATE("R6C",'Mapa final'!$R$22),"")</f>
        <v/>
      </c>
      <c r="K11" s="44" t="str">
        <f>IF(AND('Mapa final'!$AB$23="Muy Alta",'Mapa final'!$AD$23="Leve"),CONCATENATE("R6C",'Mapa final'!$R$23),"")</f>
        <v/>
      </c>
      <c r="L11" s="120" t="str">
        <f>IF(AND('Mapa final'!$AB$24="Muy Alta",'Mapa final'!$AD$24="Leve"),CONCATENATE("R6C",'Mapa final'!$R$24),"")</f>
        <v/>
      </c>
      <c r="M11" s="119" t="str">
        <f>IF(AND('Mapa final'!$AB$22="Muy Alta",'Mapa final'!$AD$22="Menor"),CONCATENATE("R6C",'Mapa final'!$R$22),"")</f>
        <v/>
      </c>
      <c r="N11" s="44" t="str">
        <f>IF(AND('Mapa final'!$AB$23="Muy Alta",'Mapa final'!$AD$23="Menor"),CONCATENATE("R6C",'Mapa final'!$R$23),"")</f>
        <v/>
      </c>
      <c r="O11" s="44" t="str">
        <f>IF(AND('Mapa final'!$AB$24="Muy Alta",'Mapa final'!$AD$24="Menor"),CONCATENATE("R6C",'Mapa final'!$R$24),"")</f>
        <v/>
      </c>
      <c r="P11" s="119" t="str">
        <f>IF(AND('Mapa final'!$AB$22="Muy Alta",'Mapa final'!$AD$22="Moderado"),CONCATENATE("R6C",'Mapa final'!$R$22),"")</f>
        <v/>
      </c>
      <c r="Q11" s="44" t="str">
        <f>IF(AND('Mapa final'!$AB$23="Muy Alta",'Mapa final'!$AD$23="Moderado"),CONCATENATE("R6C",'Mapa final'!$R$23),"")</f>
        <v/>
      </c>
      <c r="R11" s="120" t="str">
        <f>IF(AND('Mapa final'!$AB$24="Muy Alta",'Mapa final'!$AD$24="Moderado"),CONCATENATE("R6C",'Mapa final'!$R$24),"")</f>
        <v/>
      </c>
      <c r="S11" s="119" t="str">
        <f>IF(AND('Mapa final'!$AB$22="Muy Alta",'Mapa final'!$AD$22="Mayor"),CONCATENATE("R6C",'Mapa final'!$R$22),"")</f>
        <v/>
      </c>
      <c r="T11" s="44" t="str">
        <f>IF(AND('Mapa final'!$AB$23="Muy Alta",'Mapa final'!$AD$23="Mayor"),CONCATENATE("R6C",'Mapa final'!$R$23),"")</f>
        <v/>
      </c>
      <c r="U11" s="120" t="str">
        <f>IF(AND('Mapa final'!$AB$24="Muy Alta",'Mapa final'!$AD$24="Mayor"),CONCATENATE("R6C",'Mapa final'!$R$24),"")</f>
        <v/>
      </c>
      <c r="V11" s="45" t="str">
        <f>IF(AND('Mapa final'!$AB$22="Muy Alta",'Mapa final'!$AD$22="Catastrófico"),CONCATENATE("R6C",'Mapa final'!$R$22),"")</f>
        <v/>
      </c>
      <c r="W11" s="46" t="str">
        <f>IF(AND('Mapa final'!$AB$23="Muy Alta",'Mapa final'!$AD$23="Catastrófico"),CONCATENATE("R6C",'Mapa final'!$R$23),"")</f>
        <v/>
      </c>
      <c r="X11" s="114" t="str">
        <f>IF(AND('Mapa final'!$AB$24="Muy Alta",'Mapa final'!$AD$24="Catastrófico"),CONCATENATE("R6C",'Mapa final'!$R$24),"")</f>
        <v/>
      </c>
      <c r="Y11" s="58"/>
      <c r="Z11" s="378"/>
      <c r="AA11" s="379"/>
      <c r="AB11" s="379"/>
      <c r="AC11" s="379"/>
      <c r="AD11" s="379"/>
      <c r="AE11" s="380"/>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row>
    <row r="12" spans="1:76" ht="15" customHeight="1" x14ac:dyDescent="0.25">
      <c r="A12" s="58"/>
      <c r="B12" s="356"/>
      <c r="C12" s="356"/>
      <c r="D12" s="357"/>
      <c r="E12" s="371"/>
      <c r="F12" s="372"/>
      <c r="G12" s="372"/>
      <c r="H12" s="372"/>
      <c r="I12" s="370"/>
      <c r="J12" s="119" t="str">
        <f>IF(AND('Mapa final'!$AB$25="Muy Alta",'Mapa final'!$AD$25="Leve"),CONCATENATE("R7C",'Mapa final'!$R$25),"")</f>
        <v/>
      </c>
      <c r="K12" s="44" t="str">
        <f>IF(AND('Mapa final'!$AB$26="Muy Alta",'Mapa final'!$AD$26="Leve"),CONCATENATE("R7C",'Mapa final'!$R$26),"")</f>
        <v/>
      </c>
      <c r="L12" s="120" t="str">
        <f>IF(AND('Mapa final'!$AB$27="Muy Alta",'Mapa final'!$AD$27="Leve"),CONCATENATE("R7C",'Mapa final'!$R$27),"")</f>
        <v/>
      </c>
      <c r="M12" s="119" t="str">
        <f>IF(AND('Mapa final'!$AB$25="Muy Alta",'Mapa final'!$AD$25="Menor"),CONCATENATE("R7C",'Mapa final'!$R$25),"")</f>
        <v/>
      </c>
      <c r="N12" s="44" t="str">
        <f>IF(AND('Mapa final'!$AB$26="Muy Alta",'Mapa final'!$AD$26="Menor"),CONCATENATE("R7C",'Mapa final'!$R$26),"")</f>
        <v/>
      </c>
      <c r="O12" s="44" t="str">
        <f>IF(AND('Mapa final'!$AB$27="Muy Alta",'Mapa final'!$AD$27="Menor"),CONCATENATE("R7C",'Mapa final'!$R$27),"")</f>
        <v/>
      </c>
      <c r="P12" s="119" t="str">
        <f>IF(AND('Mapa final'!$AB$25="Muy Alta",'Mapa final'!$AD$25="Moderado"),CONCATENATE("R7C",'Mapa final'!$R$25),"")</f>
        <v/>
      </c>
      <c r="Q12" s="44" t="str">
        <f>IF(AND('Mapa final'!$AB$26="Muy Alta",'Mapa final'!$AD$26="Moderado"),CONCATENATE("R7C",'Mapa final'!$R$26),"")</f>
        <v/>
      </c>
      <c r="R12" s="120" t="str">
        <f>IF(AND('Mapa final'!$AB$27="Muy Alta",'Mapa final'!$AD$27="Moderado"),CONCATENATE("R7C",'Mapa final'!$R$27),"")</f>
        <v/>
      </c>
      <c r="S12" s="119" t="str">
        <f>IF(AND('Mapa final'!$AB$25="Muy Alta",'Mapa final'!$AD$25="Mayor"),CONCATENATE("R7C",'Mapa final'!$R$25),"")</f>
        <v/>
      </c>
      <c r="T12" s="44" t="str">
        <f>IF(AND('Mapa final'!$AB$26="Muy Alta",'Mapa final'!$AD$26="Mayor"),CONCATENATE("R7C",'Mapa final'!$R$26),"")</f>
        <v/>
      </c>
      <c r="U12" s="120" t="str">
        <f>IF(AND('Mapa final'!$AB$27="Muy Alta",'Mapa final'!$AD$27="Mayor"),CONCATENATE("R7C",'Mapa final'!$R$27),"")</f>
        <v/>
      </c>
      <c r="V12" s="45" t="str">
        <f>IF(AND('Mapa final'!$AB$25="Muy Alta",'Mapa final'!$AD$25="Catastrófico"),CONCATENATE("R7C",'Mapa final'!$R$25),"")</f>
        <v/>
      </c>
      <c r="W12" s="46" t="str">
        <f>IF(AND('Mapa final'!$AB$26="Muy Alta",'Mapa final'!$AD$26="Catastrófico"),CONCATENATE("R7C",'Mapa final'!$R$26),"")</f>
        <v/>
      </c>
      <c r="X12" s="114" t="str">
        <f>IF(AND('Mapa final'!$AB$27="Muy Alta",'Mapa final'!$AD$27="Catastrófico"),CONCATENATE("R7C",'Mapa final'!$R$27),"")</f>
        <v/>
      </c>
      <c r="Y12" s="58"/>
      <c r="Z12" s="378"/>
      <c r="AA12" s="379"/>
      <c r="AB12" s="379"/>
      <c r="AC12" s="379"/>
      <c r="AD12" s="379"/>
      <c r="AE12" s="380"/>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row>
    <row r="13" spans="1:76" ht="15" customHeight="1" x14ac:dyDescent="0.25">
      <c r="A13" s="58"/>
      <c r="B13" s="356"/>
      <c r="C13" s="356"/>
      <c r="D13" s="357"/>
      <c r="E13" s="371"/>
      <c r="F13" s="372"/>
      <c r="G13" s="372"/>
      <c r="H13" s="372"/>
      <c r="I13" s="370"/>
      <c r="J13" s="119" t="str">
        <f>IF(AND('Mapa final'!$AB$28="Muy Alta",'Mapa final'!$AD$28="Leve"),CONCATENATE("R8C",'Mapa final'!$R$28),"")</f>
        <v/>
      </c>
      <c r="K13" s="44" t="str">
        <f>IF(AND('Mapa final'!$AB$29="Muy Alta",'Mapa final'!$AD$29="Leve"),CONCATENATE("R8C",'Mapa final'!$R$29),"")</f>
        <v/>
      </c>
      <c r="L13" s="120" t="str">
        <f>IF(AND('Mapa final'!$AB$30="Muy Alta",'Mapa final'!$AD$30="Leve"),CONCATENATE("R8C",'Mapa final'!$R$30),"")</f>
        <v/>
      </c>
      <c r="M13" s="119" t="str">
        <f>IF(AND('Mapa final'!$AB$28="Muy Alta",'Mapa final'!$AD$28="Menor"),CONCATENATE("R8C",'Mapa final'!$R$28),"")</f>
        <v/>
      </c>
      <c r="N13" s="44" t="str">
        <f>IF(AND('Mapa final'!$AB$29="Muy Alta",'Mapa final'!$AD$29="Menor"),CONCATENATE("R8C",'Mapa final'!$R$29),"")</f>
        <v/>
      </c>
      <c r="O13" s="44" t="str">
        <f>IF(AND('Mapa final'!$AB$30="Muy Alta",'Mapa final'!$AD$30="Menor"),CONCATENATE("R8C",'Mapa final'!$R$30),"")</f>
        <v/>
      </c>
      <c r="P13" s="119" t="str">
        <f>IF(AND('Mapa final'!$AB$28="Muy Alta",'Mapa final'!$AD$28="Moderado"),CONCATENATE("R8C",'Mapa final'!$R$28),"")</f>
        <v/>
      </c>
      <c r="Q13" s="44" t="str">
        <f>IF(AND('Mapa final'!$AB$29="Muy Alta",'Mapa final'!$AD$29="Moderado"),CONCATENATE("R8C",'Mapa final'!$R$29),"")</f>
        <v/>
      </c>
      <c r="R13" s="120" t="str">
        <f>IF(AND('Mapa final'!$AB$30="Muy Alta",'Mapa final'!$AD$30="Moderado"),CONCATENATE("R8C",'Mapa final'!$R$30),"")</f>
        <v/>
      </c>
      <c r="S13" s="119" t="str">
        <f>IF(AND('Mapa final'!$AB$28="Muy Alta",'Mapa final'!$AD$28="Mayor"),CONCATENATE("R8C",'Mapa final'!$R$28),"")</f>
        <v/>
      </c>
      <c r="T13" s="44" t="str">
        <f>IF(AND('Mapa final'!$AB$29="Muy Alta",'Mapa final'!$AD$29="Mayor"),CONCATENATE("R8C",'Mapa final'!$R$29),"")</f>
        <v/>
      </c>
      <c r="U13" s="120" t="str">
        <f>IF(AND('Mapa final'!$AB$30="Muy Alta",'Mapa final'!$AD$30="Mayor"),CONCATENATE("R8C",'Mapa final'!$R$30),"")</f>
        <v/>
      </c>
      <c r="V13" s="45" t="str">
        <f>IF(AND('Mapa final'!$AB$28="Muy Alta",'Mapa final'!$AD$28="Catastrófico"),CONCATENATE("R8C",'Mapa final'!$R$28),"")</f>
        <v/>
      </c>
      <c r="W13" s="46" t="str">
        <f>IF(AND('Mapa final'!$AB$29="Muy Alta",'Mapa final'!$AD$29="Catastrófico"),CONCATENATE("R8C",'Mapa final'!$R$29),"")</f>
        <v/>
      </c>
      <c r="X13" s="114" t="str">
        <f>IF(AND('Mapa final'!$AB$30="Muy Alta",'Mapa final'!$AD$30="Catastrófico"),CONCATENATE("R8C",'Mapa final'!$R$30),"")</f>
        <v/>
      </c>
      <c r="Y13" s="58"/>
      <c r="Z13" s="378"/>
      <c r="AA13" s="379"/>
      <c r="AB13" s="379"/>
      <c r="AC13" s="379"/>
      <c r="AD13" s="379"/>
      <c r="AE13" s="380"/>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row>
    <row r="14" spans="1:76" ht="15" customHeight="1" x14ac:dyDescent="0.25">
      <c r="A14" s="58"/>
      <c r="B14" s="356"/>
      <c r="C14" s="356"/>
      <c r="D14" s="357"/>
      <c r="E14" s="371"/>
      <c r="F14" s="372"/>
      <c r="G14" s="372"/>
      <c r="H14" s="372"/>
      <c r="I14" s="370"/>
      <c r="J14" s="119" t="str">
        <f>IF(AND('Mapa final'!$AB$31="Muy Alta",'Mapa final'!$AD$31="Leve"),CONCATENATE("R9C",'Mapa final'!$R$31),"")</f>
        <v/>
      </c>
      <c r="K14" s="44" t="str">
        <f>IF(AND('Mapa final'!$AB$32="Muy Alta",'Mapa final'!$AD$32="Leve"),CONCATENATE("R9C",'Mapa final'!$R$32),"")</f>
        <v/>
      </c>
      <c r="L14" s="120" t="str">
        <f>IF(AND('Mapa final'!$AB$33="Muy Alta",'Mapa final'!$AD$33="Leve"),CONCATENATE("R9C",'Mapa final'!$R$33),"")</f>
        <v/>
      </c>
      <c r="M14" s="119" t="str">
        <f>IF(AND('Mapa final'!$AB$31="Muy Alta",'Mapa final'!$AD$31="Menor"),CONCATENATE("R9C",'Mapa final'!$R$31),"")</f>
        <v/>
      </c>
      <c r="N14" s="44" t="str">
        <f>IF(AND('Mapa final'!$AB$32="Muy Alta",'Mapa final'!$AD$32="Menor"),CONCATENATE("R9C",'Mapa final'!$R$32),"")</f>
        <v/>
      </c>
      <c r="O14" s="44" t="str">
        <f>IF(AND('Mapa final'!$AB$33="Muy Alta",'Mapa final'!$AD$33="Menor"),CONCATENATE("R9C",'Mapa final'!$R$33),"")</f>
        <v/>
      </c>
      <c r="P14" s="119" t="str">
        <f>IF(AND('Mapa final'!$AB$31="Muy Alta",'Mapa final'!$AD$31="Moderado"),CONCATENATE("R9C",'Mapa final'!$R$31),"")</f>
        <v/>
      </c>
      <c r="Q14" s="44" t="str">
        <f>IF(AND('Mapa final'!$AB$32="Muy Alta",'Mapa final'!$AD$32="Moderado"),CONCATENATE("R9C",'Mapa final'!$R$32),"")</f>
        <v/>
      </c>
      <c r="R14" s="120" t="str">
        <f>IF(AND('Mapa final'!$AB$33="Muy Alta",'Mapa final'!$AD$33="Moderado"),CONCATENATE("R9C",'Mapa final'!$R$33),"")</f>
        <v/>
      </c>
      <c r="S14" s="119" t="str">
        <f>IF(AND('Mapa final'!$AB$31="Muy Alta",'Mapa final'!$AD$31="Mayor"),CONCATENATE("R9C",'Mapa final'!$R$31),"")</f>
        <v/>
      </c>
      <c r="T14" s="44" t="str">
        <f>IF(AND('Mapa final'!$AB$32="Muy Alta",'Mapa final'!$AD$32="Mayor"),CONCATENATE("R9C",'Mapa final'!$R$32),"")</f>
        <v/>
      </c>
      <c r="U14" s="120" t="str">
        <f>IF(AND('Mapa final'!$AB$33="Muy Alta",'Mapa final'!$AD$33="Mayor"),CONCATENATE("R9C",'Mapa final'!$R$33),"")</f>
        <v/>
      </c>
      <c r="V14" s="45" t="str">
        <f>IF(AND('Mapa final'!$AB$31="Muy Alta",'Mapa final'!$AD$31="Catastrófico"),CONCATENATE("R9C",'Mapa final'!$R$31),"")</f>
        <v/>
      </c>
      <c r="W14" s="46" t="str">
        <f>IF(AND('Mapa final'!$AB$32="Muy Alta",'Mapa final'!$AD$32="Catastrófico"),CONCATENATE("R9C",'Mapa final'!$R$32),"")</f>
        <v/>
      </c>
      <c r="X14" s="114" t="str">
        <f>IF(AND('Mapa final'!$AB$33="Muy Alta",'Mapa final'!$AD$33="Catastrófico"),CONCATENATE("R9C",'Mapa final'!$R$33),"")</f>
        <v/>
      </c>
      <c r="Y14" s="58"/>
      <c r="Z14" s="378"/>
      <c r="AA14" s="379"/>
      <c r="AB14" s="379"/>
      <c r="AC14" s="379"/>
      <c r="AD14" s="379"/>
      <c r="AE14" s="380"/>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row>
    <row r="15" spans="1:76" ht="15" customHeight="1" x14ac:dyDescent="0.25">
      <c r="A15" s="58"/>
      <c r="B15" s="356"/>
      <c r="C15" s="356"/>
      <c r="D15" s="357"/>
      <c r="E15" s="371"/>
      <c r="F15" s="372"/>
      <c r="G15" s="372"/>
      <c r="H15" s="372"/>
      <c r="I15" s="370"/>
      <c r="J15" s="119" t="str">
        <f>IF(AND('Mapa final'!$AB$34="Muy Alta",'Mapa final'!$AD$34="Leve"),CONCATENATE("R10C",'Mapa final'!$R$34),"")</f>
        <v/>
      </c>
      <c r="K15" s="44" t="str">
        <f>IF(AND('Mapa final'!$AB$35="Muy Alta",'Mapa final'!$AD$35="Leve"),CONCATENATE("R10C",'Mapa final'!$R$35),"")</f>
        <v/>
      </c>
      <c r="L15" s="120" t="str">
        <f>IF(AND('Mapa final'!$AB$36="Muy Alta",'Mapa final'!$AD$36="Leve"),CONCATENATE("R10C",'Mapa final'!$R$36),"")</f>
        <v/>
      </c>
      <c r="M15" s="119" t="str">
        <f>IF(AND('Mapa final'!$AB$34="Muy Alta",'Mapa final'!$AD$34="Menor"),CONCATENATE("R10C",'Mapa final'!$R$34),"")</f>
        <v/>
      </c>
      <c r="N15" s="44" t="str">
        <f>IF(AND('Mapa final'!$AB$35="Muy Alta",'Mapa final'!$AD$35="Menor"),CONCATENATE("R10C",'Mapa final'!$R$35),"")</f>
        <v/>
      </c>
      <c r="O15" s="44" t="str">
        <f>IF(AND('Mapa final'!$AB$36="Muy Alta",'Mapa final'!$AD$36="Menor"),CONCATENATE("R10C",'Mapa final'!$R$36),"")</f>
        <v/>
      </c>
      <c r="P15" s="119" t="str">
        <f>IF(AND('Mapa final'!$AB$34="Muy Alta",'Mapa final'!$AD$34="Moderado"),CONCATENATE("R10C",'Mapa final'!$R$34),"")</f>
        <v/>
      </c>
      <c r="Q15" s="44" t="str">
        <f>IF(AND('Mapa final'!$AB$35="Muy Alta",'Mapa final'!$AD$35="Moderado"),CONCATENATE("R10C",'Mapa final'!$R$35),"")</f>
        <v/>
      </c>
      <c r="R15" s="120" t="str">
        <f>IF(AND('Mapa final'!$AB$36="Muy Alta",'Mapa final'!$AD$36="Moderado"),CONCATENATE("R10C",'Mapa final'!$R$36),"")</f>
        <v/>
      </c>
      <c r="S15" s="119" t="str">
        <f>IF(AND('Mapa final'!$AB$34="Muy Alta",'Mapa final'!$AD$34="Mayor"),CONCATENATE("R10C",'Mapa final'!$R$34),"")</f>
        <v/>
      </c>
      <c r="T15" s="44" t="str">
        <f>IF(AND('Mapa final'!$AB$35="Muy Alta",'Mapa final'!$AD$35="Mayor"),CONCATENATE("R10C",'Mapa final'!$R$35),"")</f>
        <v/>
      </c>
      <c r="U15" s="120" t="str">
        <f>IF(AND('Mapa final'!$AB$36="Muy Alta",'Mapa final'!$AD$36="Mayor"),CONCATENATE("R10C",'Mapa final'!$R$36),"")</f>
        <v/>
      </c>
      <c r="V15" s="45" t="str">
        <f>IF(AND('Mapa final'!$AB$34="Muy Alta",'Mapa final'!$AD$34="Catastrófico"),CONCATENATE("R10C",'Mapa final'!$R$34),"")</f>
        <v/>
      </c>
      <c r="W15" s="46" t="str">
        <f>IF(AND('Mapa final'!$AB$35="Muy Alta",'Mapa final'!$AD$35="Catastrófico"),CONCATENATE("R10C",'Mapa final'!$R$35),"")</f>
        <v/>
      </c>
      <c r="X15" s="114" t="str">
        <f>IF(AND('Mapa final'!$AB$36="Muy Alta",'Mapa final'!$AD$36="Catastrófico"),CONCATENATE("R10C",'Mapa final'!$R$36),"")</f>
        <v/>
      </c>
      <c r="Y15" s="58"/>
      <c r="Z15" s="378"/>
      <c r="AA15" s="379"/>
      <c r="AB15" s="379"/>
      <c r="AC15" s="379"/>
      <c r="AD15" s="379"/>
      <c r="AE15" s="380"/>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row>
    <row r="16" spans="1:76" ht="15" customHeight="1" x14ac:dyDescent="0.25">
      <c r="A16" s="58"/>
      <c r="B16" s="356"/>
      <c r="C16" s="356"/>
      <c r="D16" s="357"/>
      <c r="E16" s="371"/>
      <c r="F16" s="372"/>
      <c r="G16" s="372"/>
      <c r="H16" s="372"/>
      <c r="I16" s="370"/>
      <c r="J16" s="119" t="str">
        <f>IF(AND('Mapa final'!$AB$37="Muy Alta",'Mapa final'!$AD$37="Leve"),CONCATENATE("R11C",'Mapa final'!$R$37),"")</f>
        <v/>
      </c>
      <c r="K16" s="44" t="str">
        <f>IF(AND('Mapa final'!$AB$38="Muy Alta",'Mapa final'!$AD$38="Leve"),CONCATENATE("R11C",'Mapa final'!$R$38),"")</f>
        <v/>
      </c>
      <c r="L16" s="120" t="str">
        <f>IF(AND('Mapa final'!$AB$39="Muy Alta",'Mapa final'!$AD$39="Leve"),CONCATENATE("R11C",'Mapa final'!$R$39),"")</f>
        <v/>
      </c>
      <c r="M16" s="119" t="str">
        <f>IF(AND('Mapa final'!$AB$37="Muy Alta",'Mapa final'!$AD$37="Menor"),CONCATENATE("R11C",'Mapa final'!$R$37),"")</f>
        <v/>
      </c>
      <c r="N16" s="44" t="str">
        <f>IF(AND('Mapa final'!$AB$38="Muy Alta",'Mapa final'!$AD$38="Menor"),CONCATENATE("R11C",'Mapa final'!$R$38),"")</f>
        <v/>
      </c>
      <c r="O16" s="44" t="str">
        <f>IF(AND('Mapa final'!$AB$39="Muy Alta",'Mapa final'!$AD$39="Menor"),CONCATENATE("R11C",'Mapa final'!$R$39),"")</f>
        <v/>
      </c>
      <c r="P16" s="119" t="str">
        <f>IF(AND('Mapa final'!$AB$37="Muy Alta",'Mapa final'!$AD$37="Moderado"),CONCATENATE("R11C",'Mapa final'!$R$37),"")</f>
        <v/>
      </c>
      <c r="Q16" s="44" t="str">
        <f>IF(AND('Mapa final'!$AB$38="Muy Alta",'Mapa final'!$AD$38="Moderado"),CONCATENATE("R11C",'Mapa final'!$R$38),"")</f>
        <v/>
      </c>
      <c r="R16" s="120" t="str">
        <f>IF(AND('Mapa final'!$AB$39="Muy Alta",'Mapa final'!$AD$39="Moderado"),CONCATENATE("R11C",'Mapa final'!$R$39),"")</f>
        <v/>
      </c>
      <c r="S16" s="119" t="str">
        <f>IF(AND('Mapa final'!$AB$37="Muy Alta",'Mapa final'!$AD$37="Mayor"),CONCATENATE("R11C",'Mapa final'!$R$37),"")</f>
        <v/>
      </c>
      <c r="T16" s="44" t="str">
        <f>IF(AND('Mapa final'!$AB$38="Muy Alta",'Mapa final'!$AD$38="Mayor"),CONCATENATE("R11C",'Mapa final'!$R$38),"")</f>
        <v/>
      </c>
      <c r="U16" s="120" t="str">
        <f>IF(AND('Mapa final'!$AB$39="Muy Alta",'Mapa final'!$AD$39="Mayor"),CONCATENATE("R11C",'Mapa final'!$R$39),"")</f>
        <v/>
      </c>
      <c r="V16" s="45" t="str">
        <f>IF(AND('Mapa final'!$AB$37="Muy Alta",'Mapa final'!$AD$37="Catastrófico"),CONCATENATE("R11C",'Mapa final'!$R$37),"")</f>
        <v/>
      </c>
      <c r="W16" s="46" t="str">
        <f>IF(AND('Mapa final'!$AB$38="Muy Alta",'Mapa final'!$AD$38="Catastrófico"),CONCATENATE("R11C",'Mapa final'!$R$38),"")</f>
        <v/>
      </c>
      <c r="X16" s="114" t="str">
        <f>IF(AND('Mapa final'!$AB$39="Muy Alta",'Mapa final'!$AD$39="Catastrófico"),CONCATENATE("R11C",'Mapa final'!$R$39),"")</f>
        <v/>
      </c>
      <c r="Y16" s="58"/>
      <c r="Z16" s="378"/>
      <c r="AA16" s="379"/>
      <c r="AB16" s="379"/>
      <c r="AC16" s="379"/>
      <c r="AD16" s="379"/>
      <c r="AE16" s="380"/>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row>
    <row r="17" spans="1:61" ht="15" customHeight="1" x14ac:dyDescent="0.25">
      <c r="A17" s="58"/>
      <c r="B17" s="356"/>
      <c r="C17" s="356"/>
      <c r="D17" s="357"/>
      <c r="E17" s="371"/>
      <c r="F17" s="372"/>
      <c r="G17" s="372"/>
      <c r="H17" s="372"/>
      <c r="I17" s="370"/>
      <c r="J17" s="119" t="str">
        <f>IF(AND('Mapa final'!$AB$40="Muy Alta",'Mapa final'!$AD$40="Leve"),CONCATENATE("R12C",'Mapa final'!$R$40),"")</f>
        <v/>
      </c>
      <c r="K17" s="44" t="str">
        <f>IF(AND('Mapa final'!$AB$41="Muy Alta",'Mapa final'!$AD$41="Leve"),CONCATENATE("R12C",'Mapa final'!$R$41),"")</f>
        <v/>
      </c>
      <c r="L17" s="120" t="str">
        <f>IF(AND('Mapa final'!$AB$42="Muy Alta",'Mapa final'!$AD$42="Leve"),CONCATENATE("R12C",'Mapa final'!$R$42),"")</f>
        <v/>
      </c>
      <c r="M17" s="119" t="str">
        <f>IF(AND('Mapa final'!$AB$40="Muy Alta",'Mapa final'!$AD$40="Menor"),CONCATENATE("R12C",'Mapa final'!$R$40),"")</f>
        <v/>
      </c>
      <c r="N17" s="44" t="str">
        <f>IF(AND('Mapa final'!$AB$41="Muy Alta",'Mapa final'!$AD$41="Menor"),CONCATENATE("R12C",'Mapa final'!$R$41),"")</f>
        <v/>
      </c>
      <c r="O17" s="44" t="str">
        <f>IF(AND('Mapa final'!$AB$42="Muy Alta",'Mapa final'!$AD$42="Menor"),CONCATENATE("R12C",'Mapa final'!$R$42),"")</f>
        <v/>
      </c>
      <c r="P17" s="119" t="str">
        <f>IF(AND('Mapa final'!$AB$40="Muy Alta",'Mapa final'!$AD$40="Moderado"),CONCATENATE("R12C",'Mapa final'!$R$40),"")</f>
        <v/>
      </c>
      <c r="Q17" s="44" t="str">
        <f>IF(AND('Mapa final'!$AB$41="Muy Alta",'Mapa final'!$AD$41="Moderado"),CONCATENATE("R12C",'Mapa final'!$R$41),"")</f>
        <v/>
      </c>
      <c r="R17" s="120" t="str">
        <f>IF(AND('Mapa final'!$AB$42="Muy Alta",'Mapa final'!$AD$42="Moderado"),CONCATENATE("R12C",'Mapa final'!$R$42),"")</f>
        <v/>
      </c>
      <c r="S17" s="119" t="str">
        <f>IF(AND('Mapa final'!$AB$40="Muy Alta",'Mapa final'!$AD$40="Mayor"),CONCATENATE("R12C",'Mapa final'!$R$40),"")</f>
        <v/>
      </c>
      <c r="T17" s="44" t="str">
        <f>IF(AND('Mapa final'!$AB$41="Muy Alta",'Mapa final'!$AD$41="Mayor"),CONCATENATE("R12C",'Mapa final'!$R$41),"")</f>
        <v/>
      </c>
      <c r="U17" s="120" t="str">
        <f>IF(AND('Mapa final'!$AB$42="Muy Alta",'Mapa final'!$AD$42="Mayor"),CONCATENATE("R12C",'Mapa final'!$R$42),"")</f>
        <v/>
      </c>
      <c r="V17" s="45" t="str">
        <f>IF(AND('Mapa final'!$AB$40="Muy Alta",'Mapa final'!$AD$40="Catastrófico"),CONCATENATE("R12C",'Mapa final'!$R$40),"")</f>
        <v/>
      </c>
      <c r="W17" s="46" t="str">
        <f>IF(AND('Mapa final'!$AB$41="Muy Alta",'Mapa final'!$AD$41="Catastrófico"),CONCATENATE("R12C",'Mapa final'!$R$41),"")</f>
        <v/>
      </c>
      <c r="X17" s="114" t="str">
        <f>IF(AND('Mapa final'!$AB$42="Muy Alta",'Mapa final'!$AD$42="Catastrófico"),CONCATENATE("R12C",'Mapa final'!$R$42),"")</f>
        <v/>
      </c>
      <c r="Y17" s="58"/>
      <c r="Z17" s="378"/>
      <c r="AA17" s="379"/>
      <c r="AB17" s="379"/>
      <c r="AC17" s="379"/>
      <c r="AD17" s="379"/>
      <c r="AE17" s="380"/>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row>
    <row r="18" spans="1:61" ht="15" customHeight="1" x14ac:dyDescent="0.25">
      <c r="A18" s="58"/>
      <c r="B18" s="356"/>
      <c r="C18" s="356"/>
      <c r="D18" s="357"/>
      <c r="E18" s="371"/>
      <c r="F18" s="372"/>
      <c r="G18" s="372"/>
      <c r="H18" s="372"/>
      <c r="I18" s="370"/>
      <c r="J18" s="119" t="str">
        <f>IF(AND('Mapa final'!$AB$43="Muy Alta",'Mapa final'!$AD$43="Leve"),CONCATENATE("R13C",'Mapa final'!$R$43),"")</f>
        <v/>
      </c>
      <c r="K18" s="44" t="str">
        <f>IF(AND('Mapa final'!$AB$44="Muy Alta",'Mapa final'!$AD$44="Leve"),CONCATENATE("R13C",'Mapa final'!$R$44),"")</f>
        <v/>
      </c>
      <c r="L18" s="120" t="str">
        <f>IF(AND('Mapa final'!$AB$45="Muy Alta",'Mapa final'!$AD$45="Leve"),CONCATENATE("R13C",'Mapa final'!$R$45),"")</f>
        <v/>
      </c>
      <c r="M18" s="119" t="str">
        <f>IF(AND('Mapa final'!$AB$43="Muy Alta",'Mapa final'!$AD$43="Menor"),CONCATENATE("R13C",'Mapa final'!$R$43),"")</f>
        <v/>
      </c>
      <c r="N18" s="44" t="str">
        <f>IF(AND('Mapa final'!$AB$44="Muy Alta",'Mapa final'!$AD$44="Menor"),CONCATENATE("R13C",'Mapa final'!$R$44),"")</f>
        <v/>
      </c>
      <c r="O18" s="44" t="str">
        <f>IF(AND('Mapa final'!$AB$45="Muy Alta",'Mapa final'!$AD$45="Menor"),CONCATENATE("R13C",'Mapa final'!$R$45),"")</f>
        <v/>
      </c>
      <c r="P18" s="119" t="str">
        <f>IF(AND('Mapa final'!$AB$43="Muy Alta",'Mapa final'!$AD$43="Moderado"),CONCATENATE("R13C",'Mapa final'!$R$43),"")</f>
        <v/>
      </c>
      <c r="Q18" s="44" t="str">
        <f>IF(AND('Mapa final'!$AB$44="Muy Alta",'Mapa final'!$AD$44="Moderado"),CONCATENATE("R13C",'Mapa final'!$R$44),"")</f>
        <v/>
      </c>
      <c r="R18" s="120" t="str">
        <f>IF(AND('Mapa final'!$AB$45="Muy Alta",'Mapa final'!$AD$45="Moderado"),CONCATENATE("R13C",'Mapa final'!$R$45),"")</f>
        <v/>
      </c>
      <c r="S18" s="119" t="str">
        <f>IF(AND('Mapa final'!$AB$43="Muy Alta",'Mapa final'!$AD$43="Mayor"),CONCATENATE("R13C",'Mapa final'!$R$43),"")</f>
        <v/>
      </c>
      <c r="T18" s="44" t="str">
        <f>IF(AND('Mapa final'!$AB$44="Muy Alta",'Mapa final'!$AD$44="Mayor"),CONCATENATE("R13C",'Mapa final'!$R$44),"")</f>
        <v/>
      </c>
      <c r="U18" s="120" t="str">
        <f>IF(AND('Mapa final'!$AB$45="Muy Alta",'Mapa final'!$AD$45="Mayor"),CONCATENATE("R13C",'Mapa final'!$R$45),"")</f>
        <v/>
      </c>
      <c r="V18" s="45" t="str">
        <f>IF(AND('Mapa final'!$AB$43="Muy Alta",'Mapa final'!$AD$43="Catastrófico"),CONCATENATE("R13C",'Mapa final'!$R$43),"")</f>
        <v/>
      </c>
      <c r="W18" s="46" t="str">
        <f>IF(AND('Mapa final'!$AB$44="Muy Alta",'Mapa final'!$AD$44="Catastrófico"),CONCATENATE("R13C",'Mapa final'!$R$44),"")</f>
        <v/>
      </c>
      <c r="X18" s="114" t="str">
        <f>IF(AND('Mapa final'!$AB$45="Muy Alta",'Mapa final'!$AD$45="Catastrófico"),CONCATENATE("R13C",'Mapa final'!$R$45),"")</f>
        <v/>
      </c>
      <c r="Y18" s="58"/>
      <c r="Z18" s="378"/>
      <c r="AA18" s="379"/>
      <c r="AB18" s="379"/>
      <c r="AC18" s="379"/>
      <c r="AD18" s="379"/>
      <c r="AE18" s="380"/>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row>
    <row r="19" spans="1:61" ht="15" customHeight="1" x14ac:dyDescent="0.25">
      <c r="A19" s="58"/>
      <c r="B19" s="356"/>
      <c r="C19" s="356"/>
      <c r="D19" s="357"/>
      <c r="E19" s="371"/>
      <c r="F19" s="372"/>
      <c r="G19" s="372"/>
      <c r="H19" s="372"/>
      <c r="I19" s="370"/>
      <c r="J19" s="119" t="e">
        <f>IF(AND('Mapa final'!#REF!="Muy Alta",'Mapa final'!#REF!="Leve"),CONCATENATE("R14C",'Mapa final'!#REF!),"")</f>
        <v>#REF!</v>
      </c>
      <c r="K19" s="44" t="e">
        <f>IF(AND('Mapa final'!#REF!="Muy Alta",'Mapa final'!#REF!="Leve"),CONCATENATE("R14C",'Mapa final'!#REF!),"")</f>
        <v>#REF!</v>
      </c>
      <c r="L19" s="120" t="e">
        <f>IF(AND('Mapa final'!#REF!="Muy Alta",'Mapa final'!#REF!="Leve"),CONCATENATE("R14C",'Mapa final'!#REF!),"")</f>
        <v>#REF!</v>
      </c>
      <c r="M19" s="119" t="e">
        <f>IF(AND('Mapa final'!#REF!="Muy Alta",'Mapa final'!#REF!="Menor"),CONCATENATE("R14C",'Mapa final'!#REF!),"")</f>
        <v>#REF!</v>
      </c>
      <c r="N19" s="44" t="e">
        <f>IF(AND('Mapa final'!#REF!="Muy Alta",'Mapa final'!#REF!="Menor"),CONCATENATE("R14C",'Mapa final'!#REF!),"")</f>
        <v>#REF!</v>
      </c>
      <c r="O19" s="44" t="e">
        <f>IF(AND('Mapa final'!#REF!="Muy Alta",'Mapa final'!#REF!="Menor"),CONCATENATE("R14C",'Mapa final'!#REF!),"")</f>
        <v>#REF!</v>
      </c>
      <c r="P19" s="119" t="e">
        <f>IF(AND('Mapa final'!#REF!="Muy Alta",'Mapa final'!#REF!="Moderado"),CONCATENATE("R14C",'Mapa final'!#REF!),"")</f>
        <v>#REF!</v>
      </c>
      <c r="Q19" s="44" t="e">
        <f>IF(AND('Mapa final'!#REF!="Muy Alta",'Mapa final'!#REF!="Moderado"),CONCATENATE("R14C",'Mapa final'!#REF!),"")</f>
        <v>#REF!</v>
      </c>
      <c r="R19" s="120" t="e">
        <f>IF(AND('Mapa final'!#REF!="Muy Alta",'Mapa final'!#REF!="Moderado"),CONCATENATE("R14C",'Mapa final'!#REF!),"")</f>
        <v>#REF!</v>
      </c>
      <c r="S19" s="119" t="e">
        <f>IF(AND('Mapa final'!#REF!="Muy Alta",'Mapa final'!#REF!="Mayor"),CONCATENATE("R14C",'Mapa final'!#REF!),"")</f>
        <v>#REF!</v>
      </c>
      <c r="T19" s="44" t="e">
        <f>IF(AND('Mapa final'!#REF!="Muy Alta",'Mapa final'!#REF!="Mayor"),CONCATENATE("R14C",'Mapa final'!#REF!),"")</f>
        <v>#REF!</v>
      </c>
      <c r="U19" s="120" t="e">
        <f>IF(AND('Mapa final'!#REF!="Muy Alta",'Mapa final'!#REF!="Mayor"),CONCATENATE("R14C",'Mapa final'!#REF!),"")</f>
        <v>#REF!</v>
      </c>
      <c r="V19" s="45" t="e">
        <f>IF(AND('Mapa final'!#REF!="Muy Alta",'Mapa final'!#REF!="Catastrófico"),CONCATENATE("R14C",'Mapa final'!#REF!),"")</f>
        <v>#REF!</v>
      </c>
      <c r="W19" s="46" t="e">
        <f>IF(AND('Mapa final'!#REF!="Muy Alta",'Mapa final'!#REF!="Catastrófico"),CONCATENATE("R14C",'Mapa final'!#REF!),"")</f>
        <v>#REF!</v>
      </c>
      <c r="X19" s="114" t="e">
        <f>IF(AND('Mapa final'!#REF!="Muy Alta",'Mapa final'!#REF!="Catastrófico"),CONCATENATE("R14C",'Mapa final'!#REF!),"")</f>
        <v>#REF!</v>
      </c>
      <c r="Y19" s="58"/>
      <c r="Z19" s="378"/>
      <c r="AA19" s="379"/>
      <c r="AB19" s="379"/>
      <c r="AC19" s="379"/>
      <c r="AD19" s="379"/>
      <c r="AE19" s="380"/>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row>
    <row r="20" spans="1:61" ht="15" customHeight="1" x14ac:dyDescent="0.25">
      <c r="A20" s="58"/>
      <c r="B20" s="356"/>
      <c r="C20" s="356"/>
      <c r="D20" s="357"/>
      <c r="E20" s="371"/>
      <c r="F20" s="372"/>
      <c r="G20" s="372"/>
      <c r="H20" s="372"/>
      <c r="I20" s="370"/>
      <c r="J20" s="119" t="str">
        <f>IF(AND('Mapa final'!$AB$46="Muy Alta",'Mapa final'!$AD$46="Leve"),CONCATENATE("R15C",'Mapa final'!$R$46),"")</f>
        <v/>
      </c>
      <c r="K20" s="44" t="str">
        <f>IF(AND('Mapa final'!$AB$47="Muy Alta",'Mapa final'!$AD$47="Leve"),CONCATENATE("R15C",'Mapa final'!$R$47),"")</f>
        <v/>
      </c>
      <c r="L20" s="120" t="str">
        <f>IF(AND('Mapa final'!$AB$48="Muy Alta",'Mapa final'!$AD$48="Leve"),CONCATENATE("R15C",'Mapa final'!$R$48),"")</f>
        <v/>
      </c>
      <c r="M20" s="119" t="str">
        <f>IF(AND('Mapa final'!$AB$46="Muy Alta",'Mapa final'!$AD$46="Menor"),CONCATENATE("R15C",'Mapa final'!$R$46),"")</f>
        <v/>
      </c>
      <c r="N20" s="44" t="str">
        <f>IF(AND('Mapa final'!$AB$47="Muy Alta",'Mapa final'!$AD$47="Menor"),CONCATENATE("R15C",'Mapa final'!$R$47),"")</f>
        <v/>
      </c>
      <c r="O20" s="44" t="str">
        <f>IF(AND('Mapa final'!$AB$48="Muy Alta",'Mapa final'!$AD$48="Menor"),CONCATENATE("R15C",'Mapa final'!$R$48),"")</f>
        <v/>
      </c>
      <c r="P20" s="119" t="str">
        <f>IF(AND('Mapa final'!$AB$46="Muy Alta",'Mapa final'!$AD$46="Moderado"),CONCATENATE("R15C",'Mapa final'!$R$46),"")</f>
        <v/>
      </c>
      <c r="Q20" s="44" t="str">
        <f>IF(AND('Mapa final'!$AB$47="Muy Alta",'Mapa final'!$AD$47="Moderado"),CONCATENATE("R15C",'Mapa final'!$R$47),"")</f>
        <v/>
      </c>
      <c r="R20" s="120" t="str">
        <f>IF(AND('Mapa final'!$AB$48="Muy Alta",'Mapa final'!$AD$48="Moderado"),CONCATENATE("R15C",'Mapa final'!$R$48),"")</f>
        <v/>
      </c>
      <c r="S20" s="119" t="str">
        <f>IF(AND('Mapa final'!$AB$46="Muy Alta",'Mapa final'!$AD$46="Mayor"),CONCATENATE("R15C",'Mapa final'!$R$46),"")</f>
        <v/>
      </c>
      <c r="T20" s="44" t="str">
        <f>IF(AND('Mapa final'!$AB$47="Muy Alta",'Mapa final'!$AD$47="Mayor"),CONCATENATE("R15C",'Mapa final'!$R$47),"")</f>
        <v/>
      </c>
      <c r="U20" s="120" t="str">
        <f>IF(AND('Mapa final'!$AB$48="Muy Alta",'Mapa final'!$AD$48="Mayor"),CONCATENATE("R15C",'Mapa final'!$R$48),"")</f>
        <v/>
      </c>
      <c r="V20" s="45" t="str">
        <f>IF(AND('Mapa final'!$AB$46="Muy Alta",'Mapa final'!$AD$46="Catastrófico"),CONCATENATE("R15C",'Mapa final'!$R$46),"")</f>
        <v/>
      </c>
      <c r="W20" s="46" t="str">
        <f>IF(AND('Mapa final'!$AB$47="Muy Alta",'Mapa final'!$AD$47="Catastrófico"),CONCATENATE("R15C",'Mapa final'!$R$47),"")</f>
        <v/>
      </c>
      <c r="X20" s="114" t="str">
        <f>IF(AND('Mapa final'!$AB$48="Muy Alta",'Mapa final'!$AD$48="Catastrófico"),CONCATENATE("R15C",'Mapa final'!$R$48),"")</f>
        <v/>
      </c>
      <c r="Y20" s="58"/>
      <c r="Z20" s="378"/>
      <c r="AA20" s="379"/>
      <c r="AB20" s="379"/>
      <c r="AC20" s="379"/>
      <c r="AD20" s="379"/>
      <c r="AE20" s="380"/>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row>
    <row r="21" spans="1:61" ht="15" customHeight="1" x14ac:dyDescent="0.25">
      <c r="A21" s="58"/>
      <c r="B21" s="356"/>
      <c r="C21" s="356"/>
      <c r="D21" s="357"/>
      <c r="E21" s="371"/>
      <c r="F21" s="372"/>
      <c r="G21" s="372"/>
      <c r="H21" s="372"/>
      <c r="I21" s="370"/>
      <c r="J21" s="119" t="str">
        <f>IF(AND('Mapa final'!$AB$49="Muy Alta",'Mapa final'!$AD$49="Leve"),CONCATENATE("R16C",'Mapa final'!$R$49),"")</f>
        <v/>
      </c>
      <c r="K21" s="44" t="str">
        <f>IF(AND('Mapa final'!$AB$50="Muy Alta",'Mapa final'!$AD$50="Leve"),CONCATENATE("R16C",'Mapa final'!$R$50),"")</f>
        <v/>
      </c>
      <c r="L21" s="120" t="str">
        <f>IF(AND('Mapa final'!$AB$51="Muy Alta",'Mapa final'!$AD$51="Leve"),CONCATENATE("R16C",'Mapa final'!$R$51),"")</f>
        <v/>
      </c>
      <c r="M21" s="119" t="str">
        <f>IF(AND('Mapa final'!$AB$49="Muy Alta",'Mapa final'!$AD$49="Menor"),CONCATENATE("R16C",'Mapa final'!$R$49),"")</f>
        <v/>
      </c>
      <c r="N21" s="44" t="str">
        <f>IF(AND('Mapa final'!$AB$50="Muy Alta",'Mapa final'!$AD$50="Menor"),CONCATENATE("R16C",'Mapa final'!$R$50),"")</f>
        <v/>
      </c>
      <c r="O21" s="44" t="str">
        <f>IF(AND('Mapa final'!$AB$51="Muy Alta",'Mapa final'!$AD$51="Menor"),CONCATENATE("R16C",'Mapa final'!$R$51),"")</f>
        <v/>
      </c>
      <c r="P21" s="119" t="str">
        <f>IF(AND('Mapa final'!$AB$49="Muy Alta",'Mapa final'!$AD$49="Moderado"),CONCATENATE("R16C",'Mapa final'!$R$49),"")</f>
        <v/>
      </c>
      <c r="Q21" s="44" t="str">
        <f>IF(AND('Mapa final'!$AB$50="Muy Alta",'Mapa final'!$AD$50="Moderado"),CONCATENATE("R16C",'Mapa final'!$R$50),"")</f>
        <v/>
      </c>
      <c r="R21" s="120" t="str">
        <f>IF(AND('Mapa final'!$AB$51="Muy Alta",'Mapa final'!$AD$51="Moderado"),CONCATENATE("R16C",'Mapa final'!$R$51),"")</f>
        <v/>
      </c>
      <c r="S21" s="119" t="str">
        <f>IF(AND('Mapa final'!$AB$49="Muy Alta",'Mapa final'!$AD$49="Mayor"),CONCATENATE("R16C",'Mapa final'!$R$49),"")</f>
        <v/>
      </c>
      <c r="T21" s="44" t="str">
        <f>IF(AND('Mapa final'!$AB$50="Muy Alta",'Mapa final'!$AD$50="Mayor"),CONCATENATE("R16C",'Mapa final'!$R$50),"")</f>
        <v/>
      </c>
      <c r="U21" s="120" t="str">
        <f>IF(AND('Mapa final'!$AB$51="Muy Alta",'Mapa final'!$AD$51="Mayor"),CONCATENATE("R16C",'Mapa final'!$R$51),"")</f>
        <v/>
      </c>
      <c r="V21" s="45" t="str">
        <f>IF(AND('Mapa final'!$AB$49="Muy Alta",'Mapa final'!$AD$49="Catastrófico"),CONCATENATE("R16C",'Mapa final'!$R$49),"")</f>
        <v/>
      </c>
      <c r="W21" s="46" t="str">
        <f>IF(AND('Mapa final'!$AB$50="Muy Alta",'Mapa final'!$AD$50="Catastrófico"),CONCATENATE("R16C",'Mapa final'!$R$50),"")</f>
        <v/>
      </c>
      <c r="X21" s="114" t="str">
        <f>IF(AND('Mapa final'!$AB$51="Muy Alta",'Mapa final'!$AD$51="Catastrófico"),CONCATENATE("R16C",'Mapa final'!$R$51),"")</f>
        <v/>
      </c>
      <c r="Y21" s="58"/>
      <c r="Z21" s="378"/>
      <c r="AA21" s="379"/>
      <c r="AB21" s="379"/>
      <c r="AC21" s="379"/>
      <c r="AD21" s="379"/>
      <c r="AE21" s="380"/>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row>
    <row r="22" spans="1:61" ht="15" customHeight="1" x14ac:dyDescent="0.25">
      <c r="A22" s="58"/>
      <c r="B22" s="356"/>
      <c r="C22" s="356"/>
      <c r="D22" s="357"/>
      <c r="E22" s="371"/>
      <c r="F22" s="372"/>
      <c r="G22" s="372"/>
      <c r="H22" s="372"/>
      <c r="I22" s="370"/>
      <c r="J22" s="119" t="str">
        <f>IF(AND('Mapa final'!$AB$52="Muy Alta",'Mapa final'!$AD$52="Leve"),CONCATENATE("R17C",'Mapa final'!$R$52),"")</f>
        <v/>
      </c>
      <c r="K22" s="44" t="str">
        <f>IF(AND('Mapa final'!$AB$53="Muy Alta",'Mapa final'!$AD$53="Leve"),CONCATENATE("R17C",'Mapa final'!$R$53),"")</f>
        <v/>
      </c>
      <c r="L22" s="120" t="str">
        <f>IF(AND('Mapa final'!$AB$54="Muy Alta",'Mapa final'!$AD$54="Leve"),CONCATENATE("R17C",'Mapa final'!$R$54),"")</f>
        <v/>
      </c>
      <c r="M22" s="119" t="str">
        <f>IF(AND('Mapa final'!$AB$52="Muy Alta",'Mapa final'!$AD$52="Menor"),CONCATENATE("R17C",'Mapa final'!$R$52),"")</f>
        <v/>
      </c>
      <c r="N22" s="44" t="str">
        <f>IF(AND('Mapa final'!$AB$53="Muy Alta",'Mapa final'!$AD$53="Menor"),CONCATENATE("R17C",'Mapa final'!$R$53),"")</f>
        <v/>
      </c>
      <c r="O22" s="44" t="str">
        <f>IF(AND('Mapa final'!$AB$54="Muy Alta",'Mapa final'!$AD$54="Menor"),CONCATENATE("R17C",'Mapa final'!$R$54),"")</f>
        <v/>
      </c>
      <c r="P22" s="119" t="str">
        <f>IF(AND('Mapa final'!$AB$52="Muy Alta",'Mapa final'!$AD$52="Moderado"),CONCATENATE("R17C",'Mapa final'!$R$52),"")</f>
        <v/>
      </c>
      <c r="Q22" s="44" t="str">
        <f>IF(AND('Mapa final'!$AB$53="Muy Alta",'Mapa final'!$AD$53="Moderado"),CONCATENATE("R17C",'Mapa final'!$R$53),"")</f>
        <v/>
      </c>
      <c r="R22" s="120" t="str">
        <f>IF(AND('Mapa final'!$AB$54="Muy Alta",'Mapa final'!$AD$54="Moderado"),CONCATENATE("R17C",'Mapa final'!$R$54),"")</f>
        <v/>
      </c>
      <c r="S22" s="119" t="str">
        <f>IF(AND('Mapa final'!$AB$52="Muy Alta",'Mapa final'!$AD$52="Mayor"),CONCATENATE("R17C",'Mapa final'!$R$52),"")</f>
        <v/>
      </c>
      <c r="T22" s="44" t="str">
        <f>IF(AND('Mapa final'!$AB$53="Muy Alta",'Mapa final'!$AD$53="Mayor"),CONCATENATE("R17C",'Mapa final'!$R$53),"")</f>
        <v/>
      </c>
      <c r="U22" s="120" t="str">
        <f>IF(AND('Mapa final'!$AB$54="Muy Alta",'Mapa final'!$AD$54="Mayor"),CONCATENATE("R17C",'Mapa final'!$R$54),"")</f>
        <v/>
      </c>
      <c r="V22" s="45" t="str">
        <f>IF(AND('Mapa final'!$AB$52="Muy Alta",'Mapa final'!$AD$52="Catastrófico"),CONCATENATE("R17C",'Mapa final'!$R$52),"")</f>
        <v/>
      </c>
      <c r="W22" s="46" t="str">
        <f>IF(AND('Mapa final'!$AB$53="Muy Alta",'Mapa final'!$AD$53="Catastrófico"),CONCATENATE("R17C",'Mapa final'!$R$53),"")</f>
        <v/>
      </c>
      <c r="X22" s="114" t="str">
        <f>IF(AND('Mapa final'!$AB$54="Muy Alta",'Mapa final'!$AD$54="Catastrófico"),CONCATENATE("R17C",'Mapa final'!$R$54),"")</f>
        <v/>
      </c>
      <c r="Y22" s="58"/>
      <c r="Z22" s="378"/>
      <c r="AA22" s="379"/>
      <c r="AB22" s="379"/>
      <c r="AC22" s="379"/>
      <c r="AD22" s="379"/>
      <c r="AE22" s="380"/>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row>
    <row r="23" spans="1:61" ht="15" customHeight="1" x14ac:dyDescent="0.25">
      <c r="A23" s="58"/>
      <c r="B23" s="356"/>
      <c r="C23" s="356"/>
      <c r="D23" s="357"/>
      <c r="E23" s="371"/>
      <c r="F23" s="372"/>
      <c r="G23" s="372"/>
      <c r="H23" s="372"/>
      <c r="I23" s="370"/>
      <c r="J23" s="119" t="str">
        <f>IF(AND('Mapa final'!$AB$55="Muy Alta",'Mapa final'!$AD$55="Leve"),CONCATENATE("R18C",'Mapa final'!$R$55),"")</f>
        <v/>
      </c>
      <c r="K23" s="44" t="str">
        <f>IF(AND('Mapa final'!$AB$56="Muy Alta",'Mapa final'!$AD$56="Leve"),CONCATENATE("R18C",'Mapa final'!$R$56),"")</f>
        <v/>
      </c>
      <c r="L23" s="120" t="str">
        <f>IF(AND('Mapa final'!$AB$57="Muy Alta",'Mapa final'!$AD$57="Leve"),CONCATENATE("R18C",'Mapa final'!$R$57),"")</f>
        <v/>
      </c>
      <c r="M23" s="119" t="str">
        <f>IF(AND('Mapa final'!$AB$55="Muy Alta",'Mapa final'!$AD$55="Menor"),CONCATENATE("R18C",'Mapa final'!$R$55),"")</f>
        <v/>
      </c>
      <c r="N23" s="44" t="str">
        <f>IF(AND('Mapa final'!$AB$56="Muy Alta",'Mapa final'!$AD$56="Menor"),CONCATENATE("R18C",'Mapa final'!$R$56),"")</f>
        <v/>
      </c>
      <c r="O23" s="44" t="str">
        <f>IF(AND('Mapa final'!$AB$57="Muy Alta",'Mapa final'!$AD$57="Menor"),CONCATENATE("R18C",'Mapa final'!$R$57),"")</f>
        <v/>
      </c>
      <c r="P23" s="119" t="str">
        <f>IF(AND('Mapa final'!$AB$55="Muy Alta",'Mapa final'!$AD$55="Moderado"),CONCATENATE("R18C",'Mapa final'!$R$55),"")</f>
        <v/>
      </c>
      <c r="Q23" s="44" t="str">
        <f>IF(AND('Mapa final'!$AB$56="Muy Alta",'Mapa final'!$AD$56="Moderado"),CONCATENATE("R18C",'Mapa final'!$R$56),"")</f>
        <v/>
      </c>
      <c r="R23" s="120" t="str">
        <f>IF(AND('Mapa final'!$AB$57="Muy Alta",'Mapa final'!$AD$57="Moderado"),CONCATENATE("R18C",'Mapa final'!$R$57),"")</f>
        <v/>
      </c>
      <c r="S23" s="119" t="str">
        <f>IF(AND('Mapa final'!$AB$55="Muy Alta",'Mapa final'!$AD$55="Mayor"),CONCATENATE("R18C",'Mapa final'!$R$55),"")</f>
        <v/>
      </c>
      <c r="T23" s="44" t="str">
        <f>IF(AND('Mapa final'!$AB$56="Muy Alta",'Mapa final'!$AD$56="Mayor"),CONCATENATE("R18C",'Mapa final'!$R$56),"")</f>
        <v/>
      </c>
      <c r="U23" s="120" t="str">
        <f>IF(AND('Mapa final'!$AB$57="Muy Alta",'Mapa final'!$AD$57="Mayor"),CONCATENATE("R18C",'Mapa final'!$R$57),"")</f>
        <v/>
      </c>
      <c r="V23" s="45" t="str">
        <f>IF(AND('Mapa final'!$AB$55="Muy Alta",'Mapa final'!$AD$55="Catastrófico"),CONCATENATE("R18C",'Mapa final'!$R$55),"")</f>
        <v/>
      </c>
      <c r="W23" s="46" t="str">
        <f>IF(AND('Mapa final'!$AB$56="Muy Alta",'Mapa final'!$AD$56="Catastrófico"),CONCATENATE("R18C",'Mapa final'!$R$56),"")</f>
        <v/>
      </c>
      <c r="X23" s="114" t="str">
        <f>IF(AND('Mapa final'!$AB$57="Muy Alta",'Mapa final'!$AD$57="Catastrófico"),CONCATENATE("R18C",'Mapa final'!$R$57),"")</f>
        <v/>
      </c>
      <c r="Y23" s="58"/>
      <c r="Z23" s="378"/>
      <c r="AA23" s="379"/>
      <c r="AB23" s="379"/>
      <c r="AC23" s="379"/>
      <c r="AD23" s="379"/>
      <c r="AE23" s="380"/>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row>
    <row r="24" spans="1:61" ht="15" customHeight="1" x14ac:dyDescent="0.25">
      <c r="A24" s="58"/>
      <c r="B24" s="356"/>
      <c r="C24" s="356"/>
      <c r="D24" s="357"/>
      <c r="E24" s="371"/>
      <c r="F24" s="372"/>
      <c r="G24" s="372"/>
      <c r="H24" s="372"/>
      <c r="I24" s="370"/>
      <c r="J24" s="119" t="str">
        <f>IF(AND('Mapa final'!$AB$58="Muy Alta",'Mapa final'!$AD$58="Leve"),CONCATENATE("R19C",'Mapa final'!$R$58),"")</f>
        <v/>
      </c>
      <c r="K24" s="44" t="str">
        <f>IF(AND('Mapa final'!$AB$59="Muy Alta",'Mapa final'!$AD$59="Leve"),CONCATENATE("R19C",'Mapa final'!$R$59),"")</f>
        <v/>
      </c>
      <c r="L24" s="120" t="str">
        <f>IF(AND('Mapa final'!$AB$60="Muy Alta",'Mapa final'!$AD$60="Leve"),CONCATENATE("R19C",'Mapa final'!$R$60),"")</f>
        <v/>
      </c>
      <c r="M24" s="119" t="str">
        <f>IF(AND('Mapa final'!$AB$58="Muy Alta",'Mapa final'!$AD$58="Menor"),CONCATENATE("R19C",'Mapa final'!$R$58),"")</f>
        <v/>
      </c>
      <c r="N24" s="44" t="str">
        <f>IF(AND('Mapa final'!$AB$59="Muy Alta",'Mapa final'!$AD$59="Menor"),CONCATENATE("R19C",'Mapa final'!$R$59),"")</f>
        <v/>
      </c>
      <c r="O24" s="44" t="str">
        <f>IF(AND('Mapa final'!$AB$60="Muy Alta",'Mapa final'!$AD$60="Menor"),CONCATENATE("R19C",'Mapa final'!$R$60),"")</f>
        <v/>
      </c>
      <c r="P24" s="119" t="str">
        <f>IF(AND('Mapa final'!$AB$58="Muy Alta",'Mapa final'!$AD$58="Moderado"),CONCATENATE("R19C",'Mapa final'!$R$58),"")</f>
        <v/>
      </c>
      <c r="Q24" s="44" t="str">
        <f>IF(AND('Mapa final'!$AB$59="Muy Alta",'Mapa final'!$AD$59="Moderado"),CONCATENATE("R19C",'Mapa final'!$R$59),"")</f>
        <v/>
      </c>
      <c r="R24" s="120" t="str">
        <f>IF(AND('Mapa final'!$AB$60="Muy Alta",'Mapa final'!$AD$60="Moderado"),CONCATENATE("R19C",'Mapa final'!$R$60),"")</f>
        <v/>
      </c>
      <c r="S24" s="119" t="str">
        <f>IF(AND('Mapa final'!$AB$58="Muy Alta",'Mapa final'!$AD$58="Mayor"),CONCATENATE("R19C",'Mapa final'!$R$58),"")</f>
        <v/>
      </c>
      <c r="T24" s="44" t="str">
        <f>IF(AND('Mapa final'!$AB$59="Muy Alta",'Mapa final'!$AD$59="Mayor"),CONCATENATE("R19C",'Mapa final'!$R$59),"")</f>
        <v/>
      </c>
      <c r="U24" s="120" t="str">
        <f>IF(AND('Mapa final'!$AB$60="Muy Alta",'Mapa final'!$AD$60="Mayor"),CONCATENATE("R19C",'Mapa final'!$R$60),"")</f>
        <v/>
      </c>
      <c r="V24" s="45" t="str">
        <f>IF(AND('Mapa final'!$AB$58="Muy Alta",'Mapa final'!$AD$58="Catastrófico"),CONCATENATE("R19C",'Mapa final'!$R$58),"")</f>
        <v/>
      </c>
      <c r="W24" s="46" t="str">
        <f>IF(AND('Mapa final'!$AB$59="Muy Alta",'Mapa final'!$AD$59="Catastrófico"),CONCATENATE("R19C",'Mapa final'!$R$59),"")</f>
        <v/>
      </c>
      <c r="X24" s="114" t="str">
        <f>IF(AND('Mapa final'!$AB$60="Muy Alta",'Mapa final'!$AD$60="Catastrófico"),CONCATENATE("R19C",'Mapa final'!$R$60),"")</f>
        <v/>
      </c>
      <c r="Y24" s="58"/>
      <c r="Z24" s="378"/>
      <c r="AA24" s="379"/>
      <c r="AB24" s="379"/>
      <c r="AC24" s="379"/>
      <c r="AD24" s="379"/>
      <c r="AE24" s="380"/>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row>
    <row r="25" spans="1:61" ht="15" customHeight="1" x14ac:dyDescent="0.25">
      <c r="A25" s="58"/>
      <c r="B25" s="356"/>
      <c r="C25" s="356"/>
      <c r="D25" s="357"/>
      <c r="E25" s="371"/>
      <c r="F25" s="372"/>
      <c r="G25" s="372"/>
      <c r="H25" s="372"/>
      <c r="I25" s="370"/>
      <c r="J25" s="119" t="str">
        <f>IF(AND('Mapa final'!$AB$61="Muy Alta",'Mapa final'!$AD$61="Leve"),CONCATENATE("R20C",'Mapa final'!$R$61),"")</f>
        <v/>
      </c>
      <c r="K25" s="44" t="str">
        <f>IF(AND('Mapa final'!$AB$62="Muy Alta",'Mapa final'!$AD$62="Leve"),CONCATENATE("R20C",'Mapa final'!$R$62),"")</f>
        <v/>
      </c>
      <c r="L25" s="120" t="str">
        <f>IF(AND('Mapa final'!$AB$63="Muy Alta",'Mapa final'!$AD$63="Leve"),CONCATENATE("R20C",'Mapa final'!$R$63),"")</f>
        <v/>
      </c>
      <c r="M25" s="119" t="str">
        <f>IF(AND('Mapa final'!$AB$61="Muy Alta",'Mapa final'!$AD$61="Menor"),CONCATENATE("R20C",'Mapa final'!$R$61),"")</f>
        <v/>
      </c>
      <c r="N25" s="44" t="str">
        <f>IF(AND('Mapa final'!$AB$62="Muy Alta",'Mapa final'!$AD$62="Menor"),CONCATENATE("R20C",'Mapa final'!$R$62),"")</f>
        <v/>
      </c>
      <c r="O25" s="44" t="str">
        <f>IF(AND('Mapa final'!$AB$63="Muy Alta",'Mapa final'!$AD$63="Menor"),CONCATENATE("R20C",'Mapa final'!$R$63),"")</f>
        <v/>
      </c>
      <c r="P25" s="119" t="str">
        <f>IF(AND('Mapa final'!$AB$61="Muy Alta",'Mapa final'!$AD$61="Moderado"),CONCATENATE("R20C",'Mapa final'!$R$61),"")</f>
        <v/>
      </c>
      <c r="Q25" s="44" t="str">
        <f>IF(AND('Mapa final'!$AB$62="Muy Alta",'Mapa final'!$AD$62="Moderado"),CONCATENATE("R20C",'Mapa final'!$R$62),"")</f>
        <v/>
      </c>
      <c r="R25" s="120" t="str">
        <f>IF(AND('Mapa final'!$AB$63="Muy Alta",'Mapa final'!$AD$63="Moderado"),CONCATENATE("R20C",'Mapa final'!$R$63),"")</f>
        <v/>
      </c>
      <c r="S25" s="119" t="str">
        <f>IF(AND('Mapa final'!$AB$61="Muy Alta",'Mapa final'!$AD$61="Mayor"),CONCATENATE("R20C",'Mapa final'!$R$61),"")</f>
        <v/>
      </c>
      <c r="T25" s="44" t="str">
        <f>IF(AND('Mapa final'!$AB$62="Muy Alta",'Mapa final'!$AD$62="Mayor"),CONCATENATE("R20C",'Mapa final'!$R$62),"")</f>
        <v/>
      </c>
      <c r="U25" s="120" t="str">
        <f>IF(AND('Mapa final'!$AB$63="Muy Alta",'Mapa final'!$AD$63="Mayor"),CONCATENATE("R20C",'Mapa final'!$R$63),"")</f>
        <v/>
      </c>
      <c r="V25" s="45" t="str">
        <f>IF(AND('Mapa final'!$AB$61="Muy Alta",'Mapa final'!$AD$61="Catastrófico"),CONCATENATE("R20C",'Mapa final'!$R$61),"")</f>
        <v/>
      </c>
      <c r="W25" s="46" t="str">
        <f>IF(AND('Mapa final'!$AB$62="Muy Alta",'Mapa final'!$AD$62="Catastrófico"),CONCATENATE("R20C",'Mapa final'!$R$62),"")</f>
        <v/>
      </c>
      <c r="X25" s="114" t="str">
        <f>IF(AND('Mapa final'!$AB$63="Muy Alta",'Mapa final'!$AD$63="Catastrófico"),CONCATENATE("R20C",'Mapa final'!$R$63),"")</f>
        <v/>
      </c>
      <c r="Y25" s="58"/>
      <c r="Z25" s="378"/>
      <c r="AA25" s="379"/>
      <c r="AB25" s="379"/>
      <c r="AC25" s="379"/>
      <c r="AD25" s="379"/>
      <c r="AE25" s="380"/>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row>
    <row r="26" spans="1:61" ht="15" customHeight="1" x14ac:dyDescent="0.25">
      <c r="A26" s="58"/>
      <c r="B26" s="356"/>
      <c r="C26" s="356"/>
      <c r="D26" s="357"/>
      <c r="E26" s="371"/>
      <c r="F26" s="372"/>
      <c r="G26" s="372"/>
      <c r="H26" s="372"/>
      <c r="I26" s="370"/>
      <c r="J26" s="119" t="str">
        <f>IF(AND('Mapa final'!$AB$64="Muy Alta",'Mapa final'!$AD$64="Leve"),CONCATENATE("R21C",'Mapa final'!$R$64),"")</f>
        <v/>
      </c>
      <c r="K26" s="44" t="str">
        <f>IF(AND('Mapa final'!$AB$65="Muy Alta",'Mapa final'!$AD$65="Leve"),CONCATENATE("R21C",'Mapa final'!$R$65),"")</f>
        <v/>
      </c>
      <c r="L26" s="120" t="str">
        <f>IF(AND('Mapa final'!$AB$66="Muy Alta",'Mapa final'!$AD$66="Leve"),CONCATENATE("R21C",'Mapa final'!$R$66),"")</f>
        <v/>
      </c>
      <c r="M26" s="119" t="str">
        <f>IF(AND('Mapa final'!$AB$64="Muy Alta",'Mapa final'!$AD$64="Menor"),CONCATENATE("R21C",'Mapa final'!$R$64),"")</f>
        <v/>
      </c>
      <c r="N26" s="44" t="str">
        <f>IF(AND('Mapa final'!$AB$65="Muy Alta",'Mapa final'!$AD$65="Menor"),CONCATENATE("R21C",'Mapa final'!$R$65),"")</f>
        <v/>
      </c>
      <c r="O26" s="44" t="str">
        <f>IF(AND('Mapa final'!$AB$66="Muy Alta",'Mapa final'!$AD$66="Menor"),CONCATENATE("R21C",'Mapa final'!$R$66),"")</f>
        <v/>
      </c>
      <c r="P26" s="119" t="str">
        <f>IF(AND('Mapa final'!$AB$64="Muy Alta",'Mapa final'!$AD$64="Moderado"),CONCATENATE("R21C",'Mapa final'!$R$64),"")</f>
        <v/>
      </c>
      <c r="Q26" s="44" t="str">
        <f>IF(AND('Mapa final'!$AB$65="Muy Alta",'Mapa final'!$AD$65="Moderado"),CONCATENATE("R21C",'Mapa final'!$R$65),"")</f>
        <v/>
      </c>
      <c r="R26" s="120" t="str">
        <f>IF(AND('Mapa final'!$AB$66="Muy Alta",'Mapa final'!$AD$66="Moderado"),CONCATENATE("R21C",'Mapa final'!$R$66),"")</f>
        <v/>
      </c>
      <c r="S26" s="119" t="str">
        <f>IF(AND('Mapa final'!$AB$64="Muy Alta",'Mapa final'!$AD$64="Mayor"),CONCATENATE("R21C",'Mapa final'!$R$64),"")</f>
        <v/>
      </c>
      <c r="T26" s="44" t="str">
        <f>IF(AND('Mapa final'!$AB$65="Muy Alta",'Mapa final'!$AD$65="Mayor"),CONCATENATE("R21C",'Mapa final'!$R$65),"")</f>
        <v/>
      </c>
      <c r="U26" s="120" t="str">
        <f>IF(AND('Mapa final'!$AB$66="Muy Alta",'Mapa final'!$AD$66="Mayor"),CONCATENATE("R21C",'Mapa final'!$R$66),"")</f>
        <v/>
      </c>
      <c r="V26" s="45" t="str">
        <f>IF(AND('Mapa final'!$AB$64="Muy Alta",'Mapa final'!$AD$64="Catastrófico"),CONCATENATE("R21C",'Mapa final'!$R$64),"")</f>
        <v/>
      </c>
      <c r="W26" s="46" t="str">
        <f>IF(AND('Mapa final'!$AB$65="Muy Alta",'Mapa final'!$AD$65="Catastrófico"),CONCATENATE("R21C",'Mapa final'!$R$65),"")</f>
        <v/>
      </c>
      <c r="X26" s="114" t="str">
        <f>IF(AND('Mapa final'!$AB$66="Muy Alta",'Mapa final'!$AD$66="Catastrófico"),CONCATENATE("R21C",'Mapa final'!$R$66),"")</f>
        <v/>
      </c>
      <c r="Y26" s="58"/>
      <c r="Z26" s="378"/>
      <c r="AA26" s="379"/>
      <c r="AB26" s="379"/>
      <c r="AC26" s="379"/>
      <c r="AD26" s="379"/>
      <c r="AE26" s="380"/>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row>
    <row r="27" spans="1:61" ht="15" customHeight="1" x14ac:dyDescent="0.25">
      <c r="A27" s="58"/>
      <c r="B27" s="356"/>
      <c r="C27" s="356"/>
      <c r="D27" s="357"/>
      <c r="E27" s="371"/>
      <c r="F27" s="372"/>
      <c r="G27" s="372"/>
      <c r="H27" s="372"/>
      <c r="I27" s="370"/>
      <c r="J27" s="119" t="str">
        <f>IF(AND('Mapa final'!$AB$67="Muy Alta",'Mapa final'!$AD$67="Leve"),CONCATENATE("R22C",'Mapa final'!$R$67),"")</f>
        <v/>
      </c>
      <c r="K27" s="44" t="str">
        <f>IF(AND('Mapa final'!$AB$68="Muy Alta",'Mapa final'!$AD$68="Leve"),CONCATENATE("R22C",'Mapa final'!$R$68),"")</f>
        <v/>
      </c>
      <c r="L27" s="120" t="str">
        <f>IF(AND('Mapa final'!$AB$69="Muy Alta",'Mapa final'!$AD$69="Leve"),CONCATENATE("R22C",'Mapa final'!$R$69),"")</f>
        <v/>
      </c>
      <c r="M27" s="119" t="str">
        <f>IF(AND('Mapa final'!$AB$67="Muy Alta",'Mapa final'!$AD$67="Menor"),CONCATENATE("R22C",'Mapa final'!$R$67),"")</f>
        <v/>
      </c>
      <c r="N27" s="44" t="str">
        <f>IF(AND('Mapa final'!$AB$68="Muy Alta",'Mapa final'!$AD$68="Menor"),CONCATENATE("R22C",'Mapa final'!$R$68),"")</f>
        <v/>
      </c>
      <c r="O27" s="44" t="str">
        <f>IF(AND('Mapa final'!$AB$69="Muy Alta",'Mapa final'!$AD$69="Menor"),CONCATENATE("R22C",'Mapa final'!$R$69),"")</f>
        <v/>
      </c>
      <c r="P27" s="119" t="str">
        <f>IF(AND('Mapa final'!$AB$67="Muy Alta",'Mapa final'!$AD$67="Moderado"),CONCATENATE("R22C",'Mapa final'!$R$67),"")</f>
        <v/>
      </c>
      <c r="Q27" s="44" t="str">
        <f>IF(AND('Mapa final'!$AB$68="Muy Alta",'Mapa final'!$AD$68="Moderado"),CONCATENATE("R22C",'Mapa final'!$R$68),"")</f>
        <v/>
      </c>
      <c r="R27" s="120" t="str">
        <f>IF(AND('Mapa final'!$AB$69="Muy Alta",'Mapa final'!$AD$69="Moderado"),CONCATENATE("R22C",'Mapa final'!$R$69),"")</f>
        <v/>
      </c>
      <c r="S27" s="119" t="str">
        <f>IF(AND('Mapa final'!$AB$67="Muy Alta",'Mapa final'!$AD$67="Mayor"),CONCATENATE("R22C",'Mapa final'!$R$67),"")</f>
        <v/>
      </c>
      <c r="T27" s="44" t="str">
        <f>IF(AND('Mapa final'!$AB$68="Muy Alta",'Mapa final'!$AD$68="Mayor"),CONCATENATE("R22C",'Mapa final'!$R$68),"")</f>
        <v/>
      </c>
      <c r="U27" s="120" t="str">
        <f>IF(AND('Mapa final'!$AB$69="Muy Alta",'Mapa final'!$AD$69="Mayor"),CONCATENATE("R22C",'Mapa final'!$R$69),"")</f>
        <v/>
      </c>
      <c r="V27" s="45" t="str">
        <f>IF(AND('Mapa final'!$AB$67="Muy Alta",'Mapa final'!$AD$67="Catastrófico"),CONCATENATE("R22C",'Mapa final'!$R$67),"")</f>
        <v/>
      </c>
      <c r="W27" s="46" t="str">
        <f>IF(AND('Mapa final'!$AB$68="Muy Alta",'Mapa final'!$AD$68="Catastrófico"),CONCATENATE("R22C",'Mapa final'!$R$68),"")</f>
        <v/>
      </c>
      <c r="X27" s="114" t="str">
        <f>IF(AND('Mapa final'!$AB$69="Muy Alta",'Mapa final'!$AD$69="Catastrófico"),CONCATENATE("R22C",'Mapa final'!$R$69),"")</f>
        <v/>
      </c>
      <c r="Y27" s="58"/>
      <c r="Z27" s="378"/>
      <c r="AA27" s="379"/>
      <c r="AB27" s="379"/>
      <c r="AC27" s="379"/>
      <c r="AD27" s="379"/>
      <c r="AE27" s="380"/>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row>
    <row r="28" spans="1:61" ht="15" customHeight="1" x14ac:dyDescent="0.25">
      <c r="A28" s="58"/>
      <c r="B28" s="356"/>
      <c r="C28" s="356"/>
      <c r="D28" s="357"/>
      <c r="E28" s="371"/>
      <c r="F28" s="372"/>
      <c r="G28" s="372"/>
      <c r="H28" s="372"/>
      <c r="I28" s="370"/>
      <c r="J28" s="119" t="str">
        <f>IF(AND('Mapa final'!$AB$70="Muy Alta",'Mapa final'!$AD$70="Leve"),CONCATENATE("R23C",'Mapa final'!$R$70),"")</f>
        <v/>
      </c>
      <c r="K28" s="44" t="str">
        <f>IF(AND('Mapa final'!$AB$71="Muy Alta",'Mapa final'!$AD$71="Leve"),CONCATENATE("R23C",'Mapa final'!$R$71),"")</f>
        <v/>
      </c>
      <c r="L28" s="120" t="str">
        <f>IF(AND('Mapa final'!$AB$72="Muy Alta",'Mapa final'!$AD$72="Leve"),CONCATENATE("R23C",'Mapa final'!$R$72),"")</f>
        <v/>
      </c>
      <c r="M28" s="119" t="str">
        <f>IF(AND('Mapa final'!$AB$70="Muy Alta",'Mapa final'!$AD$70="Menor"),CONCATENATE("R23C",'Mapa final'!$R$70),"")</f>
        <v/>
      </c>
      <c r="N28" s="44" t="str">
        <f>IF(AND('Mapa final'!$AB$71="Muy Alta",'Mapa final'!$AD$71="Menor"),CONCATENATE("R23C",'Mapa final'!$R$71),"")</f>
        <v/>
      </c>
      <c r="O28" s="44" t="str">
        <f>IF(AND('Mapa final'!$AB$72="Muy Alta",'Mapa final'!$AD$72="Menor"),CONCATENATE("R23C",'Mapa final'!$R$72),"")</f>
        <v/>
      </c>
      <c r="P28" s="119" t="str">
        <f>IF(AND('Mapa final'!$AB$70="Muy Alta",'Mapa final'!$AD$70="Moderado"),CONCATENATE("R23C",'Mapa final'!$R$70),"")</f>
        <v/>
      </c>
      <c r="Q28" s="44" t="str">
        <f>IF(AND('Mapa final'!$AB$71="Muy Alta",'Mapa final'!$AD$71="Moderado"),CONCATENATE("R23C",'Mapa final'!$R$71),"")</f>
        <v/>
      </c>
      <c r="R28" s="120" t="str">
        <f>IF(AND('Mapa final'!$AB$72="Muy Alta",'Mapa final'!$AD$72="Moderado"),CONCATENATE("R23C",'Mapa final'!$R$72),"")</f>
        <v/>
      </c>
      <c r="S28" s="119" t="str">
        <f>IF(AND('Mapa final'!$AB$70="Muy Alta",'Mapa final'!$AD$70="Mayor"),CONCATENATE("R23C",'Mapa final'!$R$70),"")</f>
        <v/>
      </c>
      <c r="T28" s="44" t="str">
        <f>IF(AND('Mapa final'!$AB$71="Muy Alta",'Mapa final'!$AD$71="Mayor"),CONCATENATE("R23C",'Mapa final'!$R$71),"")</f>
        <v/>
      </c>
      <c r="U28" s="120" t="str">
        <f>IF(AND('Mapa final'!$AB$72="Muy Alta",'Mapa final'!$AD$72="Mayor"),CONCATENATE("R23C",'Mapa final'!$R$72),"")</f>
        <v/>
      </c>
      <c r="V28" s="45" t="str">
        <f>IF(AND('Mapa final'!$AB$70="Muy Alta",'Mapa final'!$AD$70="Catastrófico"),CONCATENATE("R23C",'Mapa final'!$R$70),"")</f>
        <v/>
      </c>
      <c r="W28" s="46" t="str">
        <f>IF(AND('Mapa final'!$AB$71="Muy Alta",'Mapa final'!$AD$71="Catastrófico"),CONCATENATE("R23C",'Mapa final'!$R$71),"")</f>
        <v/>
      </c>
      <c r="X28" s="114" t="str">
        <f>IF(AND('Mapa final'!$AB$72="Muy Alta",'Mapa final'!$AD$72="Catastrófico"),CONCATENATE("R23C",'Mapa final'!$R$72),"")</f>
        <v/>
      </c>
      <c r="Y28" s="58"/>
      <c r="Z28" s="378"/>
      <c r="AA28" s="379"/>
      <c r="AB28" s="379"/>
      <c r="AC28" s="379"/>
      <c r="AD28" s="379"/>
      <c r="AE28" s="380"/>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row>
    <row r="29" spans="1:61" ht="15" customHeight="1" x14ac:dyDescent="0.25">
      <c r="A29" s="58"/>
      <c r="B29" s="356"/>
      <c r="C29" s="356"/>
      <c r="D29" s="357"/>
      <c r="E29" s="371"/>
      <c r="F29" s="372"/>
      <c r="G29" s="372"/>
      <c r="H29" s="372"/>
      <c r="I29" s="370"/>
      <c r="J29" s="119" t="str">
        <f>IF(AND('Mapa final'!$AB$73="Muy Alta",'Mapa final'!$AD$73="Leve"),CONCATENATE("R24C",'Mapa final'!$R$73),"")</f>
        <v/>
      </c>
      <c r="K29" s="44" t="str">
        <f>IF(AND('Mapa final'!$AB$74="Muy Alta",'Mapa final'!$AD$74="Leve"),CONCATENATE("R24C",'Mapa final'!$R$74),"")</f>
        <v/>
      </c>
      <c r="L29" s="120" t="str">
        <f>IF(AND('Mapa final'!$AB$75="Muy Alta",'Mapa final'!$AD$75="Leve"),CONCATENATE("R24C",'Mapa final'!$R$75),"")</f>
        <v/>
      </c>
      <c r="M29" s="119" t="str">
        <f>IF(AND('Mapa final'!$AB$73="Muy Alta",'Mapa final'!$AD$73="Menor"),CONCATENATE("R24C",'Mapa final'!$R$73),"")</f>
        <v/>
      </c>
      <c r="N29" s="44" t="str">
        <f>IF(AND('Mapa final'!$AB$74="Muy Alta",'Mapa final'!$AD$74="Menor"),CONCATENATE("R24C",'Mapa final'!$R$74),"")</f>
        <v/>
      </c>
      <c r="O29" s="44" t="str">
        <f>IF(AND('Mapa final'!$AB$75="Muy Alta",'Mapa final'!$AD$75="Menor"),CONCATENATE("R24C",'Mapa final'!$R$75),"")</f>
        <v/>
      </c>
      <c r="P29" s="119" t="str">
        <f>IF(AND('Mapa final'!$AB$73="Muy Alta",'Mapa final'!$AD$73="Moderado"),CONCATENATE("R24C",'Mapa final'!$R$73),"")</f>
        <v/>
      </c>
      <c r="Q29" s="44" t="str">
        <f>IF(AND('Mapa final'!$AB$74="Muy Alta",'Mapa final'!$AD$74="Moderado"),CONCATENATE("R24C",'Mapa final'!$R$74),"")</f>
        <v/>
      </c>
      <c r="R29" s="120" t="str">
        <f>IF(AND('Mapa final'!$AB$75="Muy Alta",'Mapa final'!$AD$75="Moderado"),CONCATENATE("R24C",'Mapa final'!$R$75),"")</f>
        <v/>
      </c>
      <c r="S29" s="119" t="str">
        <f>IF(AND('Mapa final'!$AB$73="Muy Alta",'Mapa final'!$AD$73="Mayor"),CONCATENATE("R24C",'Mapa final'!$R$73),"")</f>
        <v/>
      </c>
      <c r="T29" s="44" t="str">
        <f>IF(AND('Mapa final'!$AB$74="Muy Alta",'Mapa final'!$AD$74="Mayor"),CONCATENATE("R24C",'Mapa final'!$R$74),"")</f>
        <v/>
      </c>
      <c r="U29" s="120" t="str">
        <f>IF(AND('Mapa final'!$AB$75="Muy Alta",'Mapa final'!$AD$75="Mayor"),CONCATENATE("R24C",'Mapa final'!$R$75),"")</f>
        <v/>
      </c>
      <c r="V29" s="45" t="str">
        <f>IF(AND('Mapa final'!$AB$73="Muy Alta",'Mapa final'!$AD$73="Catastrófico"),CONCATENATE("R24C",'Mapa final'!$R$73),"")</f>
        <v/>
      </c>
      <c r="W29" s="46" t="str">
        <f>IF(AND('Mapa final'!$AB$74="Muy Alta",'Mapa final'!$AD$74="Catastrófico"),CONCATENATE("R24C",'Mapa final'!$R$74),"")</f>
        <v/>
      </c>
      <c r="X29" s="114" t="str">
        <f>IF(AND('Mapa final'!$AB$75="Muy Alta",'Mapa final'!$AD$75="Catastrófico"),CONCATENATE("R24C",'Mapa final'!$R$75),"")</f>
        <v/>
      </c>
      <c r="Y29" s="58"/>
      <c r="Z29" s="378"/>
      <c r="AA29" s="379"/>
      <c r="AB29" s="379"/>
      <c r="AC29" s="379"/>
      <c r="AD29" s="379"/>
      <c r="AE29" s="380"/>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row>
    <row r="30" spans="1:61" ht="15" customHeight="1" x14ac:dyDescent="0.25">
      <c r="A30" s="58"/>
      <c r="B30" s="356"/>
      <c r="C30" s="356"/>
      <c r="D30" s="357"/>
      <c r="E30" s="371"/>
      <c r="F30" s="372"/>
      <c r="G30" s="372"/>
      <c r="H30" s="372"/>
      <c r="I30" s="370"/>
      <c r="J30" s="119" t="str">
        <f>IF(AND('Mapa final'!$AB$76="Muy Alta",'Mapa final'!$AD$76="Leve"),CONCATENATE("R25C",'Mapa final'!$R$76),"")</f>
        <v/>
      </c>
      <c r="K30" s="44" t="str">
        <f>IF(AND('Mapa final'!$AB$77="Muy Alta",'Mapa final'!$AD$77="Leve"),CONCATENATE("R25C",'Mapa final'!$R$77),"")</f>
        <v/>
      </c>
      <c r="L30" s="120" t="str">
        <f>IF(AND('Mapa final'!$AB$78="Muy Alta",'Mapa final'!$AD$78="Leve"),CONCATENATE("R25C",'Mapa final'!$R$78),"")</f>
        <v/>
      </c>
      <c r="M30" s="119" t="str">
        <f>IF(AND('Mapa final'!$AB$76="Muy Alta",'Mapa final'!$AD$76="Menor"),CONCATENATE("R25C",'Mapa final'!$R$76),"")</f>
        <v/>
      </c>
      <c r="N30" s="44" t="str">
        <f>IF(AND('Mapa final'!$AB$77="Muy Alta",'Mapa final'!$AD$77="Menor"),CONCATENATE("R25C",'Mapa final'!$R$77),"")</f>
        <v/>
      </c>
      <c r="O30" s="44" t="str">
        <f>IF(AND('Mapa final'!$AB$78="Muy Alta",'Mapa final'!$AD$78="Menor"),CONCATENATE("R25C",'Mapa final'!$R$78),"")</f>
        <v/>
      </c>
      <c r="P30" s="119" t="str">
        <f>IF(AND('Mapa final'!$AB$76="Muy Alta",'Mapa final'!$AD$76="Moderado"),CONCATENATE("R25C",'Mapa final'!$R$76),"")</f>
        <v/>
      </c>
      <c r="Q30" s="44" t="str">
        <f>IF(AND('Mapa final'!$AB$77="Muy Alta",'Mapa final'!$AD$77="Moderado"),CONCATENATE("R25C",'Mapa final'!$R$77),"")</f>
        <v/>
      </c>
      <c r="R30" s="120" t="str">
        <f>IF(AND('Mapa final'!$AB$78="Muy Alta",'Mapa final'!$AD$78="Moderado"),CONCATENATE("R25C",'Mapa final'!$R$78),"")</f>
        <v/>
      </c>
      <c r="S30" s="119" t="str">
        <f>IF(AND('Mapa final'!$AB$76="Muy Alta",'Mapa final'!$AD$76="Mayor"),CONCATENATE("R25C",'Mapa final'!$R$76),"")</f>
        <v/>
      </c>
      <c r="T30" s="44" t="str">
        <f>IF(AND('Mapa final'!$AB$77="Muy Alta",'Mapa final'!$AD$77="Mayor"),CONCATENATE("R25C",'Mapa final'!$R$77),"")</f>
        <v/>
      </c>
      <c r="U30" s="120" t="str">
        <f>IF(AND('Mapa final'!$AB$78="Muy Alta",'Mapa final'!$AD$78="Mayor"),CONCATENATE("R25C",'Mapa final'!$R$78),"")</f>
        <v/>
      </c>
      <c r="V30" s="45" t="str">
        <f>IF(AND('Mapa final'!$AB$76="Muy Alta",'Mapa final'!$AD$76="Catastrófico"),CONCATENATE("R25C",'Mapa final'!$R$76),"")</f>
        <v/>
      </c>
      <c r="W30" s="46" t="str">
        <f>IF(AND('Mapa final'!$AB$77="Muy Alta",'Mapa final'!$AD$77="Catastrófico"),CONCATENATE("R25C",'Mapa final'!$R$77),"")</f>
        <v/>
      </c>
      <c r="X30" s="114" t="str">
        <f>IF(AND('Mapa final'!$AB$78="Muy Alta",'Mapa final'!$AD$78="Catastrófico"),CONCATENATE("R25C",'Mapa final'!$R$78),"")</f>
        <v/>
      </c>
      <c r="Y30" s="58"/>
      <c r="Z30" s="378"/>
      <c r="AA30" s="379"/>
      <c r="AB30" s="379"/>
      <c r="AC30" s="379"/>
      <c r="AD30" s="379"/>
      <c r="AE30" s="380"/>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row>
    <row r="31" spans="1:61" ht="15" customHeight="1" x14ac:dyDescent="0.25">
      <c r="A31" s="58"/>
      <c r="B31" s="356"/>
      <c r="C31" s="356"/>
      <c r="D31" s="357"/>
      <c r="E31" s="371"/>
      <c r="F31" s="372"/>
      <c r="G31" s="372"/>
      <c r="H31" s="372"/>
      <c r="I31" s="370"/>
      <c r="J31" s="119" t="str">
        <f>IF(AND('Mapa final'!$AB$79="Muy Alta",'Mapa final'!$AD$79="Leve"),CONCATENATE("R26C",'Mapa final'!$R$79),"")</f>
        <v/>
      </c>
      <c r="K31" s="44" t="str">
        <f>IF(AND('Mapa final'!$AB$80="Muy Alta",'Mapa final'!$AD$80="Leve"),CONCATENATE("R26C",'Mapa final'!$R$80),"")</f>
        <v/>
      </c>
      <c r="L31" s="120" t="str">
        <f>IF(AND('Mapa final'!$AB$81="Muy Alta",'Mapa final'!$AD$81="Leve"),CONCATENATE("R26C",'Mapa final'!$R$81),"")</f>
        <v/>
      </c>
      <c r="M31" s="119" t="str">
        <f>IF(AND('Mapa final'!$AB$79="Muy Alta",'Mapa final'!$AD$79="Menor"),CONCATENATE("R26C",'Mapa final'!$R$79),"")</f>
        <v/>
      </c>
      <c r="N31" s="44" t="str">
        <f>IF(AND('Mapa final'!$AB$80="Muy Alta",'Mapa final'!$AD$80="Menor"),CONCATENATE("R26C",'Mapa final'!$R$80),"")</f>
        <v/>
      </c>
      <c r="O31" s="44" t="str">
        <f>IF(AND('Mapa final'!$AB$81="Muy Alta",'Mapa final'!$AD$81="Menor"),CONCATENATE("R26C",'Mapa final'!$R$81),"")</f>
        <v/>
      </c>
      <c r="P31" s="119" t="str">
        <f>IF(AND('Mapa final'!$AB$79="Muy Alta",'Mapa final'!$AD$79="Moderado"),CONCATENATE("R26C",'Mapa final'!$R$79),"")</f>
        <v/>
      </c>
      <c r="Q31" s="44" t="str">
        <f>IF(AND('Mapa final'!$AB$80="Muy Alta",'Mapa final'!$AD$80="Moderado"),CONCATENATE("R26C",'Mapa final'!$R$80),"")</f>
        <v/>
      </c>
      <c r="R31" s="120" t="str">
        <f>IF(AND('Mapa final'!$AB$81="Muy Alta",'Mapa final'!$AD$81="Moderado"),CONCATENATE("R26C",'Mapa final'!$R$81),"")</f>
        <v/>
      </c>
      <c r="S31" s="119" t="str">
        <f>IF(AND('Mapa final'!$AB$79="Muy Alta",'Mapa final'!$AD$79="Mayor"),CONCATENATE("R26C",'Mapa final'!$R$79),"")</f>
        <v/>
      </c>
      <c r="T31" s="44" t="str">
        <f>IF(AND('Mapa final'!$AB$80="Muy Alta",'Mapa final'!$AD$80="Mayor"),CONCATENATE("R26C",'Mapa final'!$R$80),"")</f>
        <v/>
      </c>
      <c r="U31" s="120" t="str">
        <f>IF(AND('Mapa final'!$AB$81="Muy Alta",'Mapa final'!$AD$81="Mayor"),CONCATENATE("R26C",'Mapa final'!$R$81),"")</f>
        <v/>
      </c>
      <c r="V31" s="45" t="str">
        <f>IF(AND('Mapa final'!$AB$79="Muy Alta",'Mapa final'!$AD$79="Catastrófico"),CONCATENATE("R26C",'Mapa final'!$R$79),"")</f>
        <v/>
      </c>
      <c r="W31" s="46" t="str">
        <f>IF(AND('Mapa final'!$AB$80="Muy Alta",'Mapa final'!$AD$80="Catastrófico"),CONCATENATE("R26C",'Mapa final'!$R$80),"")</f>
        <v/>
      </c>
      <c r="X31" s="114" t="str">
        <f>IF(AND('Mapa final'!$AB$81="Muy Alta",'Mapa final'!$AD$81="Catastrófico"),CONCATENATE("R26C",'Mapa final'!$R$81),"")</f>
        <v/>
      </c>
      <c r="Y31" s="58"/>
      <c r="Z31" s="378"/>
      <c r="AA31" s="379"/>
      <c r="AB31" s="379"/>
      <c r="AC31" s="379"/>
      <c r="AD31" s="379"/>
      <c r="AE31" s="380"/>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row>
    <row r="32" spans="1:61" ht="15" customHeight="1" x14ac:dyDescent="0.25">
      <c r="A32" s="58"/>
      <c r="B32" s="356"/>
      <c r="C32" s="356"/>
      <c r="D32" s="357"/>
      <c r="E32" s="371"/>
      <c r="F32" s="372"/>
      <c r="G32" s="372"/>
      <c r="H32" s="372"/>
      <c r="I32" s="370"/>
      <c r="J32" s="119" t="str">
        <f>IF(AND('Mapa final'!$AB$82="Muy Alta",'Mapa final'!$AD$82="Leve"),CONCATENATE("R27C",'Mapa final'!$R$82),"")</f>
        <v/>
      </c>
      <c r="K32" s="44" t="str">
        <f>IF(AND('Mapa final'!$AB$83="Muy Alta",'Mapa final'!$AD$83="Leve"),CONCATENATE("R27C",'Mapa final'!$R$83),"")</f>
        <v/>
      </c>
      <c r="L32" s="120" t="str">
        <f>IF(AND('Mapa final'!$AB$84="Muy Alta",'Mapa final'!$AD$84="Leve"),CONCATENATE("R27C",'Mapa final'!$R$84),"")</f>
        <v/>
      </c>
      <c r="M32" s="119" t="str">
        <f>IF(AND('Mapa final'!$AB$82="Muy Alta",'Mapa final'!$AD$82="Menor"),CONCATENATE("R27C",'Mapa final'!$R$82),"")</f>
        <v/>
      </c>
      <c r="N32" s="44" t="str">
        <f>IF(AND('Mapa final'!$AB$83="Muy Alta",'Mapa final'!$AD$83="Menor"),CONCATENATE("R27C",'Mapa final'!$R$83),"")</f>
        <v/>
      </c>
      <c r="O32" s="44" t="str">
        <f>IF(AND('Mapa final'!$AB$84="Muy Alta",'Mapa final'!$AD$84="Menor"),CONCATENATE("R27C",'Mapa final'!$R$84),"")</f>
        <v/>
      </c>
      <c r="P32" s="119" t="str">
        <f>IF(AND('Mapa final'!$AB$82="Muy Alta",'Mapa final'!$AD$82="Moderado"),CONCATENATE("R27C",'Mapa final'!$R$82),"")</f>
        <v/>
      </c>
      <c r="Q32" s="44" t="str">
        <f>IF(AND('Mapa final'!$AB$83="Muy Alta",'Mapa final'!$AD$83="Moderado"),CONCATENATE("R27C",'Mapa final'!$R$83),"")</f>
        <v/>
      </c>
      <c r="R32" s="120" t="str">
        <f>IF(AND('Mapa final'!$AB$84="Muy Alta",'Mapa final'!$AD$84="Moderado"),CONCATENATE("R27C",'Mapa final'!$R$84),"")</f>
        <v/>
      </c>
      <c r="S32" s="119" t="str">
        <f>IF(AND('Mapa final'!$AB$82="Muy Alta",'Mapa final'!$AD$82="Mayor"),CONCATENATE("R27C",'Mapa final'!$R$82),"")</f>
        <v/>
      </c>
      <c r="T32" s="44" t="str">
        <f>IF(AND('Mapa final'!$AB$83="Muy Alta",'Mapa final'!$AD$83="Mayor"),CONCATENATE("R27C",'Mapa final'!$R$83),"")</f>
        <v/>
      </c>
      <c r="U32" s="120" t="str">
        <f>IF(AND('Mapa final'!$AB$84="Muy Alta",'Mapa final'!$AD$84="Mayor"),CONCATENATE("R27C",'Mapa final'!$R$84),"")</f>
        <v/>
      </c>
      <c r="V32" s="45" t="str">
        <f>IF(AND('Mapa final'!$AB$82="Muy Alta",'Mapa final'!$AD$82="Catastrófico"),CONCATENATE("R27C",'Mapa final'!$R$82),"")</f>
        <v/>
      </c>
      <c r="W32" s="46" t="str">
        <f>IF(AND('Mapa final'!$AB$83="Muy Alta",'Mapa final'!$AD$83="Catastrófico"),CONCATENATE("R27C",'Mapa final'!$R$83),"")</f>
        <v/>
      </c>
      <c r="X32" s="114" t="str">
        <f>IF(AND('Mapa final'!$AB$84="Muy Alta",'Mapa final'!$AD$84="Catastrófico"),CONCATENATE("R27C",'Mapa final'!$R$84),"")</f>
        <v/>
      </c>
      <c r="Y32" s="58"/>
      <c r="Z32" s="378"/>
      <c r="AA32" s="379"/>
      <c r="AB32" s="379"/>
      <c r="AC32" s="379"/>
      <c r="AD32" s="379"/>
      <c r="AE32" s="380"/>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row>
    <row r="33" spans="1:61" ht="15" customHeight="1" x14ac:dyDescent="0.25">
      <c r="A33" s="58"/>
      <c r="B33" s="356"/>
      <c r="C33" s="356"/>
      <c r="D33" s="357"/>
      <c r="E33" s="371"/>
      <c r="F33" s="372"/>
      <c r="G33" s="372"/>
      <c r="H33" s="372"/>
      <c r="I33" s="370"/>
      <c r="J33" s="119" t="str">
        <f>IF(AND('Mapa final'!$AB$85="Muy Alta",'Mapa final'!$AD$85="Leve"),CONCATENATE("R28C",'Mapa final'!$R$85),"")</f>
        <v/>
      </c>
      <c r="K33" s="44" t="str">
        <f>IF(AND('Mapa final'!$AB$86="Muy Alta",'Mapa final'!$AD$86="Leve"),CONCATENATE("R28C",'Mapa final'!$R$86),"")</f>
        <v/>
      </c>
      <c r="L33" s="120" t="str">
        <f>IF(AND('Mapa final'!$AB$87="Muy Alta",'Mapa final'!$AD$87="Leve"),CONCATENATE("R28C",'Mapa final'!$R$87),"")</f>
        <v/>
      </c>
      <c r="M33" s="119" t="str">
        <f>IF(AND('Mapa final'!$AB$85="Muy Alta",'Mapa final'!$AD$85="Menor"),CONCATENATE("R28C",'Mapa final'!$R$85),"")</f>
        <v/>
      </c>
      <c r="N33" s="44" t="str">
        <f>IF(AND('Mapa final'!$AB$86="Muy Alta",'Mapa final'!$AD$86="Menor"),CONCATENATE("R28C",'Mapa final'!$R$86),"")</f>
        <v/>
      </c>
      <c r="O33" s="44" t="str">
        <f>IF(AND('Mapa final'!$AB$87="Muy Alta",'Mapa final'!$AD$87="Menor"),CONCATENATE("R28C",'Mapa final'!$R$87),"")</f>
        <v/>
      </c>
      <c r="P33" s="119" t="str">
        <f>IF(AND('Mapa final'!$AB$85="Muy Alta",'Mapa final'!$AD$85="Moderado"),CONCATENATE("R28C",'Mapa final'!$R$85),"")</f>
        <v/>
      </c>
      <c r="Q33" s="44" t="str">
        <f>IF(AND('Mapa final'!$AB$86="Muy Alta",'Mapa final'!$AD$86="Moderado"),CONCATENATE("R28C",'Mapa final'!$R$86),"")</f>
        <v/>
      </c>
      <c r="R33" s="120" t="str">
        <f>IF(AND('Mapa final'!$AB$87="Muy Alta",'Mapa final'!$AD$87="Moderado"),CONCATENATE("R28C",'Mapa final'!$R$87),"")</f>
        <v/>
      </c>
      <c r="S33" s="119" t="str">
        <f>IF(AND('Mapa final'!$AB$85="Muy Alta",'Mapa final'!$AD$85="Mayor"),CONCATENATE("R28C",'Mapa final'!$R$85),"")</f>
        <v/>
      </c>
      <c r="T33" s="44" t="str">
        <f>IF(AND('Mapa final'!$AB$86="Muy Alta",'Mapa final'!$AD$86="Mayor"),CONCATENATE("R28C",'Mapa final'!$R$86),"")</f>
        <v/>
      </c>
      <c r="U33" s="120" t="str">
        <f>IF(AND('Mapa final'!$AB$87="Muy Alta",'Mapa final'!$AD$87="Mayor"),CONCATENATE("R28C",'Mapa final'!$R$87),"")</f>
        <v/>
      </c>
      <c r="V33" s="45" t="str">
        <f>IF(AND('Mapa final'!$AB$85="Muy Alta",'Mapa final'!$AD$85="Catastrófico"),CONCATENATE("R28C",'Mapa final'!$R$85),"")</f>
        <v/>
      </c>
      <c r="W33" s="46" t="str">
        <f>IF(AND('Mapa final'!$AB$86="Muy Alta",'Mapa final'!$AD$86="Catastrófico"),CONCATENATE("R28C",'Mapa final'!$R$86),"")</f>
        <v/>
      </c>
      <c r="X33" s="114" t="str">
        <f>IF(AND('Mapa final'!$AB$87="Muy Alta",'Mapa final'!$AD$87="Catastrófico"),CONCATENATE("R28C",'Mapa final'!$R$87),"")</f>
        <v/>
      </c>
      <c r="Y33" s="58"/>
      <c r="Z33" s="378"/>
      <c r="AA33" s="379"/>
      <c r="AB33" s="379"/>
      <c r="AC33" s="379"/>
      <c r="AD33" s="379"/>
      <c r="AE33" s="380"/>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row>
    <row r="34" spans="1:61" ht="15" customHeight="1" x14ac:dyDescent="0.25">
      <c r="A34" s="58"/>
      <c r="B34" s="356"/>
      <c r="C34" s="356"/>
      <c r="D34" s="357"/>
      <c r="E34" s="371"/>
      <c r="F34" s="372"/>
      <c r="G34" s="372"/>
      <c r="H34" s="372"/>
      <c r="I34" s="370"/>
      <c r="J34" s="119" t="str">
        <f>IF(AND('Mapa final'!$AB$88="Muy Alta",'Mapa final'!$AD$88="Leve"),CONCATENATE("R29C",'Mapa final'!$R$88),"")</f>
        <v/>
      </c>
      <c r="K34" s="44" t="str">
        <f>IF(AND('Mapa final'!$AB$89="Muy Alta",'Mapa final'!$AD$89="Leve"),CONCATENATE("R29C",'Mapa final'!$R$89),"")</f>
        <v/>
      </c>
      <c r="L34" s="120" t="str">
        <f>IF(AND('Mapa final'!$AB$90="Muy Alta",'Mapa final'!$AD$90="Leve"),CONCATENATE("R30C",'Mapa final'!$R$90),"")</f>
        <v/>
      </c>
      <c r="M34" s="119" t="str">
        <f>IF(AND('Mapa final'!$AB$88="Muy Alta",'Mapa final'!$AD$88="Menor"),CONCATENATE("R29C",'Mapa final'!$R$88),"")</f>
        <v/>
      </c>
      <c r="N34" s="44" t="str">
        <f>IF(AND('Mapa final'!$AB$89="Muy Alta",'Mapa final'!$AD$89="Menor"),CONCATENATE("R29C",'Mapa final'!$R$89),"")</f>
        <v/>
      </c>
      <c r="O34" s="44" t="str">
        <f>IF(AND('Mapa final'!$AB$90="Muy Alta",'Mapa final'!$AD$90="Menor"),CONCATENATE("R30C",'Mapa final'!$R$90),"")</f>
        <v/>
      </c>
      <c r="P34" s="119" t="str">
        <f>IF(AND('Mapa final'!$AB$88="Muy Alta",'Mapa final'!$AD$88="Moderado"),CONCATENATE("R29C",'Mapa final'!$R$88),"")</f>
        <v/>
      </c>
      <c r="Q34" s="44" t="str">
        <f>IF(AND('Mapa final'!$AB$89="Muy Alta",'Mapa final'!$AD$89="Moderado"),CONCATENATE("R29C",'Mapa final'!$R$89),"")</f>
        <v/>
      </c>
      <c r="R34" s="120" t="str">
        <f>IF(AND('Mapa final'!$AB$90="Muy Alta",'Mapa final'!$AD$90="Moderado"),CONCATENATE("R30C",'Mapa final'!$R$90),"")</f>
        <v/>
      </c>
      <c r="S34" s="119" t="str">
        <f>IF(AND('Mapa final'!$AB$88="Muy Alta",'Mapa final'!$AD$88="Mayor"),CONCATENATE("R29C",'Mapa final'!$R$88),"")</f>
        <v/>
      </c>
      <c r="T34" s="44" t="str">
        <f>IF(AND('Mapa final'!$AB$89="Muy Alta",'Mapa final'!$AD$89="Mayor"),CONCATENATE("R29C",'Mapa final'!$R$89),"")</f>
        <v/>
      </c>
      <c r="U34" s="120" t="str">
        <f>IF(AND('Mapa final'!$AB$90="Muy Alta",'Mapa final'!$AD$90="Mayor"),CONCATENATE("R30C",'Mapa final'!$R$90),"")</f>
        <v/>
      </c>
      <c r="V34" s="45" t="str">
        <f>IF(AND('Mapa final'!$AB$88="Muy Alta",'Mapa final'!$AD$88="Catastrófico"),CONCATENATE("R29C",'Mapa final'!$R$88),"")</f>
        <v/>
      </c>
      <c r="W34" s="46" t="str">
        <f>IF(AND('Mapa final'!$AB$89="Muy Alta",'Mapa final'!$AD$89="Catastrófico"),CONCATENATE("R29C",'Mapa final'!$R$89),"")</f>
        <v/>
      </c>
      <c r="X34" s="114" t="str">
        <f>IF(AND('Mapa final'!$AB$90="Muy Alta",'Mapa final'!$AD$90="Catastrófico"),CONCATENATE("R30C",'Mapa final'!$R$90),"")</f>
        <v/>
      </c>
      <c r="Y34" s="58"/>
      <c r="Z34" s="378"/>
      <c r="AA34" s="379"/>
      <c r="AB34" s="379"/>
      <c r="AC34" s="379"/>
      <c r="AD34" s="379"/>
      <c r="AE34" s="380"/>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row>
    <row r="35" spans="1:61" ht="15" customHeight="1" x14ac:dyDescent="0.25">
      <c r="A35" s="58"/>
      <c r="B35" s="356"/>
      <c r="C35" s="356"/>
      <c r="D35" s="357"/>
      <c r="E35" s="371"/>
      <c r="F35" s="372"/>
      <c r="G35" s="372"/>
      <c r="H35" s="372"/>
      <c r="I35" s="370"/>
      <c r="J35" s="119" t="str">
        <f>IF(AND('Mapa final'!$AB$91="Muy Alta",'Mapa final'!$AD$91="Leve"),CONCATENATE("R30C",'Mapa final'!$R$91),"")</f>
        <v/>
      </c>
      <c r="K35" s="44" t="str">
        <f>IF(AND('Mapa final'!$AB$92="Muy Alta",'Mapa final'!$AD$92="Leve"),CONCATENATE("R30C",'Mapa final'!$R$92),"")</f>
        <v/>
      </c>
      <c r="L35" s="120" t="str">
        <f>IF(AND('Mapa final'!$AB$93="Muy Alta",'Mapa final'!$AD$93="Leve"),CONCATENATE("R31C",'Mapa final'!$R$93),"")</f>
        <v/>
      </c>
      <c r="M35" s="119" t="str">
        <f>IF(AND('Mapa final'!$AB$91="Muy Alta",'Mapa final'!$AD$91="Menor"),CONCATENATE("R30C",'Mapa final'!$R$91),"")</f>
        <v/>
      </c>
      <c r="N35" s="44" t="str">
        <f>IF(AND('Mapa final'!$AB$92="Muy Alta",'Mapa final'!$AD$92="Menor"),CONCATENATE("R30C",'Mapa final'!$R$92),"")</f>
        <v/>
      </c>
      <c r="O35" s="44" t="str">
        <f>IF(AND('Mapa final'!$AB$93="Muy Alta",'Mapa final'!$AD$93="Menor"),CONCATENATE("R31C",'Mapa final'!$R$93),"")</f>
        <v/>
      </c>
      <c r="P35" s="119" t="str">
        <f>IF(AND('Mapa final'!$AB$91="Muy Alta",'Mapa final'!$AD$91="Moderado"),CONCATENATE("R30C",'Mapa final'!$R$91),"")</f>
        <v/>
      </c>
      <c r="Q35" s="44" t="str">
        <f>IF(AND('Mapa final'!$AB$92="Muy Alta",'Mapa final'!$AD$92="Moderado"),CONCATENATE("R30C",'Mapa final'!$R$92),"")</f>
        <v/>
      </c>
      <c r="R35" s="120" t="str">
        <f>IF(AND('Mapa final'!$AB$93="Muy Alta",'Mapa final'!$AD$93="Moderado"),CONCATENATE("R31C",'Mapa final'!$R$93),"")</f>
        <v/>
      </c>
      <c r="S35" s="119" t="str">
        <f>IF(AND('Mapa final'!$AB$91="Muy Alta",'Mapa final'!$AD$91="Mayor"),CONCATENATE("R30C",'Mapa final'!$R$91),"")</f>
        <v/>
      </c>
      <c r="T35" s="44" t="str">
        <f>IF(AND('Mapa final'!$AB$92="Muy Alta",'Mapa final'!$AD$92="Mayor"),CONCATENATE("R30C",'Mapa final'!$R$92),"")</f>
        <v/>
      </c>
      <c r="U35" s="120" t="str">
        <f>IF(AND('Mapa final'!$AB$93="Muy Alta",'Mapa final'!$AD$93="Mayor"),CONCATENATE("R31C",'Mapa final'!$R$93),"")</f>
        <v/>
      </c>
      <c r="V35" s="45" t="str">
        <f>IF(AND('Mapa final'!$AB$91="Muy Alta",'Mapa final'!$AD$91="Catastrófico"),CONCATENATE("R30C",'Mapa final'!$R$91),"")</f>
        <v/>
      </c>
      <c r="W35" s="46" t="str">
        <f>IF(AND('Mapa final'!$AB$92="Muy Alta",'Mapa final'!$AD$92="Catastrófico"),CONCATENATE("R30C",'Mapa final'!$R$92),"")</f>
        <v/>
      </c>
      <c r="X35" s="114" t="str">
        <f>IF(AND('Mapa final'!$AB$93="Muy Alta",'Mapa final'!$AD$93="Catastrófico"),CONCATENATE("R31C",'Mapa final'!$R$93),"")</f>
        <v/>
      </c>
      <c r="Y35" s="58"/>
      <c r="Z35" s="378"/>
      <c r="AA35" s="379"/>
      <c r="AB35" s="379"/>
      <c r="AC35" s="379"/>
      <c r="AD35" s="379"/>
      <c r="AE35" s="380"/>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row>
    <row r="36" spans="1:61" ht="15" customHeight="1" x14ac:dyDescent="0.25">
      <c r="A36" s="58"/>
      <c r="B36" s="356"/>
      <c r="C36" s="356"/>
      <c r="D36" s="357"/>
      <c r="E36" s="371"/>
      <c r="F36" s="372"/>
      <c r="G36" s="372"/>
      <c r="H36" s="372"/>
      <c r="I36" s="370"/>
      <c r="J36" s="119" t="str">
        <f>IF(AND('Mapa final'!$AB$94="Muy Alta",'Mapa final'!$AD$94="Leve"),CONCATENATE("R31C",'Mapa final'!$R$94),"")</f>
        <v/>
      </c>
      <c r="K36" s="44" t="str">
        <f>IF(AND('Mapa final'!$AB$95="Muy Alta",'Mapa final'!$AD$95="Leve"),CONCATENATE("R31C",'Mapa final'!$R$95),"")</f>
        <v/>
      </c>
      <c r="L36" s="120" t="str">
        <f>IF(AND('Mapa final'!$AB$96="Muy Alta",'Mapa final'!$AD$96="Leve"),CONCATENATE("R32C",'Mapa final'!$R$96),"")</f>
        <v/>
      </c>
      <c r="M36" s="119" t="str">
        <f>IF(AND('Mapa final'!$AB$94="Muy Alta",'Mapa final'!$AD$94="Menor"),CONCATENATE("R31C",'Mapa final'!$R$94),"")</f>
        <v/>
      </c>
      <c r="N36" s="44" t="str">
        <f>IF(AND('Mapa final'!$AB$95="Muy Alta",'Mapa final'!$AD$95="Menor"),CONCATENATE("R31C",'Mapa final'!$R$95),"")</f>
        <v/>
      </c>
      <c r="O36" s="44" t="str">
        <f>IF(AND('Mapa final'!$AB$96="Muy Alta",'Mapa final'!$AD$96="Menor"),CONCATENATE("R32C",'Mapa final'!$R$96),"")</f>
        <v/>
      </c>
      <c r="P36" s="119" t="str">
        <f>IF(AND('Mapa final'!$AB$94="Muy Alta",'Mapa final'!$AD$94="Moderado"),CONCATENATE("R31C",'Mapa final'!$R$94),"")</f>
        <v/>
      </c>
      <c r="Q36" s="44" t="str">
        <f>IF(AND('Mapa final'!$AB$95="Muy Alta",'Mapa final'!$AD$95="Moderado"),CONCATENATE("R31C",'Mapa final'!$R$95),"")</f>
        <v/>
      </c>
      <c r="R36" s="120" t="str">
        <f>IF(AND('Mapa final'!$AB$96="Muy Alta",'Mapa final'!$AD$96="Moderado"),CONCATENATE("R32C",'Mapa final'!$R$96),"")</f>
        <v/>
      </c>
      <c r="S36" s="119" t="str">
        <f>IF(AND('Mapa final'!$AB$94="Muy Alta",'Mapa final'!$AD$94="Mayor"),CONCATENATE("R31C",'Mapa final'!$R$94),"")</f>
        <v/>
      </c>
      <c r="T36" s="44" t="str">
        <f>IF(AND('Mapa final'!$AB$95="Muy Alta",'Mapa final'!$AD$95="Mayor"),CONCATENATE("R31C",'Mapa final'!$R$95),"")</f>
        <v/>
      </c>
      <c r="U36" s="120" t="str">
        <f>IF(AND('Mapa final'!$AB$96="Muy Alta",'Mapa final'!$AD$96="Mayor"),CONCATENATE("R32C",'Mapa final'!$R$96),"")</f>
        <v/>
      </c>
      <c r="V36" s="45" t="str">
        <f>IF(AND('Mapa final'!$AB$94="Muy Alta",'Mapa final'!$AD$94="Catastrófico"),CONCATENATE("R31C",'Mapa final'!$R$94),"")</f>
        <v/>
      </c>
      <c r="W36" s="46" t="str">
        <f>IF(AND('Mapa final'!$AB$95="Muy Alta",'Mapa final'!$AD$95="Catastrófico"),CONCATENATE("R31C",'Mapa final'!$R$95),"")</f>
        <v/>
      </c>
      <c r="X36" s="114" t="str">
        <f>IF(AND('Mapa final'!$AB$96="Muy Alta",'Mapa final'!$AD$96="Catastrófico"),CONCATENATE("R32C",'Mapa final'!$R$96),"")</f>
        <v/>
      </c>
      <c r="Y36" s="58"/>
      <c r="Z36" s="378"/>
      <c r="AA36" s="379"/>
      <c r="AB36" s="379"/>
      <c r="AC36" s="379"/>
      <c r="AD36" s="379"/>
      <c r="AE36" s="380"/>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row>
    <row r="37" spans="1:61" ht="15" customHeight="1" x14ac:dyDescent="0.25">
      <c r="A37" s="58"/>
      <c r="B37" s="356"/>
      <c r="C37" s="356"/>
      <c r="D37" s="357"/>
      <c r="E37" s="371"/>
      <c r="F37" s="372"/>
      <c r="G37" s="372"/>
      <c r="H37" s="372"/>
      <c r="I37" s="370"/>
      <c r="J37" s="119" t="str">
        <f>IF(AND('Mapa final'!$AB$97="Muy Alta",'Mapa final'!$AD$97="Leve"),CONCATENATE("R32C",'Mapa final'!$R$97),"")</f>
        <v/>
      </c>
      <c r="K37" s="44" t="str">
        <f>IF(AND('Mapa final'!$AB$98="Muy Alta",'Mapa final'!$AD$98="Leve"),CONCATENATE("R32C",'Mapa final'!$R$98),"")</f>
        <v/>
      </c>
      <c r="L37" s="120" t="str">
        <f>IF(AND('Mapa final'!$AB$99="Muy Alta",'Mapa final'!$AD$99="Leve"),CONCATENATE("R33C",'Mapa final'!$R$99),"")</f>
        <v/>
      </c>
      <c r="M37" s="119" t="str">
        <f>IF(AND('Mapa final'!$AB$97="Muy Alta",'Mapa final'!$AD$97="Menor"),CONCATENATE("R32C",'Mapa final'!$R$97),"")</f>
        <v/>
      </c>
      <c r="N37" s="44" t="str">
        <f>IF(AND('Mapa final'!$AB$98="Muy Alta",'Mapa final'!$AD$98="Menor"),CONCATENATE("R32C",'Mapa final'!$R$98),"")</f>
        <v/>
      </c>
      <c r="O37" s="44" t="str">
        <f>IF(AND('Mapa final'!$AB$99="Muy Alta",'Mapa final'!$AD$99="Menor"),CONCATENATE("R33C",'Mapa final'!$R$99),"")</f>
        <v/>
      </c>
      <c r="P37" s="119" t="str">
        <f>IF(AND('Mapa final'!$AB$97="Muy Alta",'Mapa final'!$AD$97="Moderado"),CONCATENATE("R32C",'Mapa final'!$R$97),"")</f>
        <v/>
      </c>
      <c r="Q37" s="44" t="str">
        <f>IF(AND('Mapa final'!$AB$98="Muy Alta",'Mapa final'!$AD$98="Moderado"),CONCATENATE("R32C",'Mapa final'!$R$98),"")</f>
        <v/>
      </c>
      <c r="R37" s="120" t="str">
        <f>IF(AND('Mapa final'!$AB$99="Muy Alta",'Mapa final'!$AD$99="Moderado"),CONCATENATE("R33C",'Mapa final'!$R$99),"")</f>
        <v/>
      </c>
      <c r="S37" s="119" t="str">
        <f>IF(AND('Mapa final'!$AB$97="Muy Alta",'Mapa final'!$AD$97="Mayor"),CONCATENATE("R32C",'Mapa final'!$R$97),"")</f>
        <v/>
      </c>
      <c r="T37" s="44" t="str">
        <f>IF(AND('Mapa final'!$AB$98="Muy Alta",'Mapa final'!$AD$98="Mayor"),CONCATENATE("R32C",'Mapa final'!$R$98),"")</f>
        <v/>
      </c>
      <c r="U37" s="120" t="str">
        <f>IF(AND('Mapa final'!$AB$99="Muy Alta",'Mapa final'!$AD$99="Mayor"),CONCATENATE("R33C",'Mapa final'!$R$99),"")</f>
        <v/>
      </c>
      <c r="V37" s="45" t="str">
        <f>IF(AND('Mapa final'!$AB$97="Muy Alta",'Mapa final'!$AD$97="Catastrófico"),CONCATENATE("R32C",'Mapa final'!$R$97),"")</f>
        <v/>
      </c>
      <c r="W37" s="46" t="str">
        <f>IF(AND('Mapa final'!$AB$98="Muy Alta",'Mapa final'!$AD$98="Catastrófico"),CONCATENATE("R32C",'Mapa final'!$R$98),"")</f>
        <v/>
      </c>
      <c r="X37" s="114" t="str">
        <f>IF(AND('Mapa final'!$AB$99="Muy Alta",'Mapa final'!$AD$99="Catastrófico"),CONCATENATE("R33C",'Mapa final'!$R$99),"")</f>
        <v/>
      </c>
      <c r="Y37" s="58"/>
      <c r="Z37" s="378"/>
      <c r="AA37" s="379"/>
      <c r="AB37" s="379"/>
      <c r="AC37" s="379"/>
      <c r="AD37" s="379"/>
      <c r="AE37" s="380"/>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row>
    <row r="38" spans="1:61" ht="15" customHeight="1" x14ac:dyDescent="0.25">
      <c r="A38" s="58"/>
      <c r="B38" s="356"/>
      <c r="C38" s="356"/>
      <c r="D38" s="357"/>
      <c r="E38" s="371"/>
      <c r="F38" s="372"/>
      <c r="G38" s="372"/>
      <c r="H38" s="372"/>
      <c r="I38" s="370"/>
      <c r="J38" s="119" t="str">
        <f>IF(AND('Mapa final'!$AB$100="Muy Alta",'Mapa final'!$AD$100="Leve"),CONCATENATE("R33C",'Mapa final'!$R$100),"")</f>
        <v/>
      </c>
      <c r="K38" s="44" t="str">
        <f>IF(AND('Mapa final'!$AB$101="Muy Alta",'Mapa final'!$AD$101="Leve"),CONCATENATE("R33C",'Mapa final'!$R$101),"")</f>
        <v/>
      </c>
      <c r="L38" s="120" t="str">
        <f>IF(AND('Mapa final'!$AB$102="Muy Alta",'Mapa final'!$AD$102="Leve"),CONCATENATE("R34C",'Mapa final'!$R$102),"")</f>
        <v/>
      </c>
      <c r="M38" s="119" t="str">
        <f>IF(AND('Mapa final'!$AB$100="Muy Alta",'Mapa final'!$AD$100="Menor"),CONCATENATE("R33C",'Mapa final'!$R$100),"")</f>
        <v/>
      </c>
      <c r="N38" s="44" t="str">
        <f>IF(AND('Mapa final'!$AB$101="Muy Alta",'Mapa final'!$AD$101="Menor"),CONCATENATE("R33C",'Mapa final'!$R$101),"")</f>
        <v/>
      </c>
      <c r="O38" s="44" t="str">
        <f>IF(AND('Mapa final'!$AB$102="Muy Alta",'Mapa final'!$AD$102="Menor"),CONCATENATE("R34C",'Mapa final'!$R$102),"")</f>
        <v/>
      </c>
      <c r="P38" s="119" t="str">
        <f>IF(AND('Mapa final'!$AB$100="Muy Alta",'Mapa final'!$AD$100="Moderado"),CONCATENATE("R33C",'Mapa final'!$R$100),"")</f>
        <v/>
      </c>
      <c r="Q38" s="44" t="str">
        <f>IF(AND('Mapa final'!$AB$101="Muy Alta",'Mapa final'!$AD$101="Moderado"),CONCATENATE("R33C",'Mapa final'!$R$101),"")</f>
        <v/>
      </c>
      <c r="R38" s="120" t="str">
        <f>IF(AND('Mapa final'!$AB$102="Muy Alta",'Mapa final'!$AD$102="Moderado"),CONCATENATE("R34C",'Mapa final'!$R$102),"")</f>
        <v/>
      </c>
      <c r="S38" s="119" t="str">
        <f>IF(AND('Mapa final'!$AB$100="Muy Alta",'Mapa final'!$AD$100="Mayor"),CONCATENATE("R33C",'Mapa final'!$R$100),"")</f>
        <v/>
      </c>
      <c r="T38" s="44" t="str">
        <f>IF(AND('Mapa final'!$AB$101="Muy Alta",'Mapa final'!$AD$101="Mayor"),CONCATENATE("R33C",'Mapa final'!$R$101),"")</f>
        <v/>
      </c>
      <c r="U38" s="120" t="str">
        <f>IF(AND('Mapa final'!$AB$102="Muy Alta",'Mapa final'!$AD$102="Mayor"),CONCATENATE("R34C",'Mapa final'!$R$102),"")</f>
        <v/>
      </c>
      <c r="V38" s="45" t="str">
        <f>IF(AND('Mapa final'!$AB$100="Muy Alta",'Mapa final'!$AD$100="Catastrófico"),CONCATENATE("R33C",'Mapa final'!$R$100),"")</f>
        <v/>
      </c>
      <c r="W38" s="46" t="str">
        <f>IF(AND('Mapa final'!$AB$101="Muy Alta",'Mapa final'!$AD$101="Catastrófico"),CONCATENATE("R33C",'Mapa final'!$R$101),"")</f>
        <v/>
      </c>
      <c r="X38" s="114" t="str">
        <f>IF(AND('Mapa final'!$AB$102="Muy Alta",'Mapa final'!$AD$102="Catastrófico"),CONCATENATE("R34C",'Mapa final'!$R$102),"")</f>
        <v/>
      </c>
      <c r="Y38" s="58"/>
      <c r="Z38" s="378"/>
      <c r="AA38" s="379"/>
      <c r="AB38" s="379"/>
      <c r="AC38" s="379"/>
      <c r="AD38" s="379"/>
      <c r="AE38" s="380"/>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row>
    <row r="39" spans="1:61" ht="15" customHeight="1" x14ac:dyDescent="0.25">
      <c r="A39" s="58"/>
      <c r="B39" s="356"/>
      <c r="C39" s="356"/>
      <c r="D39" s="357"/>
      <c r="E39" s="371"/>
      <c r="F39" s="372"/>
      <c r="G39" s="372"/>
      <c r="H39" s="372"/>
      <c r="I39" s="370"/>
      <c r="J39" s="119" t="str">
        <f>IF(AND('Mapa final'!$AB$103="Muy Alta",'Mapa final'!$AD$103="Leve"),CONCATENATE("R34C",'Mapa final'!$R$103),"")</f>
        <v/>
      </c>
      <c r="K39" s="44" t="str">
        <f>IF(AND('Mapa final'!$AB$104="Muy Alta",'Mapa final'!$AD$104="Leve"),CONCATENATE("R34C",'Mapa final'!$R$104),"")</f>
        <v/>
      </c>
      <c r="L39" s="120" t="str">
        <f>IF(AND('Mapa final'!$AB$105="Muy Alta",'Mapa final'!$AD$105="Leve"),CONCATENATE("R35C",'Mapa final'!$R$105),"")</f>
        <v/>
      </c>
      <c r="M39" s="119" t="str">
        <f>IF(AND('Mapa final'!$AB$103="Muy Alta",'Mapa final'!$AD$103="Menor"),CONCATENATE("R34C",'Mapa final'!$R$103),"")</f>
        <v/>
      </c>
      <c r="N39" s="44" t="str">
        <f>IF(AND('Mapa final'!$AB$104="Muy Alta",'Mapa final'!$AD$104="Menor"),CONCATENATE("R34C",'Mapa final'!$R$104),"")</f>
        <v/>
      </c>
      <c r="O39" s="44" t="str">
        <f>IF(AND('Mapa final'!$AB$105="Muy Alta",'Mapa final'!$AD$105="Menor"),CONCATENATE("R35C",'Mapa final'!$R$105),"")</f>
        <v/>
      </c>
      <c r="P39" s="119" t="str">
        <f>IF(AND('Mapa final'!$AB$103="Muy Alta",'Mapa final'!$AD$103="Moderado"),CONCATENATE("R34C",'Mapa final'!$R$103),"")</f>
        <v/>
      </c>
      <c r="Q39" s="44" t="str">
        <f>IF(AND('Mapa final'!$AB$104="Muy Alta",'Mapa final'!$AD$104="Moderado"),CONCATENATE("R34C",'Mapa final'!$R$104),"")</f>
        <v/>
      </c>
      <c r="R39" s="120" t="str">
        <f>IF(AND('Mapa final'!$AB$105="Muy Alta",'Mapa final'!$AD$105="Moderado"),CONCATENATE("R35C",'Mapa final'!$R$105),"")</f>
        <v/>
      </c>
      <c r="S39" s="119" t="str">
        <f>IF(AND('Mapa final'!$AB$103="Muy Alta",'Mapa final'!$AD$103="Mayor"),CONCATENATE("R34C",'Mapa final'!$R$103),"")</f>
        <v/>
      </c>
      <c r="T39" s="44" t="str">
        <f>IF(AND('Mapa final'!$AB$104="Muy Alta",'Mapa final'!$AD$104="Mayor"),CONCATENATE("R34C",'Mapa final'!$R$104),"")</f>
        <v/>
      </c>
      <c r="U39" s="120" t="str">
        <f>IF(AND('Mapa final'!$AB$105="Muy Alta",'Mapa final'!$AD$105="Mayor"),CONCATENATE("R35C",'Mapa final'!$R$105),"")</f>
        <v/>
      </c>
      <c r="V39" s="45" t="str">
        <f>IF(AND('Mapa final'!$AB$103="Muy Alta",'Mapa final'!$AD$103="Catastrófico"),CONCATENATE("R34C",'Mapa final'!$R$103),"")</f>
        <v/>
      </c>
      <c r="W39" s="46" t="str">
        <f>IF(AND('Mapa final'!$AB$104="Muy Alta",'Mapa final'!$AD$104="Catastrófico"),CONCATENATE("R34C",'Mapa final'!$R$104),"")</f>
        <v/>
      </c>
      <c r="X39" s="114" t="str">
        <f>IF(AND('Mapa final'!$AB$105="Muy Alta",'Mapa final'!$AD$105="Catastrófico"),CONCATENATE("R35C",'Mapa final'!$R$105),"")</f>
        <v/>
      </c>
      <c r="Y39" s="58"/>
      <c r="Z39" s="378"/>
      <c r="AA39" s="379"/>
      <c r="AB39" s="379"/>
      <c r="AC39" s="379"/>
      <c r="AD39" s="379"/>
      <c r="AE39" s="380"/>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row>
    <row r="40" spans="1:61" ht="15" customHeight="1" x14ac:dyDescent="0.25">
      <c r="A40" s="58"/>
      <c r="B40" s="356"/>
      <c r="C40" s="356"/>
      <c r="D40" s="357"/>
      <c r="E40" s="371"/>
      <c r="F40" s="372"/>
      <c r="G40" s="372"/>
      <c r="H40" s="372"/>
      <c r="I40" s="370"/>
      <c r="J40" s="119" t="str">
        <f>IF(AND('Mapa final'!$AB$106="Muy Alta",'Mapa final'!$AD$106="Leve"),CONCATENATE("R35C",'Mapa final'!$R$106),"")</f>
        <v/>
      </c>
      <c r="K40" s="44" t="str">
        <f>IF(AND('Mapa final'!$AB$107="Muy Alta",'Mapa final'!$AD$107="Leve"),CONCATENATE("R35C",'Mapa final'!$R$107),"")</f>
        <v/>
      </c>
      <c r="L40" s="120" t="str">
        <f>IF(AND('Mapa final'!$AB$108="Muy Alta",'Mapa final'!$AD$108="Leve"),CONCATENATE("R36C",'Mapa final'!$R$108),"")</f>
        <v/>
      </c>
      <c r="M40" s="119" t="str">
        <f>IF(AND('Mapa final'!$AB$106="Muy Alta",'Mapa final'!$AD$106="Menor"),CONCATENATE("R35C",'Mapa final'!$R$106),"")</f>
        <v/>
      </c>
      <c r="N40" s="44" t="str">
        <f>IF(AND('Mapa final'!$AB$107="Muy Alta",'Mapa final'!$AD$107="Menor"),CONCATENATE("R35C",'Mapa final'!$R$107),"")</f>
        <v/>
      </c>
      <c r="O40" s="44" t="str">
        <f>IF(AND('Mapa final'!$AB$108="Muy Alta",'Mapa final'!$AD$108="Menor"),CONCATENATE("R36C",'Mapa final'!$R$108),"")</f>
        <v/>
      </c>
      <c r="P40" s="119" t="str">
        <f>IF(AND('Mapa final'!$AB$106="Muy Alta",'Mapa final'!$AD$106="Moderado"),CONCATENATE("R35C",'Mapa final'!$R$106),"")</f>
        <v/>
      </c>
      <c r="Q40" s="44" t="str">
        <f>IF(AND('Mapa final'!$AB$107="Muy Alta",'Mapa final'!$AD$107="Moderado"),CONCATENATE("R35C",'Mapa final'!$R$107),"")</f>
        <v/>
      </c>
      <c r="R40" s="120" t="str">
        <f>IF(AND('Mapa final'!$AB$108="Muy Alta",'Mapa final'!$AD$108="Moderado"),CONCATENATE("R36C",'Mapa final'!$R$108),"")</f>
        <v/>
      </c>
      <c r="S40" s="119" t="str">
        <f>IF(AND('Mapa final'!$AB$106="Muy Alta",'Mapa final'!$AD$106="Mayor"),CONCATENATE("R35C",'Mapa final'!$R$106),"")</f>
        <v/>
      </c>
      <c r="T40" s="44" t="str">
        <f>IF(AND('Mapa final'!$AB$107="Muy Alta",'Mapa final'!$AD$107="Mayor"),CONCATENATE("R35C",'Mapa final'!$R$107),"")</f>
        <v/>
      </c>
      <c r="U40" s="120" t="str">
        <f>IF(AND('Mapa final'!$AB$108="Muy Alta",'Mapa final'!$AD$108="Mayor"),CONCATENATE("R36C",'Mapa final'!$R$108),"")</f>
        <v/>
      </c>
      <c r="V40" s="45" t="str">
        <f>IF(AND('Mapa final'!$AB$106="Muy Alta",'Mapa final'!$AD$106="Catastrófico"),CONCATENATE("R35C",'Mapa final'!$R$106),"")</f>
        <v/>
      </c>
      <c r="W40" s="46" t="str">
        <f>IF(AND('Mapa final'!$AB$107="Muy Alta",'Mapa final'!$AD$107="Catastrófico"),CONCATENATE("R35C",'Mapa final'!$R$107),"")</f>
        <v/>
      </c>
      <c r="X40" s="114" t="str">
        <f>IF(AND('Mapa final'!$AB$108="Muy Alta",'Mapa final'!$AD$108="Catastrófico"),CONCATENATE("R36C",'Mapa final'!$R$108),"")</f>
        <v/>
      </c>
      <c r="Y40" s="58"/>
      <c r="Z40" s="378"/>
      <c r="AA40" s="379"/>
      <c r="AB40" s="379"/>
      <c r="AC40" s="379"/>
      <c r="AD40" s="379"/>
      <c r="AE40" s="380"/>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row>
    <row r="41" spans="1:61" ht="15" customHeight="1" x14ac:dyDescent="0.25">
      <c r="A41" s="58"/>
      <c r="B41" s="356"/>
      <c r="C41" s="356"/>
      <c r="D41" s="357"/>
      <c r="E41" s="371"/>
      <c r="F41" s="372"/>
      <c r="G41" s="372"/>
      <c r="H41" s="372"/>
      <c r="I41" s="370"/>
      <c r="J41" s="119" t="str">
        <f>IF(AND('Mapa final'!$AB$109="Muy Alta",'Mapa final'!$AD$109="Leve"),CONCATENATE("R36C",'Mapa final'!$R$109),"")</f>
        <v/>
      </c>
      <c r="K41" s="44" t="str">
        <f>IF(AND('Mapa final'!$AB$110="Muy Alta",'Mapa final'!$AD$110="Leve"),CONCATENATE("R36C",'Mapa final'!$R$110),"")</f>
        <v/>
      </c>
      <c r="L41" s="120" t="str">
        <f>IF(AND('Mapa final'!$AB$111="Muy Alta",'Mapa final'!$AD$111="Leve"),CONCATENATE("R37C",'Mapa final'!$R$111),"")</f>
        <v/>
      </c>
      <c r="M41" s="119" t="str">
        <f>IF(AND('Mapa final'!$AB$109="Muy Alta",'Mapa final'!$AD$109="Menor"),CONCATENATE("R36C",'Mapa final'!$R$109),"")</f>
        <v/>
      </c>
      <c r="N41" s="44" t="str">
        <f>IF(AND('Mapa final'!$AB$110="Muy Alta",'Mapa final'!$AD$110="Menor"),CONCATENATE("R36C",'Mapa final'!$R$110),"")</f>
        <v/>
      </c>
      <c r="O41" s="44" t="str">
        <f>IF(AND('Mapa final'!$AB$111="Muy Alta",'Mapa final'!$AD$111="Menor"),CONCATENATE("R37C",'Mapa final'!$R$111),"")</f>
        <v/>
      </c>
      <c r="P41" s="119" t="str">
        <f>IF(AND('Mapa final'!$AB$109="Muy Alta",'Mapa final'!$AD$109="Moderado"),CONCATENATE("R36C",'Mapa final'!$R$109),"")</f>
        <v/>
      </c>
      <c r="Q41" s="44" t="str">
        <f>IF(AND('Mapa final'!$AB$110="Muy Alta",'Mapa final'!$AD$110="Moderado"),CONCATENATE("R36C",'Mapa final'!$R$110),"")</f>
        <v/>
      </c>
      <c r="R41" s="120" t="str">
        <f>IF(AND('Mapa final'!$AB$111="Muy Alta",'Mapa final'!$AD$111="Moderado"),CONCATENATE("R37C",'Mapa final'!$R$111),"")</f>
        <v/>
      </c>
      <c r="S41" s="119" t="str">
        <f>IF(AND('Mapa final'!$AB$109="Muy Alta",'Mapa final'!$AD$109="Mayor"),CONCATENATE("R36C",'Mapa final'!$R$109),"")</f>
        <v/>
      </c>
      <c r="T41" s="44" t="str">
        <f>IF(AND('Mapa final'!$AB$110="Muy Alta",'Mapa final'!$AD$110="Mayor"),CONCATENATE("R36C",'Mapa final'!$R$110),"")</f>
        <v/>
      </c>
      <c r="U41" s="120" t="str">
        <f>IF(AND('Mapa final'!$AB$111="Muy Alta",'Mapa final'!$AD$111="Mayor"),CONCATENATE("R37C",'Mapa final'!$R$111),"")</f>
        <v/>
      </c>
      <c r="V41" s="45" t="str">
        <f>IF(AND('Mapa final'!$AB$109="Muy Alta",'Mapa final'!$AD$109="Catastrófico"),CONCATENATE("R36C",'Mapa final'!$R$109),"")</f>
        <v/>
      </c>
      <c r="W41" s="46" t="str">
        <f>IF(AND('Mapa final'!$AB$110="Muy Alta",'Mapa final'!$AD$110="Catastrófico"),CONCATENATE("R36C",'Mapa final'!$R$110),"")</f>
        <v/>
      </c>
      <c r="X41" s="114" t="str">
        <f>IF(AND('Mapa final'!$AB$111="Muy Alta",'Mapa final'!$AD$111="Catastrófico"),CONCATENATE("R37C",'Mapa final'!$R$111),"")</f>
        <v/>
      </c>
      <c r="Y41" s="58"/>
      <c r="Z41" s="378"/>
      <c r="AA41" s="379"/>
      <c r="AB41" s="379"/>
      <c r="AC41" s="379"/>
      <c r="AD41" s="379"/>
      <c r="AE41" s="380"/>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row>
    <row r="42" spans="1:61" ht="15" customHeight="1" x14ac:dyDescent="0.25">
      <c r="A42" s="58"/>
      <c r="B42" s="356"/>
      <c r="C42" s="356"/>
      <c r="D42" s="357"/>
      <c r="E42" s="371"/>
      <c r="F42" s="372"/>
      <c r="G42" s="372"/>
      <c r="H42" s="372"/>
      <c r="I42" s="370"/>
      <c r="J42" s="119" t="str">
        <f>IF(AND('Mapa final'!$AB$112="Muy Alta",'Mapa final'!$AD$112="Leve"),CONCATENATE("R37C",'Mapa final'!$R$112),"")</f>
        <v/>
      </c>
      <c r="K42" s="44" t="str">
        <f>IF(AND('Mapa final'!$AB$113="Muy Alta",'Mapa final'!$AD$113="Leve"),CONCATENATE("R37C",'Mapa final'!$R$113),"")</f>
        <v/>
      </c>
      <c r="L42" s="120" t="str">
        <f>IF(AND('Mapa final'!$AB$114="Muy Alta",'Mapa final'!$AD$114="Leve"),CONCATENATE("R38C",'Mapa final'!$R$114),"")</f>
        <v/>
      </c>
      <c r="M42" s="119" t="str">
        <f>IF(AND('Mapa final'!$AB$112="Muy Alta",'Mapa final'!$AD$112="Menor"),CONCATENATE("R37C",'Mapa final'!$R$112),"")</f>
        <v/>
      </c>
      <c r="N42" s="44" t="str">
        <f>IF(AND('Mapa final'!$AB$113="Muy Alta",'Mapa final'!$AD$113="Menor"),CONCATENATE("R37C",'Mapa final'!$R$113),"")</f>
        <v/>
      </c>
      <c r="O42" s="44" t="str">
        <f>IF(AND('Mapa final'!$AB$114="Muy Alta",'Mapa final'!$AD$114="Menor"),CONCATENATE("R38C",'Mapa final'!$R$114),"")</f>
        <v/>
      </c>
      <c r="P42" s="119" t="str">
        <f>IF(AND('Mapa final'!$AB$112="Muy Alta",'Mapa final'!$AD$112="Moderado"),CONCATENATE("R37C",'Mapa final'!$R$112),"")</f>
        <v/>
      </c>
      <c r="Q42" s="44" t="str">
        <f>IF(AND('Mapa final'!$AB$113="Muy Alta",'Mapa final'!$AD$113="Moderado"),CONCATENATE("R37C",'Mapa final'!$R$113),"")</f>
        <v/>
      </c>
      <c r="R42" s="120" t="str">
        <f>IF(AND('Mapa final'!$AB$114="Muy Alta",'Mapa final'!$AD$114="Moderado"),CONCATENATE("R38C",'Mapa final'!$R$114),"")</f>
        <v/>
      </c>
      <c r="S42" s="119" t="str">
        <f>IF(AND('Mapa final'!$AB$112="Muy Alta",'Mapa final'!$AD$112="Mayor"),CONCATENATE("R37C",'Mapa final'!$R$112),"")</f>
        <v/>
      </c>
      <c r="T42" s="44" t="str">
        <f>IF(AND('Mapa final'!$AB$113="Muy Alta",'Mapa final'!$AD$113="Mayor"),CONCATENATE("R37C",'Mapa final'!$R$113),"")</f>
        <v/>
      </c>
      <c r="U42" s="120" t="str">
        <f>IF(AND('Mapa final'!$AB$114="Muy Alta",'Mapa final'!$AD$114="Mayor"),CONCATENATE("R38C",'Mapa final'!$R$114),"")</f>
        <v/>
      </c>
      <c r="V42" s="45" t="str">
        <f>IF(AND('Mapa final'!$AB$112="Muy Alta",'Mapa final'!$AD$112="Catastrófico"),CONCATENATE("R37C",'Mapa final'!$R$112),"")</f>
        <v/>
      </c>
      <c r="W42" s="46" t="str">
        <f>IF(AND('Mapa final'!$AB$113="Muy Alta",'Mapa final'!$AD$113="Catastrófico"),CONCATENATE("R37C",'Mapa final'!$R$113),"")</f>
        <v/>
      </c>
      <c r="X42" s="114" t="str">
        <f>IF(AND('Mapa final'!$AB$114="Muy Alta",'Mapa final'!$AD$114="Catastrófico"),CONCATENATE("R38C",'Mapa final'!$R$114),"")</f>
        <v/>
      </c>
      <c r="Y42" s="58"/>
      <c r="Z42" s="378"/>
      <c r="AA42" s="379"/>
      <c r="AB42" s="379"/>
      <c r="AC42" s="379"/>
      <c r="AD42" s="379"/>
      <c r="AE42" s="380"/>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row>
    <row r="43" spans="1:61" ht="15" customHeight="1" x14ac:dyDescent="0.25">
      <c r="A43" s="58"/>
      <c r="B43" s="356"/>
      <c r="C43" s="356"/>
      <c r="D43" s="357"/>
      <c r="E43" s="371"/>
      <c r="F43" s="372"/>
      <c r="G43" s="372"/>
      <c r="H43" s="372"/>
      <c r="I43" s="370"/>
      <c r="J43" s="119" t="str">
        <f>IF(AND('Mapa final'!$AB$115="Muy Alta",'Mapa final'!$AD$115="Leve"),CONCATENATE("R38C",'Mapa final'!$R$115),"")</f>
        <v/>
      </c>
      <c r="K43" s="44" t="str">
        <f>IF(AND('Mapa final'!$AB$116="Muy Alta",'Mapa final'!$AD$116="Leve"),CONCATENATE("R38C",'Mapa final'!$R$116),"")</f>
        <v/>
      </c>
      <c r="L43" s="120" t="str">
        <f>IF(AND('Mapa final'!$AB$117="Muy Alta",'Mapa final'!$AD$117="Leve"),CONCATENATE("R39C",'Mapa final'!$R$117),"")</f>
        <v/>
      </c>
      <c r="M43" s="119" t="str">
        <f>IF(AND('Mapa final'!$AB$115="Muy Alta",'Mapa final'!$AD$115="Menor"),CONCATENATE("R38C",'Mapa final'!$R$115),"")</f>
        <v/>
      </c>
      <c r="N43" s="44" t="str">
        <f>IF(AND('Mapa final'!$AB$116="Muy Alta",'Mapa final'!$AD$116="Menor"),CONCATENATE("R38C",'Mapa final'!$R$116),"")</f>
        <v/>
      </c>
      <c r="O43" s="44" t="str">
        <f>IF(AND('Mapa final'!$AB$117="Muy Alta",'Mapa final'!$AD$117="Menor"),CONCATENATE("R39C",'Mapa final'!$R$117),"")</f>
        <v/>
      </c>
      <c r="P43" s="119" t="str">
        <f>IF(AND('Mapa final'!$AB$115="Muy Alta",'Mapa final'!$AD$115="Moderado"),CONCATENATE("R38C",'Mapa final'!$R$115),"")</f>
        <v/>
      </c>
      <c r="Q43" s="44" t="str">
        <f>IF(AND('Mapa final'!$AB$116="Muy Alta",'Mapa final'!$AD$116="Moderado"),CONCATENATE("R38C",'Mapa final'!$R$116),"")</f>
        <v/>
      </c>
      <c r="R43" s="120" t="str">
        <f>IF(AND('Mapa final'!$AB$117="Muy Alta",'Mapa final'!$AD$117="Moderado"),CONCATENATE("R39C",'Mapa final'!$R$117),"")</f>
        <v/>
      </c>
      <c r="S43" s="119" t="str">
        <f>IF(AND('Mapa final'!$AB$115="Muy Alta",'Mapa final'!$AD$115="Mayor"),CONCATENATE("R38C",'Mapa final'!$R$115),"")</f>
        <v/>
      </c>
      <c r="T43" s="44" t="str">
        <f>IF(AND('Mapa final'!$AB$116="Muy Alta",'Mapa final'!$AD$116="Mayor"),CONCATENATE("R38C",'Mapa final'!$R$116),"")</f>
        <v/>
      </c>
      <c r="U43" s="120" t="str">
        <f>IF(AND('Mapa final'!$AB$117="Muy Alta",'Mapa final'!$AD$117="Mayor"),CONCATENATE("R39C",'Mapa final'!$R$117),"")</f>
        <v/>
      </c>
      <c r="V43" s="45" t="str">
        <f>IF(AND('Mapa final'!$AB$115="Muy Alta",'Mapa final'!$AD$115="Catastrófico"),CONCATENATE("R38C",'Mapa final'!$R$115),"")</f>
        <v/>
      </c>
      <c r="W43" s="46" t="str">
        <f>IF(AND('Mapa final'!$AB$116="Muy Alta",'Mapa final'!$AD$116="Catastrófico"),CONCATENATE("R38C",'Mapa final'!$R$116),"")</f>
        <v/>
      </c>
      <c r="X43" s="114" t="str">
        <f>IF(AND('Mapa final'!$AB$117="Muy Alta",'Mapa final'!$AD$117="Catastrófico"),CONCATENATE("R39C",'Mapa final'!$R$117),"")</f>
        <v/>
      </c>
      <c r="Y43" s="58"/>
      <c r="Z43" s="378"/>
      <c r="AA43" s="379"/>
      <c r="AB43" s="379"/>
      <c r="AC43" s="379"/>
      <c r="AD43" s="379"/>
      <c r="AE43" s="380"/>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row>
    <row r="44" spans="1:61" ht="15" customHeight="1" x14ac:dyDescent="0.25">
      <c r="A44" s="58"/>
      <c r="B44" s="356"/>
      <c r="C44" s="356"/>
      <c r="D44" s="357"/>
      <c r="E44" s="371"/>
      <c r="F44" s="372"/>
      <c r="G44" s="372"/>
      <c r="H44" s="372"/>
      <c r="I44" s="370"/>
      <c r="J44" s="119" t="str">
        <f>IF(AND('Mapa final'!$AB$118="Muy Alta",'Mapa final'!$AD$118="Leve"),CONCATENATE("R39C",'Mapa final'!$R$118),"")</f>
        <v/>
      </c>
      <c r="K44" s="44" t="str">
        <f>IF(AND('Mapa final'!$AB$119="Muy Alta",'Mapa final'!$AD$119="Leve"),CONCATENATE("R39C",'Mapa final'!$R$119),"")</f>
        <v/>
      </c>
      <c r="L44" s="120" t="str">
        <f>IF(AND('Mapa final'!$AB$120="Muy Alta",'Mapa final'!$AD$120="Leve"),CONCATENATE("R40C",'Mapa final'!$R$120),"")</f>
        <v/>
      </c>
      <c r="M44" s="119" t="str">
        <f>IF(AND('Mapa final'!$AB$118="Muy Alta",'Mapa final'!$AD$118="Menor"),CONCATENATE("R39C",'Mapa final'!$R$118),"")</f>
        <v/>
      </c>
      <c r="N44" s="44" t="str">
        <f>IF(AND('Mapa final'!$AB$119="Muy Alta",'Mapa final'!$AD$119="Menor"),CONCATENATE("R39C",'Mapa final'!$R$119),"")</f>
        <v/>
      </c>
      <c r="O44" s="44" t="str">
        <f>IF(AND('Mapa final'!$AB$120="Muy Alta",'Mapa final'!$AD$120="Menor"),CONCATENATE("R40C",'Mapa final'!$R$120),"")</f>
        <v/>
      </c>
      <c r="P44" s="119" t="str">
        <f>IF(AND('Mapa final'!$AB$118="Muy Alta",'Mapa final'!$AD$118="Moderado"),CONCATENATE("R39C",'Mapa final'!$R$118),"")</f>
        <v/>
      </c>
      <c r="Q44" s="44" t="str">
        <f>IF(AND('Mapa final'!$AB$119="Muy Alta",'Mapa final'!$AD$119="Moderado"),CONCATENATE("R39C",'Mapa final'!$R$119),"")</f>
        <v/>
      </c>
      <c r="R44" s="120" t="str">
        <f>IF(AND('Mapa final'!$AB$120="Muy Alta",'Mapa final'!$AD$120="Moderado"),CONCATENATE("R40C",'Mapa final'!$R$120),"")</f>
        <v/>
      </c>
      <c r="S44" s="119" t="str">
        <f>IF(AND('Mapa final'!$AB$118="Muy Alta",'Mapa final'!$AD$118="Mayor"),CONCATENATE("R39C",'Mapa final'!$R$118),"")</f>
        <v/>
      </c>
      <c r="T44" s="44" t="str">
        <f>IF(AND('Mapa final'!$AB$119="Muy Alta",'Mapa final'!$AD$119="Mayor"),CONCATENATE("R39C",'Mapa final'!$R$119),"")</f>
        <v/>
      </c>
      <c r="U44" s="120" t="str">
        <f>IF(AND('Mapa final'!$AB$120="Muy Alta",'Mapa final'!$AD$120="Mayor"),CONCATENATE("R40C",'Mapa final'!$R$120),"")</f>
        <v/>
      </c>
      <c r="V44" s="45" t="str">
        <f>IF(AND('Mapa final'!$AB$118="Muy Alta",'Mapa final'!$AD$118="Catastrófico"),CONCATENATE("R39C",'Mapa final'!$R$118),"")</f>
        <v/>
      </c>
      <c r="W44" s="46" t="str">
        <f>IF(AND('Mapa final'!$AB$119="Muy Alta",'Mapa final'!$AD$119="Catastrófico"),CONCATENATE("R39C",'Mapa final'!$R$119),"")</f>
        <v/>
      </c>
      <c r="X44" s="114" t="str">
        <f>IF(AND('Mapa final'!$AB$120="Muy Alta",'Mapa final'!$AD$120="Catastrófico"),CONCATENATE("R40C",'Mapa final'!$R$120),"")</f>
        <v/>
      </c>
      <c r="Y44" s="58"/>
      <c r="Z44" s="378"/>
      <c r="AA44" s="379"/>
      <c r="AB44" s="379"/>
      <c r="AC44" s="379"/>
      <c r="AD44" s="379"/>
      <c r="AE44" s="380"/>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row>
    <row r="45" spans="1:61" ht="15" customHeight="1" x14ac:dyDescent="0.25">
      <c r="A45" s="58"/>
      <c r="B45" s="356"/>
      <c r="C45" s="356"/>
      <c r="D45" s="357"/>
      <c r="E45" s="371"/>
      <c r="F45" s="372"/>
      <c r="G45" s="372"/>
      <c r="H45" s="372"/>
      <c r="I45" s="370"/>
      <c r="J45" s="119" t="str">
        <f>IF(AND('Mapa final'!$AB$121="Muy Alta",'Mapa final'!$AD$121="Leve"),CONCATENATE("R40C",'Mapa final'!$R$121),"")</f>
        <v/>
      </c>
      <c r="K45" s="44" t="str">
        <f>IF(AND('Mapa final'!$AB$122="Muy Alta",'Mapa final'!$AD$122="Leve"),CONCATENATE("R40C",'Mapa final'!$R$122),"")</f>
        <v/>
      </c>
      <c r="L45" s="120" t="str">
        <f>IF(AND('Mapa final'!$AB$123="Muy Alta",'Mapa final'!$AD$123="Leve"),CONCATENATE("R40C",'Mapa final'!$R$123),"")</f>
        <v/>
      </c>
      <c r="M45" s="119" t="str">
        <f>IF(AND('Mapa final'!$AB$121="Muy Alta",'Mapa final'!$AD$121="Menor"),CONCATENATE("R40C",'Mapa final'!$R$121),"")</f>
        <v/>
      </c>
      <c r="N45" s="44" t="str">
        <f>IF(AND('Mapa final'!$AB$122="Muy Alta",'Mapa final'!$AD$122="Menor"),CONCATENATE("R40C",'Mapa final'!$R$122),"")</f>
        <v/>
      </c>
      <c r="O45" s="44" t="str">
        <f>IF(AND('Mapa final'!$AB$123="Muy Alta",'Mapa final'!$AD$123="Menor"),CONCATENATE("R40C",'Mapa final'!$R$123),"")</f>
        <v/>
      </c>
      <c r="P45" s="119" t="str">
        <f>IF(AND('Mapa final'!$AB$121="Muy Alta",'Mapa final'!$AD$121="Moderado"),CONCATENATE("R40C",'Mapa final'!$R$121),"")</f>
        <v/>
      </c>
      <c r="Q45" s="44" t="str">
        <f>IF(AND('Mapa final'!$AB$122="Muy Alta",'Mapa final'!$AD$122="Moderado"),CONCATENATE("R40C",'Mapa final'!$R$122),"")</f>
        <v/>
      </c>
      <c r="R45" s="120" t="str">
        <f>IF(AND('Mapa final'!$AB$123="Muy Alta",'Mapa final'!$AD$123="Moderado"),CONCATENATE("R40C",'Mapa final'!$R$123),"")</f>
        <v/>
      </c>
      <c r="S45" s="119" t="str">
        <f>IF(AND('Mapa final'!$AB$121="Muy Alta",'Mapa final'!$AD$121="Mayor"),CONCATENATE("R40C",'Mapa final'!$R$121),"")</f>
        <v/>
      </c>
      <c r="T45" s="44" t="str">
        <f>IF(AND('Mapa final'!$AB$122="Muy Alta",'Mapa final'!$AD$122="Mayor"),CONCATENATE("R40C",'Mapa final'!$R$122),"")</f>
        <v/>
      </c>
      <c r="U45" s="120" t="str">
        <f>IF(AND('Mapa final'!$AB$123="Muy Alta",'Mapa final'!$AD$123="Mayor"),CONCATENATE("R40C",'Mapa final'!$R$123),"")</f>
        <v/>
      </c>
      <c r="V45" s="45" t="str">
        <f>IF(AND('Mapa final'!$AB$121="Muy Alta",'Mapa final'!$AD$121="Catastrófico"),CONCATENATE("R40C",'Mapa final'!$R$121),"")</f>
        <v/>
      </c>
      <c r="W45" s="46" t="str">
        <f>IF(AND('Mapa final'!$AB$122="Muy Alta",'Mapa final'!$AD$122="Catastrófico"),CONCATENATE("R40C",'Mapa final'!$R$122),"")</f>
        <v/>
      </c>
      <c r="X45" s="114" t="str">
        <f>IF(AND('Mapa final'!$AB$123="Muy Alta",'Mapa final'!$AD$123="Catastrófico"),CONCATENATE("R40C",'Mapa final'!$R$123),"")</f>
        <v/>
      </c>
      <c r="Y45" s="58"/>
      <c r="Z45" s="378"/>
      <c r="AA45" s="379"/>
      <c r="AB45" s="379"/>
      <c r="AC45" s="379"/>
      <c r="AD45" s="379"/>
      <c r="AE45" s="380"/>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row>
    <row r="46" spans="1:61" ht="15" customHeight="1" x14ac:dyDescent="0.25">
      <c r="A46" s="58"/>
      <c r="B46" s="356"/>
      <c r="C46" s="356"/>
      <c r="D46" s="357"/>
      <c r="E46" s="371"/>
      <c r="F46" s="372"/>
      <c r="G46" s="372"/>
      <c r="H46" s="372"/>
      <c r="I46" s="370"/>
      <c r="J46" s="119" t="str">
        <f>IF(AND('Mapa final'!$AB$124="Muy Alta",'Mapa final'!$AD$124="Leve"),CONCATENATE("R41C",'Mapa final'!$R$124),"")</f>
        <v/>
      </c>
      <c r="K46" s="44" t="str">
        <f>IF(AND('Mapa final'!$AB$125="Muy Alta",'Mapa final'!$AD$125="Leve"),CONCATENATE("R41C",'Mapa final'!$R$125),"")</f>
        <v/>
      </c>
      <c r="L46" s="120" t="str">
        <f>IF(AND('Mapa final'!$AB$126="Muy Alta",'Mapa final'!$AD$126="Leve"),CONCATENATE("R41C",'Mapa final'!$R$126),"")</f>
        <v/>
      </c>
      <c r="M46" s="119" t="str">
        <f>IF(AND('Mapa final'!$AB$124="Muy Alta",'Mapa final'!$AD$124="Menor"),CONCATENATE("R41C",'Mapa final'!$R$124),"")</f>
        <v/>
      </c>
      <c r="N46" s="44" t="str">
        <f>IF(AND('Mapa final'!$AB$125="Muy Alta",'Mapa final'!$AD$125="Menor"),CONCATENATE("R41C",'Mapa final'!$R$125),"")</f>
        <v/>
      </c>
      <c r="O46" s="44" t="str">
        <f>IF(AND('Mapa final'!$AB$126="Muy Alta",'Mapa final'!$AD$126="Menor"),CONCATENATE("R41C",'Mapa final'!$R$126),"")</f>
        <v/>
      </c>
      <c r="P46" s="119" t="str">
        <f>IF(AND('Mapa final'!$AB$124="Muy Alta",'Mapa final'!$AD$124="Moderado"),CONCATENATE("R41C",'Mapa final'!$R$124),"")</f>
        <v/>
      </c>
      <c r="Q46" s="44" t="str">
        <f>IF(AND('Mapa final'!$AB$125="Muy Alta",'Mapa final'!$AD$125="Moderado"),CONCATENATE("R41C",'Mapa final'!$R$125),"")</f>
        <v/>
      </c>
      <c r="R46" s="120" t="str">
        <f>IF(AND('Mapa final'!$AB$126="Muy Alta",'Mapa final'!$AD$126="Moderado"),CONCATENATE("R41C",'Mapa final'!$R$126),"")</f>
        <v/>
      </c>
      <c r="S46" s="119" t="str">
        <f>IF(AND('Mapa final'!$AB$124="Muy Alta",'Mapa final'!$AD$124="Mayor"),CONCATENATE("R41C",'Mapa final'!$R$124),"")</f>
        <v/>
      </c>
      <c r="T46" s="44" t="str">
        <f>IF(AND('Mapa final'!$AB$125="Muy Alta",'Mapa final'!$AD$125="Mayor"),CONCATENATE("R41C",'Mapa final'!$R$125),"")</f>
        <v/>
      </c>
      <c r="U46" s="120" t="str">
        <f>IF(AND('Mapa final'!$AB$126="Muy Alta",'Mapa final'!$AD$126="Mayor"),CONCATENATE("R41C",'Mapa final'!$R$126),"")</f>
        <v/>
      </c>
      <c r="V46" s="45" t="str">
        <f>IF(AND('Mapa final'!$AB$124="Muy Alta",'Mapa final'!$AD$124="Catastrófico"),CONCATENATE("R41C",'Mapa final'!$R$124),"")</f>
        <v/>
      </c>
      <c r="W46" s="46" t="str">
        <f>IF(AND('Mapa final'!$AB$125="Muy Alta",'Mapa final'!$AD$125="Catastrófico"),CONCATENATE("R41C",'Mapa final'!$R$125),"")</f>
        <v/>
      </c>
      <c r="X46" s="114" t="str">
        <f>IF(AND('Mapa final'!$AB$126="Muy Alta",'Mapa final'!$AD$126="Catastrófico"),CONCATENATE("R41C",'Mapa final'!$R$126),"")</f>
        <v/>
      </c>
      <c r="Y46" s="58"/>
      <c r="Z46" s="378"/>
      <c r="AA46" s="379"/>
      <c r="AB46" s="379"/>
      <c r="AC46" s="379"/>
      <c r="AD46" s="379"/>
      <c r="AE46" s="380"/>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row>
    <row r="47" spans="1:61" ht="15" customHeight="1" x14ac:dyDescent="0.25">
      <c r="A47" s="58"/>
      <c r="B47" s="356"/>
      <c r="C47" s="356"/>
      <c r="D47" s="357"/>
      <c r="E47" s="371"/>
      <c r="F47" s="372"/>
      <c r="G47" s="372"/>
      <c r="H47" s="372"/>
      <c r="I47" s="370"/>
      <c r="J47" s="119" t="str">
        <f>IF(AND('Mapa final'!$AB$127="Muy Alta",'Mapa final'!$AD$127="Leve"),CONCATENATE("R42C",'Mapa final'!$R$127),"")</f>
        <v/>
      </c>
      <c r="K47" s="44" t="str">
        <f>IF(AND('Mapa final'!$AB$128="Muy Alta",'Mapa final'!$AD$128="Leve"),CONCATENATE("R42C",'Mapa final'!$R$128),"")</f>
        <v/>
      </c>
      <c r="L47" s="120" t="str">
        <f>IF(AND('Mapa final'!$AB$129="Muy Alta",'Mapa final'!$AD$129="Leve"),CONCATENATE("R2C",'Mapa final'!$R$129),"")</f>
        <v/>
      </c>
      <c r="M47" s="119" t="str">
        <f>IF(AND('Mapa final'!$AB$127="Muy Alta",'Mapa final'!$AD$127="Menor"),CONCATENATE("R42C",'Mapa final'!$R$127),"")</f>
        <v/>
      </c>
      <c r="N47" s="44" t="str">
        <f>IF(AND('Mapa final'!$AB$128="Muy Alta",'Mapa final'!$AD$128="Menor"),CONCATENATE("R42C",'Mapa final'!$R$128),"")</f>
        <v/>
      </c>
      <c r="O47" s="44" t="str">
        <f>IF(AND('Mapa final'!$AB$129="Muy Alta",'Mapa final'!$AD$129="Menor"),CONCATENATE("R2C",'Mapa final'!$R$129),"")</f>
        <v/>
      </c>
      <c r="P47" s="119" t="str">
        <f>IF(AND('Mapa final'!$AB$127="Muy Alta",'Mapa final'!$AD$127="Moderado"),CONCATENATE("R42C",'Mapa final'!$R$127),"")</f>
        <v/>
      </c>
      <c r="Q47" s="44" t="str">
        <f>IF(AND('Mapa final'!$AB$128="Muy Alta",'Mapa final'!$AD$128="Moderado"),CONCATENATE("R42C",'Mapa final'!$R$128),"")</f>
        <v/>
      </c>
      <c r="R47" s="120" t="str">
        <f>IF(AND('Mapa final'!$AB$129="Muy Alta",'Mapa final'!$AD$129="Moderado"),CONCATENATE("R2C",'Mapa final'!$R$129),"")</f>
        <v/>
      </c>
      <c r="S47" s="119" t="str">
        <f>IF(AND('Mapa final'!$AB$127="Muy Alta",'Mapa final'!$AD$127="Mayor"),CONCATENATE("R42C",'Mapa final'!$R$127),"")</f>
        <v/>
      </c>
      <c r="T47" s="44" t="str">
        <f>IF(AND('Mapa final'!$AB$128="Muy Alta",'Mapa final'!$AD$128="Mayor"),CONCATENATE("R42C",'Mapa final'!$R$128),"")</f>
        <v/>
      </c>
      <c r="U47" s="120" t="str">
        <f>IF(AND('Mapa final'!$AB$129="Muy Alta",'Mapa final'!$AD$129="Mayor"),CONCATENATE("R2C",'Mapa final'!$R$129),"")</f>
        <v/>
      </c>
      <c r="V47" s="45" t="str">
        <f>IF(AND('Mapa final'!$AB$127="Muy Alta",'Mapa final'!$AD$127="Catastrófico"),CONCATENATE("R42C",'Mapa final'!$R$127),"")</f>
        <v/>
      </c>
      <c r="W47" s="46" t="str">
        <f>IF(AND('Mapa final'!$AB$128="Muy Alta",'Mapa final'!$AD$128="Catastrófico"),CONCATENATE("R42C",'Mapa final'!$R$128),"")</f>
        <v/>
      </c>
      <c r="X47" s="114" t="str">
        <f>IF(AND('Mapa final'!$AB$129="Muy Alta",'Mapa final'!$AD$129="Catastrófico"),CONCATENATE("R2C",'Mapa final'!$R$129),"")</f>
        <v/>
      </c>
      <c r="Y47" s="58"/>
      <c r="Z47" s="378"/>
      <c r="AA47" s="379"/>
      <c r="AB47" s="379"/>
      <c r="AC47" s="379"/>
      <c r="AD47" s="379"/>
      <c r="AE47" s="380"/>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row>
    <row r="48" spans="1:61" ht="15" customHeight="1" x14ac:dyDescent="0.25">
      <c r="A48" s="58"/>
      <c r="B48" s="356"/>
      <c r="C48" s="356"/>
      <c r="D48" s="357"/>
      <c r="E48" s="371"/>
      <c r="F48" s="372"/>
      <c r="G48" s="372"/>
      <c r="H48" s="372"/>
      <c r="I48" s="370"/>
      <c r="J48" s="119" t="str">
        <f>IF(AND('Mapa final'!$AB$130="Muy Alta",'Mapa final'!$AD$130="Leve"),CONCATENATE("R43C",'Mapa final'!$R$130),"")</f>
        <v/>
      </c>
      <c r="K48" s="44" t="str">
        <f>IF(AND('Mapa final'!$AB$131="Muy Alta",'Mapa final'!$AD$131="Leve"),CONCATENATE("R43C",'Mapa final'!$R$131),"")</f>
        <v/>
      </c>
      <c r="L48" s="120" t="str">
        <f>IF(AND('Mapa final'!$AB$132="Muy Alta",'Mapa final'!$AD$132="Leve"),CONCATENATE("R43C",'Mapa final'!$R$132),"")</f>
        <v/>
      </c>
      <c r="M48" s="119" t="str">
        <f>IF(AND('Mapa final'!$AB$130="Muy Alta",'Mapa final'!$AD$130="Menor"),CONCATENATE("R43C",'Mapa final'!$R$130),"")</f>
        <v/>
      </c>
      <c r="N48" s="44" t="str">
        <f>IF(AND('Mapa final'!$AB$131="Muy Alta",'Mapa final'!$AD$131="Menor"),CONCATENATE("R43C",'Mapa final'!$R$131),"")</f>
        <v/>
      </c>
      <c r="O48" s="44" t="str">
        <f>IF(AND('Mapa final'!$AB$132="Muy Alta",'Mapa final'!$AD$132="Menor"),CONCATENATE("R43C",'Mapa final'!$R$132),"")</f>
        <v/>
      </c>
      <c r="P48" s="119" t="str">
        <f>IF(AND('Mapa final'!$AB$130="Muy Alta",'Mapa final'!$AD$130="Moderado"),CONCATENATE("R43C",'Mapa final'!$R$130),"")</f>
        <v/>
      </c>
      <c r="Q48" s="44" t="str">
        <f>IF(AND('Mapa final'!$AB$131="Muy Alta",'Mapa final'!$AD$131="Moderado"),CONCATENATE("R43C",'Mapa final'!$R$131),"")</f>
        <v/>
      </c>
      <c r="R48" s="120" t="str">
        <f>IF(AND('Mapa final'!$AB$132="Muy Alta",'Mapa final'!$AD$132="Moderado"),CONCATENATE("R43C",'Mapa final'!$R$132),"")</f>
        <v/>
      </c>
      <c r="S48" s="119" t="str">
        <f>IF(AND('Mapa final'!$AB$130="Muy Alta",'Mapa final'!$AD$130="Mayor"),CONCATENATE("R43C",'Mapa final'!$R$130),"")</f>
        <v/>
      </c>
      <c r="T48" s="44" t="str">
        <f>IF(AND('Mapa final'!$AB$131="Muy Alta",'Mapa final'!$AD$131="Mayor"),CONCATENATE("R43C",'Mapa final'!$R$131),"")</f>
        <v/>
      </c>
      <c r="U48" s="120" t="str">
        <f>IF(AND('Mapa final'!$AB$132="Muy Alta",'Mapa final'!$AD$132="Mayor"),CONCATENATE("R43C",'Mapa final'!$R$132),"")</f>
        <v/>
      </c>
      <c r="V48" s="45" t="str">
        <f>IF(AND('Mapa final'!$AB$130="Muy Alta",'Mapa final'!$AD$130="Catastrófico"),CONCATENATE("R43C",'Mapa final'!$R$130),"")</f>
        <v/>
      </c>
      <c r="W48" s="46" t="str">
        <f>IF(AND('Mapa final'!$AB$131="Muy Alta",'Mapa final'!$AD$131="Catastrófico"),CONCATENATE("R43C",'Mapa final'!$R$131),"")</f>
        <v/>
      </c>
      <c r="X48" s="114" t="str">
        <f>IF(AND('Mapa final'!$AB$132="Muy Alta",'Mapa final'!$AD$132="Catastrófico"),CONCATENATE("R43C",'Mapa final'!$R$132),"")</f>
        <v/>
      </c>
      <c r="Y48" s="58"/>
      <c r="Z48" s="378"/>
      <c r="AA48" s="379"/>
      <c r="AB48" s="379"/>
      <c r="AC48" s="379"/>
      <c r="AD48" s="379"/>
      <c r="AE48" s="380"/>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row>
    <row r="49" spans="1:61" ht="15" customHeight="1" x14ac:dyDescent="0.25">
      <c r="A49" s="58"/>
      <c r="B49" s="356"/>
      <c r="C49" s="356"/>
      <c r="D49" s="357"/>
      <c r="E49" s="371"/>
      <c r="F49" s="372"/>
      <c r="G49" s="372"/>
      <c r="H49" s="372"/>
      <c r="I49" s="370"/>
      <c r="J49" s="119" t="str">
        <f>IF(AND('Mapa final'!$AB$133="Muy Alta",'Mapa final'!$AD$133="Leve"),CONCATENATE("R44C",'Mapa final'!$R$133),"")</f>
        <v/>
      </c>
      <c r="K49" s="44" t="str">
        <f>IF(AND('Mapa final'!$AB$134="Muy Alta",'Mapa final'!$AD$134="Leve"),CONCATENATE("R44C",'Mapa final'!$R$134),"")</f>
        <v/>
      </c>
      <c r="L49" s="120" t="str">
        <f>IF(AND('Mapa final'!$AB$135="Muy Alta",'Mapa final'!$AD$135="Leve"),CONCATENATE("R44C",'Mapa final'!$R$135),"")</f>
        <v/>
      </c>
      <c r="M49" s="119" t="str">
        <f>IF(AND('Mapa final'!$AB$133="Muy Alta",'Mapa final'!$AD$133="Menor"),CONCATENATE("R44C",'Mapa final'!$R$133),"")</f>
        <v/>
      </c>
      <c r="N49" s="44" t="str">
        <f>IF(AND('Mapa final'!$AB$134="Muy Alta",'Mapa final'!$AD$134="Menor"),CONCATENATE("R44C",'Mapa final'!$R$134),"")</f>
        <v/>
      </c>
      <c r="O49" s="44" t="str">
        <f>IF(AND('Mapa final'!$AB$135="Muy Alta",'Mapa final'!$AD$135="Menor"),CONCATENATE("R44C",'Mapa final'!$R$135),"")</f>
        <v/>
      </c>
      <c r="P49" s="119" t="str">
        <f>IF(AND('Mapa final'!$AB$133="Muy Alta",'Mapa final'!$AD$133="Moderado"),CONCATENATE("R44C",'Mapa final'!$R$133),"")</f>
        <v/>
      </c>
      <c r="Q49" s="44" t="str">
        <f>IF(AND('Mapa final'!$AB$134="Muy Alta",'Mapa final'!$AD$134="Moderado"),CONCATENATE("R44C",'Mapa final'!$R$134),"")</f>
        <v/>
      </c>
      <c r="R49" s="120" t="str">
        <f>IF(AND('Mapa final'!$AB$135="Muy Alta",'Mapa final'!$AD$135="Moderado"),CONCATENATE("R44C",'Mapa final'!$R$135),"")</f>
        <v/>
      </c>
      <c r="S49" s="119" t="str">
        <f>IF(AND('Mapa final'!$AB$133="Muy Alta",'Mapa final'!$AD$133="Mayor"),CONCATENATE("R44C",'Mapa final'!$R$133),"")</f>
        <v/>
      </c>
      <c r="T49" s="44" t="str">
        <f>IF(AND('Mapa final'!$AB$134="Muy Alta",'Mapa final'!$AD$134="Mayor"),CONCATENATE("R44C",'Mapa final'!$R$134),"")</f>
        <v/>
      </c>
      <c r="U49" s="120" t="str">
        <f>IF(AND('Mapa final'!$AB$135="Muy Alta",'Mapa final'!$AD$135="Mayor"),CONCATENATE("R44C",'Mapa final'!$R$135),"")</f>
        <v/>
      </c>
      <c r="V49" s="45" t="str">
        <f>IF(AND('Mapa final'!$AB$133="Muy Alta",'Mapa final'!$AD$133="Catastrófico"),CONCATENATE("R44C",'Mapa final'!$R$133),"")</f>
        <v/>
      </c>
      <c r="W49" s="46" t="str">
        <f>IF(AND('Mapa final'!$AB$134="Muy Alta",'Mapa final'!$AD$134="Catastrófico"),CONCATENATE("R44C",'Mapa final'!$R$134),"")</f>
        <v/>
      </c>
      <c r="X49" s="114" t="str">
        <f>IF(AND('Mapa final'!$AB$135="Muy Alta",'Mapa final'!$AD$135="Catastrófico"),CONCATENATE("R44C",'Mapa final'!$R$135),"")</f>
        <v/>
      </c>
      <c r="Y49" s="58"/>
      <c r="Z49" s="378"/>
      <c r="AA49" s="379"/>
      <c r="AB49" s="379"/>
      <c r="AC49" s="379"/>
      <c r="AD49" s="379"/>
      <c r="AE49" s="380"/>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row>
    <row r="50" spans="1:61" ht="15" customHeight="1" x14ac:dyDescent="0.25">
      <c r="A50" s="58"/>
      <c r="B50" s="356"/>
      <c r="C50" s="356"/>
      <c r="D50" s="357"/>
      <c r="E50" s="371"/>
      <c r="F50" s="372"/>
      <c r="G50" s="372"/>
      <c r="H50" s="372"/>
      <c r="I50" s="370"/>
      <c r="J50" s="119" t="str">
        <f>IF(AND('Mapa final'!$AB$136="Muy Alta",'Mapa final'!$AD$136="Leve"),CONCATENATE("R45C",'Mapa final'!$R$136),"")</f>
        <v/>
      </c>
      <c r="K50" s="44" t="str">
        <f>IF(AND('Mapa final'!$AB$137="Muy Alta",'Mapa final'!$AD$137="Leve"),CONCATENATE("R45C",'Mapa final'!$R$137),"")</f>
        <v/>
      </c>
      <c r="L50" s="120" t="str">
        <f>IF(AND('Mapa final'!$AB$138="Muy Alta",'Mapa final'!$AD$138="Leve"),CONCATENATE("R45C",'Mapa final'!$R$138),"")</f>
        <v/>
      </c>
      <c r="M50" s="119" t="str">
        <f>IF(AND('Mapa final'!$AB$136="Muy Alta",'Mapa final'!$AD$136="Menor"),CONCATENATE("R45C",'Mapa final'!$R$136),"")</f>
        <v/>
      </c>
      <c r="N50" s="44" t="str">
        <f>IF(AND('Mapa final'!$AB$137="Muy Alta",'Mapa final'!$AD$137="Menor"),CONCATENATE("R45C",'Mapa final'!$R$137),"")</f>
        <v/>
      </c>
      <c r="O50" s="44" t="str">
        <f>IF(AND('Mapa final'!$AB$138="Muy Alta",'Mapa final'!$AD$138="Menor"),CONCATENATE("R45C",'Mapa final'!$R$138),"")</f>
        <v/>
      </c>
      <c r="P50" s="119" t="str">
        <f>IF(AND('Mapa final'!$AB$136="Muy Alta",'Mapa final'!$AD$136="Moderado"),CONCATENATE("R45C",'Mapa final'!$R$136),"")</f>
        <v/>
      </c>
      <c r="Q50" s="44" t="str">
        <f>IF(AND('Mapa final'!$AB$137="Muy Alta",'Mapa final'!$AD$137="Moderado"),CONCATENATE("R45C",'Mapa final'!$R$137),"")</f>
        <v/>
      </c>
      <c r="R50" s="120" t="str">
        <f>IF(AND('Mapa final'!$AB$138="Muy Alta",'Mapa final'!$AD$138="Moderado"),CONCATENATE("R45C",'Mapa final'!$R$138),"")</f>
        <v/>
      </c>
      <c r="S50" s="119" t="str">
        <f>IF(AND('Mapa final'!$AB$136="Muy Alta",'Mapa final'!$AD$136="Mayor"),CONCATENATE("R45C",'Mapa final'!$R$136),"")</f>
        <v/>
      </c>
      <c r="T50" s="44" t="str">
        <f>IF(AND('Mapa final'!$AB$137="Muy Alta",'Mapa final'!$AD$137="Mayor"),CONCATENATE("R45C",'Mapa final'!$R$137),"")</f>
        <v/>
      </c>
      <c r="U50" s="120" t="str">
        <f>IF(AND('Mapa final'!$AB$138="Muy Alta",'Mapa final'!$AD$138="Mayor"),CONCATENATE("R45C",'Mapa final'!$R$138),"")</f>
        <v/>
      </c>
      <c r="V50" s="45" t="str">
        <f>IF(AND('Mapa final'!$AB$136="Muy Alta",'Mapa final'!$AD$136="Catastrófico"),CONCATENATE("R45C",'Mapa final'!$R$136),"")</f>
        <v/>
      </c>
      <c r="W50" s="46" t="str">
        <f>IF(AND('Mapa final'!$AB$137="Muy Alta",'Mapa final'!$AD$137="Catastrófico"),CONCATENATE("R45C",'Mapa final'!$R$137),"")</f>
        <v/>
      </c>
      <c r="X50" s="114" t="str">
        <f>IF(AND('Mapa final'!$AB$138="Muy Alta",'Mapa final'!$AD$138="Catastrófico"),CONCATENATE("R45C",'Mapa final'!$R$138),"")</f>
        <v/>
      </c>
      <c r="Y50" s="58"/>
      <c r="Z50" s="378"/>
      <c r="AA50" s="379"/>
      <c r="AB50" s="379"/>
      <c r="AC50" s="379"/>
      <c r="AD50" s="379"/>
      <c r="AE50" s="380"/>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row>
    <row r="51" spans="1:61" ht="15" customHeight="1" x14ac:dyDescent="0.25">
      <c r="A51" s="58"/>
      <c r="B51" s="356"/>
      <c r="C51" s="356"/>
      <c r="D51" s="357"/>
      <c r="E51" s="371"/>
      <c r="F51" s="372"/>
      <c r="G51" s="372"/>
      <c r="H51" s="372"/>
      <c r="I51" s="370"/>
      <c r="J51" s="119" t="str">
        <f>IF(AND('Mapa final'!$AB$139="Muy Alta",'Mapa final'!$AD$139="Leve"),CONCATENATE("R46C",'Mapa final'!$R$139),"")</f>
        <v/>
      </c>
      <c r="K51" s="44" t="str">
        <f>IF(AND('Mapa final'!$AB$140="Muy Alta",'Mapa final'!$AD$140="Leve"),CONCATENATE("R46C",'Mapa final'!$R$140),"")</f>
        <v/>
      </c>
      <c r="L51" s="120" t="str">
        <f>IF(AND('Mapa final'!$AB$141="Muy Alta",'Mapa final'!$AD$141="Leve"),CONCATENATE("R46C",'Mapa final'!$R$141),"")</f>
        <v/>
      </c>
      <c r="M51" s="119" t="str">
        <f>IF(AND('Mapa final'!$AB$139="Muy Alta",'Mapa final'!$AD$139="Menor"),CONCATENATE("R46C",'Mapa final'!$R$139),"")</f>
        <v/>
      </c>
      <c r="N51" s="44" t="str">
        <f>IF(AND('Mapa final'!$AB$140="Muy Alta",'Mapa final'!$AD$140="Menor"),CONCATENATE("R46C",'Mapa final'!$R$140),"")</f>
        <v/>
      </c>
      <c r="O51" s="44" t="str">
        <f>IF(AND('Mapa final'!$AB$141="Muy Alta",'Mapa final'!$AD$141="Menor"),CONCATENATE("R46C",'Mapa final'!$R$141),"")</f>
        <v/>
      </c>
      <c r="P51" s="119" t="str">
        <f>IF(AND('Mapa final'!$AB$139="Muy Alta",'Mapa final'!$AD$139="Moderado"),CONCATENATE("R46C",'Mapa final'!$R$139),"")</f>
        <v/>
      </c>
      <c r="Q51" s="44" t="str">
        <f>IF(AND('Mapa final'!$AB$140="Muy Alta",'Mapa final'!$AD$140="Moderado"),CONCATENATE("R46C",'Mapa final'!$R$140),"")</f>
        <v/>
      </c>
      <c r="R51" s="120" t="str">
        <f>IF(AND('Mapa final'!$AB$141="Muy Alta",'Mapa final'!$AD$141="Moderado"),CONCATENATE("R46C",'Mapa final'!$R$141),"")</f>
        <v/>
      </c>
      <c r="S51" s="119" t="str">
        <f>IF(AND('Mapa final'!$AB$139="Muy Alta",'Mapa final'!$AD$139="Mayor"),CONCATENATE("R46C",'Mapa final'!$R$139),"")</f>
        <v/>
      </c>
      <c r="T51" s="44" t="str">
        <f>IF(AND('Mapa final'!$AB$140="Muy Alta",'Mapa final'!$AD$140="Mayor"),CONCATENATE("R46C",'Mapa final'!$R$140),"")</f>
        <v/>
      </c>
      <c r="U51" s="120" t="str">
        <f>IF(AND('Mapa final'!$AB$141="Muy Alta",'Mapa final'!$AD$141="Mayor"),CONCATENATE("R46C",'Mapa final'!$R$141),"")</f>
        <v/>
      </c>
      <c r="V51" s="45" t="str">
        <f>IF(AND('Mapa final'!$AB$139="Muy Alta",'Mapa final'!$AD$139="Catastrófico"),CONCATENATE("R46C",'Mapa final'!$R$139),"")</f>
        <v/>
      </c>
      <c r="W51" s="46" t="str">
        <f>IF(AND('Mapa final'!$AB$140="Muy Alta",'Mapa final'!$AD$140="Catastrófico"),CONCATENATE("R46C",'Mapa final'!$R$140),"")</f>
        <v/>
      </c>
      <c r="X51" s="114" t="str">
        <f>IF(AND('Mapa final'!$AB$141="Muy Alta",'Mapa final'!$AD$141="Catastrófico"),CONCATENATE("R46C",'Mapa final'!$R$141),"")</f>
        <v/>
      </c>
      <c r="Y51" s="58"/>
      <c r="Z51" s="378"/>
      <c r="AA51" s="379"/>
      <c r="AB51" s="379"/>
      <c r="AC51" s="379"/>
      <c r="AD51" s="379"/>
      <c r="AE51" s="380"/>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row>
    <row r="52" spans="1:61" ht="15" customHeight="1" x14ac:dyDescent="0.25">
      <c r="A52" s="58"/>
      <c r="B52" s="356"/>
      <c r="C52" s="356"/>
      <c r="D52" s="357"/>
      <c r="E52" s="371"/>
      <c r="F52" s="372"/>
      <c r="G52" s="372"/>
      <c r="H52" s="372"/>
      <c r="I52" s="370"/>
      <c r="J52" s="119" t="str">
        <f>IF(AND('Mapa final'!$AB$142="Muy Alta",'Mapa final'!$AD$142="Leve"),CONCATENATE("R47C",'Mapa final'!$R$142),"")</f>
        <v/>
      </c>
      <c r="K52" s="44" t="str">
        <f>IF(AND('Mapa final'!$AB$143="Muy Alta",'Mapa final'!$AD$143="Leve"),CONCATENATE("R47C",'Mapa final'!$R$143),"")</f>
        <v/>
      </c>
      <c r="L52" s="120" t="str">
        <f>IF(AND('Mapa final'!$AB$144="Muy Alta",'Mapa final'!$AD$144="Leve"),CONCATENATE("R47C",'Mapa final'!$R$144),"")</f>
        <v/>
      </c>
      <c r="M52" s="119" t="str">
        <f>IF(AND('Mapa final'!$AB$142="Muy Alta",'Mapa final'!$AD$142="Menor"),CONCATENATE("R47C",'Mapa final'!$R$142),"")</f>
        <v/>
      </c>
      <c r="N52" s="44" t="str">
        <f>IF(AND('Mapa final'!$AB$143="Muy Alta",'Mapa final'!$AD$143="Menor"),CONCATENATE("R47C",'Mapa final'!$R$143),"")</f>
        <v/>
      </c>
      <c r="O52" s="44" t="str">
        <f>IF(AND('Mapa final'!$AB$144="Muy Alta",'Mapa final'!$AD$144="Menor"),CONCATENATE("R47C",'Mapa final'!$R$144),"")</f>
        <v/>
      </c>
      <c r="P52" s="119" t="str">
        <f>IF(AND('Mapa final'!$AB$142="Muy Alta",'Mapa final'!$AD$142="Moderado"),CONCATENATE("R47C",'Mapa final'!$R$142),"")</f>
        <v/>
      </c>
      <c r="Q52" s="44" t="str">
        <f>IF(AND('Mapa final'!$AB$143="Muy Alta",'Mapa final'!$AD$143="Moderado"),CONCATENATE("R47C",'Mapa final'!$R$143),"")</f>
        <v/>
      </c>
      <c r="R52" s="120" t="str">
        <f>IF(AND('Mapa final'!$AB$144="Muy Alta",'Mapa final'!$AD$144="Moderado"),CONCATENATE("R47C",'Mapa final'!$R$144),"")</f>
        <v/>
      </c>
      <c r="S52" s="119" t="str">
        <f>IF(AND('Mapa final'!$AB$142="Muy Alta",'Mapa final'!$AD$142="Mayor"),CONCATENATE("R47C",'Mapa final'!$R$142),"")</f>
        <v/>
      </c>
      <c r="T52" s="44" t="str">
        <f>IF(AND('Mapa final'!$AB$143="Muy Alta",'Mapa final'!$AD$143="Mayor"),CONCATENATE("R47C",'Mapa final'!$R$143),"")</f>
        <v/>
      </c>
      <c r="U52" s="120" t="str">
        <f>IF(AND('Mapa final'!$AB$144="Muy Alta",'Mapa final'!$AD$144="Mayor"),CONCATENATE("R47C",'Mapa final'!$R$144),"")</f>
        <v/>
      </c>
      <c r="V52" s="45" t="str">
        <f>IF(AND('Mapa final'!$AB$142="Muy Alta",'Mapa final'!$AD$142="Catastrófico"),CONCATENATE("R47C",'Mapa final'!$R$142),"")</f>
        <v/>
      </c>
      <c r="W52" s="46" t="str">
        <f>IF(AND('Mapa final'!$AB$143="Muy Alta",'Mapa final'!$AD$143="Catastrófico"),CONCATENATE("R47C",'Mapa final'!$R$143),"")</f>
        <v/>
      </c>
      <c r="X52" s="114" t="str">
        <f>IF(AND('Mapa final'!$AB$144="Muy Alta",'Mapa final'!$AD$144="Catastrófico"),CONCATENATE("R47C",'Mapa final'!$R$144),"")</f>
        <v/>
      </c>
      <c r="Y52" s="58"/>
      <c r="Z52" s="378"/>
      <c r="AA52" s="379"/>
      <c r="AB52" s="379"/>
      <c r="AC52" s="379"/>
      <c r="AD52" s="379"/>
      <c r="AE52" s="380"/>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row>
    <row r="53" spans="1:61" ht="15" customHeight="1" x14ac:dyDescent="0.25">
      <c r="A53" s="58"/>
      <c r="B53" s="356"/>
      <c r="C53" s="356"/>
      <c r="D53" s="357"/>
      <c r="E53" s="371"/>
      <c r="F53" s="372"/>
      <c r="G53" s="372"/>
      <c r="H53" s="372"/>
      <c r="I53" s="370"/>
      <c r="J53" s="119" t="str">
        <f>IF(AND('Mapa final'!$AB$145="Muy Alta",'Mapa final'!$AD$145="Leve"),CONCATENATE("R48C",'Mapa final'!$R$145),"")</f>
        <v/>
      </c>
      <c r="K53" s="44" t="str">
        <f>IF(AND('Mapa final'!$AB$146="Muy Alta",'Mapa final'!$AD$146="Leve"),CONCATENATE("R48C",'Mapa final'!$R$146),"")</f>
        <v/>
      </c>
      <c r="L53" s="120" t="str">
        <f>IF(AND('Mapa final'!$AB$147="Muy Alta",'Mapa final'!$AD$147="Leve"),CONCATENATE("R48C",'Mapa final'!$R$147),"")</f>
        <v/>
      </c>
      <c r="M53" s="119" t="str">
        <f>IF(AND('Mapa final'!$AB$145="Muy Alta",'Mapa final'!$AD$145="Menor"),CONCATENATE("R48C",'Mapa final'!$R$145),"")</f>
        <v/>
      </c>
      <c r="N53" s="44" t="str">
        <f>IF(AND('Mapa final'!$AB$146="Muy Alta",'Mapa final'!$AD$146="Menor"),CONCATENATE("R48C",'Mapa final'!$R$146),"")</f>
        <v/>
      </c>
      <c r="O53" s="44" t="str">
        <f>IF(AND('Mapa final'!$AB$147="Muy Alta",'Mapa final'!$AD$147="Menor"),CONCATENATE("R48C",'Mapa final'!$R$147),"")</f>
        <v/>
      </c>
      <c r="P53" s="119" t="str">
        <f>IF(AND('Mapa final'!$AB$145="Muy Alta",'Mapa final'!$AD$145="Moderado"),CONCATENATE("R48C",'Mapa final'!$R$145),"")</f>
        <v/>
      </c>
      <c r="Q53" s="44" t="str">
        <f>IF(AND('Mapa final'!$AB$146="Muy Alta",'Mapa final'!$AD$146="Moderado"),CONCATENATE("R48C",'Mapa final'!$R$146),"")</f>
        <v/>
      </c>
      <c r="R53" s="120" t="str">
        <f>IF(AND('Mapa final'!$AB$147="Muy Alta",'Mapa final'!$AD$147="Moderado"),CONCATENATE("R48C",'Mapa final'!$R$147),"")</f>
        <v/>
      </c>
      <c r="S53" s="119" t="str">
        <f>IF(AND('Mapa final'!$AB$145="Muy Alta",'Mapa final'!$AD$145="Mayor"),CONCATENATE("R48C",'Mapa final'!$R$145),"")</f>
        <v/>
      </c>
      <c r="T53" s="44" t="str">
        <f>IF(AND('Mapa final'!$AB$146="Muy Alta",'Mapa final'!$AD$146="Mayor"),CONCATENATE("R48C",'Mapa final'!$R$146),"")</f>
        <v/>
      </c>
      <c r="U53" s="120" t="str">
        <f>IF(AND('Mapa final'!$AB$147="Muy Alta",'Mapa final'!$AD$147="Mayor"),CONCATENATE("R48C",'Mapa final'!$R$147),"")</f>
        <v/>
      </c>
      <c r="V53" s="45" t="str">
        <f>IF(AND('Mapa final'!$AB$145="Muy Alta",'Mapa final'!$AD$145="Catastrófico"),CONCATENATE("R48C",'Mapa final'!$R$145),"")</f>
        <v/>
      </c>
      <c r="W53" s="46" t="str">
        <f>IF(AND('Mapa final'!$AB$146="Muy Alta",'Mapa final'!$AD$146="Catastrófico"),CONCATENATE("R48C",'Mapa final'!$R$146),"")</f>
        <v/>
      </c>
      <c r="X53" s="114" t="str">
        <f>IF(AND('Mapa final'!$AB$147="Muy Alta",'Mapa final'!$AD$147="Catastrófico"),CONCATENATE("R48C",'Mapa final'!$R$147),"")</f>
        <v/>
      </c>
      <c r="Y53" s="58"/>
      <c r="Z53" s="378"/>
      <c r="AA53" s="379"/>
      <c r="AB53" s="379"/>
      <c r="AC53" s="379"/>
      <c r="AD53" s="379"/>
      <c r="AE53" s="380"/>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row>
    <row r="54" spans="1:61" ht="15" customHeight="1" x14ac:dyDescent="0.25">
      <c r="A54" s="58"/>
      <c r="B54" s="356"/>
      <c r="C54" s="356"/>
      <c r="D54" s="357"/>
      <c r="E54" s="371"/>
      <c r="F54" s="372"/>
      <c r="G54" s="372"/>
      <c r="H54" s="372"/>
      <c r="I54" s="370"/>
      <c r="J54" s="119" t="str">
        <f>IF(AND('Mapa final'!$AB$148="Muy Alta",'Mapa final'!$AD$148="Leve"),CONCATENATE("R49C",'Mapa final'!$R$148),"")</f>
        <v/>
      </c>
      <c r="K54" s="44" t="str">
        <f>IF(AND('Mapa final'!$AB$149="Muy Alta",'Mapa final'!$AD$149="Leve"),CONCATENATE("R49C",'Mapa final'!$R$149),"")</f>
        <v/>
      </c>
      <c r="L54" s="120" t="str">
        <f>IF(AND('Mapa final'!$AB$150="Muy Alta",'Mapa final'!$AD$150="Leve"),CONCATENATE("R49C",'Mapa final'!$R$150),"")</f>
        <v/>
      </c>
      <c r="M54" s="119" t="str">
        <f>IF(AND('Mapa final'!$AB$148="Muy Alta",'Mapa final'!$AD$148="Menor"),CONCATENATE("R49C",'Mapa final'!$R$148),"")</f>
        <v/>
      </c>
      <c r="N54" s="44" t="str">
        <f>IF(AND('Mapa final'!$AB$149="Muy Alta",'Mapa final'!$AD$149="Menor"),CONCATENATE("R49C",'Mapa final'!$R$149),"")</f>
        <v/>
      </c>
      <c r="O54" s="44" t="str">
        <f>IF(AND('Mapa final'!$AB$150="Muy Alta",'Mapa final'!$AD$150="Menor"),CONCATENATE("R49C",'Mapa final'!$R$150),"")</f>
        <v/>
      </c>
      <c r="P54" s="119" t="str">
        <f>IF(AND('Mapa final'!$AB$148="Muy Alta",'Mapa final'!$AD$148="Moderado"),CONCATENATE("R49C",'Mapa final'!$R$148),"")</f>
        <v/>
      </c>
      <c r="Q54" s="44" t="str">
        <f>IF(AND('Mapa final'!$AB$149="Muy Alta",'Mapa final'!$AD$149="Moderado"),CONCATENATE("R49C",'Mapa final'!$R$149),"")</f>
        <v/>
      </c>
      <c r="R54" s="120" t="str">
        <f>IF(AND('Mapa final'!$AB$150="Muy Alta",'Mapa final'!$AD$150="Moderado"),CONCATENATE("R49C",'Mapa final'!$R$150),"")</f>
        <v/>
      </c>
      <c r="S54" s="119" t="str">
        <f>IF(AND('Mapa final'!$AB$148="Muy Alta",'Mapa final'!$AD$148="Mayor"),CONCATENATE("R49C",'Mapa final'!$R$148),"")</f>
        <v/>
      </c>
      <c r="T54" s="44" t="str">
        <f>IF(AND('Mapa final'!$AB$149="Muy Alta",'Mapa final'!$AD$149="Mayor"),CONCATENATE("R49C",'Mapa final'!$R$149),"")</f>
        <v/>
      </c>
      <c r="U54" s="120" t="str">
        <f>IF(AND('Mapa final'!$AB$150="Muy Alta",'Mapa final'!$AD$150="Mayor"),CONCATENATE("R49C",'Mapa final'!$R$150),"")</f>
        <v/>
      </c>
      <c r="V54" s="45" t="str">
        <f>IF(AND('Mapa final'!$AB$148="Muy Alta",'Mapa final'!$AD$148="Catastrófico"),CONCATENATE("R49C",'Mapa final'!$R$148),"")</f>
        <v/>
      </c>
      <c r="W54" s="46" t="str">
        <f>IF(AND('Mapa final'!$AB$149="Muy Alta",'Mapa final'!$AD$149="Catastrófico"),CONCATENATE("R49C",'Mapa final'!$R$149),"")</f>
        <v/>
      </c>
      <c r="X54" s="114" t="str">
        <f>IF(AND('Mapa final'!$AB$150="Muy Alta",'Mapa final'!$AD$150="Catastrófico"),CONCATENATE("R49C",'Mapa final'!$R$150),"")</f>
        <v/>
      </c>
      <c r="Y54" s="58"/>
      <c r="Z54" s="378"/>
      <c r="AA54" s="379"/>
      <c r="AB54" s="379"/>
      <c r="AC54" s="379"/>
      <c r="AD54" s="379"/>
      <c r="AE54" s="380"/>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row>
    <row r="55" spans="1:61" ht="15.75" customHeight="1" thickBot="1" x14ac:dyDescent="0.3">
      <c r="A55" s="58"/>
      <c r="B55" s="356"/>
      <c r="C55" s="356"/>
      <c r="D55" s="357"/>
      <c r="E55" s="373"/>
      <c r="F55" s="374"/>
      <c r="G55" s="374"/>
      <c r="H55" s="374"/>
      <c r="I55" s="374"/>
      <c r="J55" s="121" t="str">
        <f>IF(AND('Mapa final'!$AB$151="Muy Alta",'Mapa final'!$AD$151="Leve"),CONCATENATE("R50C",'Mapa final'!$R$151),"")</f>
        <v/>
      </c>
      <c r="K55" s="122" t="str">
        <f>IF(AND('Mapa final'!$AB$152="Muy Alta",'Mapa final'!$AD$152="Leve"),CONCATENATE("R50C",'Mapa final'!$R$152),"")</f>
        <v/>
      </c>
      <c r="L55" s="123" t="str">
        <f>IF(AND('Mapa final'!$AB$153="Muy Alta",'Mapa final'!$AD$153="Leve"),CONCATENATE("R50C",'Mapa final'!$R$153),"")</f>
        <v/>
      </c>
      <c r="M55" s="121" t="str">
        <f>IF(AND('Mapa final'!$AB$151="Muy Alta",'Mapa final'!$AD$151="Menor"),CONCATENATE("R50C",'Mapa final'!$R$151),"")</f>
        <v/>
      </c>
      <c r="N55" s="122" t="str">
        <f>IF(AND('Mapa final'!$AB$152="Muy Alta",'Mapa final'!$AD$152="Menor"),CONCATENATE("R50C",'Mapa final'!$R$152),"")</f>
        <v/>
      </c>
      <c r="O55" s="122" t="str">
        <f>IF(AND('Mapa final'!$AB$153="Muy Alta",'Mapa final'!$AD$153="Menor"),CONCATENATE("R50C",'Mapa final'!$R$153),"")</f>
        <v/>
      </c>
      <c r="P55" s="121" t="str">
        <f>IF(AND('Mapa final'!$AB$151="Muy Alta",'Mapa final'!$AD$151="Moderado"),CONCATENATE("R50C",'Mapa final'!$R$151),"")</f>
        <v/>
      </c>
      <c r="Q55" s="122" t="str">
        <f>IF(AND('Mapa final'!$AB$152="Muy Alta",'Mapa final'!$AD$152="Moderado"),CONCATENATE("R50C",'Mapa final'!$R$152),"")</f>
        <v/>
      </c>
      <c r="R55" s="123" t="str">
        <f>IF(AND('Mapa final'!$AB$153="Muy Alta",'Mapa final'!$AD$153="Moderado"),CONCATENATE("R50C",'Mapa final'!$R$153),"")</f>
        <v/>
      </c>
      <c r="S55" s="121" t="str">
        <f>IF(AND('Mapa final'!$AB$151="Muy Alta",'Mapa final'!$AD$151="Mayor"),CONCATENATE("R50C",'Mapa final'!$R$151),"")</f>
        <v/>
      </c>
      <c r="T55" s="122" t="str">
        <f>IF(AND('Mapa final'!$AB$152="Muy Alta",'Mapa final'!$AD$152="Mayor"),CONCATENATE("R50C",'Mapa final'!$R$152),"")</f>
        <v/>
      </c>
      <c r="U55" s="123" t="str">
        <f>IF(AND('Mapa final'!$AB$153="Muy Alta",'Mapa final'!$AD$153="Mayor"),CONCATENATE("R50C",'Mapa final'!$R$153),"")</f>
        <v/>
      </c>
      <c r="V55" s="47" t="str">
        <f>IF(AND('Mapa final'!$AB$151="Muy Alta",'Mapa final'!$AD$151="Catastrófico"),CONCATENATE("R50C",'Mapa final'!$R$151),"")</f>
        <v/>
      </c>
      <c r="W55" s="48" t="str">
        <f>IF(AND('Mapa final'!$AB$152="Muy Alta",'Mapa final'!$AD$152="Catastrófico"),CONCATENATE("R50C",'Mapa final'!$R$152),"")</f>
        <v/>
      </c>
      <c r="X55" s="115" t="str">
        <f>IF(AND('Mapa final'!$AB$153="Muy Alta",'Mapa final'!$AD$153="Catastrófico"),CONCATENATE("R50C",'Mapa final'!$R$153),"")</f>
        <v/>
      </c>
      <c r="Y55" s="58"/>
      <c r="Z55" s="381"/>
      <c r="AA55" s="382"/>
      <c r="AB55" s="382"/>
      <c r="AC55" s="382"/>
      <c r="AD55" s="382"/>
      <c r="AE55" s="383"/>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row>
    <row r="56" spans="1:61" ht="15" customHeight="1" x14ac:dyDescent="0.25">
      <c r="A56" s="58"/>
      <c r="B56" s="356"/>
      <c r="C56" s="356"/>
      <c r="D56" s="357"/>
      <c r="E56" s="367" t="s">
        <v>109</v>
      </c>
      <c r="F56" s="368"/>
      <c r="G56" s="368"/>
      <c r="H56" s="368"/>
      <c r="I56" s="368"/>
      <c r="J56" s="49" t="str">
        <f>IF(AND('Mapa final'!$AB$7="Alta",'Mapa final'!$AD$7="Leve"),CONCATENATE("R1C",'Mapa final'!$R$7),"")</f>
        <v/>
      </c>
      <c r="K56" s="50" t="str">
        <f>IF(AND('Mapa final'!$AB$8="Alta",'Mapa final'!$AD$8="Leve"),CONCATENATE("R1C",'Mapa final'!$R$8),"")</f>
        <v/>
      </c>
      <c r="L56" s="124" t="str">
        <f>IF(AND('Mapa final'!$AB$9="Alta",'Mapa final'!$AD$9="Leve"),CONCATENATE("R1C",'Mapa final'!$R$9),"")</f>
        <v/>
      </c>
      <c r="M56" s="51" t="str">
        <f>IF(AND('Mapa final'!$AB$7="Alta",'Mapa final'!$AD$7="Menor"),CONCATENATE("R1C",'Mapa final'!$R$7),"")</f>
        <v/>
      </c>
      <c r="N56" s="52" t="str">
        <f>IF(AND('Mapa final'!$AB$8="Alta",'Mapa final'!$AD$8="Menor"),CONCATENATE("R1C",'Mapa final'!$R$8),"")</f>
        <v/>
      </c>
      <c r="O56" s="52" t="str">
        <f>IF(AND('Mapa final'!$AB$9="Alta",'Mapa final'!$AD$9="Menor"),CONCATENATE("R1C",'Mapa final'!$R$9),"")</f>
        <v/>
      </c>
      <c r="P56" s="116" t="str">
        <f>IF(AND('Mapa final'!$AB$7="Alta",'Mapa final'!$AD$7="Moderado"),CONCATENATE("R1C",'Mapa final'!$R$7),"")</f>
        <v/>
      </c>
      <c r="Q56" s="117" t="str">
        <f>IF(AND('Mapa final'!$AB$8="Alta",'Mapa final'!$AD$8="Moderado"),CONCATENATE("R1C",'Mapa final'!$R$8),"")</f>
        <v/>
      </c>
      <c r="R56" s="118" t="str">
        <f>IF(AND('Mapa final'!$AB$9="Alta",'Mapa final'!$AD$9="Moderado"),CONCATENATE("R1C",'Mapa final'!$R$9),"")</f>
        <v/>
      </c>
      <c r="S56" s="116" t="str">
        <f>IF(AND('Mapa final'!$AB$7="Alta",'Mapa final'!$AD$7="Mayor"),CONCATENATE("R1C",'Mapa final'!$R$7),"")</f>
        <v/>
      </c>
      <c r="T56" s="117" t="str">
        <f>IF(AND('Mapa final'!$AB$8="Alta",'Mapa final'!$AD$8="Mayor"),CONCATENATE("R1C",'Mapa final'!$R$8),"")</f>
        <v/>
      </c>
      <c r="U56" s="118" t="str">
        <f>IF(AND('Mapa final'!$AB$9="Alta",'Mapa final'!$AD$9="Mayor"),CONCATENATE("R1C",'Mapa final'!$R$9),"")</f>
        <v/>
      </c>
      <c r="V56" s="42" t="str">
        <f>IF(AND('Mapa final'!$AB$7="Alta",'Mapa final'!$AD$7="Catastrófico"),CONCATENATE("R1C",'Mapa final'!$R$7),"")</f>
        <v/>
      </c>
      <c r="W56" s="43" t="str">
        <f>IF(AND('Mapa final'!$AB$8="Alta",'Mapa final'!$AD$8="Catastrófico"),CONCATENATE("R1C",'Mapa final'!$R$8),"")</f>
        <v/>
      </c>
      <c r="X56" s="113" t="str">
        <f>IF(AND('Mapa final'!$AB$9="Alta",'Mapa final'!$AD$9="Catastrófico"),CONCATENATE("R1C",'Mapa final'!$R$9),"")</f>
        <v/>
      </c>
      <c r="Y56" s="58"/>
      <c r="Z56" s="358" t="s">
        <v>74</v>
      </c>
      <c r="AA56" s="359"/>
      <c r="AB56" s="359"/>
      <c r="AC56" s="359"/>
      <c r="AD56" s="359"/>
      <c r="AE56" s="360"/>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row>
    <row r="57" spans="1:61" ht="15" customHeight="1" x14ac:dyDescent="0.25">
      <c r="A57" s="58"/>
      <c r="B57" s="356"/>
      <c r="C57" s="356"/>
      <c r="D57" s="357"/>
      <c r="E57" s="369"/>
      <c r="F57" s="370"/>
      <c r="G57" s="370"/>
      <c r="H57" s="370"/>
      <c r="I57" s="370"/>
      <c r="J57" s="51" t="str">
        <f>IF(AND('Mapa final'!$AB$10="Alta",'Mapa final'!$AD$10="Leve"),CONCATENATE("R2C",'Mapa final'!$R$10),"")</f>
        <v/>
      </c>
      <c r="K57" s="52" t="str">
        <f>IF(AND('Mapa final'!$AB$11="Alta",'Mapa final'!$AD$11="Leve"),CONCATENATE("R2C",'Mapa final'!$R$11),"")</f>
        <v/>
      </c>
      <c r="L57" s="125" t="str">
        <f>IF(AND('Mapa final'!$AB$12="Alta",'Mapa final'!$AD$12="Leve"),CONCATENATE("R2C",'Mapa final'!$R$12),"")</f>
        <v/>
      </c>
      <c r="M57" s="51" t="str">
        <f>IF(AND('Mapa final'!$AB$10="Alta",'Mapa final'!$AD$10="Menor"),CONCATENATE("R2C",'Mapa final'!$R$10),"")</f>
        <v/>
      </c>
      <c r="N57" s="52" t="str">
        <f>IF(AND('Mapa final'!$AB$11="Alta",'Mapa final'!$AD$11="Menor"),CONCATENATE("R2C",'Mapa final'!$R$11),"")</f>
        <v/>
      </c>
      <c r="O57" s="52" t="str">
        <f>IF(AND('Mapa final'!$AB$12="Alta",'Mapa final'!$AD$12="Menor"),CONCATENATE("R2C",'Mapa final'!$R$12),"")</f>
        <v/>
      </c>
      <c r="P57" s="119" t="str">
        <f>IF(AND('Mapa final'!$AB$10="Alta",'Mapa final'!$AD$10="Moderado"),CONCATENATE("R2C",'Mapa final'!$R$10),"")</f>
        <v/>
      </c>
      <c r="Q57" s="44" t="str">
        <f>IF(AND('Mapa final'!$AB$11="Alta",'Mapa final'!$AD$11="Moderado"),CONCATENATE("R2C",'Mapa final'!$R$11),"")</f>
        <v/>
      </c>
      <c r="R57" s="120" t="str">
        <f>IF(AND('Mapa final'!$AB$12="Alta",'Mapa final'!$AD$12="Moderado"),CONCATENATE("R2C",'Mapa final'!$R$12),"")</f>
        <v/>
      </c>
      <c r="S57" s="119" t="str">
        <f>IF(AND('Mapa final'!$AB$10="Alta",'Mapa final'!$AD$10="Mayor"),CONCATENATE("R2C",'Mapa final'!$R$10),"")</f>
        <v/>
      </c>
      <c r="T57" s="44" t="str">
        <f>IF(AND('Mapa final'!$AB$11="Alta",'Mapa final'!$AD$11="Mayor"),CONCATENATE("R2C",'Mapa final'!$R$11),"")</f>
        <v/>
      </c>
      <c r="U57" s="120" t="str">
        <f>IF(AND('Mapa final'!$AB$12="Alta",'Mapa final'!$AD$12="Mayor"),CONCATENATE("R2C",'Mapa final'!$R$12),"")</f>
        <v/>
      </c>
      <c r="V57" s="45" t="str">
        <f>IF(AND('Mapa final'!$AB$10="Alta",'Mapa final'!$AD$10="Catastrófico"),CONCATENATE("R2C",'Mapa final'!$R$10),"")</f>
        <v/>
      </c>
      <c r="W57" s="46" t="str">
        <f>IF(AND('Mapa final'!$AB$11="Alta",'Mapa final'!$AD$11="Catastrófico"),CONCATENATE("R2C",'Mapa final'!$R$11),"")</f>
        <v/>
      </c>
      <c r="X57" s="114" t="str">
        <f>IF(AND('Mapa final'!$AB$12="Alta",'Mapa final'!$AD$12="Catastrófico"),CONCATENATE("R2C",'Mapa final'!$R$12),"")</f>
        <v/>
      </c>
      <c r="Y57" s="58"/>
      <c r="Z57" s="361"/>
      <c r="AA57" s="362"/>
      <c r="AB57" s="362"/>
      <c r="AC57" s="362"/>
      <c r="AD57" s="362"/>
      <c r="AE57" s="363"/>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row>
    <row r="58" spans="1:61" ht="15" customHeight="1" x14ac:dyDescent="0.25">
      <c r="A58" s="58"/>
      <c r="B58" s="356"/>
      <c r="C58" s="356"/>
      <c r="D58" s="357"/>
      <c r="E58" s="371"/>
      <c r="F58" s="372"/>
      <c r="G58" s="372"/>
      <c r="H58" s="372"/>
      <c r="I58" s="370"/>
      <c r="J58" s="51" t="str">
        <f>IF(AND('Mapa final'!$AB$13="Alta",'Mapa final'!$AD$13="Leve"),CONCATENATE("R3C",'Mapa final'!$R$13),"")</f>
        <v/>
      </c>
      <c r="K58" s="52" t="str">
        <f>IF(AND('Mapa final'!$AB$14="Alta",'Mapa final'!$AD$14="Leve"),CONCATENATE("R3C",'Mapa final'!$R$14),"")</f>
        <v/>
      </c>
      <c r="L58" s="125" t="str">
        <f>IF(AND('Mapa final'!$AB$15="Alta",'Mapa final'!$AD$15="Leve"),CONCATENATE("R3C",'Mapa final'!$R$15),"")</f>
        <v/>
      </c>
      <c r="M58" s="51" t="str">
        <f>IF(AND('Mapa final'!$AB$13="Alta",'Mapa final'!$AD$13="Menor"),CONCATENATE("R3C",'Mapa final'!$R$13),"")</f>
        <v/>
      </c>
      <c r="N58" s="52" t="str">
        <f>IF(AND('Mapa final'!$AB$14="Alta",'Mapa final'!$AD$14="Menor"),CONCATENATE("R3C",'Mapa final'!$R$14),"")</f>
        <v/>
      </c>
      <c r="O58" s="52" t="str">
        <f>IF(AND('Mapa final'!$AB$15="Alta",'Mapa final'!$AD$15="Menor"),CONCATENATE("R3C",'Mapa final'!$R$15),"")</f>
        <v/>
      </c>
      <c r="P58" s="119" t="str">
        <f>IF(AND('Mapa final'!$AB$13="Alta",'Mapa final'!$AD$13="Moderado"),CONCATENATE("R3C",'Mapa final'!$R$13),"")</f>
        <v/>
      </c>
      <c r="Q58" s="44" t="str">
        <f>IF(AND('Mapa final'!$AB$14="Alta",'Mapa final'!$AD$14="Moderado"),CONCATENATE("R3C",'Mapa final'!$R$14),"")</f>
        <v/>
      </c>
      <c r="R58" s="120" t="str">
        <f>IF(AND('Mapa final'!$AB$15="Alta",'Mapa final'!$AD$15="Moderado"),CONCATENATE("R3C",'Mapa final'!$R$15),"")</f>
        <v/>
      </c>
      <c r="S58" s="119" t="str">
        <f>IF(AND('Mapa final'!$AB$13="Alta",'Mapa final'!$AD$13="Mayor"),CONCATENATE("R3C",'Mapa final'!$R$13),"")</f>
        <v/>
      </c>
      <c r="T58" s="44" t="str">
        <f>IF(AND('Mapa final'!$AB$14="Alta",'Mapa final'!$AD$14="Mayor"),CONCATENATE("R3C",'Mapa final'!$R$14),"")</f>
        <v/>
      </c>
      <c r="U58" s="120" t="str">
        <f>IF(AND('Mapa final'!$AB$15="Alta",'Mapa final'!$AD$15="Mayor"),CONCATENATE("R3C",'Mapa final'!$R$15),"")</f>
        <v/>
      </c>
      <c r="V58" s="45" t="str">
        <f>IF(AND('Mapa final'!$AB$13="Alta",'Mapa final'!$AD$13="Catastrófico"),CONCATENATE("R3C",'Mapa final'!$R$13),"")</f>
        <v/>
      </c>
      <c r="W58" s="46" t="str">
        <f>IF(AND('Mapa final'!$AB$14="Alta",'Mapa final'!$AD$14="Catastrófico"),CONCATENATE("R3C",'Mapa final'!$R$14),"")</f>
        <v/>
      </c>
      <c r="X58" s="114" t="str">
        <f>IF(AND('Mapa final'!$AB$15="Alta",'Mapa final'!$AD$15="Catastrófico"),CONCATENATE("R3C",'Mapa final'!$R$15),"")</f>
        <v/>
      </c>
      <c r="Y58" s="58"/>
      <c r="Z58" s="361"/>
      <c r="AA58" s="362"/>
      <c r="AB58" s="362"/>
      <c r="AC58" s="362"/>
      <c r="AD58" s="362"/>
      <c r="AE58" s="363"/>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row>
    <row r="59" spans="1:61" ht="15" customHeight="1" x14ac:dyDescent="0.25">
      <c r="A59" s="58"/>
      <c r="B59" s="356"/>
      <c r="C59" s="356"/>
      <c r="D59" s="357"/>
      <c r="E59" s="371"/>
      <c r="F59" s="372"/>
      <c r="G59" s="372"/>
      <c r="H59" s="372"/>
      <c r="I59" s="370"/>
      <c r="J59" s="51" t="str">
        <f>IF(AND('Mapa final'!$AB$16="Alta",'Mapa final'!$AD$16="Leve"),CONCATENATE("R4C",'Mapa final'!$R$16),"")</f>
        <v/>
      </c>
      <c r="K59" s="52" t="str">
        <f>IF(AND('Mapa final'!$AB$17="Alta",'Mapa final'!$AD$17="Leve"),CONCATENATE("R4C",'Mapa final'!$R$17),"")</f>
        <v/>
      </c>
      <c r="L59" s="125" t="str">
        <f>IF(AND('Mapa final'!$AB$18="Alta",'Mapa final'!$AD$18="Leve"),CONCATENATE("R4C",'Mapa final'!$R$18),"")</f>
        <v/>
      </c>
      <c r="M59" s="51" t="str">
        <f>IF(AND('Mapa final'!$AB$16="Alta",'Mapa final'!$AD$16="Menor"),CONCATENATE("R4C",'Mapa final'!$R$16),"")</f>
        <v/>
      </c>
      <c r="N59" s="52" t="str">
        <f>IF(AND('Mapa final'!$AB$17="Alta",'Mapa final'!$AD$17="Menor"),CONCATENATE("R4C",'Mapa final'!$R$17),"")</f>
        <v/>
      </c>
      <c r="O59" s="52" t="str">
        <f>IF(AND('Mapa final'!$AB$18="Alta",'Mapa final'!$AD$18="Menor"),CONCATENATE("R4C",'Mapa final'!$R$18),"")</f>
        <v/>
      </c>
      <c r="P59" s="119" t="str">
        <f>IF(AND('Mapa final'!$AB$16="Alta",'Mapa final'!$AD$16="Moderado"),CONCATENATE("R4C",'Mapa final'!$R$16),"")</f>
        <v/>
      </c>
      <c r="Q59" s="44" t="str">
        <f>IF(AND('Mapa final'!$AB$17="Alta",'Mapa final'!$AD$17="Moderado"),CONCATENATE("R4C",'Mapa final'!$R$17),"")</f>
        <v/>
      </c>
      <c r="R59" s="120" t="str">
        <f>IF(AND('Mapa final'!$AB$18="Alta",'Mapa final'!$AD$18="Moderado"),CONCATENATE("R4C",'Mapa final'!$R$18),"")</f>
        <v/>
      </c>
      <c r="S59" s="119" t="str">
        <f>IF(AND('Mapa final'!$AB$16="Alta",'Mapa final'!$AD$16="Mayor"),CONCATENATE("R4C",'Mapa final'!$R$16),"")</f>
        <v/>
      </c>
      <c r="T59" s="44" t="str">
        <f>IF(AND('Mapa final'!$AB$17="Alta",'Mapa final'!$AD$17="Mayor"),CONCATENATE("R4C",'Mapa final'!$R$17),"")</f>
        <v/>
      </c>
      <c r="U59" s="120" t="str">
        <f>IF(AND('Mapa final'!$AB$18="Alta",'Mapa final'!$AD$18="Mayor"),CONCATENATE("R4C",'Mapa final'!$R$18),"")</f>
        <v/>
      </c>
      <c r="V59" s="45" t="str">
        <f>IF(AND('Mapa final'!$AB$16="Alta",'Mapa final'!$AD$16="Catastrófico"),CONCATENATE("R4C",'Mapa final'!$R$16),"")</f>
        <v/>
      </c>
      <c r="W59" s="46" t="str">
        <f>IF(AND('Mapa final'!$AB$17="Alta",'Mapa final'!$AD$17="Catastrófico"),CONCATENATE("R4C",'Mapa final'!$R$17),"")</f>
        <v/>
      </c>
      <c r="X59" s="114" t="str">
        <f>IF(AND('Mapa final'!$AB$18="Alta",'Mapa final'!$AD$18="Catastrófico"),CONCATENATE("R4C",'Mapa final'!$R$18),"")</f>
        <v/>
      </c>
      <c r="Y59" s="58"/>
      <c r="Z59" s="361"/>
      <c r="AA59" s="362"/>
      <c r="AB59" s="362"/>
      <c r="AC59" s="362"/>
      <c r="AD59" s="362"/>
      <c r="AE59" s="363"/>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row>
    <row r="60" spans="1:61" ht="12" customHeight="1" x14ac:dyDescent="0.25">
      <c r="A60" s="58"/>
      <c r="B60" s="356"/>
      <c r="C60" s="356"/>
      <c r="D60" s="357"/>
      <c r="E60" s="371"/>
      <c r="F60" s="372"/>
      <c r="G60" s="372"/>
      <c r="H60" s="372"/>
      <c r="I60" s="370"/>
      <c r="J60" s="51" t="str">
        <f>IF(AND('Mapa final'!$AB$19="Alta",'Mapa final'!$AD$19="Leve"),CONCATENATE("R5C",'Mapa final'!$R$19),"")</f>
        <v/>
      </c>
      <c r="K60" s="52" t="str">
        <f>IF(AND('Mapa final'!$AB$20="Alta",'Mapa final'!$AD$20="Leve"),CONCATENATE("R5C",'Mapa final'!$R$20),"")</f>
        <v/>
      </c>
      <c r="L60" s="125" t="str">
        <f>IF(AND('Mapa final'!$AB$21="Alta",'Mapa final'!$AD$21="Leve"),CONCATENATE("R5C",'Mapa final'!$R$21),"")</f>
        <v/>
      </c>
      <c r="M60" s="51" t="str">
        <f>IF(AND('Mapa final'!$AB$19="Alta",'Mapa final'!$AD$19="Menor"),CONCATENATE("R5C",'Mapa final'!$R$19),"")</f>
        <v/>
      </c>
      <c r="N60" s="52" t="str">
        <f>IF(AND('Mapa final'!$AB$20="Alta",'Mapa final'!$AD$20="Menor"),CONCATENATE("R5C",'Mapa final'!$R$20),"")</f>
        <v/>
      </c>
      <c r="O60" s="52" t="str">
        <f>IF(AND('Mapa final'!$AB$21="Alta",'Mapa final'!$AD$21="Menor"),CONCATENATE("R5C",'Mapa final'!$R$21),"")</f>
        <v/>
      </c>
      <c r="P60" s="119" t="str">
        <f>IF(AND('Mapa final'!$AB$19="Alta",'Mapa final'!$AD$19="Moderado"),CONCATENATE("R5C",'Mapa final'!$R$19),"")</f>
        <v/>
      </c>
      <c r="Q60" s="44" t="str">
        <f>IF(AND('Mapa final'!$AB$20="Alta",'Mapa final'!$AD$20="Moderado"),CONCATENATE("R5C",'Mapa final'!$R$20),"")</f>
        <v/>
      </c>
      <c r="R60" s="120" t="str">
        <f>IF(AND('Mapa final'!$AB$21="Alta",'Mapa final'!$AD$21="Moderado"),CONCATENATE("R5C",'Mapa final'!$R$21),"")</f>
        <v/>
      </c>
      <c r="S60" s="119" t="str">
        <f>IF(AND('Mapa final'!$AB$19="Alta",'Mapa final'!$AD$19="Mayor"),CONCATENATE("R5C",'Mapa final'!$R$19),"")</f>
        <v/>
      </c>
      <c r="T60" s="44" t="str">
        <f>IF(AND('Mapa final'!$AB$20="Alta",'Mapa final'!$AD$20="Mayor"),CONCATENATE("R5C",'Mapa final'!$R$20),"")</f>
        <v/>
      </c>
      <c r="U60" s="120" t="str">
        <f>IF(AND('Mapa final'!$AB$21="Alta",'Mapa final'!$AD$21="Mayor"),CONCATENATE("R5C",'Mapa final'!$R$21),"")</f>
        <v/>
      </c>
      <c r="V60" s="45" t="str">
        <f>IF(AND('Mapa final'!$AB$19="Alta",'Mapa final'!$AD$19="Catastrófico"),CONCATENATE("R5C",'Mapa final'!$R$19),"")</f>
        <v/>
      </c>
      <c r="W60" s="46" t="str">
        <f>IF(AND('Mapa final'!$AB$20="Alta",'Mapa final'!$AD$20="Catastrófico"),CONCATENATE("R5C",'Mapa final'!$R$20),"")</f>
        <v/>
      </c>
      <c r="X60" s="114" t="str">
        <f>IF(AND('Mapa final'!$AB$21="Alta",'Mapa final'!$AD$21="Catastrófico"),CONCATENATE("R5C",'Mapa final'!$R$21),"")</f>
        <v/>
      </c>
      <c r="Y60" s="58"/>
      <c r="Z60" s="361"/>
      <c r="AA60" s="362"/>
      <c r="AB60" s="362"/>
      <c r="AC60" s="362"/>
      <c r="AD60" s="362"/>
      <c r="AE60" s="363"/>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row>
    <row r="61" spans="1:61" ht="12" customHeight="1" x14ac:dyDescent="0.25">
      <c r="A61" s="58"/>
      <c r="B61" s="356"/>
      <c r="C61" s="356"/>
      <c r="D61" s="357"/>
      <c r="E61" s="371"/>
      <c r="F61" s="372"/>
      <c r="G61" s="372"/>
      <c r="H61" s="372"/>
      <c r="I61" s="370"/>
      <c r="J61" s="51" t="str">
        <f>IF(AND('Mapa final'!$AB$22="Alta",'Mapa final'!$AD$22="Leve"),CONCATENATE("R6C",'Mapa final'!$R$22),"")</f>
        <v/>
      </c>
      <c r="K61" s="52" t="str">
        <f>IF(AND('Mapa final'!$AB$23="Alta",'Mapa final'!$AD$23="Leve"),CONCATENATE("R6C",'Mapa final'!$R$23),"")</f>
        <v/>
      </c>
      <c r="L61" s="125" t="str">
        <f>IF(AND('Mapa final'!$AB$24="Alta",'Mapa final'!$AD$24="Leve"),CONCATENATE("R6C",'Mapa final'!$R$24),"")</f>
        <v/>
      </c>
      <c r="M61" s="51" t="str">
        <f>IF(AND('Mapa final'!$AB$22="Alta",'Mapa final'!$AD$22="Menor"),CONCATENATE("R6C",'Mapa final'!$R$22),"")</f>
        <v/>
      </c>
      <c r="N61" s="52" t="str">
        <f>IF(AND('Mapa final'!$AB$23="Alta",'Mapa final'!$AD$23="Menor"),CONCATENATE("R6C",'Mapa final'!$R$23),"")</f>
        <v/>
      </c>
      <c r="O61" s="52" t="str">
        <f>IF(AND('Mapa final'!$AB$24="Alta",'Mapa final'!$AD$24="Menor"),CONCATENATE("R6C",'Mapa final'!$R$24),"")</f>
        <v/>
      </c>
      <c r="P61" s="119" t="str">
        <f>IF(AND('Mapa final'!$AB$22="Alta",'Mapa final'!$AD$22="Moderado"),CONCATENATE("R6C",'Mapa final'!$R$22),"")</f>
        <v/>
      </c>
      <c r="Q61" s="44" t="str">
        <f>IF(AND('Mapa final'!$AB$23="Alta",'Mapa final'!$AD$23="Moderado"),CONCATENATE("R6C",'Mapa final'!$R$23),"")</f>
        <v/>
      </c>
      <c r="R61" s="120" t="str">
        <f>IF(AND('Mapa final'!$AB$24="Alta",'Mapa final'!$AD$24="Moderado"),CONCATENATE("R6C",'Mapa final'!$R$24),"")</f>
        <v/>
      </c>
      <c r="S61" s="119" t="str">
        <f>IF(AND('Mapa final'!$AB$22="Alta",'Mapa final'!$AD$22="Mayor"),CONCATENATE("R6C",'Mapa final'!$R$22),"")</f>
        <v/>
      </c>
      <c r="T61" s="44" t="str">
        <f>IF(AND('Mapa final'!$AB$23="Alta",'Mapa final'!$AD$23="Mayor"),CONCATENATE("R6C",'Mapa final'!$R$23),"")</f>
        <v/>
      </c>
      <c r="U61" s="120" t="str">
        <f>IF(AND('Mapa final'!$AB$24="Alta",'Mapa final'!$AD$24="Mayor"),CONCATENATE("R6C",'Mapa final'!$R$24),"")</f>
        <v/>
      </c>
      <c r="V61" s="45" t="str">
        <f>IF(AND('Mapa final'!$AB$22="Alta",'Mapa final'!$AD$22="Catastrófico"),CONCATENATE("R6C",'Mapa final'!$R$22),"")</f>
        <v/>
      </c>
      <c r="W61" s="46" t="str">
        <f>IF(AND('Mapa final'!$AB$23="Alta",'Mapa final'!$AD$23="Catastrófico"),CONCATENATE("R6C",'Mapa final'!$R$23),"")</f>
        <v/>
      </c>
      <c r="X61" s="114" t="str">
        <f>IF(AND('Mapa final'!$AB$24="Alta",'Mapa final'!$AD$24="Catastrófico"),CONCATENATE("R6C",'Mapa final'!$R$24),"")</f>
        <v/>
      </c>
      <c r="Y61" s="58"/>
      <c r="Z61" s="361"/>
      <c r="AA61" s="362"/>
      <c r="AB61" s="362"/>
      <c r="AC61" s="362"/>
      <c r="AD61" s="362"/>
      <c r="AE61" s="363"/>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row>
    <row r="62" spans="1:61" ht="12" customHeight="1" x14ac:dyDescent="0.25">
      <c r="A62" s="58"/>
      <c r="B62" s="356"/>
      <c r="C62" s="356"/>
      <c r="D62" s="357"/>
      <c r="E62" s="371"/>
      <c r="F62" s="372"/>
      <c r="G62" s="372"/>
      <c r="H62" s="372"/>
      <c r="I62" s="370"/>
      <c r="J62" s="51" t="str">
        <f>IF(AND('Mapa final'!$AB$25="Alta",'Mapa final'!$AD$25="Leve"),CONCATENATE("R7C",'Mapa final'!$R$25),"")</f>
        <v/>
      </c>
      <c r="K62" s="52" t="str">
        <f>IF(AND('Mapa final'!$AB$26="Alta",'Mapa final'!$AD$26="Leve"),CONCATENATE("R7C",'Mapa final'!$R$26),"")</f>
        <v/>
      </c>
      <c r="L62" s="125" t="str">
        <f>IF(AND('Mapa final'!$AB$27="Alta",'Mapa final'!$AD$27="Leve"),CONCATENATE("R7C",'Mapa final'!$R$27),"")</f>
        <v/>
      </c>
      <c r="M62" s="51" t="str">
        <f>IF(AND('Mapa final'!$AB$25="Alta",'Mapa final'!$AD$25="Menor"),CONCATENATE("R7C",'Mapa final'!$R$25),"")</f>
        <v/>
      </c>
      <c r="N62" s="52" t="str">
        <f>IF(AND('Mapa final'!$AB$26="Alta",'Mapa final'!$AD$26="Menor"),CONCATENATE("R7C",'Mapa final'!$R$26),"")</f>
        <v/>
      </c>
      <c r="O62" s="52" t="str">
        <f>IF(AND('Mapa final'!$AB$27="Alta",'Mapa final'!$AD$27="Menor"),CONCATENATE("R7C",'Mapa final'!$R$27),"")</f>
        <v/>
      </c>
      <c r="P62" s="119" t="str">
        <f>IF(AND('Mapa final'!$AB$25="Alta",'Mapa final'!$AD$25="Moderado"),CONCATENATE("R7C",'Mapa final'!$R$25),"")</f>
        <v/>
      </c>
      <c r="Q62" s="44" t="str">
        <f>IF(AND('Mapa final'!$AB$26="Alta",'Mapa final'!$AD$26="Moderado"),CONCATENATE("R7C",'Mapa final'!$R$26),"")</f>
        <v/>
      </c>
      <c r="R62" s="120" t="str">
        <f>IF(AND('Mapa final'!$AB$27="Alta",'Mapa final'!$AD$27="Moderado"),CONCATENATE("R7C",'Mapa final'!$R$27),"")</f>
        <v/>
      </c>
      <c r="S62" s="119" t="str">
        <f>IF(AND('Mapa final'!$AB$25="Alta",'Mapa final'!$AD$25="Mayor"),CONCATENATE("R7C",'Mapa final'!$R$25),"")</f>
        <v/>
      </c>
      <c r="T62" s="44" t="str">
        <f>IF(AND('Mapa final'!$AB$26="Alta",'Mapa final'!$AD$26="Mayor"),CONCATENATE("R7C",'Mapa final'!$R$26),"")</f>
        <v/>
      </c>
      <c r="U62" s="120" t="str">
        <f>IF(AND('Mapa final'!$AB$27="Alta",'Mapa final'!$AD$27="Mayor"),CONCATENATE("R7C",'Mapa final'!$R$27),"")</f>
        <v/>
      </c>
      <c r="V62" s="45" t="str">
        <f>IF(AND('Mapa final'!$AB$25="Alta",'Mapa final'!$AD$25="Catastrófico"),CONCATENATE("R7C",'Mapa final'!$R$25),"")</f>
        <v/>
      </c>
      <c r="W62" s="46" t="str">
        <f>IF(AND('Mapa final'!$AB$26="Alta",'Mapa final'!$AD$26="Catastrófico"),CONCATENATE("R7C",'Mapa final'!$R$26),"")</f>
        <v/>
      </c>
      <c r="X62" s="114" t="str">
        <f>IF(AND('Mapa final'!$AB$27="Alta",'Mapa final'!$AD$27="Catastrófico"),CONCATENATE("R7C",'Mapa final'!$R$27),"")</f>
        <v/>
      </c>
      <c r="Y62" s="58"/>
      <c r="Z62" s="361"/>
      <c r="AA62" s="362"/>
      <c r="AB62" s="362"/>
      <c r="AC62" s="362"/>
      <c r="AD62" s="362"/>
      <c r="AE62" s="363"/>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row>
    <row r="63" spans="1:61" ht="12" customHeight="1" x14ac:dyDescent="0.25">
      <c r="A63" s="58"/>
      <c r="B63" s="356"/>
      <c r="C63" s="356"/>
      <c r="D63" s="357"/>
      <c r="E63" s="371"/>
      <c r="F63" s="372"/>
      <c r="G63" s="372"/>
      <c r="H63" s="372"/>
      <c r="I63" s="370"/>
      <c r="J63" s="51" t="str">
        <f>IF(AND('Mapa final'!$AB$28="Alta",'Mapa final'!$AD$28="Leve"),CONCATENATE("R8C",'Mapa final'!$R$28),"")</f>
        <v/>
      </c>
      <c r="K63" s="52" t="str">
        <f>IF(AND('Mapa final'!$AB$29="Alta",'Mapa final'!$AD$29="Leve"),CONCATENATE("R8C",'Mapa final'!$R$29),"")</f>
        <v/>
      </c>
      <c r="L63" s="125" t="str">
        <f>IF(AND('Mapa final'!$AB$30="Alta",'Mapa final'!$AD$30="Leve"),CONCATENATE("R8C",'Mapa final'!$R$30),"")</f>
        <v/>
      </c>
      <c r="M63" s="51" t="str">
        <f>IF(AND('Mapa final'!$AB$28="Alta",'Mapa final'!$AD$28="Menor"),CONCATENATE("R8C",'Mapa final'!$R$28),"")</f>
        <v/>
      </c>
      <c r="N63" s="52" t="str">
        <f>IF(AND('Mapa final'!$AB$29="Alta",'Mapa final'!$AD$29="Menor"),CONCATENATE("R8C",'Mapa final'!$R$29),"")</f>
        <v/>
      </c>
      <c r="O63" s="52" t="str">
        <f>IF(AND('Mapa final'!$AB$30="Alta",'Mapa final'!$AD$30="Menor"),CONCATENATE("R8C",'Mapa final'!$R$30),"")</f>
        <v/>
      </c>
      <c r="P63" s="119" t="str">
        <f>IF(AND('Mapa final'!$AB$28="Alta",'Mapa final'!$AD$28="Moderado"),CONCATENATE("R8C",'Mapa final'!$R$28),"")</f>
        <v/>
      </c>
      <c r="Q63" s="44" t="str">
        <f>IF(AND('Mapa final'!$AB$29="Alta",'Mapa final'!$AD$29="Moderado"),CONCATENATE("R8C",'Mapa final'!$R$29),"")</f>
        <v/>
      </c>
      <c r="R63" s="120" t="str">
        <f>IF(AND('Mapa final'!$AB$30="Alta",'Mapa final'!$AD$30="Moderado"),CONCATENATE("R8C",'Mapa final'!$R$30),"")</f>
        <v/>
      </c>
      <c r="S63" s="119" t="str">
        <f>IF(AND('Mapa final'!$AB$28="Alta",'Mapa final'!$AD$28="Mayor"),CONCATENATE("R8C",'Mapa final'!$R$28),"")</f>
        <v/>
      </c>
      <c r="T63" s="44" t="str">
        <f>IF(AND('Mapa final'!$AB$29="Alta",'Mapa final'!$AD$29="Mayor"),CONCATENATE("R8C",'Mapa final'!$R$29),"")</f>
        <v/>
      </c>
      <c r="U63" s="120" t="str">
        <f>IF(AND('Mapa final'!$AB$30="Alta",'Mapa final'!$AD$30="Mayor"),CONCATENATE("R8C",'Mapa final'!$R$30),"")</f>
        <v/>
      </c>
      <c r="V63" s="45" t="str">
        <f>IF(AND('Mapa final'!$AB$28="Alta",'Mapa final'!$AD$28="Catastrófico"),CONCATENATE("R8C",'Mapa final'!$R$28),"")</f>
        <v/>
      </c>
      <c r="W63" s="46" t="str">
        <f>IF(AND('Mapa final'!$AB$29="Alta",'Mapa final'!$AD$29="Catastrófico"),CONCATENATE("R8C",'Mapa final'!$R$29),"")</f>
        <v/>
      </c>
      <c r="X63" s="114" t="str">
        <f>IF(AND('Mapa final'!$AB$30="Alta",'Mapa final'!$AD$30="Catastrófico"),CONCATENATE("R8C",'Mapa final'!$R$30),"")</f>
        <v/>
      </c>
      <c r="Y63" s="58"/>
      <c r="Z63" s="361"/>
      <c r="AA63" s="362"/>
      <c r="AB63" s="362"/>
      <c r="AC63" s="362"/>
      <c r="AD63" s="362"/>
      <c r="AE63" s="363"/>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row>
    <row r="64" spans="1:61" ht="12" customHeight="1" x14ac:dyDescent="0.25">
      <c r="A64" s="58"/>
      <c r="B64" s="356"/>
      <c r="C64" s="356"/>
      <c r="D64" s="357"/>
      <c r="E64" s="371"/>
      <c r="F64" s="372"/>
      <c r="G64" s="372"/>
      <c r="H64" s="372"/>
      <c r="I64" s="370"/>
      <c r="J64" s="51" t="str">
        <f>IF(AND('Mapa final'!$AB$31="Alta",'Mapa final'!$AD$31="Leve"),CONCATENATE("R9C",'Mapa final'!$R$31),"")</f>
        <v/>
      </c>
      <c r="K64" s="52" t="str">
        <f>IF(AND('Mapa final'!$AB$32="Alta",'Mapa final'!$AD$32="Leve"),CONCATENATE("R9C",'Mapa final'!$R$32),"")</f>
        <v/>
      </c>
      <c r="L64" s="125" t="str">
        <f>IF(AND('Mapa final'!$AB$33="Alta",'Mapa final'!$AD$33="Leve"),CONCATENATE("R9C",'Mapa final'!$R$33),"")</f>
        <v/>
      </c>
      <c r="M64" s="51" t="str">
        <f>IF(AND('Mapa final'!$AB$31="Alta",'Mapa final'!$AD$31="Menor"),CONCATENATE("R9C",'Mapa final'!$R$31),"")</f>
        <v/>
      </c>
      <c r="N64" s="52" t="str">
        <f>IF(AND('Mapa final'!$AB$32="Alta",'Mapa final'!$AD$32="Menor"),CONCATENATE("R9C",'Mapa final'!$R$32),"")</f>
        <v/>
      </c>
      <c r="O64" s="52" t="str">
        <f>IF(AND('Mapa final'!$AB$33="Alta",'Mapa final'!$AD$33="Menor"),CONCATENATE("R9C",'Mapa final'!$R$33),"")</f>
        <v/>
      </c>
      <c r="P64" s="119" t="str">
        <f>IF(AND('Mapa final'!$AB$31="Alta",'Mapa final'!$AD$31="Moderado"),CONCATENATE("R9C",'Mapa final'!$R$31),"")</f>
        <v/>
      </c>
      <c r="Q64" s="44" t="str">
        <f>IF(AND('Mapa final'!$AB$32="Alta",'Mapa final'!$AD$32="Moderado"),CONCATENATE("R9C",'Mapa final'!$R$32),"")</f>
        <v/>
      </c>
      <c r="R64" s="120" t="str">
        <f>IF(AND('Mapa final'!$AB$33="Alta",'Mapa final'!$AD$33="Moderado"),CONCATENATE("R9C",'Mapa final'!$R$33),"")</f>
        <v/>
      </c>
      <c r="S64" s="119" t="str">
        <f>IF(AND('Mapa final'!$AB$31="Alta",'Mapa final'!$AD$31="Mayor"),CONCATENATE("R9C",'Mapa final'!$R$31),"")</f>
        <v/>
      </c>
      <c r="T64" s="44" t="str">
        <f>IF(AND('Mapa final'!$AB$32="Alta",'Mapa final'!$AD$32="Mayor"),CONCATENATE("R9C",'Mapa final'!$R$32),"")</f>
        <v/>
      </c>
      <c r="U64" s="120" t="str">
        <f>IF(AND('Mapa final'!$AB$33="Alta",'Mapa final'!$AD$33="Mayor"),CONCATENATE("R9C",'Mapa final'!$R$33),"")</f>
        <v/>
      </c>
      <c r="V64" s="45" t="str">
        <f>IF(AND('Mapa final'!$AB$31="Alta",'Mapa final'!$AD$31="Catastrófico"),CONCATENATE("R9C",'Mapa final'!$R$31),"")</f>
        <v/>
      </c>
      <c r="W64" s="46" t="str">
        <f>IF(AND('Mapa final'!$AB$32="Alta",'Mapa final'!$AD$32="Catastrófico"),CONCATENATE("R9C",'Mapa final'!$R$32),"")</f>
        <v/>
      </c>
      <c r="X64" s="114" t="str">
        <f>IF(AND('Mapa final'!$AB$33="Alta",'Mapa final'!$AD$33="Catastrófico"),CONCATENATE("R9C",'Mapa final'!$R$33),"")</f>
        <v/>
      </c>
      <c r="Y64" s="58"/>
      <c r="Z64" s="361"/>
      <c r="AA64" s="362"/>
      <c r="AB64" s="362"/>
      <c r="AC64" s="362"/>
      <c r="AD64" s="362"/>
      <c r="AE64" s="363"/>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row>
    <row r="65" spans="1:61" ht="12" customHeight="1" x14ac:dyDescent="0.25">
      <c r="A65" s="58"/>
      <c r="B65" s="356"/>
      <c r="C65" s="356"/>
      <c r="D65" s="357"/>
      <c r="E65" s="371"/>
      <c r="F65" s="372"/>
      <c r="G65" s="372"/>
      <c r="H65" s="372"/>
      <c r="I65" s="370"/>
      <c r="J65" s="51" t="str">
        <f>IF(AND('Mapa final'!$AB$34="Alta",'Mapa final'!$AD$34="Leve"),CONCATENATE("R10C",'Mapa final'!$R$34),"")</f>
        <v/>
      </c>
      <c r="K65" s="52" t="str">
        <f>IF(AND('Mapa final'!$AB$35="Alta",'Mapa final'!$AD$35="Leve"),CONCATENATE("R10C",'Mapa final'!$R$35),"")</f>
        <v/>
      </c>
      <c r="L65" s="125" t="str">
        <f>IF(AND('Mapa final'!$AB$36="Alta",'Mapa final'!$AD$36="Leve"),CONCATENATE("R10C",'Mapa final'!$R$36),"")</f>
        <v/>
      </c>
      <c r="M65" s="51" t="str">
        <f>IF(AND('Mapa final'!$AB$34="Alta",'Mapa final'!$AD$34="Menor"),CONCATENATE("R10C",'Mapa final'!$R$34),"")</f>
        <v/>
      </c>
      <c r="N65" s="52" t="str">
        <f>IF(AND('Mapa final'!$AB$35="Alta",'Mapa final'!$AD$35="Menor"),CONCATENATE("R10C",'Mapa final'!$R$35),"")</f>
        <v/>
      </c>
      <c r="O65" s="52" t="str">
        <f>IF(AND('Mapa final'!$AB$36="Alta",'Mapa final'!$AD$36="Menor"),CONCATENATE("R10C",'Mapa final'!$R$36),"")</f>
        <v/>
      </c>
      <c r="P65" s="119" t="str">
        <f>IF(AND('Mapa final'!$AB$34="Alta",'Mapa final'!$AD$34="Moderado"),CONCATENATE("R10C",'Mapa final'!$R$34),"")</f>
        <v/>
      </c>
      <c r="Q65" s="44" t="str">
        <f>IF(AND('Mapa final'!$AB$35="Alta",'Mapa final'!$AD$35="Moderado"),CONCATENATE("R10C",'Mapa final'!$R$35),"")</f>
        <v/>
      </c>
      <c r="R65" s="120" t="str">
        <f>IF(AND('Mapa final'!$AB$36="Alta",'Mapa final'!$AD$36="Moderado"),CONCATENATE("R10C",'Mapa final'!$R$36),"")</f>
        <v/>
      </c>
      <c r="S65" s="119" t="str">
        <f>IF(AND('Mapa final'!$AB$34="Alta",'Mapa final'!$AD$34="Mayor"),CONCATENATE("R10C",'Mapa final'!$R$34),"")</f>
        <v/>
      </c>
      <c r="T65" s="44" t="str">
        <f>IF(AND('Mapa final'!$AB$35="Alta",'Mapa final'!$AD$35="Mayor"),CONCATENATE("R10C",'Mapa final'!$R$35),"")</f>
        <v/>
      </c>
      <c r="U65" s="120" t="str">
        <f>IF(AND('Mapa final'!$AB$36="Alta",'Mapa final'!$AD$36="Mayor"),CONCATENATE("R10C",'Mapa final'!$R$36),"")</f>
        <v/>
      </c>
      <c r="V65" s="45" t="str">
        <f>IF(AND('Mapa final'!$AB$34="Alta",'Mapa final'!$AD$34="Catastrófico"),CONCATENATE("R10C",'Mapa final'!$R$34),"")</f>
        <v/>
      </c>
      <c r="W65" s="46" t="str">
        <f>IF(AND('Mapa final'!$AB$35="Alta",'Mapa final'!$AD$35="Catastrófico"),CONCATENATE("R10C",'Mapa final'!$R$35),"")</f>
        <v/>
      </c>
      <c r="X65" s="114" t="str">
        <f>IF(AND('Mapa final'!$AB$36="Alta",'Mapa final'!$AD$36="Catastrófico"),CONCATENATE("R10C",'Mapa final'!$R$36),"")</f>
        <v/>
      </c>
      <c r="Y65" s="58"/>
      <c r="Z65" s="361"/>
      <c r="AA65" s="362"/>
      <c r="AB65" s="362"/>
      <c r="AC65" s="362"/>
      <c r="AD65" s="362"/>
      <c r="AE65" s="363"/>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row>
    <row r="66" spans="1:61" ht="12" customHeight="1" x14ac:dyDescent="0.25">
      <c r="A66" s="58"/>
      <c r="B66" s="356"/>
      <c r="C66" s="356"/>
      <c r="D66" s="357"/>
      <c r="E66" s="371"/>
      <c r="F66" s="372"/>
      <c r="G66" s="372"/>
      <c r="H66" s="372"/>
      <c r="I66" s="370"/>
      <c r="J66" s="51" t="str">
        <f>IF(AND('Mapa final'!$AB$37="Alta",'Mapa final'!$AD$37="Leve"),CONCATENATE("R11C",'Mapa final'!$R$37),"")</f>
        <v/>
      </c>
      <c r="K66" s="52" t="str">
        <f>IF(AND('Mapa final'!$AB$38="Alta",'Mapa final'!$AD$38="Leve"),CONCATENATE("R11C",'Mapa final'!$R$38),"")</f>
        <v/>
      </c>
      <c r="L66" s="125" t="str">
        <f>IF(AND('Mapa final'!$AB$39="Alta",'Mapa final'!$AD$39="Leve"),CONCATENATE("R11C",'Mapa final'!$R$39),"")</f>
        <v/>
      </c>
      <c r="M66" s="51" t="str">
        <f>IF(AND('Mapa final'!$AB$37="Alta",'Mapa final'!$AD$37="Menor"),CONCATENATE("R11C",'Mapa final'!$R$37),"")</f>
        <v/>
      </c>
      <c r="N66" s="52" t="str">
        <f>IF(AND('Mapa final'!$AB$38="Alta",'Mapa final'!$AD$38="Menor"),CONCATENATE("R11C",'Mapa final'!$R$38),"")</f>
        <v/>
      </c>
      <c r="O66" s="52" t="str">
        <f>IF(AND('Mapa final'!$AB$39="Alta",'Mapa final'!$AD$39="Menor"),CONCATENATE("R11C",'Mapa final'!$R$39),"")</f>
        <v/>
      </c>
      <c r="P66" s="119" t="str">
        <f>IF(AND('Mapa final'!$AB$37="Alta",'Mapa final'!$AD$37="Moderado"),CONCATENATE("R11C",'Mapa final'!$R$37),"")</f>
        <v/>
      </c>
      <c r="Q66" s="44" t="str">
        <f>IF(AND('Mapa final'!$AB$38="Alta",'Mapa final'!$AD$38="Moderado"),CONCATENATE("R11C",'Mapa final'!$R$38),"")</f>
        <v/>
      </c>
      <c r="R66" s="120" t="str">
        <f>IF(AND('Mapa final'!$AB$39="Alta",'Mapa final'!$AD$39="Moderado"),CONCATENATE("R11C",'Mapa final'!$R$39),"")</f>
        <v/>
      </c>
      <c r="S66" s="119" t="str">
        <f>IF(AND('Mapa final'!$AB$37="Alta",'Mapa final'!$AD$37="Mayor"),CONCATENATE("R11C",'Mapa final'!$R$37),"")</f>
        <v/>
      </c>
      <c r="T66" s="44" t="str">
        <f>IF(AND('Mapa final'!$AB$38="Alta",'Mapa final'!$AD$38="Mayor"),CONCATENATE("R11C",'Mapa final'!$R$38),"")</f>
        <v/>
      </c>
      <c r="U66" s="120" t="str">
        <f>IF(AND('Mapa final'!$AB$39="Alta",'Mapa final'!$AD$39="Mayor"),CONCATENATE("R11C",'Mapa final'!$R$39),"")</f>
        <v/>
      </c>
      <c r="V66" s="45" t="str">
        <f>IF(AND('Mapa final'!$AB$37="Alta",'Mapa final'!$AD$37="Catastrófico"),CONCATENATE("R11C",'Mapa final'!$R$37),"")</f>
        <v/>
      </c>
      <c r="W66" s="46" t="str">
        <f>IF(AND('Mapa final'!$AB$38="Alta",'Mapa final'!$AD$38="Catastrófico"),CONCATENATE("R11C",'Mapa final'!$R$38),"")</f>
        <v/>
      </c>
      <c r="X66" s="114" t="str">
        <f>IF(AND('Mapa final'!$AB$39="Alta",'Mapa final'!$AD$39="Catastrófico"),CONCATENATE("R11C",'Mapa final'!$R$39),"")</f>
        <v/>
      </c>
      <c r="Y66" s="58"/>
      <c r="Z66" s="361"/>
      <c r="AA66" s="362"/>
      <c r="AB66" s="362"/>
      <c r="AC66" s="362"/>
      <c r="AD66" s="362"/>
      <c r="AE66" s="363"/>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row>
    <row r="67" spans="1:61" ht="12" customHeight="1" x14ac:dyDescent="0.25">
      <c r="A67" s="58"/>
      <c r="B67" s="356"/>
      <c r="C67" s="356"/>
      <c r="D67" s="357"/>
      <c r="E67" s="371"/>
      <c r="F67" s="372"/>
      <c r="G67" s="372"/>
      <c r="H67" s="372"/>
      <c r="I67" s="370"/>
      <c r="J67" s="51" t="str">
        <f>IF(AND('Mapa final'!$AB$40="Alta",'Mapa final'!$AD$40="Leve"),CONCATENATE("R12C",'Mapa final'!$R$40),"")</f>
        <v/>
      </c>
      <c r="K67" s="52" t="str">
        <f>IF(AND('Mapa final'!$AB$41="Alta",'Mapa final'!$AD$41="Leve"),CONCATENATE("R12C",'Mapa final'!$R$41),"")</f>
        <v/>
      </c>
      <c r="L67" s="125" t="str">
        <f>IF(AND('Mapa final'!$AB$42="Alta",'Mapa final'!$AD$42="Leve"),CONCATENATE("R12C",'Mapa final'!$R$42),"")</f>
        <v/>
      </c>
      <c r="M67" s="51" t="str">
        <f>IF(AND('Mapa final'!$AB$40="Alta",'Mapa final'!$AD$40="Menor"),CONCATENATE("R12C",'Mapa final'!$R$40),"")</f>
        <v/>
      </c>
      <c r="N67" s="52" t="str">
        <f>IF(AND('Mapa final'!$AB$41="Alta",'Mapa final'!$AD$41="Menor"),CONCATENATE("R12C",'Mapa final'!$R$41),"")</f>
        <v/>
      </c>
      <c r="O67" s="52" t="str">
        <f>IF(AND('Mapa final'!$AB$42="Alta",'Mapa final'!$AD$42="Menor"),CONCATENATE("R12C",'Mapa final'!$R$42),"")</f>
        <v/>
      </c>
      <c r="P67" s="119" t="str">
        <f>IF(AND('Mapa final'!$AB$40="Alta",'Mapa final'!$AD$40="Moderado"),CONCATENATE("R12C",'Mapa final'!$R$40),"")</f>
        <v/>
      </c>
      <c r="Q67" s="44" t="str">
        <f>IF(AND('Mapa final'!$AB$41="Alta",'Mapa final'!$AD$41="Moderado"),CONCATENATE("R12C",'Mapa final'!$R$41),"")</f>
        <v/>
      </c>
      <c r="R67" s="120" t="str">
        <f>IF(AND('Mapa final'!$AB$42="Alta",'Mapa final'!$AD$42="Moderado"),CONCATENATE("R12C",'Mapa final'!$R$42),"")</f>
        <v/>
      </c>
      <c r="S67" s="119" t="str">
        <f>IF(AND('Mapa final'!$AB$40="Alta",'Mapa final'!$AD$40="Mayor"),CONCATENATE("R12C",'Mapa final'!$R$40),"")</f>
        <v/>
      </c>
      <c r="T67" s="44" t="str">
        <f>IF(AND('Mapa final'!$AB$41="Alta",'Mapa final'!$AD$41="Mayor"),CONCATENATE("R12C",'Mapa final'!$R$41),"")</f>
        <v/>
      </c>
      <c r="U67" s="120" t="str">
        <f>IF(AND('Mapa final'!$AB$42="Alta",'Mapa final'!$AD$42="Mayor"),CONCATENATE("R12C",'Mapa final'!$R$42),"")</f>
        <v/>
      </c>
      <c r="V67" s="45" t="str">
        <f>IF(AND('Mapa final'!$AB$40="Alta",'Mapa final'!$AD$40="Catastrófico"),CONCATENATE("R12C",'Mapa final'!$R$40),"")</f>
        <v/>
      </c>
      <c r="W67" s="46" t="str">
        <f>IF(AND('Mapa final'!$AB$41="Alta",'Mapa final'!$AD$41="Catastrófico"),CONCATENATE("R12C",'Mapa final'!$R$41),"")</f>
        <v/>
      </c>
      <c r="X67" s="114" t="str">
        <f>IF(AND('Mapa final'!$AB$42="Alta",'Mapa final'!$AD$42="Catastrófico"),CONCATENATE("R12C",'Mapa final'!$R$42),"")</f>
        <v/>
      </c>
      <c r="Y67" s="58"/>
      <c r="Z67" s="361"/>
      <c r="AA67" s="362"/>
      <c r="AB67" s="362"/>
      <c r="AC67" s="362"/>
      <c r="AD67" s="362"/>
      <c r="AE67" s="363"/>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row>
    <row r="68" spans="1:61" ht="12" customHeight="1" x14ac:dyDescent="0.25">
      <c r="A68" s="58"/>
      <c r="B68" s="356"/>
      <c r="C68" s="356"/>
      <c r="D68" s="357"/>
      <c r="E68" s="371"/>
      <c r="F68" s="372"/>
      <c r="G68" s="372"/>
      <c r="H68" s="372"/>
      <c r="I68" s="370"/>
      <c r="J68" s="51" t="str">
        <f>IF(AND('Mapa final'!$AB$43="Alta",'Mapa final'!$AD$43="Leve"),CONCATENATE("R13C",'Mapa final'!$R$43),"")</f>
        <v/>
      </c>
      <c r="K68" s="52" t="str">
        <f>IF(AND('Mapa final'!$AB$44="Alta",'Mapa final'!$AD$44="Leve"),CONCATENATE("R13C",'Mapa final'!$R$44),"")</f>
        <v/>
      </c>
      <c r="L68" s="125" t="str">
        <f>IF(AND('Mapa final'!$AB$45="Alta",'Mapa final'!$AD$45="Leve"),CONCATENATE("R13C",'Mapa final'!$R$45),"")</f>
        <v/>
      </c>
      <c r="M68" s="51" t="str">
        <f>IF(AND('Mapa final'!$AB$43="Alta",'Mapa final'!$AD$43="Menor"),CONCATENATE("R13C",'Mapa final'!$R$43),"")</f>
        <v/>
      </c>
      <c r="N68" s="52" t="str">
        <f>IF(AND('Mapa final'!$AB$44="Alta",'Mapa final'!$AD$44="Menor"),CONCATENATE("R13C",'Mapa final'!$R$44),"")</f>
        <v/>
      </c>
      <c r="O68" s="52" t="str">
        <f>IF(AND('Mapa final'!$AB$45="Alta",'Mapa final'!$AD$45="Menor"),CONCATENATE("R13C",'Mapa final'!$R$45),"")</f>
        <v/>
      </c>
      <c r="P68" s="119" t="str">
        <f>IF(AND('Mapa final'!$AB$43="Alta",'Mapa final'!$AD$43="Moderado"),CONCATENATE("R13C",'Mapa final'!$R$43),"")</f>
        <v/>
      </c>
      <c r="Q68" s="44" t="str">
        <f>IF(AND('Mapa final'!$AB$44="Alta",'Mapa final'!$AD$44="Moderado"),CONCATENATE("R13C",'Mapa final'!$R$44),"")</f>
        <v/>
      </c>
      <c r="R68" s="120" t="str">
        <f>IF(AND('Mapa final'!$AB$45="Alta",'Mapa final'!$AD$45="Moderado"),CONCATENATE("R13C",'Mapa final'!$R$45),"")</f>
        <v/>
      </c>
      <c r="S68" s="119" t="str">
        <f>IF(AND('Mapa final'!$AB$43="Alta",'Mapa final'!$AD$43="Mayor"),CONCATENATE("R13C",'Mapa final'!$R$43),"")</f>
        <v/>
      </c>
      <c r="T68" s="44" t="str">
        <f>IF(AND('Mapa final'!$AB$44="Alta",'Mapa final'!$AD$44="Mayor"),CONCATENATE("R13C",'Mapa final'!$R$44),"")</f>
        <v/>
      </c>
      <c r="U68" s="120" t="str">
        <f>IF(AND('Mapa final'!$AB$45="Alta",'Mapa final'!$AD$45="Mayor"),CONCATENATE("R13C",'Mapa final'!$R$45),"")</f>
        <v/>
      </c>
      <c r="V68" s="45" t="str">
        <f>IF(AND('Mapa final'!$AB$43="Alta",'Mapa final'!$AD$43="Catastrófico"),CONCATENATE("R13C",'Mapa final'!$R$43),"")</f>
        <v/>
      </c>
      <c r="W68" s="46" t="str">
        <f>IF(AND('Mapa final'!$AB$44="Alta",'Mapa final'!$AD$44="Catastrófico"),CONCATENATE("R13C",'Mapa final'!$R$44),"")</f>
        <v/>
      </c>
      <c r="X68" s="114" t="str">
        <f>IF(AND('Mapa final'!$AB$45="Alta",'Mapa final'!$AD$45="Catastrófico"),CONCATENATE("R13C",'Mapa final'!$R$45),"")</f>
        <v/>
      </c>
      <c r="Y68" s="58"/>
      <c r="Z68" s="361"/>
      <c r="AA68" s="362"/>
      <c r="AB68" s="362"/>
      <c r="AC68" s="362"/>
      <c r="AD68" s="362"/>
      <c r="AE68" s="363"/>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row>
    <row r="69" spans="1:61" ht="12" customHeight="1" x14ac:dyDescent="0.25">
      <c r="A69" s="58"/>
      <c r="B69" s="356"/>
      <c r="C69" s="356"/>
      <c r="D69" s="357"/>
      <c r="E69" s="371"/>
      <c r="F69" s="372"/>
      <c r="G69" s="372"/>
      <c r="H69" s="372"/>
      <c r="I69" s="370"/>
      <c r="J69" s="51" t="e">
        <f>IF(AND('Mapa final'!#REF!="Alta",'Mapa final'!#REF!="Leve"),CONCATENATE("R14C",'Mapa final'!#REF!),"")</f>
        <v>#REF!</v>
      </c>
      <c r="K69" s="52" t="e">
        <f>IF(AND('Mapa final'!#REF!="Alta",'Mapa final'!#REF!="Leve"),CONCATENATE("R14C",'Mapa final'!#REF!),"")</f>
        <v>#REF!</v>
      </c>
      <c r="L69" s="125" t="e">
        <f>IF(AND('Mapa final'!#REF!="Alta",'Mapa final'!#REF!="Leve"),CONCATENATE("R14C",'Mapa final'!#REF!),"")</f>
        <v>#REF!</v>
      </c>
      <c r="M69" s="51" t="e">
        <f>IF(AND('Mapa final'!#REF!="Alta",'Mapa final'!#REF!="Menor"),CONCATENATE("R14C",'Mapa final'!#REF!),"")</f>
        <v>#REF!</v>
      </c>
      <c r="N69" s="52" t="e">
        <f>IF(AND('Mapa final'!#REF!="Alta",'Mapa final'!#REF!="Menor"),CONCATENATE("R14C",'Mapa final'!#REF!),"")</f>
        <v>#REF!</v>
      </c>
      <c r="O69" s="52" t="e">
        <f>IF(AND('Mapa final'!#REF!="Alta",'Mapa final'!#REF!="Menor"),CONCATENATE("R14C",'Mapa final'!#REF!),"")</f>
        <v>#REF!</v>
      </c>
      <c r="P69" s="119" t="e">
        <f>IF(AND('Mapa final'!#REF!="Alta",'Mapa final'!#REF!="Moderado"),CONCATENATE("R14C",'Mapa final'!#REF!),"")</f>
        <v>#REF!</v>
      </c>
      <c r="Q69" s="44" t="e">
        <f>IF(AND('Mapa final'!#REF!="Alta",'Mapa final'!#REF!="Moderado"),CONCATENATE("R14C",'Mapa final'!#REF!),"")</f>
        <v>#REF!</v>
      </c>
      <c r="R69" s="120" t="e">
        <f>IF(AND('Mapa final'!#REF!="Alta",'Mapa final'!#REF!="Moderado"),CONCATENATE("R14C",'Mapa final'!#REF!),"")</f>
        <v>#REF!</v>
      </c>
      <c r="S69" s="119" t="e">
        <f>IF(AND('Mapa final'!#REF!="Alta",'Mapa final'!#REF!="Mayor"),CONCATENATE("R14C",'Mapa final'!#REF!),"")</f>
        <v>#REF!</v>
      </c>
      <c r="T69" s="44" t="e">
        <f>IF(AND('Mapa final'!#REF!="Alta",'Mapa final'!#REF!="Mayor"),CONCATENATE("R14C",'Mapa final'!#REF!),"")</f>
        <v>#REF!</v>
      </c>
      <c r="U69" s="120" t="e">
        <f>IF(AND('Mapa final'!#REF!="Alta",'Mapa final'!#REF!="Mayor"),CONCATENATE("R14C",'Mapa final'!#REF!),"")</f>
        <v>#REF!</v>
      </c>
      <c r="V69" s="45" t="e">
        <f>IF(AND('Mapa final'!#REF!="Alta",'Mapa final'!#REF!="Catastrófico"),CONCATENATE("R14C",'Mapa final'!#REF!),"")</f>
        <v>#REF!</v>
      </c>
      <c r="W69" s="46" t="e">
        <f>IF(AND('Mapa final'!#REF!="Alta",'Mapa final'!#REF!="Catastrófico"),CONCATENATE("R14C",'Mapa final'!#REF!),"")</f>
        <v>#REF!</v>
      </c>
      <c r="X69" s="114" t="e">
        <f>IF(AND('Mapa final'!#REF!="Alta",'Mapa final'!#REF!="Catastrófico"),CONCATENATE("R14C",'Mapa final'!#REF!),"")</f>
        <v>#REF!</v>
      </c>
      <c r="Y69" s="58"/>
      <c r="Z69" s="361"/>
      <c r="AA69" s="362"/>
      <c r="AB69" s="362"/>
      <c r="AC69" s="362"/>
      <c r="AD69" s="362"/>
      <c r="AE69" s="363"/>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row>
    <row r="70" spans="1:61" ht="15" customHeight="1" x14ac:dyDescent="0.25">
      <c r="A70" s="58"/>
      <c r="B70" s="356"/>
      <c r="C70" s="356"/>
      <c r="D70" s="357"/>
      <c r="E70" s="371"/>
      <c r="F70" s="372"/>
      <c r="G70" s="372"/>
      <c r="H70" s="372"/>
      <c r="I70" s="370"/>
      <c r="J70" s="51" t="str">
        <f>IF(AND('Mapa final'!$AB$46="Alta",'Mapa final'!$AD$46="Leve"),CONCATENATE("R15C",'Mapa final'!$R$46),"")</f>
        <v/>
      </c>
      <c r="K70" s="52" t="str">
        <f>IF(AND('Mapa final'!$AB$47="Alta",'Mapa final'!$AD$47="Leve"),CONCATENATE("R15C",'Mapa final'!$R$47),"")</f>
        <v/>
      </c>
      <c r="L70" s="125" t="str">
        <f>IF(AND('Mapa final'!$AB$48="Alta",'Mapa final'!$AD$48="Leve"),CONCATENATE("R15C",'Mapa final'!$R$48),"")</f>
        <v/>
      </c>
      <c r="M70" s="51" t="str">
        <f>IF(AND('Mapa final'!$AB$46="Alta",'Mapa final'!$AD$46="Menor"),CONCATENATE("R15C",'Mapa final'!$R$46),"")</f>
        <v/>
      </c>
      <c r="N70" s="52" t="str">
        <f>IF(AND('Mapa final'!$AB$47="Alta",'Mapa final'!$AD$47="Menor"),CONCATENATE("R15C",'Mapa final'!$R$47),"")</f>
        <v/>
      </c>
      <c r="O70" s="52" t="str">
        <f>IF(AND('Mapa final'!$AB$48="Alta",'Mapa final'!$AD$48="Menor"),CONCATENATE("R15C",'Mapa final'!$R$48),"")</f>
        <v/>
      </c>
      <c r="P70" s="119" t="str">
        <f>IF(AND('Mapa final'!$AB$46="Alta",'Mapa final'!$AD$46="Moderado"),CONCATENATE("R15C",'Mapa final'!$R$46),"")</f>
        <v/>
      </c>
      <c r="Q70" s="44" t="str">
        <f>IF(AND('Mapa final'!$AB$47="Alta",'Mapa final'!$AD$47="Moderado"),CONCATENATE("R15C",'Mapa final'!$R$47),"")</f>
        <v/>
      </c>
      <c r="R70" s="120" t="str">
        <f>IF(AND('Mapa final'!$AB$48="Alta",'Mapa final'!$AD$48="Moderado"),CONCATENATE("R15C",'Mapa final'!$R$48),"")</f>
        <v/>
      </c>
      <c r="S70" s="119" t="str">
        <f>IF(AND('Mapa final'!$AB$46="Alta",'Mapa final'!$AD$46="Mayor"),CONCATENATE("R15C",'Mapa final'!$R$46),"")</f>
        <v/>
      </c>
      <c r="T70" s="44" t="str">
        <f>IF(AND('Mapa final'!$AB$47="Alta",'Mapa final'!$AD$47="Mayor"),CONCATENATE("R15C",'Mapa final'!$R$47),"")</f>
        <v/>
      </c>
      <c r="U70" s="120" t="str">
        <f>IF(AND('Mapa final'!$AB$48="Alta",'Mapa final'!$AD$48="Mayor"),CONCATENATE("R15C",'Mapa final'!$R$48),"")</f>
        <v/>
      </c>
      <c r="V70" s="45" t="str">
        <f>IF(AND('Mapa final'!$AB$46="Alta",'Mapa final'!$AD$46="Catastrófico"),CONCATENATE("R15C",'Mapa final'!$R$46),"")</f>
        <v/>
      </c>
      <c r="W70" s="46" t="str">
        <f>IF(AND('Mapa final'!$AB$47="Alta",'Mapa final'!$AD$47="Catastrófico"),CONCATENATE("R15C",'Mapa final'!$R$47),"")</f>
        <v/>
      </c>
      <c r="X70" s="114" t="str">
        <f>IF(AND('Mapa final'!$AB$48="Alta",'Mapa final'!$AD$48="Catastrófico"),CONCATENATE("R15C",'Mapa final'!$R$48),"")</f>
        <v/>
      </c>
      <c r="Y70" s="58"/>
      <c r="Z70" s="361"/>
      <c r="AA70" s="362"/>
      <c r="AB70" s="362"/>
      <c r="AC70" s="362"/>
      <c r="AD70" s="362"/>
      <c r="AE70" s="363"/>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row>
    <row r="71" spans="1:61" ht="15" customHeight="1" x14ac:dyDescent="0.25">
      <c r="A71" s="58"/>
      <c r="B71" s="356"/>
      <c r="C71" s="356"/>
      <c r="D71" s="357"/>
      <c r="E71" s="371"/>
      <c r="F71" s="372"/>
      <c r="G71" s="372"/>
      <c r="H71" s="372"/>
      <c r="I71" s="370"/>
      <c r="J71" s="51" t="str">
        <f>IF(AND('Mapa final'!$AB$49="Alta",'Mapa final'!$AD$49="Leve"),CONCATENATE("R16C",'Mapa final'!$R$49),"")</f>
        <v/>
      </c>
      <c r="K71" s="52" t="str">
        <f>IF(AND('Mapa final'!$AB$50="Alta",'Mapa final'!$AD$50="Leve"),CONCATENATE("R16C",'Mapa final'!$R$50),"")</f>
        <v/>
      </c>
      <c r="L71" s="125" t="str">
        <f>IF(AND('Mapa final'!$AB$51="Alta",'Mapa final'!$AD$51="Leve"),CONCATENATE("R16C",'Mapa final'!$R$51),"")</f>
        <v/>
      </c>
      <c r="M71" s="51" t="str">
        <f>IF(AND('Mapa final'!$AB$49="Alta",'Mapa final'!$AD$49="Menor"),CONCATENATE("R16C",'Mapa final'!$R$49),"")</f>
        <v/>
      </c>
      <c r="N71" s="52" t="str">
        <f>IF(AND('Mapa final'!$AB$50="Alta",'Mapa final'!$AD$50="Menor"),CONCATENATE("R16C",'Mapa final'!$R$50),"")</f>
        <v/>
      </c>
      <c r="O71" s="52" t="str">
        <f>IF(AND('Mapa final'!$AB$51="Alta",'Mapa final'!$AD$51="Menor"),CONCATENATE("R16C",'Mapa final'!$R$51),"")</f>
        <v/>
      </c>
      <c r="P71" s="119" t="str">
        <f>IF(AND('Mapa final'!$AB$49="Alta",'Mapa final'!$AD$49="Moderado"),CONCATENATE("R16C",'Mapa final'!$R$49),"")</f>
        <v/>
      </c>
      <c r="Q71" s="44" t="str">
        <f>IF(AND('Mapa final'!$AB$50="Alta",'Mapa final'!$AD$50="Moderado"),CONCATENATE("R16C",'Mapa final'!$R$50),"")</f>
        <v/>
      </c>
      <c r="R71" s="120" t="str">
        <f>IF(AND('Mapa final'!$AB$51="Alta",'Mapa final'!$AD$51="Moderado"),CONCATENATE("R16C",'Mapa final'!$R$51),"")</f>
        <v/>
      </c>
      <c r="S71" s="119" t="str">
        <f>IF(AND('Mapa final'!$AB$49="Alta",'Mapa final'!$AD$49="Mayor"),CONCATENATE("R16C",'Mapa final'!$R$49),"")</f>
        <v/>
      </c>
      <c r="T71" s="44" t="str">
        <f>IF(AND('Mapa final'!$AB$50="Alta",'Mapa final'!$AD$50="Mayor"),CONCATENATE("R16C",'Mapa final'!$R$50),"")</f>
        <v/>
      </c>
      <c r="U71" s="120" t="str">
        <f>IF(AND('Mapa final'!$AB$51="Alta",'Mapa final'!$AD$51="Mayor"),CONCATENATE("R16C",'Mapa final'!$R$51),"")</f>
        <v/>
      </c>
      <c r="V71" s="45" t="str">
        <f>IF(AND('Mapa final'!$AB$49="Alta",'Mapa final'!$AD$49="Catastrófico"),CONCATENATE("R16C",'Mapa final'!$R$49),"")</f>
        <v/>
      </c>
      <c r="W71" s="46" t="str">
        <f>IF(AND('Mapa final'!$AB$50="Alta",'Mapa final'!$AD$50="Catastrófico"),CONCATENATE("R16C",'Mapa final'!$R$50),"")</f>
        <v/>
      </c>
      <c r="X71" s="114" t="str">
        <f>IF(AND('Mapa final'!$AB$51="Alta",'Mapa final'!$AD$51="Catastrófico"),CONCATENATE("R16C",'Mapa final'!$R$51),"")</f>
        <v/>
      </c>
      <c r="Y71" s="58"/>
      <c r="Z71" s="361"/>
      <c r="AA71" s="362"/>
      <c r="AB71" s="362"/>
      <c r="AC71" s="362"/>
      <c r="AD71" s="362"/>
      <c r="AE71" s="363"/>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row>
    <row r="72" spans="1:61" ht="15" customHeight="1" x14ac:dyDescent="0.25">
      <c r="A72" s="58"/>
      <c r="B72" s="356"/>
      <c r="C72" s="356"/>
      <c r="D72" s="357"/>
      <c r="E72" s="371"/>
      <c r="F72" s="372"/>
      <c r="G72" s="372"/>
      <c r="H72" s="372"/>
      <c r="I72" s="370"/>
      <c r="J72" s="51" t="str">
        <f>IF(AND('Mapa final'!$AB$52="Alta",'Mapa final'!$AD$52="Leve"),CONCATENATE("R17C",'Mapa final'!$R$52),"")</f>
        <v/>
      </c>
      <c r="K72" s="52" t="str">
        <f>IF(AND('Mapa final'!$AB$53="Alta",'Mapa final'!$AD$53="Leve"),CONCATENATE("R17C",'Mapa final'!$R$53),"")</f>
        <v/>
      </c>
      <c r="L72" s="125" t="str">
        <f>IF(AND('Mapa final'!$AB$54="Alta",'Mapa final'!$AD$54="Leve"),CONCATENATE("R17C",'Mapa final'!$R$54),"")</f>
        <v/>
      </c>
      <c r="M72" s="51" t="str">
        <f>IF(AND('Mapa final'!$AB$52="Alta",'Mapa final'!$AD$52="Menor"),CONCATENATE("R17C",'Mapa final'!$R$52),"")</f>
        <v/>
      </c>
      <c r="N72" s="52" t="str">
        <f>IF(AND('Mapa final'!$AB$53="Alta",'Mapa final'!$AD$53="Menor"),CONCATENATE("R17C",'Mapa final'!$R$53),"")</f>
        <v/>
      </c>
      <c r="O72" s="52" t="str">
        <f>IF(AND('Mapa final'!$AB$54="Alta",'Mapa final'!$AD$54="Menor"),CONCATENATE("R17C",'Mapa final'!$R$54),"")</f>
        <v/>
      </c>
      <c r="P72" s="119" t="str">
        <f>IF(AND('Mapa final'!$AB$52="Alta",'Mapa final'!$AD$52="Moderado"),CONCATENATE("R17C",'Mapa final'!$R$52),"")</f>
        <v/>
      </c>
      <c r="Q72" s="44" t="str">
        <f>IF(AND('Mapa final'!$AB$53="Alta",'Mapa final'!$AD$53="Moderado"),CONCATENATE("R17C",'Mapa final'!$R$53),"")</f>
        <v/>
      </c>
      <c r="R72" s="120" t="str">
        <f>IF(AND('Mapa final'!$AB$54="Alta",'Mapa final'!$AD$54="Moderado"),CONCATENATE("R17C",'Mapa final'!$R$54),"")</f>
        <v/>
      </c>
      <c r="S72" s="119" t="str">
        <f>IF(AND('Mapa final'!$AB$52="Alta",'Mapa final'!$AD$52="Mayor"),CONCATENATE("R17C",'Mapa final'!$R$52),"")</f>
        <v/>
      </c>
      <c r="T72" s="44" t="str">
        <f>IF(AND('Mapa final'!$AB$53="Alta",'Mapa final'!$AD$53="Mayor"),CONCATENATE("R17C",'Mapa final'!$R$53),"")</f>
        <v/>
      </c>
      <c r="U72" s="120" t="str">
        <f>IF(AND('Mapa final'!$AB$54="Alta",'Mapa final'!$AD$54="Mayor"),CONCATENATE("R17C",'Mapa final'!$R$54),"")</f>
        <v/>
      </c>
      <c r="V72" s="45" t="str">
        <f>IF(AND('Mapa final'!$AB$52="Alta",'Mapa final'!$AD$52="Catastrófico"),CONCATENATE("R17C",'Mapa final'!$R$52),"")</f>
        <v/>
      </c>
      <c r="W72" s="46" t="str">
        <f>IF(AND('Mapa final'!$AB$53="Alta",'Mapa final'!$AD$53="Catastrófico"),CONCATENATE("R17C",'Mapa final'!$R$53),"")</f>
        <v/>
      </c>
      <c r="X72" s="114" t="str">
        <f>IF(AND('Mapa final'!$AB$54="Alta",'Mapa final'!$AD$54="Catastrófico"),CONCATENATE("R17C",'Mapa final'!$R$54),"")</f>
        <v/>
      </c>
      <c r="Y72" s="58"/>
      <c r="Z72" s="361"/>
      <c r="AA72" s="362"/>
      <c r="AB72" s="362"/>
      <c r="AC72" s="362"/>
      <c r="AD72" s="362"/>
      <c r="AE72" s="363"/>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row>
    <row r="73" spans="1:61" ht="15" customHeight="1" x14ac:dyDescent="0.25">
      <c r="A73" s="58"/>
      <c r="B73" s="356"/>
      <c r="C73" s="356"/>
      <c r="D73" s="357"/>
      <c r="E73" s="371"/>
      <c r="F73" s="372"/>
      <c r="G73" s="372"/>
      <c r="H73" s="372"/>
      <c r="I73" s="370"/>
      <c r="J73" s="51" t="str">
        <f>IF(AND('Mapa final'!$AB$55="Alta",'Mapa final'!$AD$55="Leve"),CONCATENATE("R18C",'Mapa final'!$R$55),"")</f>
        <v/>
      </c>
      <c r="K73" s="52" t="str">
        <f>IF(AND('Mapa final'!$AB$56="Alta",'Mapa final'!$AD$56="Leve"),CONCATENATE("R18C",'Mapa final'!$R$56),"")</f>
        <v/>
      </c>
      <c r="L73" s="125" t="str">
        <f>IF(AND('Mapa final'!$AB$57="Alta",'Mapa final'!$AD$57="Leve"),CONCATENATE("R18C",'Mapa final'!$R$57),"")</f>
        <v/>
      </c>
      <c r="M73" s="51" t="str">
        <f>IF(AND('Mapa final'!$AB$55="Alta",'Mapa final'!$AD$55="Menor"),CONCATENATE("R18C",'Mapa final'!$R$55),"")</f>
        <v/>
      </c>
      <c r="N73" s="52" t="str">
        <f>IF(AND('Mapa final'!$AB$56="Alta",'Mapa final'!$AD$56="Menor"),CONCATENATE("R18C",'Mapa final'!$R$56),"")</f>
        <v/>
      </c>
      <c r="O73" s="52" t="str">
        <f>IF(AND('Mapa final'!$AB$57="Alta",'Mapa final'!$AD$57="Menor"),CONCATENATE("R18C",'Mapa final'!$R$57),"")</f>
        <v/>
      </c>
      <c r="P73" s="119" t="str">
        <f>IF(AND('Mapa final'!$AB$55="Alta",'Mapa final'!$AD$55="Moderado"),CONCATENATE("R18C",'Mapa final'!$R$55),"")</f>
        <v/>
      </c>
      <c r="Q73" s="44" t="str">
        <f>IF(AND('Mapa final'!$AB$56="Alta",'Mapa final'!$AD$56="Moderado"),CONCATENATE("R18C",'Mapa final'!$R$56),"")</f>
        <v/>
      </c>
      <c r="R73" s="120" t="str">
        <f>IF(AND('Mapa final'!$AB$57="Alta",'Mapa final'!$AD$57="Moderado"),CONCATENATE("R18C",'Mapa final'!$R$57),"")</f>
        <v/>
      </c>
      <c r="S73" s="119" t="str">
        <f>IF(AND('Mapa final'!$AB$55="Alta",'Mapa final'!$AD$55="Mayor"),CONCATENATE("R18C",'Mapa final'!$R$55),"")</f>
        <v/>
      </c>
      <c r="T73" s="44" t="str">
        <f>IF(AND('Mapa final'!$AB$56="Alta",'Mapa final'!$AD$56="Mayor"),CONCATENATE("R18C",'Mapa final'!$R$56),"")</f>
        <v/>
      </c>
      <c r="U73" s="120" t="str">
        <f>IF(AND('Mapa final'!$AB$57="Alta",'Mapa final'!$AD$57="Mayor"),CONCATENATE("R18C",'Mapa final'!$R$57),"")</f>
        <v/>
      </c>
      <c r="V73" s="45" t="str">
        <f>IF(AND('Mapa final'!$AB$55="Alta",'Mapa final'!$AD$55="Catastrófico"),CONCATENATE("R18C",'Mapa final'!$R$55),"")</f>
        <v/>
      </c>
      <c r="W73" s="46" t="str">
        <f>IF(AND('Mapa final'!$AB$56="Alta",'Mapa final'!$AD$56="Catastrófico"),CONCATENATE("R18C",'Mapa final'!$R$56),"")</f>
        <v/>
      </c>
      <c r="X73" s="114" t="str">
        <f>IF(AND('Mapa final'!$AB$57="Alta",'Mapa final'!$AD$57="Catastrófico"),CONCATENATE("R18C",'Mapa final'!$R$57),"")</f>
        <v/>
      </c>
      <c r="Y73" s="58"/>
      <c r="Z73" s="361"/>
      <c r="AA73" s="362"/>
      <c r="AB73" s="362"/>
      <c r="AC73" s="362"/>
      <c r="AD73" s="362"/>
      <c r="AE73" s="363"/>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row>
    <row r="74" spans="1:61" ht="15" customHeight="1" x14ac:dyDescent="0.25">
      <c r="A74" s="58"/>
      <c r="B74" s="356"/>
      <c r="C74" s="356"/>
      <c r="D74" s="357"/>
      <c r="E74" s="371"/>
      <c r="F74" s="372"/>
      <c r="G74" s="372"/>
      <c r="H74" s="372"/>
      <c r="I74" s="370"/>
      <c r="J74" s="51" t="str">
        <f>IF(AND('Mapa final'!$AB$58="Alta",'Mapa final'!$AD$58="Leve"),CONCATENATE("R19C",'Mapa final'!$R$58),"")</f>
        <v/>
      </c>
      <c r="K74" s="52" t="str">
        <f>IF(AND('Mapa final'!$AB$59="Alta",'Mapa final'!$AD$59="Leve"),CONCATENATE("R19C",'Mapa final'!$R$59),"")</f>
        <v/>
      </c>
      <c r="L74" s="125" t="str">
        <f>IF(AND('Mapa final'!$AB$60="Alta",'Mapa final'!$AD$60="Leve"),CONCATENATE("R19C",'Mapa final'!$R$60),"")</f>
        <v/>
      </c>
      <c r="M74" s="51" t="str">
        <f>IF(AND('Mapa final'!$AB$58="Alta",'Mapa final'!$AD$58="Menor"),CONCATENATE("R19C",'Mapa final'!$R$58),"")</f>
        <v/>
      </c>
      <c r="N74" s="52" t="str">
        <f>IF(AND('Mapa final'!$AB$59="Alta",'Mapa final'!$AD$59="Menor"),CONCATENATE("R19C",'Mapa final'!$R$59),"")</f>
        <v/>
      </c>
      <c r="O74" s="52" t="str">
        <f>IF(AND('Mapa final'!$AB$60="Alta",'Mapa final'!$AD$60="Menor"),CONCATENATE("R19C",'Mapa final'!$R$60),"")</f>
        <v/>
      </c>
      <c r="P74" s="119" t="str">
        <f>IF(AND('Mapa final'!$AB$58="Alta",'Mapa final'!$AD$58="Moderado"),CONCATENATE("R19C",'Mapa final'!$R$58),"")</f>
        <v/>
      </c>
      <c r="Q74" s="44" t="str">
        <f>IF(AND('Mapa final'!$AB$59="Alta",'Mapa final'!$AD$59="Moderado"),CONCATENATE("R19C",'Mapa final'!$R$59),"")</f>
        <v/>
      </c>
      <c r="R74" s="120" t="str">
        <f>IF(AND('Mapa final'!$AB$60="Alta",'Mapa final'!$AD$60="Moderado"),CONCATENATE("R19C",'Mapa final'!$R$60),"")</f>
        <v/>
      </c>
      <c r="S74" s="119" t="str">
        <f>IF(AND('Mapa final'!$AB$58="Alta",'Mapa final'!$AD$58="Mayor"),CONCATENATE("R19C",'Mapa final'!$R$58),"")</f>
        <v/>
      </c>
      <c r="T74" s="44" t="str">
        <f>IF(AND('Mapa final'!$AB$59="Alta",'Mapa final'!$AD$59="Mayor"),CONCATENATE("R19C",'Mapa final'!$R$59),"")</f>
        <v/>
      </c>
      <c r="U74" s="120" t="str">
        <f>IF(AND('Mapa final'!$AB$60="Alta",'Mapa final'!$AD$60="Mayor"),CONCATENATE("R19C",'Mapa final'!$R$60),"")</f>
        <v/>
      </c>
      <c r="V74" s="45" t="str">
        <f>IF(AND('Mapa final'!$AB$58="Alta",'Mapa final'!$AD$58="Catastrófico"),CONCATENATE("R19C",'Mapa final'!$R$58),"")</f>
        <v/>
      </c>
      <c r="W74" s="46" t="str">
        <f>IF(AND('Mapa final'!$AB$59="Alta",'Mapa final'!$AD$59="Catastrófico"),CONCATENATE("R19C",'Mapa final'!$R$59),"")</f>
        <v/>
      </c>
      <c r="X74" s="114" t="str">
        <f>IF(AND('Mapa final'!$AB$60="Alta",'Mapa final'!$AD$60="Catastrófico"),CONCATENATE("R19C",'Mapa final'!$R$60),"")</f>
        <v/>
      </c>
      <c r="Y74" s="58"/>
      <c r="Z74" s="361"/>
      <c r="AA74" s="362"/>
      <c r="AB74" s="362"/>
      <c r="AC74" s="362"/>
      <c r="AD74" s="362"/>
      <c r="AE74" s="363"/>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row>
    <row r="75" spans="1:61" ht="15" customHeight="1" x14ac:dyDescent="0.25">
      <c r="A75" s="58"/>
      <c r="B75" s="356"/>
      <c r="C75" s="356"/>
      <c r="D75" s="357"/>
      <c r="E75" s="371"/>
      <c r="F75" s="372"/>
      <c r="G75" s="372"/>
      <c r="H75" s="372"/>
      <c r="I75" s="370"/>
      <c r="J75" s="51" t="str">
        <f>IF(AND('Mapa final'!$AB$61="Alta",'Mapa final'!$AD$61="Leve"),CONCATENATE("R20C",'Mapa final'!$R$61),"")</f>
        <v/>
      </c>
      <c r="K75" s="52" t="str">
        <f>IF(AND('Mapa final'!$AB$62="Alta",'Mapa final'!$AD$62="Leve"),CONCATENATE("R20C",'Mapa final'!$R$62),"")</f>
        <v/>
      </c>
      <c r="L75" s="125" t="str">
        <f>IF(AND('Mapa final'!$AB$63="Alta",'Mapa final'!$AD$63="Leve"),CONCATENATE("R20C",'Mapa final'!$R$63),"")</f>
        <v/>
      </c>
      <c r="M75" s="51" t="str">
        <f>IF(AND('Mapa final'!$AB$61="Alta",'Mapa final'!$AD$61="Menor"),CONCATENATE("R20C",'Mapa final'!$R$61),"")</f>
        <v/>
      </c>
      <c r="N75" s="52" t="str">
        <f>IF(AND('Mapa final'!$AB$62="Alta",'Mapa final'!$AD$62="Menor"),CONCATENATE("R20C",'Mapa final'!$R$62),"")</f>
        <v/>
      </c>
      <c r="O75" s="52" t="str">
        <f>IF(AND('Mapa final'!$AB$63="Alta",'Mapa final'!$AD$63="Menor"),CONCATENATE("R20C",'Mapa final'!$R$63),"")</f>
        <v/>
      </c>
      <c r="P75" s="119" t="str">
        <f>IF(AND('Mapa final'!$AB$61="Alta",'Mapa final'!$AD$61="Moderado"),CONCATENATE("R20C",'Mapa final'!$R$61),"")</f>
        <v/>
      </c>
      <c r="Q75" s="44" t="str">
        <f>IF(AND('Mapa final'!$AB$62="Alta",'Mapa final'!$AD$62="Moderado"),CONCATENATE("R20C",'Mapa final'!$R$62),"")</f>
        <v/>
      </c>
      <c r="R75" s="120" t="str">
        <f>IF(AND('Mapa final'!$AB$63="Alta",'Mapa final'!$AD$63="Moderado"),CONCATENATE("R20C",'Mapa final'!$R$63),"")</f>
        <v/>
      </c>
      <c r="S75" s="119" t="str">
        <f>IF(AND('Mapa final'!$AB$61="Alta",'Mapa final'!$AD$61="Mayor"),CONCATENATE("R20C",'Mapa final'!$R$61),"")</f>
        <v/>
      </c>
      <c r="T75" s="44" t="str">
        <f>IF(AND('Mapa final'!$AB$62="Alta",'Mapa final'!$AD$62="Mayor"),CONCATENATE("R20C",'Mapa final'!$R$62),"")</f>
        <v/>
      </c>
      <c r="U75" s="120" t="str">
        <f>IF(AND('Mapa final'!$AB$63="Alta",'Mapa final'!$AD$63="Mayor"),CONCATENATE("R20C",'Mapa final'!$R$63),"")</f>
        <v/>
      </c>
      <c r="V75" s="45" t="str">
        <f>IF(AND('Mapa final'!$AB$61="Alta",'Mapa final'!$AD$61="Catastrófico"),CONCATENATE("R20C",'Mapa final'!$R$61),"")</f>
        <v/>
      </c>
      <c r="W75" s="46" t="str">
        <f>IF(AND('Mapa final'!$AB$62="Alta",'Mapa final'!$AD$62="Catastrófico"),CONCATENATE("R20C",'Mapa final'!$R$62),"")</f>
        <v/>
      </c>
      <c r="X75" s="114" t="str">
        <f>IF(AND('Mapa final'!$AB$63="Alta",'Mapa final'!$AD$63="Catastrófico"),CONCATENATE("R20C",'Mapa final'!$R$63),"")</f>
        <v/>
      </c>
      <c r="Y75" s="58"/>
      <c r="Z75" s="361"/>
      <c r="AA75" s="362"/>
      <c r="AB75" s="362"/>
      <c r="AC75" s="362"/>
      <c r="AD75" s="362"/>
      <c r="AE75" s="363"/>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row>
    <row r="76" spans="1:61" ht="15" customHeight="1" x14ac:dyDescent="0.25">
      <c r="A76" s="58"/>
      <c r="B76" s="356"/>
      <c r="C76" s="356"/>
      <c r="D76" s="357"/>
      <c r="E76" s="371"/>
      <c r="F76" s="372"/>
      <c r="G76" s="372"/>
      <c r="H76" s="372"/>
      <c r="I76" s="370"/>
      <c r="J76" s="51" t="str">
        <f>IF(AND('Mapa final'!$AB$64="Alta",'Mapa final'!$AD$64="Leve"),CONCATENATE("R21C",'Mapa final'!$R$64),"")</f>
        <v/>
      </c>
      <c r="K76" s="52" t="str">
        <f>IF(AND('Mapa final'!$AB$65="Alta",'Mapa final'!$AD$65="Leve"),CONCATENATE("R21C",'Mapa final'!$R$65),"")</f>
        <v/>
      </c>
      <c r="L76" s="125" t="str">
        <f>IF(AND('Mapa final'!$AB$66="Alta",'Mapa final'!$AD$66="Leve"),CONCATENATE("R21C",'Mapa final'!$R$66),"")</f>
        <v/>
      </c>
      <c r="M76" s="51" t="str">
        <f>IF(AND('Mapa final'!$AB$64="Alta",'Mapa final'!$AD$64="Menor"),CONCATENATE("R21C",'Mapa final'!$R$64),"")</f>
        <v/>
      </c>
      <c r="N76" s="52" t="str">
        <f>IF(AND('Mapa final'!$AB$65="Alta",'Mapa final'!$AD$65="Menor"),CONCATENATE("R21C",'Mapa final'!$R$65),"")</f>
        <v/>
      </c>
      <c r="O76" s="52" t="str">
        <f>IF(AND('Mapa final'!$AB$66="Alta",'Mapa final'!$AD$66="Menor"),CONCATENATE("R21C",'Mapa final'!$R$66),"")</f>
        <v/>
      </c>
      <c r="P76" s="119" t="str">
        <f>IF(AND('Mapa final'!$AB$64="Alta",'Mapa final'!$AD$64="Moderado"),CONCATENATE("R21C",'Mapa final'!$R$64),"")</f>
        <v/>
      </c>
      <c r="Q76" s="44" t="str">
        <f>IF(AND('Mapa final'!$AB$65="Alta",'Mapa final'!$AD$65="Moderado"),CONCATENATE("R21C",'Mapa final'!$R$65),"")</f>
        <v/>
      </c>
      <c r="R76" s="120" t="str">
        <f>IF(AND('Mapa final'!$AB$66="Alta",'Mapa final'!$AD$66="Moderado"),CONCATENATE("R21C",'Mapa final'!$R$66),"")</f>
        <v/>
      </c>
      <c r="S76" s="119" t="str">
        <f>IF(AND('Mapa final'!$AB$64="Alta",'Mapa final'!$AD$64="Mayor"),CONCATENATE("R21C",'Mapa final'!$R$64),"")</f>
        <v/>
      </c>
      <c r="T76" s="44" t="str">
        <f>IF(AND('Mapa final'!$AB$65="Alta",'Mapa final'!$AD$65="Mayor"),CONCATENATE("R21C",'Mapa final'!$R$65),"")</f>
        <v/>
      </c>
      <c r="U76" s="120" t="str">
        <f>IF(AND('Mapa final'!$AB$66="Alta",'Mapa final'!$AD$66="Mayor"),CONCATENATE("R21C",'Mapa final'!$R$66),"")</f>
        <v/>
      </c>
      <c r="V76" s="45" t="str">
        <f>IF(AND('Mapa final'!$AB$64="Alta",'Mapa final'!$AD$64="Catastrófico"),CONCATENATE("R21C",'Mapa final'!$R$64),"")</f>
        <v/>
      </c>
      <c r="W76" s="46" t="str">
        <f>IF(AND('Mapa final'!$AB$65="Alta",'Mapa final'!$AD$65="Catastrófico"),CONCATENATE("R21C",'Mapa final'!$R$65),"")</f>
        <v/>
      </c>
      <c r="X76" s="114" t="str">
        <f>IF(AND('Mapa final'!$AB$66="Alta",'Mapa final'!$AD$66="Catastrófico"),CONCATENATE("R21C",'Mapa final'!$R$66),"")</f>
        <v/>
      </c>
      <c r="Y76" s="58"/>
      <c r="Z76" s="361"/>
      <c r="AA76" s="362"/>
      <c r="AB76" s="362"/>
      <c r="AC76" s="362"/>
      <c r="AD76" s="362"/>
      <c r="AE76" s="363"/>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row>
    <row r="77" spans="1:61" ht="15" customHeight="1" x14ac:dyDescent="0.25">
      <c r="A77" s="58"/>
      <c r="B77" s="356"/>
      <c r="C77" s="356"/>
      <c r="D77" s="357"/>
      <c r="E77" s="371"/>
      <c r="F77" s="372"/>
      <c r="G77" s="372"/>
      <c r="H77" s="372"/>
      <c r="I77" s="370"/>
      <c r="J77" s="51" t="str">
        <f>IF(AND('Mapa final'!$AB$67="Alta",'Mapa final'!$AD$67="Leve"),CONCATENATE("R22C",'Mapa final'!$R$67),"")</f>
        <v/>
      </c>
      <c r="K77" s="52" t="str">
        <f>IF(AND('Mapa final'!$AB$68="Alta",'Mapa final'!$AD$68="Leve"),CONCATENATE("R22C",'Mapa final'!$R$68),"")</f>
        <v/>
      </c>
      <c r="L77" s="125" t="str">
        <f>IF(AND('Mapa final'!$AB$69="Alta",'Mapa final'!$AD$69="Leve"),CONCATENATE("R22C",'Mapa final'!$R$69),"")</f>
        <v/>
      </c>
      <c r="M77" s="51" t="str">
        <f>IF(AND('Mapa final'!$AB$67="Alta",'Mapa final'!$AD$67="Menor"),CONCATENATE("R22C",'Mapa final'!$R$67),"")</f>
        <v/>
      </c>
      <c r="N77" s="52" t="str">
        <f>IF(AND('Mapa final'!$AB$68="Alta",'Mapa final'!$AD$68="Menor"),CONCATENATE("R22C",'Mapa final'!$R$68),"")</f>
        <v/>
      </c>
      <c r="O77" s="52" t="str">
        <f>IF(AND('Mapa final'!$AB$69="Alta",'Mapa final'!$AD$69="Menor"),CONCATENATE("R22C",'Mapa final'!$R$69),"")</f>
        <v/>
      </c>
      <c r="P77" s="119" t="str">
        <f>IF(AND('Mapa final'!$AB$67="Alta",'Mapa final'!$AD$67="Moderado"),CONCATENATE("R22C",'Mapa final'!$R$67),"")</f>
        <v/>
      </c>
      <c r="Q77" s="44" t="str">
        <f>IF(AND('Mapa final'!$AB$68="Alta",'Mapa final'!$AD$68="Moderado"),CONCATENATE("R22C",'Mapa final'!$R$68),"")</f>
        <v/>
      </c>
      <c r="R77" s="120" t="str">
        <f>IF(AND('Mapa final'!$AB$69="Alta",'Mapa final'!$AD$69="Moderado"),CONCATENATE("R22C",'Mapa final'!$R$69),"")</f>
        <v/>
      </c>
      <c r="S77" s="119" t="str">
        <f>IF(AND('Mapa final'!$AB$67="Alta",'Mapa final'!$AD$67="Mayor"),CONCATENATE("R22C",'Mapa final'!$R$67),"")</f>
        <v/>
      </c>
      <c r="T77" s="44" t="str">
        <f>IF(AND('Mapa final'!$AB$68="Alta",'Mapa final'!$AD$68="Mayor"),CONCATENATE("R22C",'Mapa final'!$R$68),"")</f>
        <v/>
      </c>
      <c r="U77" s="120" t="str">
        <f>IF(AND('Mapa final'!$AB$69="Alta",'Mapa final'!$AD$69="Mayor"),CONCATENATE("R22C",'Mapa final'!$R$69),"")</f>
        <v/>
      </c>
      <c r="V77" s="45" t="str">
        <f>IF(AND('Mapa final'!$AB$67="Alta",'Mapa final'!$AD$67="Catastrófico"),CONCATENATE("R22C",'Mapa final'!$R$67),"")</f>
        <v/>
      </c>
      <c r="W77" s="46" t="str">
        <f>IF(AND('Mapa final'!$AB$68="Alta",'Mapa final'!$AD$68="Catastrófico"),CONCATENATE("R22C",'Mapa final'!$R$68),"")</f>
        <v/>
      </c>
      <c r="X77" s="114" t="str">
        <f>IF(AND('Mapa final'!$AB$69="Alta",'Mapa final'!$AD$69="Catastrófico"),CONCATENATE("R22C",'Mapa final'!$R$69),"")</f>
        <v/>
      </c>
      <c r="Y77" s="58"/>
      <c r="Z77" s="361"/>
      <c r="AA77" s="362"/>
      <c r="AB77" s="362"/>
      <c r="AC77" s="362"/>
      <c r="AD77" s="362"/>
      <c r="AE77" s="363"/>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row>
    <row r="78" spans="1:61" ht="15" customHeight="1" x14ac:dyDescent="0.25">
      <c r="A78" s="58"/>
      <c r="B78" s="356"/>
      <c r="C78" s="356"/>
      <c r="D78" s="357"/>
      <c r="E78" s="371"/>
      <c r="F78" s="372"/>
      <c r="G78" s="372"/>
      <c r="H78" s="372"/>
      <c r="I78" s="370"/>
      <c r="J78" s="51" t="str">
        <f>IF(AND('Mapa final'!$AB$70="Alta",'Mapa final'!$AD$70="Leve"),CONCATENATE("R23C",'Mapa final'!$R$70),"")</f>
        <v/>
      </c>
      <c r="K78" s="52" t="str">
        <f>IF(AND('Mapa final'!$AB$71="Alta",'Mapa final'!$AD$71="Leve"),CONCATENATE("R23C",'Mapa final'!$R$71),"")</f>
        <v/>
      </c>
      <c r="L78" s="125" t="str">
        <f>IF(AND('Mapa final'!$AB$72="Alta",'Mapa final'!$AD$72="Leve"),CONCATENATE("R23C",'Mapa final'!$R$72),"")</f>
        <v/>
      </c>
      <c r="M78" s="51" t="str">
        <f>IF(AND('Mapa final'!$AB$70="Alta",'Mapa final'!$AD$70="Menor"),CONCATENATE("R23C",'Mapa final'!$R$70),"")</f>
        <v/>
      </c>
      <c r="N78" s="52" t="str">
        <f>IF(AND('Mapa final'!$AB$71="Alta",'Mapa final'!$AD$71="Menor"),CONCATENATE("R23C",'Mapa final'!$R$71),"")</f>
        <v/>
      </c>
      <c r="O78" s="52" t="str">
        <f>IF(AND('Mapa final'!$AB$72="Alta",'Mapa final'!$AD$72="Menor"),CONCATENATE("R23C",'Mapa final'!$R$72),"")</f>
        <v/>
      </c>
      <c r="P78" s="119" t="str">
        <f>IF(AND('Mapa final'!$AB$70="Alta",'Mapa final'!$AD$70="Moderado"),CONCATENATE("R23C",'Mapa final'!$R$70),"")</f>
        <v/>
      </c>
      <c r="Q78" s="44" t="str">
        <f>IF(AND('Mapa final'!$AB$71="Alta",'Mapa final'!$AD$71="Moderado"),CONCATENATE("R23C",'Mapa final'!$R$71),"")</f>
        <v/>
      </c>
      <c r="R78" s="120" t="str">
        <f>IF(AND('Mapa final'!$AB$72="Alta",'Mapa final'!$AD$72="Moderado"),CONCATENATE("R23C",'Mapa final'!$R$72),"")</f>
        <v/>
      </c>
      <c r="S78" s="119" t="str">
        <f>IF(AND('Mapa final'!$AB$70="Alta",'Mapa final'!$AD$70="Mayor"),CONCATENATE("R23C",'Mapa final'!$R$70),"")</f>
        <v/>
      </c>
      <c r="T78" s="44" t="str">
        <f>IF(AND('Mapa final'!$AB$71="Alta",'Mapa final'!$AD$71="Mayor"),CONCATENATE("R23C",'Mapa final'!$R$71),"")</f>
        <v/>
      </c>
      <c r="U78" s="120" t="str">
        <f>IF(AND('Mapa final'!$AB$72="Alta",'Mapa final'!$AD$72="Mayor"),CONCATENATE("R23C",'Mapa final'!$R$72),"")</f>
        <v/>
      </c>
      <c r="V78" s="45" t="str">
        <f>IF(AND('Mapa final'!$AB$70="Alta",'Mapa final'!$AD$70="Catastrófico"),CONCATENATE("R23C",'Mapa final'!$R$70),"")</f>
        <v/>
      </c>
      <c r="W78" s="46" t="str">
        <f>IF(AND('Mapa final'!$AB$71="Alta",'Mapa final'!$AD$71="Catastrófico"),CONCATENATE("R23C",'Mapa final'!$R$71),"")</f>
        <v/>
      </c>
      <c r="X78" s="114" t="str">
        <f>IF(AND('Mapa final'!$AB$72="Alta",'Mapa final'!$AD$72="Catastrófico"),CONCATENATE("R23C",'Mapa final'!$R$72),"")</f>
        <v/>
      </c>
      <c r="Y78" s="58"/>
      <c r="Z78" s="361"/>
      <c r="AA78" s="362"/>
      <c r="AB78" s="362"/>
      <c r="AC78" s="362"/>
      <c r="AD78" s="362"/>
      <c r="AE78" s="363"/>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row>
    <row r="79" spans="1:61" ht="15" customHeight="1" x14ac:dyDescent="0.25">
      <c r="A79" s="58"/>
      <c r="B79" s="356"/>
      <c r="C79" s="356"/>
      <c r="D79" s="357"/>
      <c r="E79" s="371"/>
      <c r="F79" s="372"/>
      <c r="G79" s="372"/>
      <c r="H79" s="372"/>
      <c r="I79" s="370"/>
      <c r="J79" s="51" t="str">
        <f>IF(AND('Mapa final'!$AB$73="Alta",'Mapa final'!$AD$73="Leve"),CONCATENATE("R24C",'Mapa final'!$R$73),"")</f>
        <v/>
      </c>
      <c r="K79" s="52" t="str">
        <f>IF(AND('Mapa final'!$AB$74="Alta",'Mapa final'!$AD$74="Leve"),CONCATENATE("R24C",'Mapa final'!$R$74),"")</f>
        <v/>
      </c>
      <c r="L79" s="125" t="str">
        <f>IF(AND('Mapa final'!$AB$75="Alta",'Mapa final'!$AD$75="Leve"),CONCATENATE("R24C",'Mapa final'!$R$75),"")</f>
        <v/>
      </c>
      <c r="M79" s="51" t="str">
        <f>IF(AND('Mapa final'!$AB$73="Alta",'Mapa final'!$AD$73="Menor"),CONCATENATE("R24C",'Mapa final'!$R$73),"")</f>
        <v/>
      </c>
      <c r="N79" s="52" t="str">
        <f>IF(AND('Mapa final'!$AB$74="Alta",'Mapa final'!$AD$74="Menor"),CONCATENATE("R24C",'Mapa final'!$R$74),"")</f>
        <v/>
      </c>
      <c r="O79" s="52" t="str">
        <f>IF(AND('Mapa final'!$AB$75="Alta",'Mapa final'!$AD$75="Menor"),CONCATENATE("R24C",'Mapa final'!$R$75),"")</f>
        <v/>
      </c>
      <c r="P79" s="119" t="str">
        <f>IF(AND('Mapa final'!$AB$73="Alta",'Mapa final'!$AD$73="Moderado"),CONCATENATE("R24C",'Mapa final'!$R$73),"")</f>
        <v/>
      </c>
      <c r="Q79" s="44" t="str">
        <f>IF(AND('Mapa final'!$AB$74="Alta",'Mapa final'!$AD$74="Moderado"),CONCATENATE("R24C",'Mapa final'!$R$74),"")</f>
        <v/>
      </c>
      <c r="R79" s="120" t="str">
        <f>IF(AND('Mapa final'!$AB$75="Alta",'Mapa final'!$AD$75="Moderado"),CONCATENATE("R24C",'Mapa final'!$R$75),"")</f>
        <v/>
      </c>
      <c r="S79" s="119" t="str">
        <f>IF(AND('Mapa final'!$AB$73="Alta",'Mapa final'!$AD$73="Mayor"),CONCATENATE("R24C",'Mapa final'!$R$73),"")</f>
        <v/>
      </c>
      <c r="T79" s="44" t="str">
        <f>IF(AND('Mapa final'!$AB$74="Alta",'Mapa final'!$AD$74="Mayor"),CONCATENATE("R24C",'Mapa final'!$R$74),"")</f>
        <v/>
      </c>
      <c r="U79" s="120" t="str">
        <f>IF(AND('Mapa final'!$AB$75="Alta",'Mapa final'!$AD$75="Mayor"),CONCATENATE("R24C",'Mapa final'!$R$75),"")</f>
        <v/>
      </c>
      <c r="V79" s="45" t="str">
        <f>IF(AND('Mapa final'!$AB$73="Alta",'Mapa final'!$AD$73="Catastrófico"),CONCATENATE("R24C",'Mapa final'!$R$73),"")</f>
        <v/>
      </c>
      <c r="W79" s="46" t="str">
        <f>IF(AND('Mapa final'!$AB$74="Alta",'Mapa final'!$AD$74="Catastrófico"),CONCATENATE("R24C",'Mapa final'!$R$74),"")</f>
        <v/>
      </c>
      <c r="X79" s="114" t="str">
        <f>IF(AND('Mapa final'!$AB$75="Alta",'Mapa final'!$AD$75="Catastrófico"),CONCATENATE("R24C",'Mapa final'!$R$75),"")</f>
        <v/>
      </c>
      <c r="Y79" s="58"/>
      <c r="Z79" s="361"/>
      <c r="AA79" s="362"/>
      <c r="AB79" s="362"/>
      <c r="AC79" s="362"/>
      <c r="AD79" s="362"/>
      <c r="AE79" s="363"/>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row>
    <row r="80" spans="1:61" ht="15" customHeight="1" x14ac:dyDescent="0.25">
      <c r="A80" s="58"/>
      <c r="B80" s="356"/>
      <c r="C80" s="356"/>
      <c r="D80" s="357"/>
      <c r="E80" s="371"/>
      <c r="F80" s="372"/>
      <c r="G80" s="372"/>
      <c r="H80" s="372"/>
      <c r="I80" s="370"/>
      <c r="J80" s="51" t="str">
        <f>IF(AND('Mapa final'!$AB$76="Alta",'Mapa final'!$AD$76="Leve"),CONCATENATE("R25C",'Mapa final'!$R$76),"")</f>
        <v/>
      </c>
      <c r="K80" s="52" t="str">
        <f>IF(AND('Mapa final'!$AB$77="Alta",'Mapa final'!$AD$77="Leve"),CONCATENATE("R25C",'Mapa final'!$R$77),"")</f>
        <v/>
      </c>
      <c r="L80" s="125" t="str">
        <f>IF(AND('Mapa final'!$AB$78="Alta",'Mapa final'!$AD$78="Leve"),CONCATENATE("R25C",'Mapa final'!$R$78),"")</f>
        <v/>
      </c>
      <c r="M80" s="51" t="str">
        <f>IF(AND('Mapa final'!$AB$76="Alta",'Mapa final'!$AD$76="Menor"),CONCATENATE("R25C",'Mapa final'!$R$76),"")</f>
        <v/>
      </c>
      <c r="N80" s="52" t="str">
        <f>IF(AND('Mapa final'!$AB$77="Alta",'Mapa final'!$AD$77="Menor"),CONCATENATE("R25C",'Mapa final'!$R$77),"")</f>
        <v/>
      </c>
      <c r="O80" s="52" t="str">
        <f>IF(AND('Mapa final'!$AB$78="Alta",'Mapa final'!$AD$78="Menor"),CONCATENATE("R25C",'Mapa final'!$R$78),"")</f>
        <v/>
      </c>
      <c r="P80" s="119" t="str">
        <f>IF(AND('Mapa final'!$AB$76="Alta",'Mapa final'!$AD$76="Moderado"),CONCATENATE("R25C",'Mapa final'!$R$76),"")</f>
        <v/>
      </c>
      <c r="Q80" s="44" t="str">
        <f>IF(AND('Mapa final'!$AB$77="Alta",'Mapa final'!$AD$77="Moderado"),CONCATENATE("R25C",'Mapa final'!$R$77),"")</f>
        <v/>
      </c>
      <c r="R80" s="120" t="str">
        <f>IF(AND('Mapa final'!$AB$78="Alta",'Mapa final'!$AD$78="Moderado"),CONCATENATE("R25C",'Mapa final'!$R$78),"")</f>
        <v/>
      </c>
      <c r="S80" s="119" t="str">
        <f>IF(AND('Mapa final'!$AB$76="Alta",'Mapa final'!$AD$76="Mayor"),CONCATENATE("R25C",'Mapa final'!$R$76),"")</f>
        <v/>
      </c>
      <c r="T80" s="44" t="str">
        <f>IF(AND('Mapa final'!$AB$77="Alta",'Mapa final'!$AD$77="Mayor"),CONCATENATE("R25C",'Mapa final'!$R$77),"")</f>
        <v/>
      </c>
      <c r="U80" s="120" t="str">
        <f>IF(AND('Mapa final'!$AB$78="Alta",'Mapa final'!$AD$78="Mayor"),CONCATENATE("R25C",'Mapa final'!$R$78),"")</f>
        <v/>
      </c>
      <c r="V80" s="45" t="str">
        <f>IF(AND('Mapa final'!$AB$76="Alta",'Mapa final'!$AD$76="Catastrófico"),CONCATENATE("R25C",'Mapa final'!$R$76),"")</f>
        <v/>
      </c>
      <c r="W80" s="46" t="str">
        <f>IF(AND('Mapa final'!$AB$77="Alta",'Mapa final'!$AD$77="Catastrófico"),CONCATENATE("R25C",'Mapa final'!$R$77),"")</f>
        <v/>
      </c>
      <c r="X80" s="114" t="str">
        <f>IF(AND('Mapa final'!$AB$78="Alta",'Mapa final'!$AD$78="Catastrófico"),CONCATENATE("R25C",'Mapa final'!$R$78),"")</f>
        <v/>
      </c>
      <c r="Y80" s="58"/>
      <c r="Z80" s="361"/>
      <c r="AA80" s="362"/>
      <c r="AB80" s="362"/>
      <c r="AC80" s="362"/>
      <c r="AD80" s="362"/>
      <c r="AE80" s="363"/>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row>
    <row r="81" spans="1:61" ht="15" customHeight="1" x14ac:dyDescent="0.25">
      <c r="A81" s="58"/>
      <c r="B81" s="356"/>
      <c r="C81" s="356"/>
      <c r="D81" s="357"/>
      <c r="E81" s="371"/>
      <c r="F81" s="372"/>
      <c r="G81" s="372"/>
      <c r="H81" s="372"/>
      <c r="I81" s="370"/>
      <c r="J81" s="51" t="str">
        <f>IF(AND('Mapa final'!$AB$79="Alta",'Mapa final'!$AD$79="Leve"),CONCATENATE("R26C",'Mapa final'!$R$79),"")</f>
        <v/>
      </c>
      <c r="K81" s="52" t="str">
        <f>IF(AND('Mapa final'!$AB$80="Alta",'Mapa final'!$AD$80="Leve"),CONCATENATE("R26C",'Mapa final'!$R$80),"")</f>
        <v/>
      </c>
      <c r="L81" s="125" t="str">
        <f>IF(AND('Mapa final'!$AB$81="Alta",'Mapa final'!$AD$81="Leve"),CONCATENATE("R26C",'Mapa final'!$R$81),"")</f>
        <v/>
      </c>
      <c r="M81" s="51" t="str">
        <f>IF(AND('Mapa final'!$AB$79="Alta",'Mapa final'!$AD$79="Menor"),CONCATENATE("R26C",'Mapa final'!$R$79),"")</f>
        <v/>
      </c>
      <c r="N81" s="52" t="str">
        <f>IF(AND('Mapa final'!$AB$80="Alta",'Mapa final'!$AD$80="Menor"),CONCATENATE("R26C",'Mapa final'!$R$80),"")</f>
        <v/>
      </c>
      <c r="O81" s="52" t="str">
        <f>IF(AND('Mapa final'!$AB$81="Alta",'Mapa final'!$AD$81="Menor"),CONCATENATE("R26C",'Mapa final'!$R$81),"")</f>
        <v/>
      </c>
      <c r="P81" s="119" t="str">
        <f>IF(AND('Mapa final'!$AB$79="Alta",'Mapa final'!$AD$79="Moderado"),CONCATENATE("R26C",'Mapa final'!$R$79),"")</f>
        <v/>
      </c>
      <c r="Q81" s="44" t="str">
        <f>IF(AND('Mapa final'!$AB$80="Alta",'Mapa final'!$AD$80="Moderado"),CONCATENATE("R26C",'Mapa final'!$R$80),"")</f>
        <v/>
      </c>
      <c r="R81" s="120" t="str">
        <f>IF(AND('Mapa final'!$AB$81="Alta",'Mapa final'!$AD$81="Moderado"),CONCATENATE("R26C",'Mapa final'!$R$81),"")</f>
        <v/>
      </c>
      <c r="S81" s="119" t="str">
        <f>IF(AND('Mapa final'!$AB$79="Alta",'Mapa final'!$AD$79="Mayor"),CONCATENATE("R26C",'Mapa final'!$R$79),"")</f>
        <v/>
      </c>
      <c r="T81" s="44" t="str">
        <f>IF(AND('Mapa final'!$AB$80="Alta",'Mapa final'!$AD$80="Mayor"),CONCATENATE("R26C",'Mapa final'!$R$80),"")</f>
        <v/>
      </c>
      <c r="U81" s="120" t="str">
        <f>IF(AND('Mapa final'!$AB$81="Alta",'Mapa final'!$AD$81="Mayor"),CONCATENATE("R26C",'Mapa final'!$R$81),"")</f>
        <v/>
      </c>
      <c r="V81" s="45" t="str">
        <f>IF(AND('Mapa final'!$AB$79="Alta",'Mapa final'!$AD$79="Catastrófico"),CONCATENATE("R26C",'Mapa final'!$R$79),"")</f>
        <v/>
      </c>
      <c r="W81" s="46" t="str">
        <f>IF(AND('Mapa final'!$AB$80="Alta",'Mapa final'!$AD$80="Catastrófico"),CONCATENATE("R26C",'Mapa final'!$R$80),"")</f>
        <v/>
      </c>
      <c r="X81" s="114" t="str">
        <f>IF(AND('Mapa final'!$AB$81="Alta",'Mapa final'!$AD$81="Catastrófico"),CONCATENATE("R26C",'Mapa final'!$R$81),"")</f>
        <v/>
      </c>
      <c r="Y81" s="58"/>
      <c r="Z81" s="361"/>
      <c r="AA81" s="362"/>
      <c r="AB81" s="362"/>
      <c r="AC81" s="362"/>
      <c r="AD81" s="362"/>
      <c r="AE81" s="363"/>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row>
    <row r="82" spans="1:61" ht="15" customHeight="1" x14ac:dyDescent="0.25">
      <c r="A82" s="58"/>
      <c r="B82" s="356"/>
      <c r="C82" s="356"/>
      <c r="D82" s="357"/>
      <c r="E82" s="371"/>
      <c r="F82" s="372"/>
      <c r="G82" s="372"/>
      <c r="H82" s="372"/>
      <c r="I82" s="370"/>
      <c r="J82" s="51" t="str">
        <f>IF(AND('Mapa final'!$AB$82="Alta",'Mapa final'!$AD$82="Leve"),CONCATENATE("R27C",'Mapa final'!$R$82),"")</f>
        <v/>
      </c>
      <c r="K82" s="52" t="str">
        <f>IF(AND('Mapa final'!$AB$83="Alta",'Mapa final'!$AD$83="Leve"),CONCATENATE("R27C",'Mapa final'!$R$83),"")</f>
        <v/>
      </c>
      <c r="L82" s="125" t="str">
        <f>IF(AND('Mapa final'!$AB$84="Alta",'Mapa final'!$AD$84="Leve"),CONCATENATE("R27C",'Mapa final'!$R$84),"")</f>
        <v/>
      </c>
      <c r="M82" s="51" t="str">
        <f>IF(AND('Mapa final'!$AB$82="Alta",'Mapa final'!$AD$82="Menor"),CONCATENATE("R27C",'Mapa final'!$R$82),"")</f>
        <v/>
      </c>
      <c r="N82" s="52" t="str">
        <f>IF(AND('Mapa final'!$AB$83="Alta",'Mapa final'!$AD$83="Menor"),CONCATENATE("R27C",'Mapa final'!$R$83),"")</f>
        <v/>
      </c>
      <c r="O82" s="52" t="str">
        <f>IF(AND('Mapa final'!$AB$84="Alta",'Mapa final'!$AD$84="Menor"),CONCATENATE("R27C",'Mapa final'!$R$84),"")</f>
        <v/>
      </c>
      <c r="P82" s="119" t="str">
        <f>IF(AND('Mapa final'!$AB$82="Alta",'Mapa final'!$AD$82="Moderado"),CONCATENATE("R27C",'Mapa final'!$R$82),"")</f>
        <v/>
      </c>
      <c r="Q82" s="44" t="str">
        <f>IF(AND('Mapa final'!$AB$83="Alta",'Mapa final'!$AD$83="Moderado"),CONCATENATE("R27C",'Mapa final'!$R$83),"")</f>
        <v/>
      </c>
      <c r="R82" s="120" t="str">
        <f>IF(AND('Mapa final'!$AB$84="Alta",'Mapa final'!$AD$84="Moderado"),CONCATENATE("R27C",'Mapa final'!$R$84),"")</f>
        <v/>
      </c>
      <c r="S82" s="119" t="str">
        <f>IF(AND('Mapa final'!$AB$82="Alta",'Mapa final'!$AD$82="Mayor"),CONCATENATE("R27C",'Mapa final'!$R$82),"")</f>
        <v/>
      </c>
      <c r="T82" s="44" t="str">
        <f>IF(AND('Mapa final'!$AB$83="Alta",'Mapa final'!$AD$83="Mayor"),CONCATENATE("R27C",'Mapa final'!$R$83),"")</f>
        <v/>
      </c>
      <c r="U82" s="120" t="str">
        <f>IF(AND('Mapa final'!$AB$84="Alta",'Mapa final'!$AD$84="Mayor"),CONCATENATE("R27C",'Mapa final'!$R$84),"")</f>
        <v/>
      </c>
      <c r="V82" s="45" t="str">
        <f>IF(AND('Mapa final'!$AB$82="Alta",'Mapa final'!$AD$82="Catastrófico"),CONCATENATE("R27C",'Mapa final'!$R$82),"")</f>
        <v/>
      </c>
      <c r="W82" s="46" t="str">
        <f>IF(AND('Mapa final'!$AB$83="Alta",'Mapa final'!$AD$83="Catastrófico"),CONCATENATE("R27C",'Mapa final'!$R$83),"")</f>
        <v/>
      </c>
      <c r="X82" s="114" t="str">
        <f>IF(AND('Mapa final'!$AB$84="Alta",'Mapa final'!$AD$84="Catastrófico"),CONCATENATE("R27C",'Mapa final'!$R$84),"")</f>
        <v/>
      </c>
      <c r="Y82" s="58"/>
      <c r="Z82" s="361"/>
      <c r="AA82" s="362"/>
      <c r="AB82" s="362"/>
      <c r="AC82" s="362"/>
      <c r="AD82" s="362"/>
      <c r="AE82" s="363"/>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row>
    <row r="83" spans="1:61" ht="15" customHeight="1" x14ac:dyDescent="0.25">
      <c r="A83" s="58"/>
      <c r="B83" s="356"/>
      <c r="C83" s="356"/>
      <c r="D83" s="357"/>
      <c r="E83" s="371"/>
      <c r="F83" s="372"/>
      <c r="G83" s="372"/>
      <c r="H83" s="372"/>
      <c r="I83" s="370"/>
      <c r="J83" s="51" t="str">
        <f>IF(AND('Mapa final'!$AB$85="Alta",'Mapa final'!$AD$85="Leve"),CONCATENATE("R28C",'Mapa final'!$R$85),"")</f>
        <v/>
      </c>
      <c r="K83" s="52" t="str">
        <f>IF(AND('Mapa final'!$AB$86="Alta",'Mapa final'!$AD$86="Leve"),CONCATENATE("R28C",'Mapa final'!$R$86),"")</f>
        <v/>
      </c>
      <c r="L83" s="125" t="str">
        <f>IF(AND('Mapa final'!$AB$87="Alta",'Mapa final'!$AD$87="Leve"),CONCATENATE("R28C",'Mapa final'!$R$87),"")</f>
        <v/>
      </c>
      <c r="M83" s="51" t="str">
        <f>IF(AND('Mapa final'!$AB$85="Alta",'Mapa final'!$AD$85="Menor"),CONCATENATE("R28C",'Mapa final'!$R$85),"")</f>
        <v/>
      </c>
      <c r="N83" s="52" t="str">
        <f>IF(AND('Mapa final'!$AB$86="Alta",'Mapa final'!$AD$86="Menor"),CONCATENATE("R28C",'Mapa final'!$R$86),"")</f>
        <v/>
      </c>
      <c r="O83" s="52" t="str">
        <f>IF(AND('Mapa final'!$AB$87="Alta",'Mapa final'!$AD$87="Menor"),CONCATENATE("R28C",'Mapa final'!$R$87),"")</f>
        <v/>
      </c>
      <c r="P83" s="119" t="str">
        <f>IF(AND('Mapa final'!$AB$85="Alta",'Mapa final'!$AD$85="Moderado"),CONCATENATE("R28C",'Mapa final'!$R$85),"")</f>
        <v/>
      </c>
      <c r="Q83" s="44" t="str">
        <f>IF(AND('Mapa final'!$AB$86="Alta",'Mapa final'!$AD$86="Moderado"),CONCATENATE("R28C",'Mapa final'!$R$86),"")</f>
        <v/>
      </c>
      <c r="R83" s="120" t="str">
        <f>IF(AND('Mapa final'!$AB$87="Alta",'Mapa final'!$AD$87="Moderado"),CONCATENATE("R28C",'Mapa final'!$R$87),"")</f>
        <v/>
      </c>
      <c r="S83" s="119" t="str">
        <f>IF(AND('Mapa final'!$AB$85="Alta",'Mapa final'!$AD$85="Mayor"),CONCATENATE("R28C",'Mapa final'!$R$85),"")</f>
        <v/>
      </c>
      <c r="T83" s="44" t="str">
        <f>IF(AND('Mapa final'!$AB$86="Alta",'Mapa final'!$AD$86="Mayor"),CONCATENATE("R28C",'Mapa final'!$R$86),"")</f>
        <v/>
      </c>
      <c r="U83" s="120" t="str">
        <f>IF(AND('Mapa final'!$AB$87="Alta",'Mapa final'!$AD$87="Mayor"),CONCATENATE("R28C",'Mapa final'!$R$87),"")</f>
        <v/>
      </c>
      <c r="V83" s="45" t="str">
        <f>IF(AND('Mapa final'!$AB$85="Alta",'Mapa final'!$AD$85="Catastrófico"),CONCATENATE("R28C",'Mapa final'!$R$85),"")</f>
        <v/>
      </c>
      <c r="W83" s="46" t="str">
        <f>IF(AND('Mapa final'!$AB$86="Alta",'Mapa final'!$AD$86="Catastrófico"),CONCATENATE("R28C",'Mapa final'!$R$86),"")</f>
        <v/>
      </c>
      <c r="X83" s="114" t="str">
        <f>IF(AND('Mapa final'!$AB$87="Alta",'Mapa final'!$AD$87="Catastrófico"),CONCATENATE("R28C",'Mapa final'!$R$87),"")</f>
        <v/>
      </c>
      <c r="Y83" s="58"/>
      <c r="Z83" s="361"/>
      <c r="AA83" s="362"/>
      <c r="AB83" s="362"/>
      <c r="AC83" s="362"/>
      <c r="AD83" s="362"/>
      <c r="AE83" s="363"/>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row>
    <row r="84" spans="1:61" ht="15" customHeight="1" x14ac:dyDescent="0.25">
      <c r="A84" s="58"/>
      <c r="B84" s="356"/>
      <c r="C84" s="356"/>
      <c r="D84" s="357"/>
      <c r="E84" s="371"/>
      <c r="F84" s="372"/>
      <c r="G84" s="372"/>
      <c r="H84" s="372"/>
      <c r="I84" s="370"/>
      <c r="J84" s="51" t="str">
        <f>IF(AND('Mapa final'!$AB$88="Alta",'Mapa final'!$AD$88="Leve"),CONCATENATE("R29C",'Mapa final'!$R$88),"")</f>
        <v/>
      </c>
      <c r="K84" s="52" t="str">
        <f>IF(AND('Mapa final'!$AB$89="Alta",'Mapa final'!$AD$89="Leve"),CONCATENATE("R29C",'Mapa final'!$R$89),"")</f>
        <v/>
      </c>
      <c r="L84" s="125" t="str">
        <f>IF(AND('Mapa final'!$AB$90="Alta",'Mapa final'!$AD$90="Leve"),CONCATENATE("R30C",'Mapa final'!$R$90),"")</f>
        <v/>
      </c>
      <c r="M84" s="51" t="str">
        <f>IF(AND('Mapa final'!$AB$88="Alta",'Mapa final'!$AD$88="Menor"),CONCATENATE("R29C",'Mapa final'!$R$88),"")</f>
        <v/>
      </c>
      <c r="N84" s="52" t="str">
        <f>IF(AND('Mapa final'!$AB$89="Alta",'Mapa final'!$AD$89="Menor"),CONCATENATE("R29C",'Mapa final'!$R$89),"")</f>
        <v/>
      </c>
      <c r="O84" s="52" t="str">
        <f>IF(AND('Mapa final'!$AB$90="Alta",'Mapa final'!$AD$90="Menor"),CONCATENATE("R30C",'Mapa final'!$R$90),"")</f>
        <v/>
      </c>
      <c r="P84" s="119" t="str">
        <f>IF(AND('Mapa final'!$AB$88="Alta",'Mapa final'!$AD$88="Moderado"),CONCATENATE("R29C",'Mapa final'!$R$88),"")</f>
        <v/>
      </c>
      <c r="Q84" s="44" t="str">
        <f>IF(AND('Mapa final'!$AB$89="Alta",'Mapa final'!$AD$89="Moderado"),CONCATENATE("R29C",'Mapa final'!$R$89),"")</f>
        <v/>
      </c>
      <c r="R84" s="120" t="str">
        <f>IF(AND('Mapa final'!$AB$90="Alta",'Mapa final'!$AD$90="Moderado"),CONCATENATE("R30C",'Mapa final'!$R$90),"")</f>
        <v/>
      </c>
      <c r="S84" s="119" t="str">
        <f>IF(AND('Mapa final'!$AB$88="Alta",'Mapa final'!$AD$88="Mayor"),CONCATENATE("R29C",'Mapa final'!$R$88),"")</f>
        <v/>
      </c>
      <c r="T84" s="44" t="str">
        <f>IF(AND('Mapa final'!$AB$89="Alta",'Mapa final'!$AD$89="Mayor"),CONCATENATE("R29C",'Mapa final'!$R$89),"")</f>
        <v/>
      </c>
      <c r="U84" s="120" t="str">
        <f>IF(AND('Mapa final'!$AB$90="Alta",'Mapa final'!$AD$90="Mayor"),CONCATENATE("R30C",'Mapa final'!$R$90),"")</f>
        <v/>
      </c>
      <c r="V84" s="45" t="str">
        <f>IF(AND('Mapa final'!$AB$88="Alta",'Mapa final'!$AD$88="Catastrófico"),CONCATENATE("R29C",'Mapa final'!$R$88),"")</f>
        <v/>
      </c>
      <c r="W84" s="46" t="str">
        <f>IF(AND('Mapa final'!$AB$89="Alta",'Mapa final'!$AD$89="Catastrófico"),CONCATENATE("R29C",'Mapa final'!$R$89),"")</f>
        <v/>
      </c>
      <c r="X84" s="114" t="str">
        <f>IF(AND('Mapa final'!$AB$90="Alta",'Mapa final'!$AD$90="Catastrófico"),CONCATENATE("R30C",'Mapa final'!$R$90),"")</f>
        <v/>
      </c>
      <c r="Y84" s="58"/>
      <c r="Z84" s="361"/>
      <c r="AA84" s="362"/>
      <c r="AB84" s="362"/>
      <c r="AC84" s="362"/>
      <c r="AD84" s="362"/>
      <c r="AE84" s="363"/>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row>
    <row r="85" spans="1:61" ht="15" customHeight="1" x14ac:dyDescent="0.25">
      <c r="A85" s="58"/>
      <c r="B85" s="356"/>
      <c r="C85" s="356"/>
      <c r="D85" s="357"/>
      <c r="E85" s="371"/>
      <c r="F85" s="372"/>
      <c r="G85" s="372"/>
      <c r="H85" s="372"/>
      <c r="I85" s="370"/>
      <c r="J85" s="51" t="str">
        <f>IF(AND('Mapa final'!$AB$91="Alta",'Mapa final'!$AD$91="Leve"),CONCATENATE("R30C",'Mapa final'!$R$91),"")</f>
        <v/>
      </c>
      <c r="K85" s="52" t="str">
        <f>IF(AND('Mapa final'!$AB$92="Alta",'Mapa final'!$AD$92="Leve"),CONCATENATE("R30C",'Mapa final'!$R$92),"")</f>
        <v/>
      </c>
      <c r="L85" s="125" t="str">
        <f>IF(AND('Mapa final'!$AB$93="Alta",'Mapa final'!$AD$93="Leve"),CONCATENATE("R31C",'Mapa final'!$R$93),"")</f>
        <v/>
      </c>
      <c r="M85" s="51" t="str">
        <f>IF(AND('Mapa final'!$AB$91="Alta",'Mapa final'!$AD$91="Menor"),CONCATENATE("R30C",'Mapa final'!$R$91),"")</f>
        <v/>
      </c>
      <c r="N85" s="52" t="str">
        <f>IF(AND('Mapa final'!$AB$92="Alta",'Mapa final'!$AD$92="Menor"),CONCATENATE("R30C",'Mapa final'!$R$92),"")</f>
        <v/>
      </c>
      <c r="O85" s="52" t="str">
        <f>IF(AND('Mapa final'!$AB$93="Alta",'Mapa final'!$AD$93="Menor"),CONCATENATE("R31C",'Mapa final'!$R$93),"")</f>
        <v/>
      </c>
      <c r="P85" s="119" t="str">
        <f>IF(AND('Mapa final'!$AB$91="Alta",'Mapa final'!$AD$91="Moderado"),CONCATENATE("R30C",'Mapa final'!$R$91),"")</f>
        <v/>
      </c>
      <c r="Q85" s="44" t="str">
        <f>IF(AND('Mapa final'!$AB$92="Alta",'Mapa final'!$AD$92="Moderado"),CONCATENATE("R30C",'Mapa final'!$R$92),"")</f>
        <v/>
      </c>
      <c r="R85" s="120" t="str">
        <f>IF(AND('Mapa final'!$AB$93="Alta",'Mapa final'!$AD$93="Moderado"),CONCATENATE("R31C",'Mapa final'!$R$93),"")</f>
        <v/>
      </c>
      <c r="S85" s="119" t="str">
        <f>IF(AND('Mapa final'!$AB$91="Alta",'Mapa final'!$AD$91="Mayor"),CONCATENATE("R30C",'Mapa final'!$R$91),"")</f>
        <v/>
      </c>
      <c r="T85" s="44" t="str">
        <f>IF(AND('Mapa final'!$AB$92="Alta",'Mapa final'!$AD$92="Mayor"),CONCATENATE("R30C",'Mapa final'!$R$92),"")</f>
        <v/>
      </c>
      <c r="U85" s="120" t="str">
        <f>IF(AND('Mapa final'!$AB$93="Alta",'Mapa final'!$AD$93="Mayor"),CONCATENATE("R31C",'Mapa final'!$R$93),"")</f>
        <v/>
      </c>
      <c r="V85" s="45" t="str">
        <f>IF(AND('Mapa final'!$AB$91="Alta",'Mapa final'!$AD$91="Catastrófico"),CONCATENATE("R30C",'Mapa final'!$R$91),"")</f>
        <v/>
      </c>
      <c r="W85" s="46" t="str">
        <f>IF(AND('Mapa final'!$AB$92="Alta",'Mapa final'!$AD$92="Catastrófico"),CONCATENATE("R30C",'Mapa final'!$R$92),"")</f>
        <v/>
      </c>
      <c r="X85" s="114" t="str">
        <f>IF(AND('Mapa final'!$AB$93="Alta",'Mapa final'!$AD$93="Catastrófico"),CONCATENATE("R31C",'Mapa final'!$R$93),"")</f>
        <v/>
      </c>
      <c r="Y85" s="58"/>
      <c r="Z85" s="361"/>
      <c r="AA85" s="362"/>
      <c r="AB85" s="362"/>
      <c r="AC85" s="362"/>
      <c r="AD85" s="362"/>
      <c r="AE85" s="363"/>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row>
    <row r="86" spans="1:61" ht="15" customHeight="1" x14ac:dyDescent="0.25">
      <c r="A86" s="58"/>
      <c r="B86" s="356"/>
      <c r="C86" s="356"/>
      <c r="D86" s="357"/>
      <c r="E86" s="371"/>
      <c r="F86" s="372"/>
      <c r="G86" s="372"/>
      <c r="H86" s="372"/>
      <c r="I86" s="370"/>
      <c r="J86" s="51" t="str">
        <f>IF(AND('Mapa final'!$AB$94="Alta",'Mapa final'!$AD$94="Leve"),CONCATENATE("R31C",'Mapa final'!$R$94),"")</f>
        <v/>
      </c>
      <c r="K86" s="52" t="str">
        <f>IF(AND('Mapa final'!$AB$95="Alta",'Mapa final'!$AD$95="Leve"),CONCATENATE("R31C",'Mapa final'!$R$95),"")</f>
        <v/>
      </c>
      <c r="L86" s="125" t="str">
        <f>IF(AND('Mapa final'!$AB$96="Alta",'Mapa final'!$AD$96="Leve"),CONCATENATE("R32C",'Mapa final'!$R$96),"")</f>
        <v/>
      </c>
      <c r="M86" s="51" t="str">
        <f>IF(AND('Mapa final'!$AB$94="Alta",'Mapa final'!$AD$94="Menor"),CONCATENATE("R31C",'Mapa final'!$R$94),"")</f>
        <v/>
      </c>
      <c r="N86" s="52" t="str">
        <f>IF(AND('Mapa final'!$AB$95="Alta",'Mapa final'!$AD$95="Menor"),CONCATENATE("R31C",'Mapa final'!$R$95),"")</f>
        <v/>
      </c>
      <c r="O86" s="52" t="str">
        <f>IF(AND('Mapa final'!$AB$96="Alta",'Mapa final'!$AD$96="Menor"),CONCATENATE("R32C",'Mapa final'!$R$96),"")</f>
        <v/>
      </c>
      <c r="P86" s="119" t="str">
        <f>IF(AND('Mapa final'!$AB$94="Alta",'Mapa final'!$AD$94="Moderado"),CONCATENATE("R31C",'Mapa final'!$R$94),"")</f>
        <v/>
      </c>
      <c r="Q86" s="44" t="str">
        <f>IF(AND('Mapa final'!$AB$95="Alta",'Mapa final'!$AD$95="Moderado"),CONCATENATE("R31C",'Mapa final'!$R$95),"")</f>
        <v/>
      </c>
      <c r="R86" s="120" t="str">
        <f>IF(AND('Mapa final'!$AB$96="Alta",'Mapa final'!$AD$96="Moderado"),CONCATENATE("R32C",'Mapa final'!$R$96),"")</f>
        <v/>
      </c>
      <c r="S86" s="119" t="str">
        <f>IF(AND('Mapa final'!$AB$94="Alta",'Mapa final'!$AD$94="Mayor"),CONCATENATE("R31C",'Mapa final'!$R$94),"")</f>
        <v/>
      </c>
      <c r="T86" s="44" t="str">
        <f>IF(AND('Mapa final'!$AB$95="Alta",'Mapa final'!$AD$95="Mayor"),CONCATENATE("R31C",'Mapa final'!$R$95),"")</f>
        <v/>
      </c>
      <c r="U86" s="120" t="str">
        <f>IF(AND('Mapa final'!$AB$96="Alta",'Mapa final'!$AD$96="Mayor"),CONCATENATE("R32C",'Mapa final'!$R$96),"")</f>
        <v/>
      </c>
      <c r="V86" s="45" t="str">
        <f>IF(AND('Mapa final'!$AB$94="Alta",'Mapa final'!$AD$94="Catastrófico"),CONCATENATE("R31C",'Mapa final'!$R$94),"")</f>
        <v/>
      </c>
      <c r="W86" s="46" t="str">
        <f>IF(AND('Mapa final'!$AB$95="Alta",'Mapa final'!$AD$95="Catastrófico"),CONCATENATE("R31C",'Mapa final'!$R$95),"")</f>
        <v/>
      </c>
      <c r="X86" s="114" t="str">
        <f>IF(AND('Mapa final'!$AB$96="Alta",'Mapa final'!$AD$96="Catastrófico"),CONCATENATE("R32C",'Mapa final'!$R$96),"")</f>
        <v/>
      </c>
      <c r="Y86" s="58"/>
      <c r="Z86" s="361"/>
      <c r="AA86" s="362"/>
      <c r="AB86" s="362"/>
      <c r="AC86" s="362"/>
      <c r="AD86" s="362"/>
      <c r="AE86" s="363"/>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row>
    <row r="87" spans="1:61" ht="15" customHeight="1" x14ac:dyDescent="0.25">
      <c r="A87" s="58"/>
      <c r="B87" s="356"/>
      <c r="C87" s="356"/>
      <c r="D87" s="357"/>
      <c r="E87" s="371"/>
      <c r="F87" s="372"/>
      <c r="G87" s="372"/>
      <c r="H87" s="372"/>
      <c r="I87" s="370"/>
      <c r="J87" s="51" t="str">
        <f>IF(AND('Mapa final'!$AB$97="Alta",'Mapa final'!$AD$97="Leve"),CONCATENATE("R32C",'Mapa final'!$R$97),"")</f>
        <v/>
      </c>
      <c r="K87" s="52" t="str">
        <f>IF(AND('Mapa final'!$AB$98="Alta",'Mapa final'!$AD$98="Leve"),CONCATENATE("R32C",'Mapa final'!$R$98),"")</f>
        <v/>
      </c>
      <c r="L87" s="125" t="str">
        <f>IF(AND('Mapa final'!$AB$99="Alta",'Mapa final'!$AD$99="Leve"),CONCATENATE("R33C",'Mapa final'!$R$99),"")</f>
        <v/>
      </c>
      <c r="M87" s="51" t="str">
        <f>IF(AND('Mapa final'!$AB$97="Alta",'Mapa final'!$AD$97="Menor"),CONCATENATE("R32C",'Mapa final'!$R$97),"")</f>
        <v/>
      </c>
      <c r="N87" s="52" t="str">
        <f>IF(AND('Mapa final'!$AB$98="Alta",'Mapa final'!$AD$98="Menor"),CONCATENATE("R32C",'Mapa final'!$R$98),"")</f>
        <v/>
      </c>
      <c r="O87" s="52" t="str">
        <f>IF(AND('Mapa final'!$AB$99="Alta",'Mapa final'!$AD$99="Menor"),CONCATENATE("R33C",'Mapa final'!$R$99),"")</f>
        <v/>
      </c>
      <c r="P87" s="119" t="str">
        <f>IF(AND('Mapa final'!$AB$97="Alta",'Mapa final'!$AD$97="Moderado"),CONCATENATE("R32C",'Mapa final'!$R$97),"")</f>
        <v/>
      </c>
      <c r="Q87" s="44" t="str">
        <f>IF(AND('Mapa final'!$AB$98="Alta",'Mapa final'!$AD$98="Moderado"),CONCATENATE("R32C",'Mapa final'!$R$98),"")</f>
        <v/>
      </c>
      <c r="R87" s="120" t="str">
        <f>IF(AND('Mapa final'!$AB$99="Alta",'Mapa final'!$AD$99="Moderado"),CONCATENATE("R33C",'Mapa final'!$R$99),"")</f>
        <v/>
      </c>
      <c r="S87" s="119" t="str">
        <f>IF(AND('Mapa final'!$AB$97="Alta",'Mapa final'!$AD$97="Mayor"),CONCATENATE("R32C",'Mapa final'!$R$97),"")</f>
        <v/>
      </c>
      <c r="T87" s="44" t="str">
        <f>IF(AND('Mapa final'!$AB$98="Alta",'Mapa final'!$AD$98="Mayor"),CONCATENATE("R32C",'Mapa final'!$R$98),"")</f>
        <v/>
      </c>
      <c r="U87" s="120" t="str">
        <f>IF(AND('Mapa final'!$AB$99="Alta",'Mapa final'!$AD$99="Mayor"),CONCATENATE("R33C",'Mapa final'!$R$99),"")</f>
        <v/>
      </c>
      <c r="V87" s="45" t="str">
        <f>IF(AND('Mapa final'!$AB$97="Alta",'Mapa final'!$AD$97="Catastrófico"),CONCATENATE("R32C",'Mapa final'!$R$97),"")</f>
        <v/>
      </c>
      <c r="W87" s="46" t="str">
        <f>IF(AND('Mapa final'!$AB$98="Alta",'Mapa final'!$AD$98="Catastrófico"),CONCATENATE("R32C",'Mapa final'!$R$98),"")</f>
        <v/>
      </c>
      <c r="X87" s="114" t="str">
        <f>IF(AND('Mapa final'!$AB$99="Alta",'Mapa final'!$AD$99="Catastrófico"),CONCATENATE("R33C",'Mapa final'!$R$99),"")</f>
        <v/>
      </c>
      <c r="Y87" s="58"/>
      <c r="Z87" s="361"/>
      <c r="AA87" s="362"/>
      <c r="AB87" s="362"/>
      <c r="AC87" s="362"/>
      <c r="AD87" s="362"/>
      <c r="AE87" s="363"/>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row>
    <row r="88" spans="1:61" ht="15" customHeight="1" x14ac:dyDescent="0.25">
      <c r="A88" s="58"/>
      <c r="B88" s="356"/>
      <c r="C88" s="356"/>
      <c r="D88" s="357"/>
      <c r="E88" s="371"/>
      <c r="F88" s="372"/>
      <c r="G88" s="372"/>
      <c r="H88" s="372"/>
      <c r="I88" s="370"/>
      <c r="J88" s="51" t="str">
        <f>IF(AND('Mapa final'!$AB$100="Alta",'Mapa final'!$AD$100="Leve"),CONCATENATE("R33C",'Mapa final'!$R$100),"")</f>
        <v/>
      </c>
      <c r="K88" s="52" t="str">
        <f>IF(AND('Mapa final'!$AB$101="Alta",'Mapa final'!$AD$101="Leve"),CONCATENATE("R33C",'Mapa final'!$R$101),"")</f>
        <v/>
      </c>
      <c r="L88" s="125" t="str">
        <f>IF(AND('Mapa final'!$AB$102="Alta",'Mapa final'!$AD$102="Leve"),CONCATENATE("R34C",'Mapa final'!$R$102),"")</f>
        <v/>
      </c>
      <c r="M88" s="51" t="str">
        <f>IF(AND('Mapa final'!$AB$100="Alta",'Mapa final'!$AD$100="Menor"),CONCATENATE("R33C",'Mapa final'!$R$100),"")</f>
        <v/>
      </c>
      <c r="N88" s="52" t="str">
        <f>IF(AND('Mapa final'!$AB$101="Alta",'Mapa final'!$AD$101="Menor"),CONCATENATE("R33C",'Mapa final'!$R$101),"")</f>
        <v/>
      </c>
      <c r="O88" s="52" t="str">
        <f>IF(AND('Mapa final'!$AB$102="Alta",'Mapa final'!$AD$102="Menor"),CONCATENATE("R34C",'Mapa final'!$R$102),"")</f>
        <v/>
      </c>
      <c r="P88" s="119" t="str">
        <f>IF(AND('Mapa final'!$AB$100="Alta",'Mapa final'!$AD$100="Moderado"),CONCATENATE("R33C",'Mapa final'!$R$100),"")</f>
        <v/>
      </c>
      <c r="Q88" s="44" t="str">
        <f>IF(AND('Mapa final'!$AB$101="Alta",'Mapa final'!$AD$101="Moderado"),CONCATENATE("R33C",'Mapa final'!$R$101),"")</f>
        <v/>
      </c>
      <c r="R88" s="120" t="str">
        <f>IF(AND('Mapa final'!$AB$102="Alta",'Mapa final'!$AD$102="Moderado"),CONCATENATE("R34C",'Mapa final'!$R$102),"")</f>
        <v/>
      </c>
      <c r="S88" s="119" t="str">
        <f>IF(AND('Mapa final'!$AB$100="Alta",'Mapa final'!$AD$100="Mayor"),CONCATENATE("R33C",'Mapa final'!$R$100),"")</f>
        <v/>
      </c>
      <c r="T88" s="44" t="str">
        <f>IF(AND('Mapa final'!$AB$101="Alta",'Mapa final'!$AD$101="Mayor"),CONCATENATE("R33C",'Mapa final'!$R$101),"")</f>
        <v/>
      </c>
      <c r="U88" s="120" t="str">
        <f>IF(AND('Mapa final'!$AB$102="Alta",'Mapa final'!$AD$102="Mayor"),CONCATENATE("R34C",'Mapa final'!$R$102),"")</f>
        <v/>
      </c>
      <c r="V88" s="45" t="str">
        <f>IF(AND('Mapa final'!$AB$100="Alta",'Mapa final'!$AD$100="Catastrófico"),CONCATENATE("R33C",'Mapa final'!$R$100),"")</f>
        <v/>
      </c>
      <c r="W88" s="46" t="str">
        <f>IF(AND('Mapa final'!$AB$101="Alta",'Mapa final'!$AD$101="Catastrófico"),CONCATENATE("R33C",'Mapa final'!$R$101),"")</f>
        <v/>
      </c>
      <c r="X88" s="114" t="str">
        <f>IF(AND('Mapa final'!$AB$102="Alta",'Mapa final'!$AD$102="Catastrófico"),CONCATENATE("R34C",'Mapa final'!$R$102),"")</f>
        <v/>
      </c>
      <c r="Y88" s="58"/>
      <c r="Z88" s="361"/>
      <c r="AA88" s="362"/>
      <c r="AB88" s="362"/>
      <c r="AC88" s="362"/>
      <c r="AD88" s="362"/>
      <c r="AE88" s="363"/>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row>
    <row r="89" spans="1:61" ht="15" customHeight="1" x14ac:dyDescent="0.25">
      <c r="A89" s="58"/>
      <c r="B89" s="356"/>
      <c r="C89" s="356"/>
      <c r="D89" s="357"/>
      <c r="E89" s="371"/>
      <c r="F89" s="372"/>
      <c r="G89" s="372"/>
      <c r="H89" s="372"/>
      <c r="I89" s="370"/>
      <c r="J89" s="51" t="str">
        <f>IF(AND('Mapa final'!$AB$103="Alta",'Mapa final'!$AD$103="Leve"),CONCATENATE("R34C",'Mapa final'!$R$103),"")</f>
        <v/>
      </c>
      <c r="K89" s="52" t="str">
        <f>IF(AND('Mapa final'!$AB$104="Alta",'Mapa final'!$AD$104="Leve"),CONCATENATE("R34C",'Mapa final'!$R$104),"")</f>
        <v/>
      </c>
      <c r="L89" s="125" t="str">
        <f>IF(AND('Mapa final'!$AB$105="Alta",'Mapa final'!$AD$105="Leve"),CONCATENATE("R35C",'Mapa final'!$R$105),"")</f>
        <v/>
      </c>
      <c r="M89" s="51" t="str">
        <f>IF(AND('Mapa final'!$AB$103="Alta",'Mapa final'!$AD$103="Menor"),CONCATENATE("R34C",'Mapa final'!$R$103),"")</f>
        <v/>
      </c>
      <c r="N89" s="52" t="str">
        <f>IF(AND('Mapa final'!$AB$104="Alta",'Mapa final'!$AD$104="Menor"),CONCATENATE("R34C",'Mapa final'!$R$104),"")</f>
        <v/>
      </c>
      <c r="O89" s="52" t="str">
        <f>IF(AND('Mapa final'!$AB$105="Alta",'Mapa final'!$AD$105="Menor"),CONCATENATE("R35C",'Mapa final'!$R$105),"")</f>
        <v/>
      </c>
      <c r="P89" s="119" t="str">
        <f>IF(AND('Mapa final'!$AB$103="Alta",'Mapa final'!$AD$103="Moderado"),CONCATENATE("R34C",'Mapa final'!$R$103),"")</f>
        <v/>
      </c>
      <c r="Q89" s="44" t="str">
        <f>IF(AND('Mapa final'!$AB$104="Alta",'Mapa final'!$AD$104="Moderado"),CONCATENATE("R34C",'Mapa final'!$R$104),"")</f>
        <v/>
      </c>
      <c r="R89" s="120" t="str">
        <f>IF(AND('Mapa final'!$AB$105="Alta",'Mapa final'!$AD$105="Moderado"),CONCATENATE("R35C",'Mapa final'!$R$105),"")</f>
        <v/>
      </c>
      <c r="S89" s="119" t="str">
        <f>IF(AND('Mapa final'!$AB$103="Alta",'Mapa final'!$AD$103="Mayor"),CONCATENATE("R34C",'Mapa final'!$R$103),"")</f>
        <v/>
      </c>
      <c r="T89" s="44" t="str">
        <f>IF(AND('Mapa final'!$AB$104="Alta",'Mapa final'!$AD$104="Mayor"),CONCATENATE("R34C",'Mapa final'!$R$104),"")</f>
        <v/>
      </c>
      <c r="U89" s="120" t="str">
        <f>IF(AND('Mapa final'!$AB$105="Alta",'Mapa final'!$AD$105="Mayor"),CONCATENATE("R35C",'Mapa final'!$R$105),"")</f>
        <v/>
      </c>
      <c r="V89" s="45" t="str">
        <f>IF(AND('Mapa final'!$AB$103="Alta",'Mapa final'!$AD$103="Catastrófico"),CONCATENATE("R34C",'Mapa final'!$R$103),"")</f>
        <v/>
      </c>
      <c r="W89" s="46" t="str">
        <f>IF(AND('Mapa final'!$AB$104="Alta",'Mapa final'!$AD$104="Catastrófico"),CONCATENATE("R34C",'Mapa final'!$R$104),"")</f>
        <v/>
      </c>
      <c r="X89" s="114" t="str">
        <f>IF(AND('Mapa final'!$AB$105="Alta",'Mapa final'!$AD$105="Catastrófico"),CONCATENATE("R35C",'Mapa final'!$R$105),"")</f>
        <v/>
      </c>
      <c r="Y89" s="58"/>
      <c r="Z89" s="361"/>
      <c r="AA89" s="362"/>
      <c r="AB89" s="362"/>
      <c r="AC89" s="362"/>
      <c r="AD89" s="362"/>
      <c r="AE89" s="363"/>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row>
    <row r="90" spans="1:61" ht="15" customHeight="1" x14ac:dyDescent="0.25">
      <c r="A90" s="58"/>
      <c r="B90" s="356"/>
      <c r="C90" s="356"/>
      <c r="D90" s="357"/>
      <c r="E90" s="371"/>
      <c r="F90" s="372"/>
      <c r="G90" s="372"/>
      <c r="H90" s="372"/>
      <c r="I90" s="370"/>
      <c r="J90" s="51" t="str">
        <f>IF(AND('Mapa final'!$AB$106="Alta",'Mapa final'!$AD$106="Leve"),CONCATENATE("R35C",'Mapa final'!$R$106),"")</f>
        <v/>
      </c>
      <c r="K90" s="52" t="str">
        <f>IF(AND('Mapa final'!$AB$107="Alta",'Mapa final'!$AD$107="Leve"),CONCATENATE("R35C",'Mapa final'!$R$107),"")</f>
        <v/>
      </c>
      <c r="L90" s="125" t="str">
        <f>IF(AND('Mapa final'!$AB$108="Alta",'Mapa final'!$AD$108="Leve"),CONCATENATE("R36C",'Mapa final'!$R$108),"")</f>
        <v/>
      </c>
      <c r="M90" s="51" t="str">
        <f>IF(AND('Mapa final'!$AB$106="Alta",'Mapa final'!$AD$106="Menor"),CONCATENATE("R35C",'Mapa final'!$R$106),"")</f>
        <v/>
      </c>
      <c r="N90" s="52" t="str">
        <f>IF(AND('Mapa final'!$AB$107="Alta",'Mapa final'!$AD$107="Menor"),CONCATENATE("R35C",'Mapa final'!$R$107),"")</f>
        <v/>
      </c>
      <c r="O90" s="52" t="str">
        <f>IF(AND('Mapa final'!$AB$108="Alta",'Mapa final'!$AD$108="Menor"),CONCATENATE("R36C",'Mapa final'!$R$108),"")</f>
        <v/>
      </c>
      <c r="P90" s="119" t="str">
        <f>IF(AND('Mapa final'!$AB$106="Alta",'Mapa final'!$AD$106="Moderado"),CONCATENATE("R35C",'Mapa final'!$R$106),"")</f>
        <v/>
      </c>
      <c r="Q90" s="44" t="str">
        <f>IF(AND('Mapa final'!$AB$107="Alta",'Mapa final'!$AD$107="Moderado"),CONCATENATE("R35C",'Mapa final'!$R$107),"")</f>
        <v/>
      </c>
      <c r="R90" s="120" t="str">
        <f>IF(AND('Mapa final'!$AB$108="Alta",'Mapa final'!$AD$108="Moderado"),CONCATENATE("R36C",'Mapa final'!$R$108),"")</f>
        <v/>
      </c>
      <c r="S90" s="119" t="str">
        <f>IF(AND('Mapa final'!$AB$106="Alta",'Mapa final'!$AD$106="Mayor"),CONCATENATE("R35C",'Mapa final'!$R$106),"")</f>
        <v/>
      </c>
      <c r="T90" s="44" t="str">
        <f>IF(AND('Mapa final'!$AB$107="Alta",'Mapa final'!$AD$107="Mayor"),CONCATENATE("R35C",'Mapa final'!$R$107),"")</f>
        <v/>
      </c>
      <c r="U90" s="120" t="str">
        <f>IF(AND('Mapa final'!$AB$108="Alta",'Mapa final'!$AD$108="Mayor"),CONCATENATE("R36C",'Mapa final'!$R$108),"")</f>
        <v/>
      </c>
      <c r="V90" s="45" t="str">
        <f>IF(AND('Mapa final'!$AB$106="Alta",'Mapa final'!$AD$106="Catastrófico"),CONCATENATE("R35C",'Mapa final'!$R$106),"")</f>
        <v/>
      </c>
      <c r="W90" s="46" t="str">
        <f>IF(AND('Mapa final'!$AB$107="Alta",'Mapa final'!$AD$107="Catastrófico"),CONCATENATE("R35C",'Mapa final'!$R$107),"")</f>
        <v/>
      </c>
      <c r="X90" s="114" t="str">
        <f>IF(AND('Mapa final'!$AB$108="Alta",'Mapa final'!$AD$108="Catastrófico"),CONCATENATE("R36C",'Mapa final'!$R$108),"")</f>
        <v/>
      </c>
      <c r="Y90" s="58"/>
      <c r="Z90" s="361"/>
      <c r="AA90" s="362"/>
      <c r="AB90" s="362"/>
      <c r="AC90" s="362"/>
      <c r="AD90" s="362"/>
      <c r="AE90" s="363"/>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row>
    <row r="91" spans="1:61" ht="15" customHeight="1" x14ac:dyDescent="0.25">
      <c r="A91" s="58"/>
      <c r="B91" s="356"/>
      <c r="C91" s="356"/>
      <c r="D91" s="357"/>
      <c r="E91" s="371"/>
      <c r="F91" s="372"/>
      <c r="G91" s="372"/>
      <c r="H91" s="372"/>
      <c r="I91" s="370"/>
      <c r="J91" s="51" t="str">
        <f>IF(AND('Mapa final'!$AB$109="Alta",'Mapa final'!$AD$109="Leve"),CONCATENATE("R36C",'Mapa final'!$R$109),"")</f>
        <v/>
      </c>
      <c r="K91" s="52" t="str">
        <f>IF(AND('Mapa final'!$AB$110="Alta",'Mapa final'!$AD$110="Leve"),CONCATENATE("R36C",'Mapa final'!$R$110),"")</f>
        <v/>
      </c>
      <c r="L91" s="125" t="str">
        <f>IF(AND('Mapa final'!$AB$111="Alta",'Mapa final'!$AD$111="Leve"),CONCATENATE("R37C",'Mapa final'!$R$111),"")</f>
        <v/>
      </c>
      <c r="M91" s="51" t="str">
        <f>IF(AND('Mapa final'!$AB$109="Alta",'Mapa final'!$AD$109="Menor"),CONCATENATE("R36C",'Mapa final'!$R$109),"")</f>
        <v/>
      </c>
      <c r="N91" s="52" t="str">
        <f>IF(AND('Mapa final'!$AB$110="Alta",'Mapa final'!$AD$110="Menor"),CONCATENATE("R36C",'Mapa final'!$R$110),"")</f>
        <v/>
      </c>
      <c r="O91" s="52" t="str">
        <f>IF(AND('Mapa final'!$AB$111="Alta",'Mapa final'!$AD$111="Menor"),CONCATENATE("R37C",'Mapa final'!$R$111),"")</f>
        <v/>
      </c>
      <c r="P91" s="119" t="str">
        <f>IF(AND('Mapa final'!$AB$109="Alta",'Mapa final'!$AD$109="Moderado"),CONCATENATE("R36C",'Mapa final'!$R$109),"")</f>
        <v/>
      </c>
      <c r="Q91" s="44" t="str">
        <f>IF(AND('Mapa final'!$AB$110="Alta",'Mapa final'!$AD$110="Moderado"),CONCATENATE("R36C",'Mapa final'!$R$110),"")</f>
        <v/>
      </c>
      <c r="R91" s="120" t="str">
        <f>IF(AND('Mapa final'!$AB$111="Alta",'Mapa final'!$AD$111="Moderado"),CONCATENATE("R37C",'Mapa final'!$R$111),"")</f>
        <v/>
      </c>
      <c r="S91" s="119" t="str">
        <f>IF(AND('Mapa final'!$AB$109="Alta",'Mapa final'!$AD$109="Mayor"),CONCATENATE("R36C",'Mapa final'!$R$109),"")</f>
        <v/>
      </c>
      <c r="T91" s="44" t="str">
        <f>IF(AND('Mapa final'!$AB$110="Alta",'Mapa final'!$AD$110="Mayor"),CONCATENATE("R36C",'Mapa final'!$R$110),"")</f>
        <v/>
      </c>
      <c r="U91" s="120" t="str">
        <f>IF(AND('Mapa final'!$AB$111="Alta",'Mapa final'!$AD$111="Mayor"),CONCATENATE("R37C",'Mapa final'!$R$111),"")</f>
        <v/>
      </c>
      <c r="V91" s="45" t="str">
        <f>IF(AND('Mapa final'!$AB$109="Alta",'Mapa final'!$AD$109="Catastrófico"),CONCATENATE("R36C",'Mapa final'!$R$109),"")</f>
        <v/>
      </c>
      <c r="W91" s="46" t="str">
        <f>IF(AND('Mapa final'!$AB$110="Alta",'Mapa final'!$AD$110="Catastrófico"),CONCATENATE("R36C",'Mapa final'!$R$110),"")</f>
        <v/>
      </c>
      <c r="X91" s="114" t="str">
        <f>IF(AND('Mapa final'!$AB$111="Alta",'Mapa final'!$AD$111="Catastrófico"),CONCATENATE("R37C",'Mapa final'!$R$111),"")</f>
        <v/>
      </c>
      <c r="Y91" s="58"/>
      <c r="Z91" s="361"/>
      <c r="AA91" s="362"/>
      <c r="AB91" s="362"/>
      <c r="AC91" s="362"/>
      <c r="AD91" s="362"/>
      <c r="AE91" s="363"/>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row>
    <row r="92" spans="1:61" ht="15" customHeight="1" x14ac:dyDescent="0.25">
      <c r="A92" s="58"/>
      <c r="B92" s="356"/>
      <c r="C92" s="356"/>
      <c r="D92" s="357"/>
      <c r="E92" s="371"/>
      <c r="F92" s="372"/>
      <c r="G92" s="372"/>
      <c r="H92" s="372"/>
      <c r="I92" s="370"/>
      <c r="J92" s="51" t="str">
        <f>IF(AND('Mapa final'!$AB$112="Alta",'Mapa final'!$AD$112="Leve"),CONCATENATE("R37C",'Mapa final'!$R$112),"")</f>
        <v/>
      </c>
      <c r="K92" s="52" t="str">
        <f>IF(AND('Mapa final'!$AB$113="Alta",'Mapa final'!$AD$113="Leve"),CONCATENATE("R37C",'Mapa final'!$R$113),"")</f>
        <v/>
      </c>
      <c r="L92" s="125" t="str">
        <f>IF(AND('Mapa final'!$AB$114="Alta",'Mapa final'!$AD$114="Leve"),CONCATENATE("R38C",'Mapa final'!$R$114),"")</f>
        <v/>
      </c>
      <c r="M92" s="51" t="str">
        <f>IF(AND('Mapa final'!$AB$112="Alta",'Mapa final'!$AD$112="Menor"),CONCATENATE("R37C",'Mapa final'!$R$112),"")</f>
        <v/>
      </c>
      <c r="N92" s="52" t="str">
        <f>IF(AND('Mapa final'!$AB$113="Alta",'Mapa final'!$AD$113="Menor"),CONCATENATE("R37C",'Mapa final'!$R$113),"")</f>
        <v/>
      </c>
      <c r="O92" s="52" t="str">
        <f>IF(AND('Mapa final'!$AB$114="Alta",'Mapa final'!$AD$114="Menor"),CONCATENATE("R38C",'Mapa final'!$R$114),"")</f>
        <v/>
      </c>
      <c r="P92" s="119" t="str">
        <f>IF(AND('Mapa final'!$AB$112="Alta",'Mapa final'!$AD$112="Moderado"),CONCATENATE("R37C",'Mapa final'!$R$112),"")</f>
        <v/>
      </c>
      <c r="Q92" s="44" t="str">
        <f>IF(AND('Mapa final'!$AB$113="Alta",'Mapa final'!$AD$113="Moderado"),CONCATENATE("R37C",'Mapa final'!$R$113),"")</f>
        <v/>
      </c>
      <c r="R92" s="120" t="str">
        <f>IF(AND('Mapa final'!$AB$114="Alta",'Mapa final'!$AD$114="Moderado"),CONCATENATE("R38C",'Mapa final'!$R$114),"")</f>
        <v/>
      </c>
      <c r="S92" s="119" t="str">
        <f>IF(AND('Mapa final'!$AB$112="Alta",'Mapa final'!$AD$112="Mayor"),CONCATENATE("R37C",'Mapa final'!$R$112),"")</f>
        <v/>
      </c>
      <c r="T92" s="44" t="str">
        <f>IF(AND('Mapa final'!$AB$113="Alta",'Mapa final'!$AD$113="Mayor"),CONCATENATE("R37C",'Mapa final'!$R$113),"")</f>
        <v/>
      </c>
      <c r="U92" s="120" t="str">
        <f>IF(AND('Mapa final'!$AB$114="Alta",'Mapa final'!$AD$114="Mayor"),CONCATENATE("R38C",'Mapa final'!$R$114),"")</f>
        <v/>
      </c>
      <c r="V92" s="45" t="str">
        <f>IF(AND('Mapa final'!$AB$112="Alta",'Mapa final'!$AD$112="Catastrófico"),CONCATENATE("R37C",'Mapa final'!$R$112),"")</f>
        <v/>
      </c>
      <c r="W92" s="46" t="str">
        <f>IF(AND('Mapa final'!$AB$113="Alta",'Mapa final'!$AD$113="Catastrófico"),CONCATENATE("R37C",'Mapa final'!$R$113),"")</f>
        <v/>
      </c>
      <c r="X92" s="114" t="str">
        <f>IF(AND('Mapa final'!$AB$114="Alta",'Mapa final'!$AD$114="Catastrófico"),CONCATENATE("R38C",'Mapa final'!$R$114),"")</f>
        <v/>
      </c>
      <c r="Y92" s="58"/>
      <c r="Z92" s="361"/>
      <c r="AA92" s="362"/>
      <c r="AB92" s="362"/>
      <c r="AC92" s="362"/>
      <c r="AD92" s="362"/>
      <c r="AE92" s="363"/>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row>
    <row r="93" spans="1:61" ht="15" customHeight="1" x14ac:dyDescent="0.25">
      <c r="A93" s="58"/>
      <c r="B93" s="356"/>
      <c r="C93" s="356"/>
      <c r="D93" s="357"/>
      <c r="E93" s="371"/>
      <c r="F93" s="372"/>
      <c r="G93" s="372"/>
      <c r="H93" s="372"/>
      <c r="I93" s="370"/>
      <c r="J93" s="51" t="str">
        <f>IF(AND('Mapa final'!$AB$115="Alta",'Mapa final'!$AD$115="Leve"),CONCATENATE("R38C",'Mapa final'!$R$115),"")</f>
        <v/>
      </c>
      <c r="K93" s="52" t="str">
        <f>IF(AND('Mapa final'!$AB$116="Alta",'Mapa final'!$AD$116="Leve"),CONCATENATE("R38C",'Mapa final'!$R$116),"")</f>
        <v/>
      </c>
      <c r="L93" s="125" t="str">
        <f>IF(AND('Mapa final'!$AB$117="Alta",'Mapa final'!$AD$117="Leve"),CONCATENATE("R39C",'Mapa final'!$R$117),"")</f>
        <v/>
      </c>
      <c r="M93" s="51" t="str">
        <f>IF(AND('Mapa final'!$AB$115="Alta",'Mapa final'!$AD$115="Menor"),CONCATENATE("R38C",'Mapa final'!$R$115),"")</f>
        <v/>
      </c>
      <c r="N93" s="52" t="str">
        <f>IF(AND('Mapa final'!$AB$116="Alta",'Mapa final'!$AD$116="Menor"),CONCATENATE("R38C",'Mapa final'!$R$116),"")</f>
        <v/>
      </c>
      <c r="O93" s="52" t="str">
        <f>IF(AND('Mapa final'!$AB$117="Alta",'Mapa final'!$AD$117="Menor"),CONCATENATE("R39C",'Mapa final'!$R$117),"")</f>
        <v/>
      </c>
      <c r="P93" s="119" t="str">
        <f>IF(AND('Mapa final'!$AB$115="Alta",'Mapa final'!$AD$115="Moderado"),CONCATENATE("R38C",'Mapa final'!$R$115),"")</f>
        <v/>
      </c>
      <c r="Q93" s="44" t="str">
        <f>IF(AND('Mapa final'!$AB$116="Alta",'Mapa final'!$AD$116="Moderado"),CONCATENATE("R38C",'Mapa final'!$R$116),"")</f>
        <v/>
      </c>
      <c r="R93" s="120" t="str">
        <f>IF(AND('Mapa final'!$AB$117="Alta",'Mapa final'!$AD$117="Moderado"),CONCATENATE("R39C",'Mapa final'!$R$117),"")</f>
        <v/>
      </c>
      <c r="S93" s="119" t="str">
        <f>IF(AND('Mapa final'!$AB$115="Alta",'Mapa final'!$AD$115="Mayor"),CONCATENATE("R38C",'Mapa final'!$R$115),"")</f>
        <v/>
      </c>
      <c r="T93" s="44" t="str">
        <f>IF(AND('Mapa final'!$AB$116="Alta",'Mapa final'!$AD$116="Mayor"),CONCATENATE("R38C",'Mapa final'!$R$116),"")</f>
        <v/>
      </c>
      <c r="U93" s="120" t="str">
        <f>IF(AND('Mapa final'!$AB$117="Alta",'Mapa final'!$AD$117="Mayor"),CONCATENATE("R39C",'Mapa final'!$R$117),"")</f>
        <v/>
      </c>
      <c r="V93" s="45" t="str">
        <f>IF(AND('Mapa final'!$AB$115="Alta",'Mapa final'!$AD$115="Catastrófico"),CONCATENATE("R38C",'Mapa final'!$R$115),"")</f>
        <v/>
      </c>
      <c r="W93" s="46" t="str">
        <f>IF(AND('Mapa final'!$AB$116="Alta",'Mapa final'!$AD$116="Catastrófico"),CONCATENATE("R38C",'Mapa final'!$R$116),"")</f>
        <v/>
      </c>
      <c r="X93" s="114" t="str">
        <f>IF(AND('Mapa final'!$AB$117="Alta",'Mapa final'!$AD$117="Catastrófico"),CONCATENATE("R39C",'Mapa final'!$R$117),"")</f>
        <v/>
      </c>
      <c r="Y93" s="58"/>
      <c r="Z93" s="361"/>
      <c r="AA93" s="362"/>
      <c r="AB93" s="362"/>
      <c r="AC93" s="362"/>
      <c r="AD93" s="362"/>
      <c r="AE93" s="363"/>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row>
    <row r="94" spans="1:61" ht="15" customHeight="1" x14ac:dyDescent="0.25">
      <c r="A94" s="58"/>
      <c r="B94" s="356"/>
      <c r="C94" s="356"/>
      <c r="D94" s="357"/>
      <c r="E94" s="371"/>
      <c r="F94" s="372"/>
      <c r="G94" s="372"/>
      <c r="H94" s="372"/>
      <c r="I94" s="370"/>
      <c r="J94" s="51" t="str">
        <f>IF(AND('Mapa final'!$AB$118="Alta",'Mapa final'!$AD$118="Leve"),CONCATENATE("R39C",'Mapa final'!$R$118),"")</f>
        <v/>
      </c>
      <c r="K94" s="52" t="str">
        <f>IF(AND('Mapa final'!$AB$119="Alta",'Mapa final'!$AD$119="Leve"),CONCATENATE("R39C",'Mapa final'!$R$119),"")</f>
        <v/>
      </c>
      <c r="L94" s="125" t="str">
        <f>IF(AND('Mapa final'!$AB$120="Alta",'Mapa final'!$AD$120="Leve"),CONCATENATE("R40C",'Mapa final'!$R$120),"")</f>
        <v/>
      </c>
      <c r="M94" s="51" t="str">
        <f>IF(AND('Mapa final'!$AB$118="Alta",'Mapa final'!$AD$118="Menor"),CONCATENATE("R39C",'Mapa final'!$R$118),"")</f>
        <v/>
      </c>
      <c r="N94" s="52" t="str">
        <f>IF(AND('Mapa final'!$AB$119="Alta",'Mapa final'!$AD$119="Menor"),CONCATENATE("R39C",'Mapa final'!$R$119),"")</f>
        <v/>
      </c>
      <c r="O94" s="52" t="str">
        <f>IF(AND('Mapa final'!$AB$120="Alta",'Mapa final'!$AD$120="Menor"),CONCATENATE("R40C",'Mapa final'!$R$120),"")</f>
        <v/>
      </c>
      <c r="P94" s="119" t="str">
        <f>IF(AND('Mapa final'!$AB$118="Alta",'Mapa final'!$AD$118="Moderado"),CONCATENATE("R39C",'Mapa final'!$R$118),"")</f>
        <v>R39C1</v>
      </c>
      <c r="Q94" s="44" t="str">
        <f>IF(AND('Mapa final'!$AB$119="Alta",'Mapa final'!$AD$119="Moderado"),CONCATENATE("R39C",'Mapa final'!$R$119),"")</f>
        <v/>
      </c>
      <c r="R94" s="120" t="str">
        <f>IF(AND('Mapa final'!$AB$120="Alta",'Mapa final'!$AD$120="Moderado"),CONCATENATE("R40C",'Mapa final'!$R$120),"")</f>
        <v/>
      </c>
      <c r="S94" s="119" t="str">
        <f>IF(AND('Mapa final'!$AB$118="Alta",'Mapa final'!$AD$118="Mayor"),CONCATENATE("R39C",'Mapa final'!$R$118),"")</f>
        <v/>
      </c>
      <c r="T94" s="44" t="str">
        <f>IF(AND('Mapa final'!$AB$119="Alta",'Mapa final'!$AD$119="Mayor"),CONCATENATE("R39C",'Mapa final'!$R$119),"")</f>
        <v/>
      </c>
      <c r="U94" s="120" t="str">
        <f>IF(AND('Mapa final'!$AB$120="Alta",'Mapa final'!$AD$120="Mayor"),CONCATENATE("R40C",'Mapa final'!$R$120),"")</f>
        <v/>
      </c>
      <c r="V94" s="45" t="str">
        <f>IF(AND('Mapa final'!$AB$118="Alta",'Mapa final'!$AD$118="Catastrófico"),CONCATENATE("R39C",'Mapa final'!$R$118),"")</f>
        <v/>
      </c>
      <c r="W94" s="46" t="str">
        <f>IF(AND('Mapa final'!$AB$119="Alta",'Mapa final'!$AD$119="Catastrófico"),CONCATENATE("R39C",'Mapa final'!$R$119),"")</f>
        <v/>
      </c>
      <c r="X94" s="114" t="str">
        <f>IF(AND('Mapa final'!$AB$120="Alta",'Mapa final'!$AD$120="Catastrófico"),CONCATENATE("R40C",'Mapa final'!$R$120),"")</f>
        <v/>
      </c>
      <c r="Y94" s="58"/>
      <c r="Z94" s="361"/>
      <c r="AA94" s="362"/>
      <c r="AB94" s="362"/>
      <c r="AC94" s="362"/>
      <c r="AD94" s="362"/>
      <c r="AE94" s="363"/>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row>
    <row r="95" spans="1:61" ht="15" customHeight="1" x14ac:dyDescent="0.25">
      <c r="A95" s="58"/>
      <c r="B95" s="356"/>
      <c r="C95" s="356"/>
      <c r="D95" s="357"/>
      <c r="E95" s="371"/>
      <c r="F95" s="372"/>
      <c r="G95" s="372"/>
      <c r="H95" s="372"/>
      <c r="I95" s="370"/>
      <c r="J95" s="51" t="str">
        <f>IF(AND('Mapa final'!$AB$121="Alta",'Mapa final'!$AD$121="Leve"),CONCATENATE("R40C",'Mapa final'!$R$121),"")</f>
        <v/>
      </c>
      <c r="K95" s="52" t="str">
        <f>IF(AND('Mapa final'!$AB$122="Alta",'Mapa final'!$AD$122="Leve"),CONCATENATE("R40C",'Mapa final'!$R$122),"")</f>
        <v/>
      </c>
      <c r="L95" s="125" t="str">
        <f>IF(AND('Mapa final'!$AB$123="Alta",'Mapa final'!$AD$123="Leve"),CONCATENATE("R40C",'Mapa final'!$R$123),"")</f>
        <v/>
      </c>
      <c r="M95" s="51" t="str">
        <f>IF(AND('Mapa final'!$AB$121="Alta",'Mapa final'!$AD$121="Menor"),CONCATENATE("R40C",'Mapa final'!$R$121),"")</f>
        <v/>
      </c>
      <c r="N95" s="52" t="str">
        <f>IF(AND('Mapa final'!$AB$122="Alta",'Mapa final'!$AD$122="Menor"),CONCATENATE("R40C",'Mapa final'!$R$122),"")</f>
        <v/>
      </c>
      <c r="O95" s="52" t="str">
        <f>IF(AND('Mapa final'!$AB$123="Alta",'Mapa final'!$AD$123="Menor"),CONCATENATE("R40C",'Mapa final'!$R$123),"")</f>
        <v/>
      </c>
      <c r="P95" s="119" t="str">
        <f>IF(AND('Mapa final'!$AB$121="Alta",'Mapa final'!$AD$121="Moderado"),CONCATENATE("R40C",'Mapa final'!$R$121),"")</f>
        <v>R40C1</v>
      </c>
      <c r="Q95" s="44" t="str">
        <f>IF(AND('Mapa final'!$AB$122="Alta",'Mapa final'!$AD$122="Moderado"),CONCATENATE("R40C",'Mapa final'!$R$122),"")</f>
        <v/>
      </c>
      <c r="R95" s="120" t="str">
        <f>IF(AND('Mapa final'!$AB$123="Alta",'Mapa final'!$AD$123="Moderado"),CONCATENATE("R40C",'Mapa final'!$R$123),"")</f>
        <v/>
      </c>
      <c r="S95" s="119" t="str">
        <f>IF(AND('Mapa final'!$AB$121="Alta",'Mapa final'!$AD$121="Mayor"),CONCATENATE("R40C",'Mapa final'!$R$121),"")</f>
        <v/>
      </c>
      <c r="T95" s="44" t="str">
        <f>IF(AND('Mapa final'!$AB$122="Alta",'Mapa final'!$AD$122="Mayor"),CONCATENATE("R40C",'Mapa final'!$R$122),"")</f>
        <v/>
      </c>
      <c r="U95" s="120" t="str">
        <f>IF(AND('Mapa final'!$AB$123="Alta",'Mapa final'!$AD$123="Mayor"),CONCATENATE("R40C",'Mapa final'!$R$123),"")</f>
        <v/>
      </c>
      <c r="V95" s="45" t="str">
        <f>IF(AND('Mapa final'!$AB$121="Alta",'Mapa final'!$AD$121="Catastrófico"),CONCATENATE("R40C",'Mapa final'!$R$121),"")</f>
        <v/>
      </c>
      <c r="W95" s="46" t="str">
        <f>IF(AND('Mapa final'!$AB$122="Alta",'Mapa final'!$AD$122="Catastrófico"),CONCATENATE("R40C",'Mapa final'!$R$122),"")</f>
        <v/>
      </c>
      <c r="X95" s="114" t="str">
        <f>IF(AND('Mapa final'!$AB$123="Alta",'Mapa final'!$AD$123="Catastrófico"),CONCATENATE("R40C",'Mapa final'!$R$123),"")</f>
        <v/>
      </c>
      <c r="Y95" s="58"/>
      <c r="Z95" s="361"/>
      <c r="AA95" s="362"/>
      <c r="AB95" s="362"/>
      <c r="AC95" s="362"/>
      <c r="AD95" s="362"/>
      <c r="AE95" s="363"/>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row>
    <row r="96" spans="1:61" ht="15" customHeight="1" x14ac:dyDescent="0.25">
      <c r="A96" s="58"/>
      <c r="B96" s="356"/>
      <c r="C96" s="356"/>
      <c r="D96" s="357"/>
      <c r="E96" s="371"/>
      <c r="F96" s="372"/>
      <c r="G96" s="372"/>
      <c r="H96" s="372"/>
      <c r="I96" s="370"/>
      <c r="J96" s="51" t="str">
        <f>IF(AND('Mapa final'!$AB$124="Alta",'Mapa final'!$AD$124="Leve"),CONCATENATE("R41C",'Mapa final'!$R$124),"")</f>
        <v/>
      </c>
      <c r="K96" s="52" t="str">
        <f>IF(AND('Mapa final'!$AB$125="Alta",'Mapa final'!$AD$125="Leve"),CONCATENATE("R41C",'Mapa final'!$R$125),"")</f>
        <v/>
      </c>
      <c r="L96" s="125" t="str">
        <f>IF(AND('Mapa final'!$AB$126="Alta",'Mapa final'!$AD$126="Leve"),CONCATENATE("R41C",'Mapa final'!$R$126),"")</f>
        <v/>
      </c>
      <c r="M96" s="51" t="str">
        <f>IF(AND('Mapa final'!$AB$124="Alta",'Mapa final'!$AD$124="Menor"),CONCATENATE("R41C",'Mapa final'!$R$124),"")</f>
        <v/>
      </c>
      <c r="N96" s="52" t="str">
        <f>IF(AND('Mapa final'!$AB$125="Alta",'Mapa final'!$AD$125="Menor"),CONCATENATE("R41C",'Mapa final'!$R$125),"")</f>
        <v/>
      </c>
      <c r="O96" s="52" t="str">
        <f>IF(AND('Mapa final'!$AB$126="Alta",'Mapa final'!$AD$126="Menor"),CONCATENATE("R41C",'Mapa final'!$R$126),"")</f>
        <v/>
      </c>
      <c r="P96" s="119" t="str">
        <f>IF(AND('Mapa final'!$AB$124="Alta",'Mapa final'!$AD$124="Moderado"),CONCATENATE("R41C",'Mapa final'!$R$124),"")</f>
        <v>R41C1</v>
      </c>
      <c r="Q96" s="44" t="str">
        <f>IF(AND('Mapa final'!$AB$125="Alta",'Mapa final'!$AD$125="Moderado"),CONCATENATE("R41C",'Mapa final'!$R$125),"")</f>
        <v/>
      </c>
      <c r="R96" s="120" t="str">
        <f>IF(AND('Mapa final'!$AB$126="Alta",'Mapa final'!$AD$126="Moderado"),CONCATENATE("R41C",'Mapa final'!$R$126),"")</f>
        <v/>
      </c>
      <c r="S96" s="119" t="str">
        <f>IF(AND('Mapa final'!$AB$124="Alta",'Mapa final'!$AD$124="Mayor"),CONCATENATE("R41C",'Mapa final'!$R$124),"")</f>
        <v/>
      </c>
      <c r="T96" s="44" t="str">
        <f>IF(AND('Mapa final'!$AB$125="Alta",'Mapa final'!$AD$125="Mayor"),CONCATENATE("R41C",'Mapa final'!$R$125),"")</f>
        <v/>
      </c>
      <c r="U96" s="120" t="str">
        <f>IF(AND('Mapa final'!$AB$126="Alta",'Mapa final'!$AD$126="Mayor"),CONCATENATE("R41C",'Mapa final'!$R$126),"")</f>
        <v/>
      </c>
      <c r="V96" s="45" t="str">
        <f>IF(AND('Mapa final'!$AB$124="Alta",'Mapa final'!$AD$124="Catastrófico"),CONCATENATE("R41C",'Mapa final'!$R$124),"")</f>
        <v/>
      </c>
      <c r="W96" s="46" t="str">
        <f>IF(AND('Mapa final'!$AB$125="Alta",'Mapa final'!$AD$125="Catastrófico"),CONCATENATE("R41C",'Mapa final'!$R$125),"")</f>
        <v/>
      </c>
      <c r="X96" s="114" t="str">
        <f>IF(AND('Mapa final'!$AB$126="Alta",'Mapa final'!$AD$126="Catastrófico"),CONCATENATE("R41C",'Mapa final'!$R$126),"")</f>
        <v/>
      </c>
      <c r="Y96" s="58"/>
      <c r="Z96" s="361"/>
      <c r="AA96" s="362"/>
      <c r="AB96" s="362"/>
      <c r="AC96" s="362"/>
      <c r="AD96" s="362"/>
      <c r="AE96" s="363"/>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row>
    <row r="97" spans="1:61" ht="15" customHeight="1" x14ac:dyDescent="0.25">
      <c r="A97" s="58"/>
      <c r="B97" s="356"/>
      <c r="C97" s="356"/>
      <c r="D97" s="357"/>
      <c r="E97" s="371"/>
      <c r="F97" s="372"/>
      <c r="G97" s="372"/>
      <c r="H97" s="372"/>
      <c r="I97" s="370"/>
      <c r="J97" s="51" t="str">
        <f>IF(AND('Mapa final'!$AB$127="Alta",'Mapa final'!$AD$127="Leve"),CONCATENATE("R42C",'Mapa final'!$R$127),"")</f>
        <v/>
      </c>
      <c r="K97" s="52" t="str">
        <f>IF(AND('Mapa final'!$AB$128="Alta",'Mapa final'!$AD$128="Leve"),CONCATENATE("R42C",'Mapa final'!$R$128),"")</f>
        <v/>
      </c>
      <c r="L97" s="125" t="str">
        <f>IF(AND('Mapa final'!$AB$129="Alta",'Mapa final'!$AD$129="Leve"),CONCATENATE("R2C",'Mapa final'!$R$129),"")</f>
        <v/>
      </c>
      <c r="M97" s="51" t="str">
        <f>IF(AND('Mapa final'!$AB$127="Alta",'Mapa final'!$AD$127="Menor"),CONCATENATE("R42C",'Mapa final'!$R$127),"")</f>
        <v/>
      </c>
      <c r="N97" s="52" t="str">
        <f>IF(AND('Mapa final'!$AB$128="Alta",'Mapa final'!$AD$128="Menor"),CONCATENATE("R42C",'Mapa final'!$R$128),"")</f>
        <v/>
      </c>
      <c r="O97" s="52" t="str">
        <f>IF(AND('Mapa final'!$AB$129="Alta",'Mapa final'!$AD$129="Menor"),CONCATENATE("R2C",'Mapa final'!$R$129),"")</f>
        <v/>
      </c>
      <c r="P97" s="119" t="str">
        <f>IF(AND('Mapa final'!$AB$127="Alta",'Mapa final'!$AD$127="Moderado"),CONCATENATE("R42C",'Mapa final'!$R$127),"")</f>
        <v/>
      </c>
      <c r="Q97" s="44" t="str">
        <f>IF(AND('Mapa final'!$AB$128="Alta",'Mapa final'!$AD$128="Moderado"),CONCATENATE("R42C",'Mapa final'!$R$128),"")</f>
        <v/>
      </c>
      <c r="R97" s="120" t="str">
        <f>IF(AND('Mapa final'!$AB$129="Alta",'Mapa final'!$AD$129="Moderado"),CONCATENATE("R2C",'Mapa final'!$R$129),"")</f>
        <v/>
      </c>
      <c r="S97" s="119" t="str">
        <f>IF(AND('Mapa final'!$AB$127="Alta",'Mapa final'!$AD$127="Mayor"),CONCATENATE("R42C",'Mapa final'!$R$127),"")</f>
        <v/>
      </c>
      <c r="T97" s="44" t="str">
        <f>IF(AND('Mapa final'!$AB$128="Alta",'Mapa final'!$AD$128="Mayor"),CONCATENATE("R42C",'Mapa final'!$R$128),"")</f>
        <v/>
      </c>
      <c r="U97" s="120" t="str">
        <f>IF(AND('Mapa final'!$AB$129="Alta",'Mapa final'!$AD$129="Mayor"),CONCATENATE("R2C",'Mapa final'!$R$129),"")</f>
        <v/>
      </c>
      <c r="V97" s="45" t="str">
        <f>IF(AND('Mapa final'!$AB$127="Alta",'Mapa final'!$AD$127="Catastrófico"),CONCATENATE("R42C",'Mapa final'!$R$127),"")</f>
        <v/>
      </c>
      <c r="W97" s="46" t="str">
        <f>IF(AND('Mapa final'!$AB$128="Alta",'Mapa final'!$AD$128="Catastrófico"),CONCATENATE("R42C",'Mapa final'!$R$128),"")</f>
        <v/>
      </c>
      <c r="X97" s="114" t="str">
        <f>IF(AND('Mapa final'!$AB$129="Alta",'Mapa final'!$AD$129="Catastrófico"),CONCATENATE("R2C",'Mapa final'!$R$129),"")</f>
        <v/>
      </c>
      <c r="Y97" s="58"/>
      <c r="Z97" s="361"/>
      <c r="AA97" s="362"/>
      <c r="AB97" s="362"/>
      <c r="AC97" s="362"/>
      <c r="AD97" s="362"/>
      <c r="AE97" s="363"/>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row>
    <row r="98" spans="1:61" ht="15" customHeight="1" x14ac:dyDescent="0.25">
      <c r="A98" s="58"/>
      <c r="B98" s="356"/>
      <c r="C98" s="356"/>
      <c r="D98" s="357"/>
      <c r="E98" s="371"/>
      <c r="F98" s="372"/>
      <c r="G98" s="372"/>
      <c r="H98" s="372"/>
      <c r="I98" s="370"/>
      <c r="J98" s="51" t="str">
        <f>IF(AND('Mapa final'!$AB$130="Alta",'Mapa final'!$AD$130="Leve"),CONCATENATE("R43C",'Mapa final'!$R$130),"")</f>
        <v/>
      </c>
      <c r="K98" s="52" t="str">
        <f>IF(AND('Mapa final'!$AB$131="Alta",'Mapa final'!$AD$131="Leve"),CONCATENATE("R43C",'Mapa final'!$R$131),"")</f>
        <v/>
      </c>
      <c r="L98" s="125" t="str">
        <f>IF(AND('Mapa final'!$AB$132="Alta",'Mapa final'!$AD$132="Leve"),CONCATENATE("R43C",'Mapa final'!$R$132),"")</f>
        <v/>
      </c>
      <c r="M98" s="51" t="str">
        <f>IF(AND('Mapa final'!$AB$130="Alta",'Mapa final'!$AD$130="Menor"),CONCATENATE("R43C",'Mapa final'!$R$130),"")</f>
        <v/>
      </c>
      <c r="N98" s="52" t="str">
        <f>IF(AND('Mapa final'!$AB$131="Alta",'Mapa final'!$AD$131="Menor"),CONCATENATE("R43C",'Mapa final'!$R$131),"")</f>
        <v/>
      </c>
      <c r="O98" s="52" t="str">
        <f>IF(AND('Mapa final'!$AB$132="Alta",'Mapa final'!$AD$132="Menor"),CONCATENATE("R43C",'Mapa final'!$R$132),"")</f>
        <v/>
      </c>
      <c r="P98" s="119" t="str">
        <f>IF(AND('Mapa final'!$AB$130="Alta",'Mapa final'!$AD$130="Moderado"),CONCATENATE("R43C",'Mapa final'!$R$130),"")</f>
        <v/>
      </c>
      <c r="Q98" s="44" t="str">
        <f>IF(AND('Mapa final'!$AB$131="Alta",'Mapa final'!$AD$131="Moderado"),CONCATENATE("R43C",'Mapa final'!$R$131),"")</f>
        <v/>
      </c>
      <c r="R98" s="120" t="str">
        <f>IF(AND('Mapa final'!$AB$132="Alta",'Mapa final'!$AD$132="Moderado"),CONCATENATE("R43C",'Mapa final'!$R$132),"")</f>
        <v/>
      </c>
      <c r="S98" s="119" t="str">
        <f>IF(AND('Mapa final'!$AB$130="Alta",'Mapa final'!$AD$130="Mayor"),CONCATENATE("R43C",'Mapa final'!$R$130),"")</f>
        <v/>
      </c>
      <c r="T98" s="44" t="str">
        <f>IF(AND('Mapa final'!$AB$131="Alta",'Mapa final'!$AD$131="Mayor"),CONCATENATE("R43C",'Mapa final'!$R$131),"")</f>
        <v/>
      </c>
      <c r="U98" s="120" t="str">
        <f>IF(AND('Mapa final'!$AB$132="Alta",'Mapa final'!$AD$132="Mayor"),CONCATENATE("R43C",'Mapa final'!$R$132),"")</f>
        <v/>
      </c>
      <c r="V98" s="45" t="str">
        <f>IF(AND('Mapa final'!$AB$130="Alta",'Mapa final'!$AD$130="Catastrófico"),CONCATENATE("R43C",'Mapa final'!$R$130),"")</f>
        <v/>
      </c>
      <c r="W98" s="46" t="str">
        <f>IF(AND('Mapa final'!$AB$131="Alta",'Mapa final'!$AD$131="Catastrófico"),CONCATENATE("R43C",'Mapa final'!$R$131),"")</f>
        <v/>
      </c>
      <c r="X98" s="114" t="str">
        <f>IF(AND('Mapa final'!$AB$132="Alta",'Mapa final'!$AD$132="Catastrófico"),CONCATENATE("R43C",'Mapa final'!$R$132),"")</f>
        <v/>
      </c>
      <c r="Y98" s="58"/>
      <c r="Z98" s="361"/>
      <c r="AA98" s="362"/>
      <c r="AB98" s="362"/>
      <c r="AC98" s="362"/>
      <c r="AD98" s="362"/>
      <c r="AE98" s="363"/>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row>
    <row r="99" spans="1:61" ht="15" customHeight="1" x14ac:dyDescent="0.25">
      <c r="A99" s="58"/>
      <c r="B99" s="356"/>
      <c r="C99" s="356"/>
      <c r="D99" s="357"/>
      <c r="E99" s="371"/>
      <c r="F99" s="372"/>
      <c r="G99" s="372"/>
      <c r="H99" s="372"/>
      <c r="I99" s="370"/>
      <c r="J99" s="51" t="str">
        <f>IF(AND('Mapa final'!$AB$133="Alta",'Mapa final'!$AD$133="Leve"),CONCATENATE("R44C",'Mapa final'!$R$133),"")</f>
        <v/>
      </c>
      <c r="K99" s="52" t="str">
        <f>IF(AND('Mapa final'!$AB$134="Alta",'Mapa final'!$AD$134="Leve"),CONCATENATE("R44C",'Mapa final'!$R$134),"")</f>
        <v/>
      </c>
      <c r="L99" s="125" t="str">
        <f>IF(AND('Mapa final'!$AB$135="Alta",'Mapa final'!$AD$135="Leve"),CONCATENATE("R44C",'Mapa final'!$R$135),"")</f>
        <v/>
      </c>
      <c r="M99" s="51" t="str">
        <f>IF(AND('Mapa final'!$AB$133="Alta",'Mapa final'!$AD$133="Menor"),CONCATENATE("R44C",'Mapa final'!$R$133),"")</f>
        <v/>
      </c>
      <c r="N99" s="52" t="str">
        <f>IF(AND('Mapa final'!$AB$134="Alta",'Mapa final'!$AD$134="Menor"),CONCATENATE("R44C",'Mapa final'!$R$134),"")</f>
        <v/>
      </c>
      <c r="O99" s="52" t="str">
        <f>IF(AND('Mapa final'!$AB$135="Alta",'Mapa final'!$AD$135="Menor"),CONCATENATE("R44C",'Mapa final'!$R$135),"")</f>
        <v/>
      </c>
      <c r="P99" s="119" t="str">
        <f>IF(AND('Mapa final'!$AB$133="Alta",'Mapa final'!$AD$133="Moderado"),CONCATENATE("R44C",'Mapa final'!$R$133),"")</f>
        <v/>
      </c>
      <c r="Q99" s="44" t="str">
        <f>IF(AND('Mapa final'!$AB$134="Alta",'Mapa final'!$AD$134="Moderado"),CONCATENATE("R44C",'Mapa final'!$R$134),"")</f>
        <v/>
      </c>
      <c r="R99" s="120" t="str">
        <f>IF(AND('Mapa final'!$AB$135="Alta",'Mapa final'!$AD$135="Moderado"),CONCATENATE("R44C",'Mapa final'!$R$135),"")</f>
        <v/>
      </c>
      <c r="S99" s="119" t="str">
        <f>IF(AND('Mapa final'!$AB$133="Alta",'Mapa final'!$AD$133="Mayor"),CONCATENATE("R44C",'Mapa final'!$R$133),"")</f>
        <v/>
      </c>
      <c r="T99" s="44" t="str">
        <f>IF(AND('Mapa final'!$AB$134="Alta",'Mapa final'!$AD$134="Mayor"),CONCATENATE("R44C",'Mapa final'!$R$134),"")</f>
        <v/>
      </c>
      <c r="U99" s="120" t="str">
        <f>IF(AND('Mapa final'!$AB$135="Alta",'Mapa final'!$AD$135="Mayor"),CONCATENATE("R44C",'Mapa final'!$R$135),"")</f>
        <v/>
      </c>
      <c r="V99" s="45" t="str">
        <f>IF(AND('Mapa final'!$AB$133="Alta",'Mapa final'!$AD$133="Catastrófico"),CONCATENATE("R44C",'Mapa final'!$R$133),"")</f>
        <v/>
      </c>
      <c r="W99" s="46" t="str">
        <f>IF(AND('Mapa final'!$AB$134="Alta",'Mapa final'!$AD$134="Catastrófico"),CONCATENATE("R44C",'Mapa final'!$R$134),"")</f>
        <v/>
      </c>
      <c r="X99" s="114" t="str">
        <f>IF(AND('Mapa final'!$AB$135="Alta",'Mapa final'!$AD$135="Catastrófico"),CONCATENATE("R44C",'Mapa final'!$R$135),"")</f>
        <v/>
      </c>
      <c r="Y99" s="58"/>
      <c r="Z99" s="361"/>
      <c r="AA99" s="362"/>
      <c r="AB99" s="362"/>
      <c r="AC99" s="362"/>
      <c r="AD99" s="362"/>
      <c r="AE99" s="363"/>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row>
    <row r="100" spans="1:61" ht="15" customHeight="1" x14ac:dyDescent="0.25">
      <c r="A100" s="58"/>
      <c r="B100" s="356"/>
      <c r="C100" s="356"/>
      <c r="D100" s="357"/>
      <c r="E100" s="371"/>
      <c r="F100" s="372"/>
      <c r="G100" s="372"/>
      <c r="H100" s="372"/>
      <c r="I100" s="370"/>
      <c r="J100" s="51" t="str">
        <f>IF(AND('Mapa final'!$AB$136="Alta",'Mapa final'!$AD$136="Leve"),CONCATENATE("R45C",'Mapa final'!$R$136),"")</f>
        <v/>
      </c>
      <c r="K100" s="52" t="str">
        <f>IF(AND('Mapa final'!$AB$137="Alta",'Mapa final'!$AD$137="Leve"),CONCATENATE("R45C",'Mapa final'!$R$137),"")</f>
        <v/>
      </c>
      <c r="L100" s="125" t="str">
        <f>IF(AND('Mapa final'!$AB$138="Alta",'Mapa final'!$AD$138="Leve"),CONCATENATE("R45C",'Mapa final'!$R$138),"")</f>
        <v/>
      </c>
      <c r="M100" s="51" t="str">
        <f>IF(AND('Mapa final'!$AB$136="Alta",'Mapa final'!$AD$136="Menor"),CONCATENATE("R45C",'Mapa final'!$R$136),"")</f>
        <v/>
      </c>
      <c r="N100" s="52" t="str">
        <f>IF(AND('Mapa final'!$AB$137="Alta",'Mapa final'!$AD$137="Menor"),CONCATENATE("R45C",'Mapa final'!$R$137),"")</f>
        <v/>
      </c>
      <c r="O100" s="52" t="str">
        <f>IF(AND('Mapa final'!$AB$138="Alta",'Mapa final'!$AD$138="Menor"),CONCATENATE("R45C",'Mapa final'!$R$138),"")</f>
        <v/>
      </c>
      <c r="P100" s="119" t="str">
        <f>IF(AND('Mapa final'!$AB$136="Alta",'Mapa final'!$AD$136="Moderado"),CONCATENATE("R45C",'Mapa final'!$R$136),"")</f>
        <v/>
      </c>
      <c r="Q100" s="44" t="str">
        <f>IF(AND('Mapa final'!$AB$137="Alta",'Mapa final'!$AD$137="Moderado"),CONCATENATE("R45C",'Mapa final'!$R$137),"")</f>
        <v/>
      </c>
      <c r="R100" s="120" t="str">
        <f>IF(AND('Mapa final'!$AB$138="Alta",'Mapa final'!$AD$138="Moderado"),CONCATENATE("R45C",'Mapa final'!$R$138),"")</f>
        <v/>
      </c>
      <c r="S100" s="119" t="str">
        <f>IF(AND('Mapa final'!$AB$136="Alta",'Mapa final'!$AD$136="Mayor"),CONCATENATE("R45C",'Mapa final'!$R$136),"")</f>
        <v/>
      </c>
      <c r="T100" s="44" t="str">
        <f>IF(AND('Mapa final'!$AB$137="Alta",'Mapa final'!$AD$137="Mayor"),CONCATENATE("R45C",'Mapa final'!$R$137),"")</f>
        <v/>
      </c>
      <c r="U100" s="120" t="str">
        <f>IF(AND('Mapa final'!$AB$138="Alta",'Mapa final'!$AD$138="Mayor"),CONCATENATE("R45C",'Mapa final'!$R$138),"")</f>
        <v/>
      </c>
      <c r="V100" s="45" t="str">
        <f>IF(AND('Mapa final'!$AB$136="Alta",'Mapa final'!$AD$136="Catastrófico"),CONCATENATE("R45C",'Mapa final'!$R$136),"")</f>
        <v/>
      </c>
      <c r="W100" s="46" t="str">
        <f>IF(AND('Mapa final'!$AB$137="Alta",'Mapa final'!$AD$137="Catastrófico"),CONCATENATE("R45C",'Mapa final'!$R$137),"")</f>
        <v/>
      </c>
      <c r="X100" s="114" t="str">
        <f>IF(AND('Mapa final'!$AB$138="Alta",'Mapa final'!$AD$138="Catastrófico"),CONCATENATE("R45C",'Mapa final'!$R$138),"")</f>
        <v/>
      </c>
      <c r="Y100" s="58"/>
      <c r="Z100" s="361"/>
      <c r="AA100" s="362"/>
      <c r="AB100" s="362"/>
      <c r="AC100" s="362"/>
      <c r="AD100" s="362"/>
      <c r="AE100" s="363"/>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row>
    <row r="101" spans="1:61" ht="15" customHeight="1" x14ac:dyDescent="0.25">
      <c r="A101" s="58"/>
      <c r="B101" s="356"/>
      <c r="C101" s="356"/>
      <c r="D101" s="357"/>
      <c r="E101" s="371"/>
      <c r="F101" s="372"/>
      <c r="G101" s="372"/>
      <c r="H101" s="372"/>
      <c r="I101" s="370"/>
      <c r="J101" s="51" t="str">
        <f>IF(AND('Mapa final'!$AB$139="Alta",'Mapa final'!$AD$139="Leve"),CONCATENATE("R46C",'Mapa final'!$R$139),"")</f>
        <v/>
      </c>
      <c r="K101" s="52" t="str">
        <f>IF(AND('Mapa final'!$AB$140="Alta",'Mapa final'!$AD$140="Leve"),CONCATENATE("R46C",'Mapa final'!$R$140),"")</f>
        <v/>
      </c>
      <c r="L101" s="125" t="str">
        <f>IF(AND('Mapa final'!$AB$141="Alta",'Mapa final'!$AD$141="Leve"),CONCATENATE("R46C",'Mapa final'!$R$141),"")</f>
        <v/>
      </c>
      <c r="M101" s="51" t="str">
        <f>IF(AND('Mapa final'!$AB$139="Alta",'Mapa final'!$AD$139="Menor"),CONCATENATE("R46C",'Mapa final'!$R$139),"")</f>
        <v/>
      </c>
      <c r="N101" s="52" t="str">
        <f>IF(AND('Mapa final'!$AB$140="Alta",'Mapa final'!$AD$140="Menor"),CONCATENATE("R46C",'Mapa final'!$R$140),"")</f>
        <v/>
      </c>
      <c r="O101" s="52" t="str">
        <f>IF(AND('Mapa final'!$AB$141="Alta",'Mapa final'!$AD$141="Menor"),CONCATENATE("R46C",'Mapa final'!$R$141),"")</f>
        <v/>
      </c>
      <c r="P101" s="119" t="str">
        <f>IF(AND('Mapa final'!$AB$139="Alta",'Mapa final'!$AD$139="Moderado"),CONCATENATE("R46C",'Mapa final'!$R$139),"")</f>
        <v/>
      </c>
      <c r="Q101" s="44" t="str">
        <f>IF(AND('Mapa final'!$AB$140="Alta",'Mapa final'!$AD$140="Moderado"),CONCATENATE("R46C",'Mapa final'!$R$140),"")</f>
        <v/>
      </c>
      <c r="R101" s="120" t="str">
        <f>IF(AND('Mapa final'!$AB$141="Alta",'Mapa final'!$AD$141="Moderado"),CONCATENATE("R46C",'Mapa final'!$R$141),"")</f>
        <v/>
      </c>
      <c r="S101" s="119" t="str">
        <f>IF(AND('Mapa final'!$AB$139="Alta",'Mapa final'!$AD$139="Mayor"),CONCATENATE("R46C",'Mapa final'!$R$139),"")</f>
        <v/>
      </c>
      <c r="T101" s="44" t="str">
        <f>IF(AND('Mapa final'!$AB$140="Alta",'Mapa final'!$AD$140="Mayor"),CONCATENATE("R46C",'Mapa final'!$R$140),"")</f>
        <v/>
      </c>
      <c r="U101" s="120" t="str">
        <f>IF(AND('Mapa final'!$AB$141="Alta",'Mapa final'!$AD$141="Mayor"),CONCATENATE("R46C",'Mapa final'!$R$141),"")</f>
        <v/>
      </c>
      <c r="V101" s="45" t="str">
        <f>IF(AND('Mapa final'!$AB$139="Alta",'Mapa final'!$AD$139="Catastrófico"),CONCATENATE("R46C",'Mapa final'!$R$139),"")</f>
        <v/>
      </c>
      <c r="W101" s="46" t="str">
        <f>IF(AND('Mapa final'!$AB$140="Alta",'Mapa final'!$AD$140="Catastrófico"),CONCATENATE("R46C",'Mapa final'!$R$140),"")</f>
        <v/>
      </c>
      <c r="X101" s="114" t="str">
        <f>IF(AND('Mapa final'!$AB$141="Alta",'Mapa final'!$AD$141="Catastrófico"),CONCATENATE("R46C",'Mapa final'!$R$141),"")</f>
        <v/>
      </c>
      <c r="Y101" s="58"/>
      <c r="Z101" s="361"/>
      <c r="AA101" s="362"/>
      <c r="AB101" s="362"/>
      <c r="AC101" s="362"/>
      <c r="AD101" s="362"/>
      <c r="AE101" s="363"/>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row>
    <row r="102" spans="1:61" ht="15" customHeight="1" x14ac:dyDescent="0.25">
      <c r="A102" s="58"/>
      <c r="B102" s="356"/>
      <c r="C102" s="356"/>
      <c r="D102" s="357"/>
      <c r="E102" s="371"/>
      <c r="F102" s="372"/>
      <c r="G102" s="372"/>
      <c r="H102" s="372"/>
      <c r="I102" s="370"/>
      <c r="J102" s="51" t="str">
        <f>IF(AND('Mapa final'!$AB$142="Alta",'Mapa final'!$AD$142="Leve"),CONCATENATE("R47C",'Mapa final'!$R$142),"")</f>
        <v/>
      </c>
      <c r="K102" s="52" t="str">
        <f>IF(AND('Mapa final'!$AB$143="Alta",'Mapa final'!$AD$143="Leve"),CONCATENATE("R47C",'Mapa final'!$R$143),"")</f>
        <v/>
      </c>
      <c r="L102" s="125" t="str">
        <f>IF(AND('Mapa final'!$AB$144="Alta",'Mapa final'!$AD$144="Leve"),CONCATENATE("R47C",'Mapa final'!$R$144),"")</f>
        <v/>
      </c>
      <c r="M102" s="51" t="str">
        <f>IF(AND('Mapa final'!$AB$142="Alta",'Mapa final'!$AD$142="Menor"),CONCATENATE("R47C",'Mapa final'!$R$142),"")</f>
        <v/>
      </c>
      <c r="N102" s="52" t="str">
        <f>IF(AND('Mapa final'!$AB$143="Alta",'Mapa final'!$AD$143="Menor"),CONCATENATE("R47C",'Mapa final'!$R$143),"")</f>
        <v/>
      </c>
      <c r="O102" s="52" t="str">
        <f>IF(AND('Mapa final'!$AB$144="Alta",'Mapa final'!$AD$144="Menor"),CONCATENATE("R47C",'Mapa final'!$R$144),"")</f>
        <v/>
      </c>
      <c r="P102" s="119" t="str">
        <f>IF(AND('Mapa final'!$AB$142="Alta",'Mapa final'!$AD$142="Moderado"),CONCATENATE("R47C",'Mapa final'!$R$142),"")</f>
        <v/>
      </c>
      <c r="Q102" s="44" t="str">
        <f>IF(AND('Mapa final'!$AB$143="Alta",'Mapa final'!$AD$143="Moderado"),CONCATENATE("R47C",'Mapa final'!$R$143),"")</f>
        <v/>
      </c>
      <c r="R102" s="120" t="str">
        <f>IF(AND('Mapa final'!$AB$144="Alta",'Mapa final'!$AD$144="Moderado"),CONCATENATE("R47C",'Mapa final'!$R$144),"")</f>
        <v/>
      </c>
      <c r="S102" s="119" t="str">
        <f>IF(AND('Mapa final'!$AB$142="Alta",'Mapa final'!$AD$142="Mayor"),CONCATENATE("R47C",'Mapa final'!$R$142),"")</f>
        <v/>
      </c>
      <c r="T102" s="44" t="str">
        <f>IF(AND('Mapa final'!$AB$143="Alta",'Mapa final'!$AD$143="Mayor"),CONCATENATE("R47C",'Mapa final'!$R$143),"")</f>
        <v/>
      </c>
      <c r="U102" s="120" t="str">
        <f>IF(AND('Mapa final'!$AB$144="Alta",'Mapa final'!$AD$144="Mayor"),CONCATENATE("R47C",'Mapa final'!$R$144),"")</f>
        <v/>
      </c>
      <c r="V102" s="45" t="str">
        <f>IF(AND('Mapa final'!$AB$142="Alta",'Mapa final'!$AD$142="Catastrófico"),CONCATENATE("R47C",'Mapa final'!$R$142),"")</f>
        <v/>
      </c>
      <c r="W102" s="46" t="str">
        <f>IF(AND('Mapa final'!$AB$143="Alta",'Mapa final'!$AD$143="Catastrófico"),CONCATENATE("R47C",'Mapa final'!$R$143),"")</f>
        <v/>
      </c>
      <c r="X102" s="114" t="str">
        <f>IF(AND('Mapa final'!$AB$144="Alta",'Mapa final'!$AD$144="Catastrófico"),CONCATENATE("R47C",'Mapa final'!$R$144),"")</f>
        <v/>
      </c>
      <c r="Y102" s="58"/>
      <c r="Z102" s="361"/>
      <c r="AA102" s="362"/>
      <c r="AB102" s="362"/>
      <c r="AC102" s="362"/>
      <c r="AD102" s="362"/>
      <c r="AE102" s="363"/>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row>
    <row r="103" spans="1:61" ht="15" customHeight="1" x14ac:dyDescent="0.25">
      <c r="A103" s="58"/>
      <c r="B103" s="356"/>
      <c r="C103" s="356"/>
      <c r="D103" s="357"/>
      <c r="E103" s="371"/>
      <c r="F103" s="372"/>
      <c r="G103" s="372"/>
      <c r="H103" s="372"/>
      <c r="I103" s="370"/>
      <c r="J103" s="51" t="str">
        <f>IF(AND('Mapa final'!$AB$145="Alta",'Mapa final'!$AD$145="Leve"),CONCATENATE("R48C",'Mapa final'!$R$145),"")</f>
        <v/>
      </c>
      <c r="K103" s="52" t="str">
        <f>IF(AND('Mapa final'!$AB$146="Alta",'Mapa final'!$AD$146="Leve"),CONCATENATE("R48C",'Mapa final'!$R$146),"")</f>
        <v/>
      </c>
      <c r="L103" s="125" t="str">
        <f>IF(AND('Mapa final'!$AB$147="Alta",'Mapa final'!$AD$147="Leve"),CONCATENATE("R48C",'Mapa final'!$R$147),"")</f>
        <v/>
      </c>
      <c r="M103" s="51" t="str">
        <f>IF(AND('Mapa final'!$AB$145="Alta",'Mapa final'!$AD$145="Menor"),CONCATENATE("R48C",'Mapa final'!$R$145),"")</f>
        <v/>
      </c>
      <c r="N103" s="52" t="str">
        <f>IF(AND('Mapa final'!$AB$146="Alta",'Mapa final'!$AD$146="Menor"),CONCATENATE("R48C",'Mapa final'!$R$146),"")</f>
        <v/>
      </c>
      <c r="O103" s="52" t="str">
        <f>IF(AND('Mapa final'!$AB$147="Alta",'Mapa final'!$AD$147="Menor"),CONCATENATE("R48C",'Mapa final'!$R$147),"")</f>
        <v/>
      </c>
      <c r="P103" s="119" t="str">
        <f>IF(AND('Mapa final'!$AB$145="Alta",'Mapa final'!$AD$145="Moderado"),CONCATENATE("R48C",'Mapa final'!$R$145),"")</f>
        <v/>
      </c>
      <c r="Q103" s="44" t="str">
        <f>IF(AND('Mapa final'!$AB$146="Alta",'Mapa final'!$AD$146="Moderado"),CONCATENATE("R48C",'Mapa final'!$R$146),"")</f>
        <v/>
      </c>
      <c r="R103" s="120" t="str">
        <f>IF(AND('Mapa final'!$AB$147="Alta",'Mapa final'!$AD$147="Moderado"),CONCATENATE("R48C",'Mapa final'!$R$147),"")</f>
        <v/>
      </c>
      <c r="S103" s="119" t="str">
        <f>IF(AND('Mapa final'!$AB$145="Alta",'Mapa final'!$AD$145="Mayor"),CONCATENATE("R48C",'Mapa final'!$R$145),"")</f>
        <v/>
      </c>
      <c r="T103" s="44" t="str">
        <f>IF(AND('Mapa final'!$AB$146="Alta",'Mapa final'!$AD$146="Mayor"),CONCATENATE("R48C",'Mapa final'!$R$146),"")</f>
        <v/>
      </c>
      <c r="U103" s="120" t="str">
        <f>IF(AND('Mapa final'!$AB$147="Alta",'Mapa final'!$AD$147="Mayor"),CONCATENATE("R48C",'Mapa final'!$R$147),"")</f>
        <v/>
      </c>
      <c r="V103" s="45" t="str">
        <f>IF(AND('Mapa final'!$AB$145="Alta",'Mapa final'!$AD$145="Catastrófico"),CONCATENATE("R48C",'Mapa final'!$R$145),"")</f>
        <v/>
      </c>
      <c r="W103" s="46" t="str">
        <f>IF(AND('Mapa final'!$AB$146="Alta",'Mapa final'!$AD$146="Catastrófico"),CONCATENATE("R48C",'Mapa final'!$R$146),"")</f>
        <v/>
      </c>
      <c r="X103" s="114" t="str">
        <f>IF(AND('Mapa final'!$AB$147="Alta",'Mapa final'!$AD$147="Catastrófico"),CONCATENATE("R48C",'Mapa final'!$R$147),"")</f>
        <v/>
      </c>
      <c r="Y103" s="58"/>
      <c r="Z103" s="361"/>
      <c r="AA103" s="362"/>
      <c r="AB103" s="362"/>
      <c r="AC103" s="362"/>
      <c r="AD103" s="362"/>
      <c r="AE103" s="363"/>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row>
    <row r="104" spans="1:61" ht="15" customHeight="1" x14ac:dyDescent="0.25">
      <c r="A104" s="58"/>
      <c r="B104" s="356"/>
      <c r="C104" s="356"/>
      <c r="D104" s="357"/>
      <c r="E104" s="371"/>
      <c r="F104" s="372"/>
      <c r="G104" s="372"/>
      <c r="H104" s="372"/>
      <c r="I104" s="370"/>
      <c r="J104" s="51" t="str">
        <f>IF(AND('Mapa final'!$AB$148="Alta",'Mapa final'!$AD$148="Leve"),CONCATENATE("R49C",'Mapa final'!$R$148),"")</f>
        <v/>
      </c>
      <c r="K104" s="52" t="str">
        <f>IF(AND('Mapa final'!$AB$149="Alta",'Mapa final'!$AD$149="Leve"),CONCATENATE("R49C",'Mapa final'!$R$149),"")</f>
        <v/>
      </c>
      <c r="L104" s="125" t="str">
        <f>IF(AND('Mapa final'!$AB$150="Alta",'Mapa final'!$AD$150="Leve"),CONCATENATE("R49C",'Mapa final'!$R$150),"")</f>
        <v/>
      </c>
      <c r="M104" s="51" t="str">
        <f>IF(AND('Mapa final'!$AB$148="Alta",'Mapa final'!$AD$148="Menor"),CONCATENATE("R49C",'Mapa final'!$R$148),"")</f>
        <v/>
      </c>
      <c r="N104" s="52" t="str">
        <f>IF(AND('Mapa final'!$AB$149="Alta",'Mapa final'!$AD$149="Menor"),CONCATENATE("R49C",'Mapa final'!$R$149),"")</f>
        <v/>
      </c>
      <c r="O104" s="52" t="str">
        <f>IF(AND('Mapa final'!$AB$150="Alta",'Mapa final'!$AD$150="Menor"),CONCATENATE("R49C",'Mapa final'!$R$150),"")</f>
        <v/>
      </c>
      <c r="P104" s="119" t="str">
        <f>IF(AND('Mapa final'!$AB$148="Alta",'Mapa final'!$AD$148="Moderado"),CONCATENATE("R49C",'Mapa final'!$R$148),"")</f>
        <v/>
      </c>
      <c r="Q104" s="44" t="str">
        <f>IF(AND('Mapa final'!$AB$149="Alta",'Mapa final'!$AD$149="Moderado"),CONCATENATE("R49C",'Mapa final'!$R$149),"")</f>
        <v/>
      </c>
      <c r="R104" s="120" t="str">
        <f>IF(AND('Mapa final'!$AB$150="Alta",'Mapa final'!$AD$150="Moderado"),CONCATENATE("R49C",'Mapa final'!$R$150),"")</f>
        <v/>
      </c>
      <c r="S104" s="119" t="str">
        <f>IF(AND('Mapa final'!$AB$148="Alta",'Mapa final'!$AD$148="Mayor"),CONCATENATE("R49C",'Mapa final'!$R$148),"")</f>
        <v/>
      </c>
      <c r="T104" s="44" t="str">
        <f>IF(AND('Mapa final'!$AB$149="Alta",'Mapa final'!$AD$149="Mayor"),CONCATENATE("R49C",'Mapa final'!$R$149),"")</f>
        <v/>
      </c>
      <c r="U104" s="120" t="str">
        <f>IF(AND('Mapa final'!$AB$150="Alta",'Mapa final'!$AD$150="Mayor"),CONCATENATE("R49C",'Mapa final'!$R$150),"")</f>
        <v/>
      </c>
      <c r="V104" s="45" t="str">
        <f>IF(AND('Mapa final'!$AB$148="Alta",'Mapa final'!$AD$148="Catastrófico"),CONCATENATE("R49C",'Mapa final'!$R$148),"")</f>
        <v/>
      </c>
      <c r="W104" s="46" t="str">
        <f>IF(AND('Mapa final'!$AB$149="Alta",'Mapa final'!$AD$149="Catastrófico"),CONCATENATE("R49C",'Mapa final'!$R$149),"")</f>
        <v/>
      </c>
      <c r="X104" s="114" t="str">
        <f>IF(AND('Mapa final'!$AB$150="Alta",'Mapa final'!$AD$150="Catastrófico"),CONCATENATE("R49C",'Mapa final'!$R$150),"")</f>
        <v/>
      </c>
      <c r="Y104" s="58"/>
      <c r="Z104" s="361"/>
      <c r="AA104" s="362"/>
      <c r="AB104" s="362"/>
      <c r="AC104" s="362"/>
      <c r="AD104" s="362"/>
      <c r="AE104" s="363"/>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row>
    <row r="105" spans="1:61" ht="15.75" customHeight="1" thickBot="1" x14ac:dyDescent="0.3">
      <c r="A105" s="58"/>
      <c r="B105" s="356"/>
      <c r="C105" s="356"/>
      <c r="D105" s="357"/>
      <c r="E105" s="373"/>
      <c r="F105" s="374"/>
      <c r="G105" s="374"/>
      <c r="H105" s="374"/>
      <c r="I105" s="374"/>
      <c r="J105" s="53" t="str">
        <f>IF(AND('Mapa final'!$AB$151="Alta",'Mapa final'!$AD$151="Leve"),CONCATENATE("R50C",'Mapa final'!$R$151),"")</f>
        <v/>
      </c>
      <c r="K105" s="54" t="str">
        <f>IF(AND('Mapa final'!$AB$152="Alta",'Mapa final'!$AD$152="Leve"),CONCATENATE("R50C",'Mapa final'!$R$152),"")</f>
        <v/>
      </c>
      <c r="L105" s="126" t="str">
        <f>IF(AND('Mapa final'!$AB$153="Alta",'Mapa final'!$AD$153="Leve"),CONCATENATE("R50C",'Mapa final'!$R$153),"")</f>
        <v/>
      </c>
      <c r="M105" s="51" t="str">
        <f>IF(AND('Mapa final'!$AB$151="Alta",'Mapa final'!$AD$151="Menor"),CONCATENATE("R50C",'Mapa final'!$R$151),"")</f>
        <v/>
      </c>
      <c r="N105" s="52" t="str">
        <f>IF(AND('Mapa final'!$AB$152="Alta",'Mapa final'!$AD$152="Menor"),CONCATENATE("R50C",'Mapa final'!$R$152),"")</f>
        <v/>
      </c>
      <c r="O105" s="52" t="str">
        <f>IF(AND('Mapa final'!$AB$153="Alta",'Mapa final'!$AD$153="Menor"),CONCATENATE("R50C",'Mapa final'!$R$153),"")</f>
        <v/>
      </c>
      <c r="P105" s="121" t="str">
        <f>IF(AND('Mapa final'!$AB$151="Alta",'Mapa final'!$AD$151="Moderado"),CONCATENATE("R50C",'Mapa final'!$R$151),"")</f>
        <v/>
      </c>
      <c r="Q105" s="122" t="str">
        <f>IF(AND('Mapa final'!$AB$152="Alta",'Mapa final'!$AD$152="Moderado"),CONCATENATE("R50C",'Mapa final'!$R$152),"")</f>
        <v/>
      </c>
      <c r="R105" s="123" t="str">
        <f>IF(AND('Mapa final'!$AB$153="Alta",'Mapa final'!$AD$153="Moderado"),CONCATENATE("R50C",'Mapa final'!$R$153),"")</f>
        <v/>
      </c>
      <c r="S105" s="121" t="str">
        <f>IF(AND('Mapa final'!$AB$151="Alta",'Mapa final'!$AD$151="Mayor"),CONCATENATE("R50C",'Mapa final'!$R$151),"")</f>
        <v/>
      </c>
      <c r="T105" s="122" t="str">
        <f>IF(AND('Mapa final'!$AB$152="Alta",'Mapa final'!$AD$152="Mayor"),CONCATENATE("R50C",'Mapa final'!$R$152),"")</f>
        <v/>
      </c>
      <c r="U105" s="123" t="str">
        <f>IF(AND('Mapa final'!$AB$153="Alta",'Mapa final'!$AD$153="Mayor"),CONCATENATE("R50C",'Mapa final'!$R$153),"")</f>
        <v/>
      </c>
      <c r="V105" s="47" t="str">
        <f>IF(AND('Mapa final'!$AB$151="Alta",'Mapa final'!$AD$151="Catastrófico"),CONCATENATE("R50C",'Mapa final'!$R$151),"")</f>
        <v/>
      </c>
      <c r="W105" s="48" t="str">
        <f>IF(AND('Mapa final'!$AB$152="Alta",'Mapa final'!$AD$152="Catastrófico"),CONCATENATE("R50C",'Mapa final'!$R$152),"")</f>
        <v/>
      </c>
      <c r="X105" s="115" t="str">
        <f>IF(AND('Mapa final'!$AB$153="Alta",'Mapa final'!$AD$153="Catastrófico"),CONCATENATE("R50C",'Mapa final'!$R$153),"")</f>
        <v/>
      </c>
      <c r="Y105" s="58"/>
      <c r="Z105" s="364"/>
      <c r="AA105" s="365"/>
      <c r="AB105" s="365"/>
      <c r="AC105" s="365"/>
      <c r="AD105" s="365"/>
      <c r="AE105" s="366"/>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row>
    <row r="106" spans="1:61" ht="15" customHeight="1" x14ac:dyDescent="0.25">
      <c r="A106" s="58"/>
      <c r="B106" s="356"/>
      <c r="C106" s="356"/>
      <c r="D106" s="357"/>
      <c r="E106" s="367" t="s">
        <v>111</v>
      </c>
      <c r="F106" s="368"/>
      <c r="G106" s="368"/>
      <c r="H106" s="368"/>
      <c r="I106" s="368"/>
      <c r="J106" s="49" t="str">
        <f>IF(AND('Mapa final'!$AB$7="Media",'Mapa final'!$AD$7="Leve"),CONCATENATE("R1C",'Mapa final'!$R$7),"")</f>
        <v/>
      </c>
      <c r="K106" s="50" t="str">
        <f>IF(AND('Mapa final'!$AB$8="Media",'Mapa final'!$AD$8="Leve"),CONCATENATE("R1C",'Mapa final'!$R$8),"")</f>
        <v/>
      </c>
      <c r="L106" s="124" t="str">
        <f>IF(AND('Mapa final'!$AB$9="Media",'Mapa final'!$AD$9="Leve"),CONCATENATE("R1C",'Mapa final'!$R$9),"")</f>
        <v/>
      </c>
      <c r="M106" s="49" t="str">
        <f>IF(AND('Mapa final'!$AB$7="Media",'Mapa final'!$AD$7="Menor"),CONCATENATE("R1C",'Mapa final'!$R$7),"")</f>
        <v/>
      </c>
      <c r="N106" s="50" t="str">
        <f>IF(AND('Mapa final'!$AB$8="Media",'Mapa final'!$AD$8="Menor"),CONCATENATE("R1C",'Mapa final'!$R$8),"")</f>
        <v/>
      </c>
      <c r="O106" s="124" t="str">
        <f>IF(AND('Mapa final'!$AB$9="Media",'Mapa final'!$AD$9="Menor"),CONCATENATE("R1C",'Mapa final'!$R$9),"")</f>
        <v/>
      </c>
      <c r="P106" s="51" t="str">
        <f>IF(AND('Mapa final'!$AB$7="Media",'Mapa final'!$AD$7="Moderado"),CONCATENATE("R1C",'Mapa final'!$R$7),"")</f>
        <v/>
      </c>
      <c r="Q106" s="52" t="str">
        <f>IF(AND('Mapa final'!$AB$8="Media",'Mapa final'!$AD$8="Moderado"),CONCATENATE("R1C",'Mapa final'!$R$8),"")</f>
        <v/>
      </c>
      <c r="R106" s="125" t="str">
        <f>IF(AND('Mapa final'!$AB$9="Media",'Mapa final'!$AD$9="Moderado"),CONCATENATE("R1C",'Mapa final'!$R$9),"")</f>
        <v/>
      </c>
      <c r="S106" s="116" t="str">
        <f>IF(AND('Mapa final'!$AB$7="Media",'Mapa final'!$AD$7="Mayor"),CONCATENATE("R1C",'Mapa final'!$R$7),"")</f>
        <v/>
      </c>
      <c r="T106" s="117" t="str">
        <f>IF(AND('Mapa final'!$AB$8="Media",'Mapa final'!$AD$8="Mayor"),CONCATENATE("R1C",'Mapa final'!$R$8),"")</f>
        <v/>
      </c>
      <c r="U106" s="118" t="str">
        <f>IF(AND('Mapa final'!$AB$9="Media",'Mapa final'!$AD$9="Mayor"),CONCATENATE("R1C",'Mapa final'!$R$9),"")</f>
        <v/>
      </c>
      <c r="V106" s="42" t="str">
        <f>IF(AND('Mapa final'!$AB$7="Media",'Mapa final'!$AD$7="Catastrófico"),CONCATENATE("R1C",'Mapa final'!$R$7),"")</f>
        <v/>
      </c>
      <c r="W106" s="43" t="str">
        <f>IF(AND('Mapa final'!$AB$8="Media",'Mapa final'!$AD$8="Catastrófico"),CONCATENATE("R1C",'Mapa final'!$R$8),"")</f>
        <v/>
      </c>
      <c r="X106" s="113" t="str">
        <f>IF(AND('Mapa final'!$AB$9="Media",'Mapa final'!$AD$9="Catastrófico"),CONCATENATE("R1C",'Mapa final'!$R$9),"")</f>
        <v/>
      </c>
      <c r="Y106" s="58"/>
      <c r="Z106" s="395" t="s">
        <v>75</v>
      </c>
      <c r="AA106" s="396"/>
      <c r="AB106" s="396"/>
      <c r="AC106" s="396"/>
      <c r="AD106" s="396"/>
      <c r="AE106" s="397"/>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row>
    <row r="107" spans="1:61" ht="15" customHeight="1" x14ac:dyDescent="0.25">
      <c r="A107" s="58"/>
      <c r="B107" s="356"/>
      <c r="C107" s="356"/>
      <c r="D107" s="357"/>
      <c r="E107" s="369"/>
      <c r="F107" s="370"/>
      <c r="G107" s="370"/>
      <c r="H107" s="370"/>
      <c r="I107" s="370"/>
      <c r="J107" s="51" t="str">
        <f>IF(AND('Mapa final'!$AB$10="Media",'Mapa final'!$AD$10="Leve"),CONCATENATE("R2C",'Mapa final'!$R$10),"")</f>
        <v/>
      </c>
      <c r="K107" s="52" t="str">
        <f>IF(AND('Mapa final'!$AB$11="Media",'Mapa final'!$AD$11="Leve"),CONCATENATE("R2C",'Mapa final'!$R$11),"")</f>
        <v/>
      </c>
      <c r="L107" s="125" t="str">
        <f>IF(AND('Mapa final'!$AB$12="Media",'Mapa final'!$AD$12="Leve"),CONCATENATE("R2C",'Mapa final'!$R$12),"")</f>
        <v/>
      </c>
      <c r="M107" s="51" t="str">
        <f>IF(AND('Mapa final'!$AB$10="Media",'Mapa final'!$AD$10="Menor"),CONCATENATE("R2C",'Mapa final'!$R$10),"")</f>
        <v/>
      </c>
      <c r="N107" s="52" t="str">
        <f>IF(AND('Mapa final'!$AB$11="Media",'Mapa final'!$AD$11="Menor"),CONCATENATE("R2C",'Mapa final'!$R$11),"")</f>
        <v/>
      </c>
      <c r="O107" s="125" t="str">
        <f>IF(AND('Mapa final'!$AB$12="Media",'Mapa final'!$AD$12="Menor"),CONCATENATE("R2C",'Mapa final'!$R$12),"")</f>
        <v/>
      </c>
      <c r="P107" s="51" t="str">
        <f>IF(AND('Mapa final'!$AB$10="Media",'Mapa final'!$AD$10="Moderado"),CONCATENATE("R2C",'Mapa final'!$R$10),"")</f>
        <v/>
      </c>
      <c r="Q107" s="52" t="str">
        <f>IF(AND('Mapa final'!$AB$11="Media",'Mapa final'!$AD$11="Moderado"),CONCATENATE("R2C",'Mapa final'!$R$11),"")</f>
        <v>R2C2</v>
      </c>
      <c r="R107" s="125" t="str">
        <f>IF(AND('Mapa final'!$AB$12="Media",'Mapa final'!$AD$12="Moderado"),CONCATENATE("R2C",'Mapa final'!$R$12),"")</f>
        <v>R2C3</v>
      </c>
      <c r="S107" s="119" t="str">
        <f>IF(AND('Mapa final'!$AB$10="Media",'Mapa final'!$AD$10="Mayor"),CONCATENATE("R2C",'Mapa final'!$R$10),"")</f>
        <v/>
      </c>
      <c r="T107" s="44" t="str">
        <f>IF(AND('Mapa final'!$AB$11="Media",'Mapa final'!$AD$11="Mayor"),CONCATENATE("R2C",'Mapa final'!$R$11),"")</f>
        <v/>
      </c>
      <c r="U107" s="120" t="str">
        <f>IF(AND('Mapa final'!$AB$12="Media",'Mapa final'!$AD$12="Mayor"),CONCATENATE("R2C",'Mapa final'!$R$12),"")</f>
        <v/>
      </c>
      <c r="V107" s="45" t="str">
        <f>IF(AND('Mapa final'!$AB$10="Media",'Mapa final'!$AD$10="Catastrófico"),CONCATENATE("R2C",'Mapa final'!$R$10),"")</f>
        <v/>
      </c>
      <c r="W107" s="46" t="str">
        <f>IF(AND('Mapa final'!$AB$11="Media",'Mapa final'!$AD$11="Catastrófico"),CONCATENATE("R2C",'Mapa final'!$R$11),"")</f>
        <v/>
      </c>
      <c r="X107" s="114" t="str">
        <f>IF(AND('Mapa final'!$AB$12="Media",'Mapa final'!$AD$12="Catastrófico"),CONCATENATE("R2C",'Mapa final'!$R$12),"")</f>
        <v/>
      </c>
      <c r="Y107" s="58"/>
      <c r="Z107" s="398"/>
      <c r="AA107" s="399"/>
      <c r="AB107" s="399"/>
      <c r="AC107" s="399"/>
      <c r="AD107" s="399"/>
      <c r="AE107" s="400"/>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row>
    <row r="108" spans="1:61" ht="15" customHeight="1" x14ac:dyDescent="0.25">
      <c r="A108" s="58"/>
      <c r="B108" s="356"/>
      <c r="C108" s="356"/>
      <c r="D108" s="357"/>
      <c r="E108" s="371"/>
      <c r="F108" s="372"/>
      <c r="G108" s="372"/>
      <c r="H108" s="372"/>
      <c r="I108" s="370"/>
      <c r="J108" s="51" t="str">
        <f>IF(AND('Mapa final'!$AB$13="Media",'Mapa final'!$AD$13="Leve"),CONCATENATE("R3C",'Mapa final'!$R$13),"")</f>
        <v/>
      </c>
      <c r="K108" s="52" t="str">
        <f>IF(AND('Mapa final'!$AB$14="Media",'Mapa final'!$AD$14="Leve"),CONCATENATE("R3C",'Mapa final'!$R$14),"")</f>
        <v/>
      </c>
      <c r="L108" s="125" t="str">
        <f>IF(AND('Mapa final'!$AB$15="Media",'Mapa final'!$AD$15="Leve"),CONCATENATE("R3C",'Mapa final'!$R$15),"")</f>
        <v/>
      </c>
      <c r="M108" s="51" t="str">
        <f>IF(AND('Mapa final'!$AB$13="Media",'Mapa final'!$AD$13="Menor"),CONCATENATE("R3C",'Mapa final'!$R$13),"")</f>
        <v/>
      </c>
      <c r="N108" s="52" t="str">
        <f>IF(AND('Mapa final'!$AB$14="Media",'Mapa final'!$AD$14="Menor"),CONCATENATE("R3C",'Mapa final'!$R$14),"")</f>
        <v/>
      </c>
      <c r="O108" s="125" t="str">
        <f>IF(AND('Mapa final'!$AB$15="Media",'Mapa final'!$AD$15="Menor"),CONCATENATE("R3C",'Mapa final'!$R$15),"")</f>
        <v/>
      </c>
      <c r="P108" s="51" t="str">
        <f>IF(AND('Mapa final'!$AB$13="Media",'Mapa final'!$AD$13="Moderado"),CONCATENATE("R3C",'Mapa final'!$R$13),"")</f>
        <v>R3C1</v>
      </c>
      <c r="Q108" s="52" t="str">
        <f>IF(AND('Mapa final'!$AB$14="Media",'Mapa final'!$AD$14="Moderado"),CONCATENATE("R3C",'Mapa final'!$R$14),"")</f>
        <v>R3C2</v>
      </c>
      <c r="R108" s="125" t="str">
        <f>IF(AND('Mapa final'!$AB$15="Media",'Mapa final'!$AD$15="Moderado"),CONCATENATE("R3C",'Mapa final'!$R$15),"")</f>
        <v>R3C3</v>
      </c>
      <c r="S108" s="119" t="str">
        <f>IF(AND('Mapa final'!$AB$13="Media",'Mapa final'!$AD$13="Mayor"),CONCATENATE("R3C",'Mapa final'!$R$13),"")</f>
        <v/>
      </c>
      <c r="T108" s="44" t="str">
        <f>IF(AND('Mapa final'!$AB$14="Media",'Mapa final'!$AD$14="Mayor"),CONCATENATE("R3C",'Mapa final'!$R$14),"")</f>
        <v/>
      </c>
      <c r="U108" s="120" t="str">
        <f>IF(AND('Mapa final'!$AB$15="Media",'Mapa final'!$AD$15="Mayor"),CONCATENATE("R3C",'Mapa final'!$R$15),"")</f>
        <v/>
      </c>
      <c r="V108" s="45" t="str">
        <f>IF(AND('Mapa final'!$AB$13="Media",'Mapa final'!$AD$13="Catastrófico"),CONCATENATE("R3C",'Mapa final'!$R$13),"")</f>
        <v/>
      </c>
      <c r="W108" s="46" t="str">
        <f>IF(AND('Mapa final'!$AB$14="Media",'Mapa final'!$AD$14="Catastrófico"),CONCATENATE("R3C",'Mapa final'!$R$14),"")</f>
        <v/>
      </c>
      <c r="X108" s="114" t="str">
        <f>IF(AND('Mapa final'!$AB$15="Media",'Mapa final'!$AD$15="Catastrófico"),CONCATENATE("R3C",'Mapa final'!$R$15),"")</f>
        <v/>
      </c>
      <c r="Y108" s="58"/>
      <c r="Z108" s="398"/>
      <c r="AA108" s="399"/>
      <c r="AB108" s="399"/>
      <c r="AC108" s="399"/>
      <c r="AD108" s="399"/>
      <c r="AE108" s="400"/>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row>
    <row r="109" spans="1:61" ht="15" customHeight="1" x14ac:dyDescent="0.25">
      <c r="A109" s="58"/>
      <c r="B109" s="356"/>
      <c r="C109" s="356"/>
      <c r="D109" s="357"/>
      <c r="E109" s="371"/>
      <c r="F109" s="372"/>
      <c r="G109" s="372"/>
      <c r="H109" s="372"/>
      <c r="I109" s="370"/>
      <c r="J109" s="51" t="str">
        <f>IF(AND('Mapa final'!$AB$16="Media",'Mapa final'!$AD$16="Leve"),CONCATENATE("R4C",'Mapa final'!$R$16),"")</f>
        <v>R4C1</v>
      </c>
      <c r="K109" s="52" t="str">
        <f>IF(AND('Mapa final'!$AB$17="Media",'Mapa final'!$AD$17="Leve"),CONCATENATE("R4C",'Mapa final'!$R$17),"")</f>
        <v/>
      </c>
      <c r="L109" s="125" t="str">
        <f>IF(AND('Mapa final'!$AB$18="Media",'Mapa final'!$AD$18="Leve"),CONCATENATE("R4C",'Mapa final'!$R$18),"")</f>
        <v>R4C3</v>
      </c>
      <c r="M109" s="51" t="str">
        <f>IF(AND('Mapa final'!$AB$16="Media",'Mapa final'!$AD$16="Menor"),CONCATENATE("R4C",'Mapa final'!$R$16),"")</f>
        <v/>
      </c>
      <c r="N109" s="52" t="str">
        <f>IF(AND('Mapa final'!$AB$17="Media",'Mapa final'!$AD$17="Menor"),CONCATENATE("R4C",'Mapa final'!$R$17),"")</f>
        <v/>
      </c>
      <c r="O109" s="125" t="str">
        <f>IF(AND('Mapa final'!$AB$18="Media",'Mapa final'!$AD$18="Menor"),CONCATENATE("R4C",'Mapa final'!$R$18),"")</f>
        <v/>
      </c>
      <c r="P109" s="51" t="str">
        <f>IF(AND('Mapa final'!$AB$16="Media",'Mapa final'!$AD$16="Moderado"),CONCATENATE("R4C",'Mapa final'!$R$16),"")</f>
        <v/>
      </c>
      <c r="Q109" s="52" t="str">
        <f>IF(AND('Mapa final'!$AB$17="Media",'Mapa final'!$AD$17="Moderado"),CONCATENATE("R4C",'Mapa final'!$R$17),"")</f>
        <v/>
      </c>
      <c r="R109" s="125" t="str">
        <f>IF(AND('Mapa final'!$AB$18="Media",'Mapa final'!$AD$18="Moderado"),CONCATENATE("R4C",'Mapa final'!$R$18),"")</f>
        <v/>
      </c>
      <c r="S109" s="119" t="str">
        <f>IF(AND('Mapa final'!$AB$16="Media",'Mapa final'!$AD$16="Mayor"),CONCATENATE("R4C",'Mapa final'!$R$16),"")</f>
        <v/>
      </c>
      <c r="T109" s="44" t="str">
        <f>IF(AND('Mapa final'!$AB$17="Media",'Mapa final'!$AD$17="Mayor"),CONCATENATE("R4C",'Mapa final'!$R$17),"")</f>
        <v/>
      </c>
      <c r="U109" s="120" t="str">
        <f>IF(AND('Mapa final'!$AB$18="Media",'Mapa final'!$AD$18="Mayor"),CONCATENATE("R4C",'Mapa final'!$R$18),"")</f>
        <v/>
      </c>
      <c r="V109" s="45" t="str">
        <f>IF(AND('Mapa final'!$AB$16="Media",'Mapa final'!$AD$16="Catastrófico"),CONCATENATE("R4C",'Mapa final'!$R$16),"")</f>
        <v/>
      </c>
      <c r="W109" s="46" t="str">
        <f>IF(AND('Mapa final'!$AB$17="Media",'Mapa final'!$AD$17="Catastrófico"),CONCATENATE("R4C",'Mapa final'!$R$17),"")</f>
        <v/>
      </c>
      <c r="X109" s="114" t="str">
        <f>IF(AND('Mapa final'!$AB$18="Media",'Mapa final'!$AD$18="Catastrófico"),CONCATENATE("R4C",'Mapa final'!$R$18),"")</f>
        <v/>
      </c>
      <c r="Y109" s="58"/>
      <c r="Z109" s="398"/>
      <c r="AA109" s="399"/>
      <c r="AB109" s="399"/>
      <c r="AC109" s="399"/>
      <c r="AD109" s="399"/>
      <c r="AE109" s="400"/>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row>
    <row r="110" spans="1:61" ht="15" customHeight="1" x14ac:dyDescent="0.25">
      <c r="A110" s="58"/>
      <c r="B110" s="356"/>
      <c r="C110" s="356"/>
      <c r="D110" s="357"/>
      <c r="E110" s="371"/>
      <c r="F110" s="372"/>
      <c r="G110" s="372"/>
      <c r="H110" s="372"/>
      <c r="I110" s="370"/>
      <c r="J110" s="51" t="str">
        <f>IF(AND('Mapa final'!$AB$19="Media",'Mapa final'!$AD$19="Leve"),CONCATENATE("R5C",'Mapa final'!$R$19),"")</f>
        <v>R5C1</v>
      </c>
      <c r="K110" s="52" t="str">
        <f>IF(AND('Mapa final'!$AB$20="Media",'Mapa final'!$AD$20="Leve"),CONCATENATE("R5C",'Mapa final'!$R$20),"")</f>
        <v/>
      </c>
      <c r="L110" s="125" t="str">
        <f>IF(AND('Mapa final'!$AB$21="Media",'Mapa final'!$AD$21="Leve"),CONCATENATE("R5C",'Mapa final'!$R$21),"")</f>
        <v/>
      </c>
      <c r="M110" s="51" t="str">
        <f>IF(AND('Mapa final'!$AB$19="Media",'Mapa final'!$AD$19="Menor"),CONCATENATE("R5C",'Mapa final'!$R$19),"")</f>
        <v/>
      </c>
      <c r="N110" s="52" t="str">
        <f>IF(AND('Mapa final'!$AB$20="Media",'Mapa final'!$AD$20="Menor"),CONCATENATE("R5C",'Mapa final'!$R$20),"")</f>
        <v/>
      </c>
      <c r="O110" s="125" t="str">
        <f>IF(AND('Mapa final'!$AB$21="Media",'Mapa final'!$AD$21="Menor"),CONCATENATE("R5C",'Mapa final'!$R$21),"")</f>
        <v/>
      </c>
      <c r="P110" s="51" t="str">
        <f>IF(AND('Mapa final'!$AB$19="Media",'Mapa final'!$AD$19="Moderado"),CONCATENATE("R5C",'Mapa final'!$R$19),"")</f>
        <v/>
      </c>
      <c r="Q110" s="52" t="str">
        <f>IF(AND('Mapa final'!$AB$20="Media",'Mapa final'!$AD$20="Moderado"),CONCATENATE("R5C",'Mapa final'!$R$20),"")</f>
        <v/>
      </c>
      <c r="R110" s="125" t="str">
        <f>IF(AND('Mapa final'!$AB$21="Media",'Mapa final'!$AD$21="Moderado"),CONCATENATE("R5C",'Mapa final'!$R$21),"")</f>
        <v/>
      </c>
      <c r="S110" s="119" t="str">
        <f>IF(AND('Mapa final'!$AB$19="Media",'Mapa final'!$AD$19="Mayor"),CONCATENATE("R5C",'Mapa final'!$R$19),"")</f>
        <v/>
      </c>
      <c r="T110" s="44" t="str">
        <f>IF(AND('Mapa final'!$AB$20="Media",'Mapa final'!$AD$20="Mayor"),CONCATENATE("R5C",'Mapa final'!$R$20),"")</f>
        <v/>
      </c>
      <c r="U110" s="120" t="str">
        <f>IF(AND('Mapa final'!$AB$21="Media",'Mapa final'!$AD$21="Mayor"),CONCATENATE("R5C",'Mapa final'!$R$21),"")</f>
        <v/>
      </c>
      <c r="V110" s="45" t="str">
        <f>IF(AND('Mapa final'!$AB$19="Media",'Mapa final'!$AD$19="Catastrófico"),CONCATENATE("R5C",'Mapa final'!$R$19),"")</f>
        <v/>
      </c>
      <c r="W110" s="46" t="str">
        <f>IF(AND('Mapa final'!$AB$20="Media",'Mapa final'!$AD$20="Catastrófico"),CONCATENATE("R5C",'Mapa final'!$R$20),"")</f>
        <v/>
      </c>
      <c r="X110" s="114" t="str">
        <f>IF(AND('Mapa final'!$AB$21="Media",'Mapa final'!$AD$21="Catastrófico"),CONCATENATE("R5C",'Mapa final'!$R$21),"")</f>
        <v/>
      </c>
      <c r="Y110" s="58"/>
      <c r="Z110" s="398"/>
      <c r="AA110" s="399"/>
      <c r="AB110" s="399"/>
      <c r="AC110" s="399"/>
      <c r="AD110" s="399"/>
      <c r="AE110" s="400"/>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row>
    <row r="111" spans="1:61" ht="15" customHeight="1" x14ac:dyDescent="0.25">
      <c r="A111" s="58"/>
      <c r="B111" s="356"/>
      <c r="C111" s="356"/>
      <c r="D111" s="357"/>
      <c r="E111" s="371"/>
      <c r="F111" s="372"/>
      <c r="G111" s="372"/>
      <c r="H111" s="372"/>
      <c r="I111" s="370"/>
      <c r="J111" s="51" t="str">
        <f>IF(AND('Mapa final'!$AB$22="Media",'Mapa final'!$AD$22="Leve"),CONCATENATE("R6C",'Mapa final'!$R$22),"")</f>
        <v/>
      </c>
      <c r="K111" s="52" t="str">
        <f>IF(AND('Mapa final'!$AB$23="Media",'Mapa final'!$AD$23="Leve"),CONCATENATE("R6C",'Mapa final'!$R$23),"")</f>
        <v/>
      </c>
      <c r="L111" s="125" t="str">
        <f>IF(AND('Mapa final'!$AB$24="Media",'Mapa final'!$AD$24="Leve"),CONCATENATE("R6C",'Mapa final'!$R$24),"")</f>
        <v/>
      </c>
      <c r="M111" s="51" t="str">
        <f>IF(AND('Mapa final'!$AB$22="Media",'Mapa final'!$AD$22="Menor"),CONCATENATE("R6C",'Mapa final'!$R$22),"")</f>
        <v/>
      </c>
      <c r="N111" s="52" t="str">
        <f>IF(AND('Mapa final'!$AB$23="Media",'Mapa final'!$AD$23="Menor"),CONCATENATE("R6C",'Mapa final'!$R$23),"")</f>
        <v/>
      </c>
      <c r="O111" s="125" t="str">
        <f>IF(AND('Mapa final'!$AB$24="Media",'Mapa final'!$AD$24="Menor"),CONCATENATE("R6C",'Mapa final'!$R$24),"")</f>
        <v/>
      </c>
      <c r="P111" s="51" t="str">
        <f>IF(AND('Mapa final'!$AB$22="Media",'Mapa final'!$AD$22="Moderado"),CONCATENATE("R6C",'Mapa final'!$R$22),"")</f>
        <v/>
      </c>
      <c r="Q111" s="52" t="str">
        <f>IF(AND('Mapa final'!$AB$23="Media",'Mapa final'!$AD$23="Moderado"),CONCATENATE("R6C",'Mapa final'!$R$23),"")</f>
        <v/>
      </c>
      <c r="R111" s="125" t="str">
        <f>IF(AND('Mapa final'!$AB$24="Media",'Mapa final'!$AD$24="Moderado"),CONCATENATE("R6C",'Mapa final'!$R$24),"")</f>
        <v/>
      </c>
      <c r="S111" s="119" t="str">
        <f>IF(AND('Mapa final'!$AB$22="Media",'Mapa final'!$AD$22="Mayor"),CONCATENATE("R6C",'Mapa final'!$R$22),"")</f>
        <v/>
      </c>
      <c r="T111" s="44" t="str">
        <f>IF(AND('Mapa final'!$AB$23="Media",'Mapa final'!$AD$23="Mayor"),CONCATENATE("R6C",'Mapa final'!$R$23),"")</f>
        <v/>
      </c>
      <c r="U111" s="120" t="str">
        <f>IF(AND('Mapa final'!$AB$24="Media",'Mapa final'!$AD$24="Mayor"),CONCATENATE("R6C",'Mapa final'!$R$24),"")</f>
        <v/>
      </c>
      <c r="V111" s="45" t="str">
        <f>IF(AND('Mapa final'!$AB$22="Media",'Mapa final'!$AD$22="Catastrófico"),CONCATENATE("R6C",'Mapa final'!$R$22),"")</f>
        <v/>
      </c>
      <c r="W111" s="46" t="str">
        <f>IF(AND('Mapa final'!$AB$23="Media",'Mapa final'!$AD$23="Catastrófico"),CONCATENATE("R6C",'Mapa final'!$R$23),"")</f>
        <v/>
      </c>
      <c r="X111" s="114" t="str">
        <f>IF(AND('Mapa final'!$AB$24="Media",'Mapa final'!$AD$24="Catastrófico"),CONCATENATE("R6C",'Mapa final'!$R$24),"")</f>
        <v/>
      </c>
      <c r="Y111" s="58"/>
      <c r="Z111" s="398"/>
      <c r="AA111" s="399"/>
      <c r="AB111" s="399"/>
      <c r="AC111" s="399"/>
      <c r="AD111" s="399"/>
      <c r="AE111" s="400"/>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row>
    <row r="112" spans="1:61" ht="15" customHeight="1" x14ac:dyDescent="0.25">
      <c r="A112" s="58"/>
      <c r="B112" s="356"/>
      <c r="C112" s="356"/>
      <c r="D112" s="357"/>
      <c r="E112" s="371"/>
      <c r="F112" s="372"/>
      <c r="G112" s="372"/>
      <c r="H112" s="372"/>
      <c r="I112" s="370"/>
      <c r="J112" s="51" t="str">
        <f>IF(AND('Mapa final'!$AB$25="Media",'Mapa final'!$AD$25="Leve"),CONCATENATE("R7C",'Mapa final'!$R$25),"")</f>
        <v/>
      </c>
      <c r="K112" s="52" t="str">
        <f>IF(AND('Mapa final'!$AB$26="Media",'Mapa final'!$AD$26="Leve"),CONCATENATE("R7C",'Mapa final'!$R$26),"")</f>
        <v/>
      </c>
      <c r="L112" s="125" t="str">
        <f>IF(AND('Mapa final'!$AB$27="Media",'Mapa final'!$AD$27="Leve"),CONCATENATE("R7C",'Mapa final'!$R$27),"")</f>
        <v/>
      </c>
      <c r="M112" s="51" t="str">
        <f>IF(AND('Mapa final'!$AB$25="Media",'Mapa final'!$AD$25="Menor"),CONCATENATE("R7C",'Mapa final'!$R$25),"")</f>
        <v/>
      </c>
      <c r="N112" s="52" t="str">
        <f>IF(AND('Mapa final'!$AB$26="Media",'Mapa final'!$AD$26="Menor"),CONCATENATE("R7C",'Mapa final'!$R$26),"")</f>
        <v/>
      </c>
      <c r="O112" s="125" t="str">
        <f>IF(AND('Mapa final'!$AB$27="Media",'Mapa final'!$AD$27="Menor"),CONCATENATE("R7C",'Mapa final'!$R$27),"")</f>
        <v/>
      </c>
      <c r="P112" s="51" t="str">
        <f>IF(AND('Mapa final'!$AB$25="Media",'Mapa final'!$AD$25="Moderado"),CONCATENATE("R7C",'Mapa final'!$R$25),"")</f>
        <v/>
      </c>
      <c r="Q112" s="52" t="str">
        <f>IF(AND('Mapa final'!$AB$26="Media",'Mapa final'!$AD$26="Moderado"),CONCATENATE("R7C",'Mapa final'!$R$26),"")</f>
        <v/>
      </c>
      <c r="R112" s="125" t="str">
        <f>IF(AND('Mapa final'!$AB$27="Media",'Mapa final'!$AD$27="Moderado"),CONCATENATE("R7C",'Mapa final'!$R$27),"")</f>
        <v/>
      </c>
      <c r="S112" s="119" t="str">
        <f>IF(AND('Mapa final'!$AB$25="Media",'Mapa final'!$AD$25="Mayor"),CONCATENATE("R7C",'Mapa final'!$R$25),"")</f>
        <v/>
      </c>
      <c r="T112" s="44" t="str">
        <f>IF(AND('Mapa final'!$AB$26="Media",'Mapa final'!$AD$26="Mayor"),CONCATENATE("R7C",'Mapa final'!$R$26),"")</f>
        <v/>
      </c>
      <c r="U112" s="120" t="str">
        <f>IF(AND('Mapa final'!$AB$27="Media",'Mapa final'!$AD$27="Mayor"),CONCATENATE("R7C",'Mapa final'!$R$27),"")</f>
        <v/>
      </c>
      <c r="V112" s="45" t="str">
        <f>IF(AND('Mapa final'!$AB$25="Media",'Mapa final'!$AD$25="Catastrófico"),CONCATENATE("R7C",'Mapa final'!$R$25),"")</f>
        <v/>
      </c>
      <c r="W112" s="46" t="str">
        <f>IF(AND('Mapa final'!$AB$26="Media",'Mapa final'!$AD$26="Catastrófico"),CONCATENATE("R7C",'Mapa final'!$R$26),"")</f>
        <v/>
      </c>
      <c r="X112" s="114" t="str">
        <f>IF(AND('Mapa final'!$AB$27="Media",'Mapa final'!$AD$27="Catastrófico"),CONCATENATE("R7C",'Mapa final'!$R$27),"")</f>
        <v/>
      </c>
      <c r="Y112" s="58"/>
      <c r="Z112" s="398"/>
      <c r="AA112" s="399"/>
      <c r="AB112" s="399"/>
      <c r="AC112" s="399"/>
      <c r="AD112" s="399"/>
      <c r="AE112" s="400"/>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row>
    <row r="113" spans="1:61" ht="15" customHeight="1" x14ac:dyDescent="0.25">
      <c r="A113" s="58"/>
      <c r="B113" s="356"/>
      <c r="C113" s="356"/>
      <c r="D113" s="357"/>
      <c r="E113" s="371"/>
      <c r="F113" s="372"/>
      <c r="G113" s="372"/>
      <c r="H113" s="372"/>
      <c r="I113" s="370"/>
      <c r="J113" s="51" t="str">
        <f>IF(AND('Mapa final'!$AB$28="Media",'Mapa final'!$AD$28="Leve"),CONCATENATE("R8C",'Mapa final'!$R$28),"")</f>
        <v/>
      </c>
      <c r="K113" s="52" t="str">
        <f>IF(AND('Mapa final'!$AB$29="Media",'Mapa final'!$AD$29="Leve"),CONCATENATE("R8C",'Mapa final'!$R$29),"")</f>
        <v/>
      </c>
      <c r="L113" s="125" t="str">
        <f>IF(AND('Mapa final'!$AB$30="Media",'Mapa final'!$AD$30="Leve"),CONCATENATE("R8C",'Mapa final'!$R$30),"")</f>
        <v/>
      </c>
      <c r="M113" s="51" t="str">
        <f>IF(AND('Mapa final'!$AB$28="Media",'Mapa final'!$AD$28="Menor"),CONCATENATE("R8C",'Mapa final'!$R$28),"")</f>
        <v/>
      </c>
      <c r="N113" s="52" t="str">
        <f>IF(AND('Mapa final'!$AB$29="Media",'Mapa final'!$AD$29="Menor"),CONCATENATE("R8C",'Mapa final'!$R$29),"")</f>
        <v/>
      </c>
      <c r="O113" s="125" t="str">
        <f>IF(AND('Mapa final'!$AB$30="Media",'Mapa final'!$AD$30="Menor"),CONCATENATE("R8C",'Mapa final'!$R$30),"")</f>
        <v/>
      </c>
      <c r="P113" s="51" t="str">
        <f>IF(AND('Mapa final'!$AB$28="Media",'Mapa final'!$AD$28="Moderado"),CONCATENATE("R8C",'Mapa final'!$R$28),"")</f>
        <v>R8C1</v>
      </c>
      <c r="Q113" s="52" t="str">
        <f>IF(AND('Mapa final'!$AB$29="Media",'Mapa final'!$AD$29="Moderado"),CONCATENATE("R8C",'Mapa final'!$R$29),"")</f>
        <v/>
      </c>
      <c r="R113" s="125" t="str">
        <f>IF(AND('Mapa final'!$AB$30="Media",'Mapa final'!$AD$30="Moderado"),CONCATENATE("R8C",'Mapa final'!$R$30),"")</f>
        <v/>
      </c>
      <c r="S113" s="119" t="str">
        <f>IF(AND('Mapa final'!$AB$28="Media",'Mapa final'!$AD$28="Mayor"),CONCATENATE("R8C",'Mapa final'!$R$28),"")</f>
        <v/>
      </c>
      <c r="T113" s="44" t="str">
        <f>IF(AND('Mapa final'!$AB$29="Media",'Mapa final'!$AD$29="Mayor"),CONCATENATE("R8C",'Mapa final'!$R$29),"")</f>
        <v/>
      </c>
      <c r="U113" s="120" t="str">
        <f>IF(AND('Mapa final'!$AB$30="Media",'Mapa final'!$AD$30="Mayor"),CONCATENATE("R8C",'Mapa final'!$R$30),"")</f>
        <v/>
      </c>
      <c r="V113" s="45" t="str">
        <f>IF(AND('Mapa final'!$AB$28="Media",'Mapa final'!$AD$28="Catastrófico"),CONCATENATE("R8C",'Mapa final'!$R$28),"")</f>
        <v/>
      </c>
      <c r="W113" s="46" t="str">
        <f>IF(AND('Mapa final'!$AB$29="Media",'Mapa final'!$AD$29="Catastrófico"),CONCATENATE("R8C",'Mapa final'!$R$29),"")</f>
        <v/>
      </c>
      <c r="X113" s="114" t="str">
        <f>IF(AND('Mapa final'!$AB$30="Media",'Mapa final'!$AD$30="Catastrófico"),CONCATENATE("R8C",'Mapa final'!$R$30),"")</f>
        <v/>
      </c>
      <c r="Y113" s="58"/>
      <c r="Z113" s="398"/>
      <c r="AA113" s="399"/>
      <c r="AB113" s="399"/>
      <c r="AC113" s="399"/>
      <c r="AD113" s="399"/>
      <c r="AE113" s="400"/>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row>
    <row r="114" spans="1:61" ht="15" customHeight="1" x14ac:dyDescent="0.25">
      <c r="A114" s="58"/>
      <c r="B114" s="356"/>
      <c r="C114" s="356"/>
      <c r="D114" s="357"/>
      <c r="E114" s="371"/>
      <c r="F114" s="372"/>
      <c r="G114" s="372"/>
      <c r="H114" s="372"/>
      <c r="I114" s="370"/>
      <c r="J114" s="51" t="str">
        <f>IF(AND('Mapa final'!$AB$31="Media",'Mapa final'!$AD$31="Leve"),CONCATENATE("R9C",'Mapa final'!$R$31),"")</f>
        <v/>
      </c>
      <c r="K114" s="52" t="str">
        <f>IF(AND('Mapa final'!$AB$32="Media",'Mapa final'!$AD$32="Leve"),CONCATENATE("R9C",'Mapa final'!$R$32),"")</f>
        <v/>
      </c>
      <c r="L114" s="125" t="str">
        <f>IF(AND('Mapa final'!$AB$33="Media",'Mapa final'!$AD$33="Leve"),CONCATENATE("R9C",'Mapa final'!$R$33),"")</f>
        <v/>
      </c>
      <c r="M114" s="51" t="str">
        <f>IF(AND('Mapa final'!$AB$31="Media",'Mapa final'!$AD$31="Menor"),CONCATENATE("R9C",'Mapa final'!$R$31),"")</f>
        <v/>
      </c>
      <c r="N114" s="52" t="str">
        <f>IF(AND('Mapa final'!$AB$32="Media",'Mapa final'!$AD$32="Menor"),CONCATENATE("R9C",'Mapa final'!$R$32),"")</f>
        <v/>
      </c>
      <c r="O114" s="125" t="str">
        <f>IF(AND('Mapa final'!$AB$33="Media",'Mapa final'!$AD$33="Menor"),CONCATENATE("R9C",'Mapa final'!$R$33),"")</f>
        <v/>
      </c>
      <c r="P114" s="51" t="str">
        <f>IF(AND('Mapa final'!$AB$31="Media",'Mapa final'!$AD$31="Moderado"),CONCATENATE("R9C",'Mapa final'!$R$31),"")</f>
        <v/>
      </c>
      <c r="Q114" s="52" t="str">
        <f>IF(AND('Mapa final'!$AB$32="Media",'Mapa final'!$AD$32="Moderado"),CONCATENATE("R9C",'Mapa final'!$R$32),"")</f>
        <v/>
      </c>
      <c r="R114" s="125" t="str">
        <f>IF(AND('Mapa final'!$AB$33="Media",'Mapa final'!$AD$33="Moderado"),CONCATENATE("R9C",'Mapa final'!$R$33),"")</f>
        <v/>
      </c>
      <c r="S114" s="119" t="str">
        <f>IF(AND('Mapa final'!$AB$31="Media",'Mapa final'!$AD$31="Mayor"),CONCATENATE("R9C",'Mapa final'!$R$31),"")</f>
        <v>R9C1</v>
      </c>
      <c r="T114" s="44" t="str">
        <f>IF(AND('Mapa final'!$AB$32="Media",'Mapa final'!$AD$32="Mayor"),CONCATENATE("R9C",'Mapa final'!$R$32),"")</f>
        <v/>
      </c>
      <c r="U114" s="120" t="str">
        <f>IF(AND('Mapa final'!$AB$33="Media",'Mapa final'!$AD$33="Mayor"),CONCATENATE("R9C",'Mapa final'!$R$33),"")</f>
        <v/>
      </c>
      <c r="V114" s="45" t="str">
        <f>IF(AND('Mapa final'!$AB$31="Media",'Mapa final'!$AD$31="Catastrófico"),CONCATENATE("R9C",'Mapa final'!$R$31),"")</f>
        <v/>
      </c>
      <c r="W114" s="46" t="str">
        <f>IF(AND('Mapa final'!$AB$32="Media",'Mapa final'!$AD$32="Catastrófico"),CONCATENATE("R9C",'Mapa final'!$R$32),"")</f>
        <v/>
      </c>
      <c r="X114" s="114" t="str">
        <f>IF(AND('Mapa final'!$AB$33="Media",'Mapa final'!$AD$33="Catastrófico"),CONCATENATE("R9C",'Mapa final'!$R$33),"")</f>
        <v/>
      </c>
      <c r="Y114" s="58"/>
      <c r="Z114" s="398"/>
      <c r="AA114" s="399"/>
      <c r="AB114" s="399"/>
      <c r="AC114" s="399"/>
      <c r="AD114" s="399"/>
      <c r="AE114" s="400"/>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row>
    <row r="115" spans="1:61" ht="15" customHeight="1" x14ac:dyDescent="0.25">
      <c r="A115" s="58"/>
      <c r="B115" s="356"/>
      <c r="C115" s="356"/>
      <c r="D115" s="357"/>
      <c r="E115" s="371"/>
      <c r="F115" s="372"/>
      <c r="G115" s="372"/>
      <c r="H115" s="372"/>
      <c r="I115" s="370"/>
      <c r="J115" s="51" t="str">
        <f>IF(AND('Mapa final'!$AB$34="Media",'Mapa final'!$AD$34="Leve"),CONCATENATE("R10C",'Mapa final'!$R$34),"")</f>
        <v/>
      </c>
      <c r="K115" s="52" t="str">
        <f>IF(AND('Mapa final'!$AB$35="Media",'Mapa final'!$AD$35="Leve"),CONCATENATE("R10C",'Mapa final'!$R$35),"")</f>
        <v/>
      </c>
      <c r="L115" s="125" t="str">
        <f>IF(AND('Mapa final'!$AB$36="Media",'Mapa final'!$AD$36="Leve"),CONCATENATE("R10C",'Mapa final'!$R$36),"")</f>
        <v/>
      </c>
      <c r="M115" s="51" t="str">
        <f>IF(AND('Mapa final'!$AB$34="Media",'Mapa final'!$AD$34="Menor"),CONCATENATE("R10C",'Mapa final'!$R$34),"")</f>
        <v/>
      </c>
      <c r="N115" s="52" t="str">
        <f>IF(AND('Mapa final'!$AB$35="Media",'Mapa final'!$AD$35="Menor"),CONCATENATE("R10C",'Mapa final'!$R$35),"")</f>
        <v/>
      </c>
      <c r="O115" s="125" t="str">
        <f>IF(AND('Mapa final'!$AB$36="Media",'Mapa final'!$AD$36="Menor"),CONCATENATE("R10C",'Mapa final'!$R$36),"")</f>
        <v/>
      </c>
      <c r="P115" s="51" t="str">
        <f>IF(AND('Mapa final'!$AB$34="Media",'Mapa final'!$AD$34="Moderado"),CONCATENATE("R10C",'Mapa final'!$R$34),"")</f>
        <v>R10C1</v>
      </c>
      <c r="Q115" s="52" t="str">
        <f>IF(AND('Mapa final'!$AB$35="Media",'Mapa final'!$AD$35="Moderado"),CONCATENATE("R10C",'Mapa final'!$R$35),"")</f>
        <v/>
      </c>
      <c r="R115" s="125" t="str">
        <f>IF(AND('Mapa final'!$AB$36="Media",'Mapa final'!$AD$36="Moderado"),CONCATENATE("R10C",'Mapa final'!$R$36),"")</f>
        <v/>
      </c>
      <c r="S115" s="119" t="str">
        <f>IF(AND('Mapa final'!$AB$34="Media",'Mapa final'!$AD$34="Mayor"),CONCATENATE("R10C",'Mapa final'!$R$34),"")</f>
        <v/>
      </c>
      <c r="T115" s="44" t="str">
        <f>IF(AND('Mapa final'!$AB$35="Media",'Mapa final'!$AD$35="Mayor"),CONCATENATE("R10C",'Mapa final'!$R$35),"")</f>
        <v/>
      </c>
      <c r="U115" s="120" t="str">
        <f>IF(AND('Mapa final'!$AB$36="Media",'Mapa final'!$AD$36="Mayor"),CONCATENATE("R10C",'Mapa final'!$R$36),"")</f>
        <v/>
      </c>
      <c r="V115" s="45" t="str">
        <f>IF(AND('Mapa final'!$AB$34="Media",'Mapa final'!$AD$34="Catastrófico"),CONCATENATE("R10C",'Mapa final'!$R$34),"")</f>
        <v/>
      </c>
      <c r="W115" s="46" t="str">
        <f>IF(AND('Mapa final'!$AB$35="Media",'Mapa final'!$AD$35="Catastrófico"),CONCATENATE("R10C",'Mapa final'!$R$35),"")</f>
        <v/>
      </c>
      <c r="X115" s="114" t="str">
        <f>IF(AND('Mapa final'!$AB$36="Media",'Mapa final'!$AD$36="Catastrófico"),CONCATENATE("R10C",'Mapa final'!$R$36),"")</f>
        <v/>
      </c>
      <c r="Y115" s="58"/>
      <c r="Z115" s="398"/>
      <c r="AA115" s="399"/>
      <c r="AB115" s="399"/>
      <c r="AC115" s="399"/>
      <c r="AD115" s="399"/>
      <c r="AE115" s="400"/>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row>
    <row r="116" spans="1:61" ht="15" customHeight="1" x14ac:dyDescent="0.25">
      <c r="A116" s="58"/>
      <c r="B116" s="356"/>
      <c r="C116" s="356"/>
      <c r="D116" s="357"/>
      <c r="E116" s="371"/>
      <c r="F116" s="372"/>
      <c r="G116" s="372"/>
      <c r="H116" s="372"/>
      <c r="I116" s="370"/>
      <c r="J116" s="51" t="str">
        <f>IF(AND('Mapa final'!$AB$37="Media",'Mapa final'!$AD$37="Leve"),CONCATENATE("R11C",'Mapa final'!$R$37),"")</f>
        <v/>
      </c>
      <c r="K116" s="52" t="str">
        <f>IF(AND('Mapa final'!$AB$38="Media",'Mapa final'!$AD$38="Leve"),CONCATENATE("R11C",'Mapa final'!$R$38),"")</f>
        <v/>
      </c>
      <c r="L116" s="125" t="str">
        <f>IF(AND('Mapa final'!$AB$39="Media",'Mapa final'!$AD$39="Leve"),CONCATENATE("R11C",'Mapa final'!$R$39),"")</f>
        <v/>
      </c>
      <c r="M116" s="51" t="str">
        <f>IF(AND('Mapa final'!$AB$37="Media",'Mapa final'!$AD$37="Menor"),CONCATENATE("R11C",'Mapa final'!$R$37),"")</f>
        <v/>
      </c>
      <c r="N116" s="52" t="str">
        <f>IF(AND('Mapa final'!$AB$38="Media",'Mapa final'!$AD$38="Menor"),CONCATENATE("R11C",'Mapa final'!$R$38),"")</f>
        <v/>
      </c>
      <c r="O116" s="125" t="str">
        <f>IF(AND('Mapa final'!$AB$39="Media",'Mapa final'!$AD$39="Menor"),CONCATENATE("R11C",'Mapa final'!$R$39),"")</f>
        <v/>
      </c>
      <c r="P116" s="51" t="str">
        <f>IF(AND('Mapa final'!$AB$37="Media",'Mapa final'!$AD$37="Moderado"),CONCATENATE("R11C",'Mapa final'!$R$37),"")</f>
        <v/>
      </c>
      <c r="Q116" s="52" t="str">
        <f>IF(AND('Mapa final'!$AB$38="Media",'Mapa final'!$AD$38="Moderado"),CONCATENATE("R11C",'Mapa final'!$R$38),"")</f>
        <v/>
      </c>
      <c r="R116" s="125" t="str">
        <f>IF(AND('Mapa final'!$AB$39="Media",'Mapa final'!$AD$39="Moderado"),CONCATENATE("R11C",'Mapa final'!$R$39),"")</f>
        <v/>
      </c>
      <c r="S116" s="119" t="str">
        <f>IF(AND('Mapa final'!$AB$37="Media",'Mapa final'!$AD$37="Mayor"),CONCATENATE("R11C",'Mapa final'!$R$37),"")</f>
        <v/>
      </c>
      <c r="T116" s="44" t="str">
        <f>IF(AND('Mapa final'!$AB$38="Media",'Mapa final'!$AD$38="Mayor"),CONCATENATE("R11C",'Mapa final'!$R$38),"")</f>
        <v/>
      </c>
      <c r="U116" s="120" t="str">
        <f>IF(AND('Mapa final'!$AB$39="Media",'Mapa final'!$AD$39="Mayor"),CONCATENATE("R11C",'Mapa final'!$R$39),"")</f>
        <v/>
      </c>
      <c r="V116" s="45" t="str">
        <f>IF(AND('Mapa final'!$AB$37="Media",'Mapa final'!$AD$37="Catastrófico"),CONCATENATE("R11C",'Mapa final'!$R$37),"")</f>
        <v/>
      </c>
      <c r="W116" s="46" t="str">
        <f>IF(AND('Mapa final'!$AB$38="Media",'Mapa final'!$AD$38="Catastrófico"),CONCATENATE("R11C",'Mapa final'!$R$38),"")</f>
        <v/>
      </c>
      <c r="X116" s="114" t="str">
        <f>IF(AND('Mapa final'!$AB$39="Media",'Mapa final'!$AD$39="Catastrófico"),CONCATENATE("R11C",'Mapa final'!$R$39),"")</f>
        <v/>
      </c>
      <c r="Y116" s="58"/>
      <c r="Z116" s="398"/>
      <c r="AA116" s="399"/>
      <c r="AB116" s="399"/>
      <c r="AC116" s="399"/>
      <c r="AD116" s="399"/>
      <c r="AE116" s="400"/>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row>
    <row r="117" spans="1:61" ht="15" customHeight="1" x14ac:dyDescent="0.25">
      <c r="A117" s="58"/>
      <c r="B117" s="356"/>
      <c r="C117" s="356"/>
      <c r="D117" s="357"/>
      <c r="E117" s="371"/>
      <c r="F117" s="372"/>
      <c r="G117" s="372"/>
      <c r="H117" s="372"/>
      <c r="I117" s="370"/>
      <c r="J117" s="51" t="str">
        <f>IF(AND('Mapa final'!$AB$40="Media",'Mapa final'!$AD$40="Leve"),CONCATENATE("R12C",'Mapa final'!$R$40),"")</f>
        <v/>
      </c>
      <c r="K117" s="52" t="str">
        <f>IF(AND('Mapa final'!$AB$41="Media",'Mapa final'!$AD$41="Leve"),CONCATENATE("R12C",'Mapa final'!$R$41),"")</f>
        <v/>
      </c>
      <c r="L117" s="125" t="str">
        <f>IF(AND('Mapa final'!$AB$42="Media",'Mapa final'!$AD$42="Leve"),CONCATENATE("R12C",'Mapa final'!$R$42),"")</f>
        <v/>
      </c>
      <c r="M117" s="51" t="str">
        <f>IF(AND('Mapa final'!$AB$40="Media",'Mapa final'!$AD$40="Menor"),CONCATENATE("R12C",'Mapa final'!$R$40),"")</f>
        <v/>
      </c>
      <c r="N117" s="52" t="str">
        <f>IF(AND('Mapa final'!$AB$41="Media",'Mapa final'!$AD$41="Menor"),CONCATENATE("R12C",'Mapa final'!$R$41),"")</f>
        <v/>
      </c>
      <c r="O117" s="125" t="str">
        <f>IF(AND('Mapa final'!$AB$42="Media",'Mapa final'!$AD$42="Menor"),CONCATENATE("R12C",'Mapa final'!$R$42),"")</f>
        <v/>
      </c>
      <c r="P117" s="51" t="str">
        <f>IF(AND('Mapa final'!$AB$40="Media",'Mapa final'!$AD$40="Moderado"),CONCATENATE("R12C",'Mapa final'!$R$40),"")</f>
        <v/>
      </c>
      <c r="Q117" s="52" t="str">
        <f>IF(AND('Mapa final'!$AB$41="Media",'Mapa final'!$AD$41="Moderado"),CONCATENATE("R12C",'Mapa final'!$R$41),"")</f>
        <v/>
      </c>
      <c r="R117" s="125" t="str">
        <f>IF(AND('Mapa final'!$AB$42="Media",'Mapa final'!$AD$42="Moderado"),CONCATENATE("R12C",'Mapa final'!$R$42),"")</f>
        <v/>
      </c>
      <c r="S117" s="119" t="str">
        <f>IF(AND('Mapa final'!$AB$40="Media",'Mapa final'!$AD$40="Mayor"),CONCATENATE("R12C",'Mapa final'!$R$40),"")</f>
        <v/>
      </c>
      <c r="T117" s="44" t="str">
        <f>IF(AND('Mapa final'!$AB$41="Media",'Mapa final'!$AD$41="Mayor"),CONCATENATE("R12C",'Mapa final'!$R$41),"")</f>
        <v/>
      </c>
      <c r="U117" s="120" t="str">
        <f>IF(AND('Mapa final'!$AB$42="Media",'Mapa final'!$AD$42="Mayor"),CONCATENATE("R12C",'Mapa final'!$R$42),"")</f>
        <v/>
      </c>
      <c r="V117" s="45" t="str">
        <f>IF(AND('Mapa final'!$AB$40="Media",'Mapa final'!$AD$40="Catastrófico"),CONCATENATE("R12C",'Mapa final'!$R$40),"")</f>
        <v/>
      </c>
      <c r="W117" s="46" t="str">
        <f>IF(AND('Mapa final'!$AB$41="Media",'Mapa final'!$AD$41="Catastrófico"),CONCATENATE("R12C",'Mapa final'!$R$41),"")</f>
        <v/>
      </c>
      <c r="X117" s="114" t="str">
        <f>IF(AND('Mapa final'!$AB$42="Media",'Mapa final'!$AD$42="Catastrófico"),CONCATENATE("R12C",'Mapa final'!$R$42),"")</f>
        <v/>
      </c>
      <c r="Y117" s="58"/>
      <c r="Z117" s="398"/>
      <c r="AA117" s="399"/>
      <c r="AB117" s="399"/>
      <c r="AC117" s="399"/>
      <c r="AD117" s="399"/>
      <c r="AE117" s="400"/>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row>
    <row r="118" spans="1:61" ht="15" customHeight="1" x14ac:dyDescent="0.25">
      <c r="A118" s="58"/>
      <c r="B118" s="356"/>
      <c r="C118" s="356"/>
      <c r="D118" s="357"/>
      <c r="E118" s="371"/>
      <c r="F118" s="372"/>
      <c r="G118" s="372"/>
      <c r="H118" s="372"/>
      <c r="I118" s="370"/>
      <c r="J118" s="51" t="str">
        <f>IF(AND('Mapa final'!$AB$43="Media",'Mapa final'!$AD$43="Leve"),CONCATENATE("R13C",'Mapa final'!$R$43),"")</f>
        <v/>
      </c>
      <c r="K118" s="52" t="str">
        <f>IF(AND('Mapa final'!$AB$44="Media",'Mapa final'!$AD$44="Leve"),CONCATENATE("R13C",'Mapa final'!$R$44),"")</f>
        <v/>
      </c>
      <c r="L118" s="125" t="str">
        <f>IF(AND('Mapa final'!$AB$45="Media",'Mapa final'!$AD$45="Leve"),CONCATENATE("R13C",'Mapa final'!$R$45),"")</f>
        <v/>
      </c>
      <c r="M118" s="51" t="str">
        <f>IF(AND('Mapa final'!$AB$43="Media",'Mapa final'!$AD$43="Menor"),CONCATENATE("R13C",'Mapa final'!$R$43),"")</f>
        <v/>
      </c>
      <c r="N118" s="52" t="str">
        <f>IF(AND('Mapa final'!$AB$44="Media",'Mapa final'!$AD$44="Menor"),CONCATENATE("R13C",'Mapa final'!$R$44),"")</f>
        <v/>
      </c>
      <c r="O118" s="125" t="str">
        <f>IF(AND('Mapa final'!$AB$45="Media",'Mapa final'!$AD$45="Menor"),CONCATENATE("R13C",'Mapa final'!$R$45),"")</f>
        <v/>
      </c>
      <c r="P118" s="51" t="str">
        <f>IF(AND('Mapa final'!$AB$43="Media",'Mapa final'!$AD$43="Moderado"),CONCATENATE("R13C",'Mapa final'!$R$43),"")</f>
        <v/>
      </c>
      <c r="Q118" s="52" t="str">
        <f>IF(AND('Mapa final'!$AB$44="Media",'Mapa final'!$AD$44="Moderado"),CONCATENATE("R13C",'Mapa final'!$R$44),"")</f>
        <v/>
      </c>
      <c r="R118" s="125" t="str">
        <f>IF(AND('Mapa final'!$AB$45="Media",'Mapa final'!$AD$45="Moderado"),CONCATENATE("R13C",'Mapa final'!$R$45),"")</f>
        <v/>
      </c>
      <c r="S118" s="119" t="str">
        <f>IF(AND('Mapa final'!$AB$43="Media",'Mapa final'!$AD$43="Mayor"),CONCATENATE("R13C",'Mapa final'!$R$43),"")</f>
        <v/>
      </c>
      <c r="T118" s="44" t="str">
        <f>IF(AND('Mapa final'!$AB$44="Media",'Mapa final'!$AD$44="Mayor"),CONCATENATE("R13C",'Mapa final'!$R$44),"")</f>
        <v/>
      </c>
      <c r="U118" s="120" t="str">
        <f>IF(AND('Mapa final'!$AB$45="Media",'Mapa final'!$AD$45="Mayor"),CONCATENATE("R13C",'Mapa final'!$R$45),"")</f>
        <v/>
      </c>
      <c r="V118" s="45" t="str">
        <f>IF(AND('Mapa final'!$AB$43="Media",'Mapa final'!$AD$43="Catastrófico"),CONCATENATE("R13C",'Mapa final'!$R$43),"")</f>
        <v/>
      </c>
      <c r="W118" s="46" t="str">
        <f>IF(AND('Mapa final'!$AB$44="Media",'Mapa final'!$AD$44="Catastrófico"),CONCATENATE("R13C",'Mapa final'!$R$44),"")</f>
        <v/>
      </c>
      <c r="X118" s="114" t="str">
        <f>IF(AND('Mapa final'!$AB$45="Media",'Mapa final'!$AD$45="Catastrófico"),CONCATENATE("R13C",'Mapa final'!$R$45),"")</f>
        <v/>
      </c>
      <c r="Y118" s="58"/>
      <c r="Z118" s="398"/>
      <c r="AA118" s="399"/>
      <c r="AB118" s="399"/>
      <c r="AC118" s="399"/>
      <c r="AD118" s="399"/>
      <c r="AE118" s="400"/>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row>
    <row r="119" spans="1:61" ht="15" customHeight="1" x14ac:dyDescent="0.25">
      <c r="A119" s="58"/>
      <c r="B119" s="356"/>
      <c r="C119" s="356"/>
      <c r="D119" s="357"/>
      <c r="E119" s="371"/>
      <c r="F119" s="372"/>
      <c r="G119" s="372"/>
      <c r="H119" s="372"/>
      <c r="I119" s="370"/>
      <c r="J119" s="51" t="e">
        <f>IF(AND('Mapa final'!#REF!="Media",'Mapa final'!#REF!="Leve"),CONCATENATE("R14C",'Mapa final'!#REF!),"")</f>
        <v>#REF!</v>
      </c>
      <c r="K119" s="52" t="e">
        <f>IF(AND('Mapa final'!#REF!="Media",'Mapa final'!#REF!="Leve"),CONCATENATE("R14C",'Mapa final'!#REF!),"")</f>
        <v>#REF!</v>
      </c>
      <c r="L119" s="125" t="e">
        <f>IF(AND('Mapa final'!#REF!="Media",'Mapa final'!#REF!="Leve"),CONCATENATE("R14C",'Mapa final'!#REF!),"")</f>
        <v>#REF!</v>
      </c>
      <c r="M119" s="51" t="e">
        <f>IF(AND('Mapa final'!#REF!="Media",'Mapa final'!#REF!="Menor"),CONCATENATE("R14C",'Mapa final'!#REF!),"")</f>
        <v>#REF!</v>
      </c>
      <c r="N119" s="52" t="e">
        <f>IF(AND('Mapa final'!#REF!="Media",'Mapa final'!#REF!="Menor"),CONCATENATE("R14C",'Mapa final'!#REF!),"")</f>
        <v>#REF!</v>
      </c>
      <c r="O119" s="125" t="e">
        <f>IF(AND('Mapa final'!#REF!="Media",'Mapa final'!#REF!="Menor"),CONCATENATE("R14C",'Mapa final'!#REF!),"")</f>
        <v>#REF!</v>
      </c>
      <c r="P119" s="51" t="e">
        <f>IF(AND('Mapa final'!#REF!="Media",'Mapa final'!#REF!="Moderado"),CONCATENATE("R14C",'Mapa final'!#REF!),"")</f>
        <v>#REF!</v>
      </c>
      <c r="Q119" s="52" t="e">
        <f>IF(AND('Mapa final'!#REF!="Media",'Mapa final'!#REF!="Moderado"),CONCATENATE("R14C",'Mapa final'!#REF!),"")</f>
        <v>#REF!</v>
      </c>
      <c r="R119" s="125" t="e">
        <f>IF(AND('Mapa final'!#REF!="Media",'Mapa final'!#REF!="Moderado"),CONCATENATE("R14C",'Mapa final'!#REF!),"")</f>
        <v>#REF!</v>
      </c>
      <c r="S119" s="119" t="e">
        <f>IF(AND('Mapa final'!#REF!="Media",'Mapa final'!#REF!="Mayor"),CONCATENATE("R14C",'Mapa final'!#REF!),"")</f>
        <v>#REF!</v>
      </c>
      <c r="T119" s="44" t="e">
        <f>IF(AND('Mapa final'!#REF!="Media",'Mapa final'!#REF!="Mayor"),CONCATENATE("R14C",'Mapa final'!#REF!),"")</f>
        <v>#REF!</v>
      </c>
      <c r="U119" s="120" t="e">
        <f>IF(AND('Mapa final'!#REF!="Media",'Mapa final'!#REF!="Mayor"),CONCATENATE("R14C",'Mapa final'!#REF!),"")</f>
        <v>#REF!</v>
      </c>
      <c r="V119" s="45" t="e">
        <f>IF(AND('Mapa final'!#REF!="Media",'Mapa final'!#REF!="Catastrófico"),CONCATENATE("R14C",'Mapa final'!#REF!),"")</f>
        <v>#REF!</v>
      </c>
      <c r="W119" s="46" t="e">
        <f>IF(AND('Mapa final'!#REF!="Media",'Mapa final'!#REF!="Catastrófico"),CONCATENATE("R14C",'Mapa final'!#REF!),"")</f>
        <v>#REF!</v>
      </c>
      <c r="X119" s="114" t="e">
        <f>IF(AND('Mapa final'!#REF!="Media",'Mapa final'!#REF!="Catastrófico"),CONCATENATE("R14C",'Mapa final'!#REF!),"")</f>
        <v>#REF!</v>
      </c>
      <c r="Y119" s="58"/>
      <c r="Z119" s="398"/>
      <c r="AA119" s="399"/>
      <c r="AB119" s="399"/>
      <c r="AC119" s="399"/>
      <c r="AD119" s="399"/>
      <c r="AE119" s="400"/>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row>
    <row r="120" spans="1:61" ht="15" customHeight="1" x14ac:dyDescent="0.25">
      <c r="A120" s="58"/>
      <c r="B120" s="356"/>
      <c r="C120" s="356"/>
      <c r="D120" s="357"/>
      <c r="E120" s="371"/>
      <c r="F120" s="372"/>
      <c r="G120" s="372"/>
      <c r="H120" s="372"/>
      <c r="I120" s="370"/>
      <c r="J120" s="51" t="str">
        <f>IF(AND('Mapa final'!$AB$46="Media",'Mapa final'!$AD$46="Leve"),CONCATENATE("R15C",'Mapa final'!$R$46),"")</f>
        <v/>
      </c>
      <c r="K120" s="52" t="str">
        <f>IF(AND('Mapa final'!$AB$47="Media",'Mapa final'!$AD$47="Leve"),CONCATENATE("R15C",'Mapa final'!$R$47),"")</f>
        <v/>
      </c>
      <c r="L120" s="125" t="str">
        <f>IF(AND('Mapa final'!$AB$48="Media",'Mapa final'!$AD$48="Leve"),CONCATENATE("R15C",'Mapa final'!$R$48),"")</f>
        <v/>
      </c>
      <c r="M120" s="51" t="str">
        <f>IF(AND('Mapa final'!$AB$46="Media",'Mapa final'!$AD$46="Menor"),CONCATENATE("R15C",'Mapa final'!$R$46),"")</f>
        <v/>
      </c>
      <c r="N120" s="52" t="str">
        <f>IF(AND('Mapa final'!$AB$47="Media",'Mapa final'!$AD$47="Menor"),CONCATENATE("R15C",'Mapa final'!$R$47),"")</f>
        <v/>
      </c>
      <c r="O120" s="125" t="str">
        <f>IF(AND('Mapa final'!$AB$48="Media",'Mapa final'!$AD$48="Menor"),CONCATENATE("R15C",'Mapa final'!$R$48),"")</f>
        <v/>
      </c>
      <c r="P120" s="51" t="str">
        <f>IF(AND('Mapa final'!$AB$46="Media",'Mapa final'!$AD$46="Moderado"),CONCATENATE("R15C",'Mapa final'!$R$46),"")</f>
        <v/>
      </c>
      <c r="Q120" s="52" t="str">
        <f>IF(AND('Mapa final'!$AB$47="Media",'Mapa final'!$AD$47="Moderado"),CONCATENATE("R15C",'Mapa final'!$R$47),"")</f>
        <v/>
      </c>
      <c r="R120" s="125" t="str">
        <f>IF(AND('Mapa final'!$AB$48="Media",'Mapa final'!$AD$48="Moderado"),CONCATENATE("R15C",'Mapa final'!$R$48),"")</f>
        <v/>
      </c>
      <c r="S120" s="119" t="str">
        <f>IF(AND('Mapa final'!$AB$46="Media",'Mapa final'!$AD$46="Mayor"),CONCATENATE("R15C",'Mapa final'!$R$46),"")</f>
        <v/>
      </c>
      <c r="T120" s="44" t="str">
        <f>IF(AND('Mapa final'!$AB$47="Media",'Mapa final'!$AD$47="Mayor"),CONCATENATE("R15C",'Mapa final'!$R$47),"")</f>
        <v/>
      </c>
      <c r="U120" s="120" t="str">
        <f>IF(AND('Mapa final'!$AB$48="Media",'Mapa final'!$AD$48="Mayor"),CONCATENATE("R15C",'Mapa final'!$R$48),"")</f>
        <v/>
      </c>
      <c r="V120" s="45" t="str">
        <f>IF(AND('Mapa final'!$AB$46="Media",'Mapa final'!$AD$46="Catastrófico"),CONCATENATE("R15C",'Mapa final'!$R$46),"")</f>
        <v/>
      </c>
      <c r="W120" s="46" t="str">
        <f>IF(AND('Mapa final'!$AB$47="Media",'Mapa final'!$AD$47="Catastrófico"),CONCATENATE("R15C",'Mapa final'!$R$47),"")</f>
        <v/>
      </c>
      <c r="X120" s="114" t="str">
        <f>IF(AND('Mapa final'!$AB$48="Media",'Mapa final'!$AD$48="Catastrófico"),CONCATENATE("R15C",'Mapa final'!$R$48),"")</f>
        <v/>
      </c>
      <c r="Y120" s="58"/>
      <c r="Z120" s="398"/>
      <c r="AA120" s="399"/>
      <c r="AB120" s="399"/>
      <c r="AC120" s="399"/>
      <c r="AD120" s="399"/>
      <c r="AE120" s="400"/>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row>
    <row r="121" spans="1:61" ht="15" customHeight="1" x14ac:dyDescent="0.25">
      <c r="A121" s="58"/>
      <c r="B121" s="356"/>
      <c r="C121" s="356"/>
      <c r="D121" s="357"/>
      <c r="E121" s="371"/>
      <c r="F121" s="372"/>
      <c r="G121" s="372"/>
      <c r="H121" s="372"/>
      <c r="I121" s="370"/>
      <c r="J121" s="51" t="str">
        <f>IF(AND('Mapa final'!$AB$49="Media",'Mapa final'!$AD$49="Leve"),CONCATENATE("R16C",'Mapa final'!$R$49),"")</f>
        <v/>
      </c>
      <c r="K121" s="52" t="str">
        <f>IF(AND('Mapa final'!$AB$50="Media",'Mapa final'!$AD$50="Leve"),CONCATENATE("R16C",'Mapa final'!$R$50),"")</f>
        <v/>
      </c>
      <c r="L121" s="125" t="str">
        <f>IF(AND('Mapa final'!$AB$51="Media",'Mapa final'!$AD$51="Leve"),CONCATENATE("R16C",'Mapa final'!$R$51),"")</f>
        <v/>
      </c>
      <c r="M121" s="51" t="str">
        <f>IF(AND('Mapa final'!$AB$49="Media",'Mapa final'!$AD$49="Menor"),CONCATENATE("R16C",'Mapa final'!$R$49),"")</f>
        <v/>
      </c>
      <c r="N121" s="52" t="str">
        <f>IF(AND('Mapa final'!$AB$50="Media",'Mapa final'!$AD$50="Menor"),CONCATENATE("R16C",'Mapa final'!$R$50),"")</f>
        <v/>
      </c>
      <c r="O121" s="125" t="str">
        <f>IF(AND('Mapa final'!$AB$51="Media",'Mapa final'!$AD$51="Menor"),CONCATENATE("R16C",'Mapa final'!$R$51),"")</f>
        <v/>
      </c>
      <c r="P121" s="51" t="str">
        <f>IF(AND('Mapa final'!$AB$49="Media",'Mapa final'!$AD$49="Moderado"),CONCATENATE("R16C",'Mapa final'!$R$49),"")</f>
        <v>R16C1</v>
      </c>
      <c r="Q121" s="52" t="str">
        <f>IF(AND('Mapa final'!$AB$50="Media",'Mapa final'!$AD$50="Moderado"),CONCATENATE("R16C",'Mapa final'!$R$50),"")</f>
        <v/>
      </c>
      <c r="R121" s="125" t="str">
        <f>IF(AND('Mapa final'!$AB$51="Media",'Mapa final'!$AD$51="Moderado"),CONCATENATE("R16C",'Mapa final'!$R$51),"")</f>
        <v/>
      </c>
      <c r="S121" s="119" t="str">
        <f>IF(AND('Mapa final'!$AB$49="Media",'Mapa final'!$AD$49="Mayor"),CONCATENATE("R16C",'Mapa final'!$R$49),"")</f>
        <v/>
      </c>
      <c r="T121" s="44" t="str">
        <f>IF(AND('Mapa final'!$AB$50="Media",'Mapa final'!$AD$50="Mayor"),CONCATENATE("R16C",'Mapa final'!$R$50),"")</f>
        <v/>
      </c>
      <c r="U121" s="120" t="str">
        <f>IF(AND('Mapa final'!$AB$51="Media",'Mapa final'!$AD$51="Mayor"),CONCATENATE("R16C",'Mapa final'!$R$51),"")</f>
        <v/>
      </c>
      <c r="V121" s="45" t="str">
        <f>IF(AND('Mapa final'!$AB$49="Media",'Mapa final'!$AD$49="Catastrófico"),CONCATENATE("R16C",'Mapa final'!$R$49),"")</f>
        <v/>
      </c>
      <c r="W121" s="46" t="str">
        <f>IF(AND('Mapa final'!$AB$50="Media",'Mapa final'!$AD$50="Catastrófico"),CONCATENATE("R16C",'Mapa final'!$R$50),"")</f>
        <v/>
      </c>
      <c r="X121" s="114" t="str">
        <f>IF(AND('Mapa final'!$AB$51="Media",'Mapa final'!$AD$51="Catastrófico"),CONCATENATE("R16C",'Mapa final'!$R$51),"")</f>
        <v/>
      </c>
      <c r="Y121" s="58"/>
      <c r="Z121" s="398"/>
      <c r="AA121" s="399"/>
      <c r="AB121" s="399"/>
      <c r="AC121" s="399"/>
      <c r="AD121" s="399"/>
      <c r="AE121" s="400"/>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row>
    <row r="122" spans="1:61" ht="15" customHeight="1" x14ac:dyDescent="0.25">
      <c r="A122" s="58"/>
      <c r="B122" s="356"/>
      <c r="C122" s="356"/>
      <c r="D122" s="357"/>
      <c r="E122" s="371"/>
      <c r="F122" s="372"/>
      <c r="G122" s="372"/>
      <c r="H122" s="372"/>
      <c r="I122" s="370"/>
      <c r="J122" s="51" t="str">
        <f>IF(AND('Mapa final'!$AB$52="Media",'Mapa final'!$AD$52="Leve"),CONCATENATE("R17C",'Mapa final'!$R$52),"")</f>
        <v/>
      </c>
      <c r="K122" s="52" t="str">
        <f>IF(AND('Mapa final'!$AB$53="Media",'Mapa final'!$AD$53="Leve"),CONCATENATE("R17C",'Mapa final'!$R$53),"")</f>
        <v/>
      </c>
      <c r="L122" s="125" t="str">
        <f>IF(AND('Mapa final'!$AB$54="Media",'Mapa final'!$AD$54="Leve"),CONCATENATE("R17C",'Mapa final'!$R$54),"")</f>
        <v/>
      </c>
      <c r="M122" s="51" t="str">
        <f>IF(AND('Mapa final'!$AB$52="Media",'Mapa final'!$AD$52="Menor"),CONCATENATE("R17C",'Mapa final'!$R$52),"")</f>
        <v>R17C1</v>
      </c>
      <c r="N122" s="52" t="str">
        <f>IF(AND('Mapa final'!$AB$53="Media",'Mapa final'!$AD$53="Menor"),CONCATENATE("R17C",'Mapa final'!$R$53),"")</f>
        <v/>
      </c>
      <c r="O122" s="125" t="str">
        <f>IF(AND('Mapa final'!$AB$54="Media",'Mapa final'!$AD$54="Menor"),CONCATENATE("R17C",'Mapa final'!$R$54),"")</f>
        <v/>
      </c>
      <c r="P122" s="51" t="str">
        <f>IF(AND('Mapa final'!$AB$52="Media",'Mapa final'!$AD$52="Moderado"),CONCATENATE("R17C",'Mapa final'!$R$52),"")</f>
        <v/>
      </c>
      <c r="Q122" s="52" t="str">
        <f>IF(AND('Mapa final'!$AB$53="Media",'Mapa final'!$AD$53="Moderado"),CONCATENATE("R17C",'Mapa final'!$R$53),"")</f>
        <v/>
      </c>
      <c r="R122" s="125" t="str">
        <f>IF(AND('Mapa final'!$AB$54="Media",'Mapa final'!$AD$54="Moderado"),CONCATENATE("R17C",'Mapa final'!$R$54),"")</f>
        <v/>
      </c>
      <c r="S122" s="119" t="str">
        <f>IF(AND('Mapa final'!$AB$52="Media",'Mapa final'!$AD$52="Mayor"),CONCATENATE("R17C",'Mapa final'!$R$52),"")</f>
        <v/>
      </c>
      <c r="T122" s="44" t="str">
        <f>IF(AND('Mapa final'!$AB$53="Media",'Mapa final'!$AD$53="Mayor"),CONCATENATE("R17C",'Mapa final'!$R$53),"")</f>
        <v/>
      </c>
      <c r="U122" s="120" t="str">
        <f>IF(AND('Mapa final'!$AB$54="Media",'Mapa final'!$AD$54="Mayor"),CONCATENATE("R17C",'Mapa final'!$R$54),"")</f>
        <v/>
      </c>
      <c r="V122" s="45" t="str">
        <f>IF(AND('Mapa final'!$AB$52="Media",'Mapa final'!$AD$52="Catastrófico"),CONCATENATE("R17C",'Mapa final'!$R$52),"")</f>
        <v/>
      </c>
      <c r="W122" s="46" t="str">
        <f>IF(AND('Mapa final'!$AB$53="Media",'Mapa final'!$AD$53="Catastrófico"),CONCATENATE("R17C",'Mapa final'!$R$53),"")</f>
        <v/>
      </c>
      <c r="X122" s="114" t="str">
        <f>IF(AND('Mapa final'!$AB$54="Media",'Mapa final'!$AD$54="Catastrófico"),CONCATENATE("R17C",'Mapa final'!$R$54),"")</f>
        <v/>
      </c>
      <c r="Y122" s="58"/>
      <c r="Z122" s="398"/>
      <c r="AA122" s="399"/>
      <c r="AB122" s="399"/>
      <c r="AC122" s="399"/>
      <c r="AD122" s="399"/>
      <c r="AE122" s="400"/>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row>
    <row r="123" spans="1:61" ht="15" customHeight="1" x14ac:dyDescent="0.25">
      <c r="A123" s="58"/>
      <c r="B123" s="356"/>
      <c r="C123" s="356"/>
      <c r="D123" s="357"/>
      <c r="E123" s="371"/>
      <c r="F123" s="372"/>
      <c r="G123" s="372"/>
      <c r="H123" s="372"/>
      <c r="I123" s="370"/>
      <c r="J123" s="51" t="str">
        <f>IF(AND('Mapa final'!$AB$55="Media",'Mapa final'!$AD$55="Leve"),CONCATENATE("R18C",'Mapa final'!$R$55),"")</f>
        <v/>
      </c>
      <c r="K123" s="52" t="str">
        <f>IF(AND('Mapa final'!$AB$56="Media",'Mapa final'!$AD$56="Leve"),CONCATENATE("R18C",'Mapa final'!$R$56),"")</f>
        <v/>
      </c>
      <c r="L123" s="125" t="str">
        <f>IF(AND('Mapa final'!$AB$57="Media",'Mapa final'!$AD$57="Leve"),CONCATENATE("R18C",'Mapa final'!$R$57),"")</f>
        <v/>
      </c>
      <c r="M123" s="51" t="str">
        <f>IF(AND('Mapa final'!$AB$55="Media",'Mapa final'!$AD$55="Menor"),CONCATENATE("R18C",'Mapa final'!$R$55),"")</f>
        <v/>
      </c>
      <c r="N123" s="52" t="str">
        <f>IF(AND('Mapa final'!$AB$56="Media",'Mapa final'!$AD$56="Menor"),CONCATENATE("R18C",'Mapa final'!$R$56),"")</f>
        <v/>
      </c>
      <c r="O123" s="125" t="str">
        <f>IF(AND('Mapa final'!$AB$57="Media",'Mapa final'!$AD$57="Menor"),CONCATENATE("R18C",'Mapa final'!$R$57),"")</f>
        <v/>
      </c>
      <c r="P123" s="51" t="str">
        <f>IF(AND('Mapa final'!$AB$55="Media",'Mapa final'!$AD$55="Moderado"),CONCATENATE("R18C",'Mapa final'!$R$55),"")</f>
        <v/>
      </c>
      <c r="Q123" s="52" t="str">
        <f>IF(AND('Mapa final'!$AB$56="Media",'Mapa final'!$AD$56="Moderado"),CONCATENATE("R18C",'Mapa final'!$R$56),"")</f>
        <v/>
      </c>
      <c r="R123" s="125" t="str">
        <f>IF(AND('Mapa final'!$AB$57="Media",'Mapa final'!$AD$57="Moderado"),CONCATENATE("R18C",'Mapa final'!$R$57),"")</f>
        <v/>
      </c>
      <c r="S123" s="119" t="str">
        <f>IF(AND('Mapa final'!$AB$55="Media",'Mapa final'!$AD$55="Mayor"),CONCATENATE("R18C",'Mapa final'!$R$55),"")</f>
        <v>R18C1</v>
      </c>
      <c r="T123" s="44" t="str">
        <f>IF(AND('Mapa final'!$AB$56="Media",'Mapa final'!$AD$56="Mayor"),CONCATENATE("R18C",'Mapa final'!$R$56),"")</f>
        <v/>
      </c>
      <c r="U123" s="120" t="str">
        <f>IF(AND('Mapa final'!$AB$57="Media",'Mapa final'!$AD$57="Mayor"),CONCATENATE("R18C",'Mapa final'!$R$57),"")</f>
        <v/>
      </c>
      <c r="V123" s="45" t="str">
        <f>IF(AND('Mapa final'!$AB$55="Media",'Mapa final'!$AD$55="Catastrófico"),CONCATENATE("R18C",'Mapa final'!$R$55),"")</f>
        <v/>
      </c>
      <c r="W123" s="46" t="str">
        <f>IF(AND('Mapa final'!$AB$56="Media",'Mapa final'!$AD$56="Catastrófico"),CONCATENATE("R18C",'Mapa final'!$R$56),"")</f>
        <v/>
      </c>
      <c r="X123" s="114" t="str">
        <f>IF(AND('Mapa final'!$AB$57="Media",'Mapa final'!$AD$57="Catastrófico"),CONCATENATE("R18C",'Mapa final'!$R$57),"")</f>
        <v/>
      </c>
      <c r="Y123" s="58"/>
      <c r="Z123" s="398"/>
      <c r="AA123" s="399"/>
      <c r="AB123" s="399"/>
      <c r="AC123" s="399"/>
      <c r="AD123" s="399"/>
      <c r="AE123" s="400"/>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row>
    <row r="124" spans="1:61" ht="15" customHeight="1" x14ac:dyDescent="0.25">
      <c r="A124" s="58"/>
      <c r="B124" s="356"/>
      <c r="C124" s="356"/>
      <c r="D124" s="357"/>
      <c r="E124" s="371"/>
      <c r="F124" s="372"/>
      <c r="G124" s="372"/>
      <c r="H124" s="372"/>
      <c r="I124" s="370"/>
      <c r="J124" s="51" t="str">
        <f>IF(AND('Mapa final'!$AB$58="Media",'Mapa final'!$AD$58="Leve"),CONCATENATE("R19C",'Mapa final'!$R$58),"")</f>
        <v/>
      </c>
      <c r="K124" s="52" t="str">
        <f>IF(AND('Mapa final'!$AB$59="Media",'Mapa final'!$AD$59="Leve"),CONCATENATE("R19C",'Mapa final'!$R$59),"")</f>
        <v/>
      </c>
      <c r="L124" s="125" t="str">
        <f>IF(AND('Mapa final'!$AB$60="Media",'Mapa final'!$AD$60="Leve"),CONCATENATE("R19C",'Mapa final'!$R$60),"")</f>
        <v/>
      </c>
      <c r="M124" s="51" t="str">
        <f>IF(AND('Mapa final'!$AB$58="Media",'Mapa final'!$AD$58="Menor"),CONCATENATE("R19C",'Mapa final'!$R$58),"")</f>
        <v/>
      </c>
      <c r="N124" s="52" t="str">
        <f>IF(AND('Mapa final'!$AB$59="Media",'Mapa final'!$AD$59="Menor"),CONCATENATE("R19C",'Mapa final'!$R$59),"")</f>
        <v/>
      </c>
      <c r="O124" s="125" t="str">
        <f>IF(AND('Mapa final'!$AB$60="Media",'Mapa final'!$AD$60="Menor"),CONCATENATE("R19C",'Mapa final'!$R$60),"")</f>
        <v/>
      </c>
      <c r="P124" s="51" t="str">
        <f>IF(AND('Mapa final'!$AB$58="Media",'Mapa final'!$AD$58="Moderado"),CONCATENATE("R19C",'Mapa final'!$R$58),"")</f>
        <v>R19C1</v>
      </c>
      <c r="Q124" s="52" t="str">
        <f>IF(AND('Mapa final'!$AB$59="Media",'Mapa final'!$AD$59="Moderado"),CONCATENATE("R19C",'Mapa final'!$R$59),"")</f>
        <v/>
      </c>
      <c r="R124" s="125" t="str">
        <f>IF(AND('Mapa final'!$AB$60="Media",'Mapa final'!$AD$60="Moderado"),CONCATENATE("R19C",'Mapa final'!$R$60),"")</f>
        <v/>
      </c>
      <c r="S124" s="119" t="str">
        <f>IF(AND('Mapa final'!$AB$58="Media",'Mapa final'!$AD$58="Mayor"),CONCATENATE("R19C",'Mapa final'!$R$58),"")</f>
        <v/>
      </c>
      <c r="T124" s="44" t="str">
        <f>IF(AND('Mapa final'!$AB$59="Media",'Mapa final'!$AD$59="Mayor"),CONCATENATE("R19C",'Mapa final'!$R$59),"")</f>
        <v/>
      </c>
      <c r="U124" s="120" t="str">
        <f>IF(AND('Mapa final'!$AB$60="Media",'Mapa final'!$AD$60="Mayor"),CONCATENATE("R19C",'Mapa final'!$R$60),"")</f>
        <v/>
      </c>
      <c r="V124" s="45" t="str">
        <f>IF(AND('Mapa final'!$AB$58="Media",'Mapa final'!$AD$58="Catastrófico"),CONCATENATE("R19C",'Mapa final'!$R$58),"")</f>
        <v/>
      </c>
      <c r="W124" s="46" t="str">
        <f>IF(AND('Mapa final'!$AB$59="Media",'Mapa final'!$AD$59="Catastrófico"),CONCATENATE("R19C",'Mapa final'!$R$59),"")</f>
        <v/>
      </c>
      <c r="X124" s="114" t="str">
        <f>IF(AND('Mapa final'!$AB$60="Media",'Mapa final'!$AD$60="Catastrófico"),CONCATENATE("R19C",'Mapa final'!$R$60),"")</f>
        <v/>
      </c>
      <c r="Y124" s="58"/>
      <c r="Z124" s="398"/>
      <c r="AA124" s="399"/>
      <c r="AB124" s="399"/>
      <c r="AC124" s="399"/>
      <c r="AD124" s="399"/>
      <c r="AE124" s="400"/>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row>
    <row r="125" spans="1:61" ht="15" customHeight="1" x14ac:dyDescent="0.25">
      <c r="A125" s="58"/>
      <c r="B125" s="356"/>
      <c r="C125" s="356"/>
      <c r="D125" s="357"/>
      <c r="E125" s="371"/>
      <c r="F125" s="372"/>
      <c r="G125" s="372"/>
      <c r="H125" s="372"/>
      <c r="I125" s="370"/>
      <c r="J125" s="51" t="str">
        <f>IF(AND('Mapa final'!$AB$61="Media",'Mapa final'!$AD$61="Leve"),CONCATENATE("R20C",'Mapa final'!$R$61),"")</f>
        <v/>
      </c>
      <c r="K125" s="52" t="str">
        <f>IF(AND('Mapa final'!$AB$62="Media",'Mapa final'!$AD$62="Leve"),CONCATENATE("R20C",'Mapa final'!$R$62),"")</f>
        <v/>
      </c>
      <c r="L125" s="125" t="str">
        <f>IF(AND('Mapa final'!$AB$63="Media",'Mapa final'!$AD$63="Leve"),CONCATENATE("R20C",'Mapa final'!$R$63),"")</f>
        <v/>
      </c>
      <c r="M125" s="51" t="str">
        <f>IF(AND('Mapa final'!$AB$61="Media",'Mapa final'!$AD$61="Menor"),CONCATENATE("R20C",'Mapa final'!$R$61),"")</f>
        <v/>
      </c>
      <c r="N125" s="52" t="str">
        <f>IF(AND('Mapa final'!$AB$62="Media",'Mapa final'!$AD$62="Menor"),CONCATENATE("R20C",'Mapa final'!$R$62),"")</f>
        <v/>
      </c>
      <c r="O125" s="125" t="str">
        <f>IF(AND('Mapa final'!$AB$63="Media",'Mapa final'!$AD$63="Menor"),CONCATENATE("R20C",'Mapa final'!$R$63),"")</f>
        <v/>
      </c>
      <c r="P125" s="51" t="str">
        <f>IF(AND('Mapa final'!$AB$61="Media",'Mapa final'!$AD$61="Moderado"),CONCATENATE("R20C",'Mapa final'!$R$61),"")</f>
        <v>R20C1</v>
      </c>
      <c r="Q125" s="52" t="str">
        <f>IF(AND('Mapa final'!$AB$62="Media",'Mapa final'!$AD$62="Moderado"),CONCATENATE("R20C",'Mapa final'!$R$62),"")</f>
        <v/>
      </c>
      <c r="R125" s="125" t="str">
        <f>IF(AND('Mapa final'!$AB$63="Media",'Mapa final'!$AD$63="Moderado"),CONCATENATE("R20C",'Mapa final'!$R$63),"")</f>
        <v/>
      </c>
      <c r="S125" s="119" t="str">
        <f>IF(AND('Mapa final'!$AB$61="Media",'Mapa final'!$AD$61="Mayor"),CONCATENATE("R20C",'Mapa final'!$R$61),"")</f>
        <v/>
      </c>
      <c r="T125" s="44" t="str">
        <f>IF(AND('Mapa final'!$AB$62="Media",'Mapa final'!$AD$62="Mayor"),CONCATENATE("R20C",'Mapa final'!$R$62),"")</f>
        <v/>
      </c>
      <c r="U125" s="120" t="str">
        <f>IF(AND('Mapa final'!$AB$63="Media",'Mapa final'!$AD$63="Mayor"),CONCATENATE("R20C",'Mapa final'!$R$63),"")</f>
        <v/>
      </c>
      <c r="V125" s="45" t="str">
        <f>IF(AND('Mapa final'!$AB$61="Media",'Mapa final'!$AD$61="Catastrófico"),CONCATENATE("R20C",'Mapa final'!$R$61),"")</f>
        <v/>
      </c>
      <c r="W125" s="46" t="str">
        <f>IF(AND('Mapa final'!$AB$62="Media",'Mapa final'!$AD$62="Catastrófico"),CONCATENATE("R20C",'Mapa final'!$R$62),"")</f>
        <v/>
      </c>
      <c r="X125" s="114" t="str">
        <f>IF(AND('Mapa final'!$AB$63="Media",'Mapa final'!$AD$63="Catastrófico"),CONCATENATE("R20C",'Mapa final'!$R$63),"")</f>
        <v/>
      </c>
      <c r="Y125" s="58"/>
      <c r="Z125" s="398"/>
      <c r="AA125" s="399"/>
      <c r="AB125" s="399"/>
      <c r="AC125" s="399"/>
      <c r="AD125" s="399"/>
      <c r="AE125" s="400"/>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row>
    <row r="126" spans="1:61" ht="15" customHeight="1" x14ac:dyDescent="0.25">
      <c r="A126" s="58"/>
      <c r="B126" s="356"/>
      <c r="C126" s="356"/>
      <c r="D126" s="357"/>
      <c r="E126" s="371"/>
      <c r="F126" s="372"/>
      <c r="G126" s="372"/>
      <c r="H126" s="372"/>
      <c r="I126" s="370"/>
      <c r="J126" s="51" t="str">
        <f>IF(AND('Mapa final'!$AB$64="Media",'Mapa final'!$AD$64="Leve"),CONCATENATE("R21C",'Mapa final'!$R$64),"")</f>
        <v/>
      </c>
      <c r="K126" s="52" t="str">
        <f>IF(AND('Mapa final'!$AB$65="Media",'Mapa final'!$AD$65="Leve"),CONCATENATE("R21C",'Mapa final'!$R$65),"")</f>
        <v/>
      </c>
      <c r="L126" s="125" t="str">
        <f>IF(AND('Mapa final'!$AB$66="Media",'Mapa final'!$AD$66="Leve"),CONCATENATE("R21C",'Mapa final'!$R$66),"")</f>
        <v/>
      </c>
      <c r="M126" s="51" t="str">
        <f>IF(AND('Mapa final'!$AB$64="Media",'Mapa final'!$AD$64="Menor"),CONCATENATE("R21C",'Mapa final'!$R$64),"")</f>
        <v/>
      </c>
      <c r="N126" s="52" t="str">
        <f>IF(AND('Mapa final'!$AB$65="Media",'Mapa final'!$AD$65="Menor"),CONCATENATE("R21C",'Mapa final'!$R$65),"")</f>
        <v/>
      </c>
      <c r="O126" s="125" t="str">
        <f>IF(AND('Mapa final'!$AB$66="Media",'Mapa final'!$AD$66="Menor"),CONCATENATE("R21C",'Mapa final'!$R$66),"")</f>
        <v/>
      </c>
      <c r="P126" s="51" t="str">
        <f>IF(AND('Mapa final'!$AB$64="Media",'Mapa final'!$AD$64="Moderado"),CONCATENATE("R21C",'Mapa final'!$R$64),"")</f>
        <v/>
      </c>
      <c r="Q126" s="52" t="str">
        <f>IF(AND('Mapa final'!$AB$65="Media",'Mapa final'!$AD$65="Moderado"),CONCATENATE("R21C",'Mapa final'!$R$65),"")</f>
        <v/>
      </c>
      <c r="R126" s="125" t="str">
        <f>IF(AND('Mapa final'!$AB$66="Media",'Mapa final'!$AD$66="Moderado"),CONCATENATE("R21C",'Mapa final'!$R$66),"")</f>
        <v/>
      </c>
      <c r="S126" s="119" t="str">
        <f>IF(AND('Mapa final'!$AB$64="Media",'Mapa final'!$AD$64="Mayor"),CONCATENATE("R21C",'Mapa final'!$R$64),"")</f>
        <v/>
      </c>
      <c r="T126" s="44" t="str">
        <f>IF(AND('Mapa final'!$AB$65="Media",'Mapa final'!$AD$65="Mayor"),CONCATENATE("R21C",'Mapa final'!$R$65),"")</f>
        <v/>
      </c>
      <c r="U126" s="120" t="str">
        <f>IF(AND('Mapa final'!$AB$66="Media",'Mapa final'!$AD$66="Mayor"),CONCATENATE("R21C",'Mapa final'!$R$66),"")</f>
        <v/>
      </c>
      <c r="V126" s="45" t="str">
        <f>IF(AND('Mapa final'!$AB$64="Media",'Mapa final'!$AD$64="Catastrófico"),CONCATENATE("R21C",'Mapa final'!$R$64),"")</f>
        <v/>
      </c>
      <c r="W126" s="46" t="str">
        <f>IF(AND('Mapa final'!$AB$65="Media",'Mapa final'!$AD$65="Catastrófico"),CONCATENATE("R21C",'Mapa final'!$R$65),"")</f>
        <v/>
      </c>
      <c r="X126" s="114" t="str">
        <f>IF(AND('Mapa final'!$AB$66="Media",'Mapa final'!$AD$66="Catastrófico"),CONCATENATE("R21C",'Mapa final'!$R$66),"")</f>
        <v/>
      </c>
      <c r="Y126" s="58"/>
      <c r="Z126" s="398"/>
      <c r="AA126" s="399"/>
      <c r="AB126" s="399"/>
      <c r="AC126" s="399"/>
      <c r="AD126" s="399"/>
      <c r="AE126" s="400"/>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row>
    <row r="127" spans="1:61" ht="15" customHeight="1" x14ac:dyDescent="0.25">
      <c r="A127" s="58"/>
      <c r="B127" s="356"/>
      <c r="C127" s="356"/>
      <c r="D127" s="357"/>
      <c r="E127" s="371"/>
      <c r="F127" s="372"/>
      <c r="G127" s="372"/>
      <c r="H127" s="372"/>
      <c r="I127" s="370"/>
      <c r="J127" s="51" t="str">
        <f>IF(AND('Mapa final'!$AB$67="Media",'Mapa final'!$AD$67="Leve"),CONCATENATE("R22C",'Mapa final'!$R$67),"")</f>
        <v/>
      </c>
      <c r="K127" s="52" t="str">
        <f>IF(AND('Mapa final'!$AB$68="Media",'Mapa final'!$AD$68="Leve"),CONCATENATE("R22C",'Mapa final'!$R$68),"")</f>
        <v/>
      </c>
      <c r="L127" s="125" t="str">
        <f>IF(AND('Mapa final'!$AB$69="Media",'Mapa final'!$AD$69="Leve"),CONCATENATE("R22C",'Mapa final'!$R$69),"")</f>
        <v/>
      </c>
      <c r="M127" s="51" t="str">
        <f>IF(AND('Mapa final'!$AB$67="Media",'Mapa final'!$AD$67="Menor"),CONCATENATE("R22C",'Mapa final'!$R$67),"")</f>
        <v/>
      </c>
      <c r="N127" s="52" t="str">
        <f>IF(AND('Mapa final'!$AB$68="Media",'Mapa final'!$AD$68="Menor"),CONCATENATE("R22C",'Mapa final'!$R$68),"")</f>
        <v/>
      </c>
      <c r="O127" s="125" t="str">
        <f>IF(AND('Mapa final'!$AB$69="Media",'Mapa final'!$AD$69="Menor"),CONCATENATE("R22C",'Mapa final'!$R$69),"")</f>
        <v/>
      </c>
      <c r="P127" s="51" t="str">
        <f>IF(AND('Mapa final'!$AB$67="Media",'Mapa final'!$AD$67="Moderado"),CONCATENATE("R22C",'Mapa final'!$R$67),"")</f>
        <v/>
      </c>
      <c r="Q127" s="52" t="str">
        <f>IF(AND('Mapa final'!$AB$68="Media",'Mapa final'!$AD$68="Moderado"),CONCATENATE("R22C",'Mapa final'!$R$68),"")</f>
        <v/>
      </c>
      <c r="R127" s="125" t="str">
        <f>IF(AND('Mapa final'!$AB$69="Media",'Mapa final'!$AD$69="Moderado"),CONCATENATE("R22C",'Mapa final'!$R$69),"")</f>
        <v/>
      </c>
      <c r="S127" s="119" t="str">
        <f>IF(AND('Mapa final'!$AB$67="Media",'Mapa final'!$AD$67="Mayor"),CONCATENATE("R22C",'Mapa final'!$R$67),"")</f>
        <v/>
      </c>
      <c r="T127" s="44" t="str">
        <f>IF(AND('Mapa final'!$AB$68="Media",'Mapa final'!$AD$68="Mayor"),CONCATENATE("R22C",'Mapa final'!$R$68),"")</f>
        <v/>
      </c>
      <c r="U127" s="120" t="str">
        <f>IF(AND('Mapa final'!$AB$69="Media",'Mapa final'!$AD$69="Mayor"),CONCATENATE("R22C",'Mapa final'!$R$69),"")</f>
        <v/>
      </c>
      <c r="V127" s="45" t="str">
        <f>IF(AND('Mapa final'!$AB$67="Media",'Mapa final'!$AD$67="Catastrófico"),CONCATENATE("R22C",'Mapa final'!$R$67),"")</f>
        <v/>
      </c>
      <c r="W127" s="46" t="str">
        <f>IF(AND('Mapa final'!$AB$68="Media",'Mapa final'!$AD$68="Catastrófico"),CONCATENATE("R22C",'Mapa final'!$R$68),"")</f>
        <v/>
      </c>
      <c r="X127" s="114" t="str">
        <f>IF(AND('Mapa final'!$AB$69="Media",'Mapa final'!$AD$69="Catastrófico"),CONCATENATE("R22C",'Mapa final'!$R$69),"")</f>
        <v/>
      </c>
      <c r="Y127" s="58"/>
      <c r="Z127" s="398"/>
      <c r="AA127" s="399"/>
      <c r="AB127" s="399"/>
      <c r="AC127" s="399"/>
      <c r="AD127" s="399"/>
      <c r="AE127" s="400"/>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row>
    <row r="128" spans="1:61" ht="15" customHeight="1" x14ac:dyDescent="0.25">
      <c r="A128" s="58"/>
      <c r="B128" s="356"/>
      <c r="C128" s="356"/>
      <c r="D128" s="357"/>
      <c r="E128" s="371"/>
      <c r="F128" s="372"/>
      <c r="G128" s="372"/>
      <c r="H128" s="372"/>
      <c r="I128" s="370"/>
      <c r="J128" s="51" t="str">
        <f>IF(AND('Mapa final'!$AB$70="Media",'Mapa final'!$AD$70="Leve"),CONCATENATE("R23C",'Mapa final'!$R$70),"")</f>
        <v/>
      </c>
      <c r="K128" s="52" t="str">
        <f>IF(AND('Mapa final'!$AB$71="Media",'Mapa final'!$AD$71="Leve"),CONCATENATE("R23C",'Mapa final'!$R$71),"")</f>
        <v/>
      </c>
      <c r="L128" s="125" t="str">
        <f>IF(AND('Mapa final'!$AB$72="Media",'Mapa final'!$AD$72="Leve"),CONCATENATE("R23C",'Mapa final'!$R$72),"")</f>
        <v/>
      </c>
      <c r="M128" s="51" t="str">
        <f>IF(AND('Mapa final'!$AB$70="Media",'Mapa final'!$AD$70="Menor"),CONCATENATE("R23C",'Mapa final'!$R$70),"")</f>
        <v/>
      </c>
      <c r="N128" s="52" t="str">
        <f>IF(AND('Mapa final'!$AB$71="Media",'Mapa final'!$AD$71="Menor"),CONCATENATE("R23C",'Mapa final'!$R$71),"")</f>
        <v/>
      </c>
      <c r="O128" s="125" t="str">
        <f>IF(AND('Mapa final'!$AB$72="Media",'Mapa final'!$AD$72="Menor"),CONCATENATE("R23C",'Mapa final'!$R$72),"")</f>
        <v/>
      </c>
      <c r="P128" s="51" t="str">
        <f>IF(AND('Mapa final'!$AB$70="Media",'Mapa final'!$AD$70="Moderado"),CONCATENATE("R23C",'Mapa final'!$R$70),"")</f>
        <v/>
      </c>
      <c r="Q128" s="52" t="str">
        <f>IF(AND('Mapa final'!$AB$71="Media",'Mapa final'!$AD$71="Moderado"),CONCATENATE("R23C",'Mapa final'!$R$71),"")</f>
        <v/>
      </c>
      <c r="R128" s="125" t="str">
        <f>IF(AND('Mapa final'!$AB$72="Media",'Mapa final'!$AD$72="Moderado"),CONCATENATE("R23C",'Mapa final'!$R$72),"")</f>
        <v/>
      </c>
      <c r="S128" s="119" t="str">
        <f>IF(AND('Mapa final'!$AB$70="Media",'Mapa final'!$AD$70="Mayor"),CONCATENATE("R23C",'Mapa final'!$R$70),"")</f>
        <v/>
      </c>
      <c r="T128" s="44" t="str">
        <f>IF(AND('Mapa final'!$AB$71="Media",'Mapa final'!$AD$71="Mayor"),CONCATENATE("R23C",'Mapa final'!$R$71),"")</f>
        <v/>
      </c>
      <c r="U128" s="120" t="str">
        <f>IF(AND('Mapa final'!$AB$72="Media",'Mapa final'!$AD$72="Mayor"),CONCATENATE("R23C",'Mapa final'!$R$72),"")</f>
        <v/>
      </c>
      <c r="V128" s="45" t="str">
        <f>IF(AND('Mapa final'!$AB$70="Media",'Mapa final'!$AD$70="Catastrófico"),CONCATENATE("R23C",'Mapa final'!$R$70),"")</f>
        <v/>
      </c>
      <c r="W128" s="46" t="str">
        <f>IF(AND('Mapa final'!$AB$71="Media",'Mapa final'!$AD$71="Catastrófico"),CONCATENATE("R23C",'Mapa final'!$R$71),"")</f>
        <v/>
      </c>
      <c r="X128" s="114" t="str">
        <f>IF(AND('Mapa final'!$AB$72="Media",'Mapa final'!$AD$72="Catastrófico"),CONCATENATE("R23C",'Mapa final'!$R$72),"")</f>
        <v/>
      </c>
      <c r="Y128" s="58"/>
      <c r="Z128" s="398"/>
      <c r="AA128" s="399"/>
      <c r="AB128" s="399"/>
      <c r="AC128" s="399"/>
      <c r="AD128" s="399"/>
      <c r="AE128" s="400"/>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row>
    <row r="129" spans="1:61" ht="15" customHeight="1" x14ac:dyDescent="0.25">
      <c r="A129" s="58"/>
      <c r="B129" s="356"/>
      <c r="C129" s="356"/>
      <c r="D129" s="357"/>
      <c r="E129" s="371"/>
      <c r="F129" s="372"/>
      <c r="G129" s="372"/>
      <c r="H129" s="372"/>
      <c r="I129" s="370"/>
      <c r="J129" s="51" t="str">
        <f>IF(AND('Mapa final'!$AB$73="Media",'Mapa final'!$AD$73="Leve"),CONCATENATE("R24C",'Mapa final'!$R$73),"")</f>
        <v/>
      </c>
      <c r="K129" s="52" t="str">
        <f>IF(AND('Mapa final'!$AB$74="Media",'Mapa final'!$AD$74="Leve"),CONCATENATE("R24C",'Mapa final'!$R$74),"")</f>
        <v/>
      </c>
      <c r="L129" s="125" t="str">
        <f>IF(AND('Mapa final'!$AB$75="Media",'Mapa final'!$AD$75="Leve"),CONCATENATE("R24C",'Mapa final'!$R$75),"")</f>
        <v/>
      </c>
      <c r="M129" s="51" t="str">
        <f>IF(AND('Mapa final'!$AB$73="Media",'Mapa final'!$AD$73="Menor"),CONCATENATE("R24C",'Mapa final'!$R$73),"")</f>
        <v/>
      </c>
      <c r="N129" s="52" t="str">
        <f>IF(AND('Mapa final'!$AB$74="Media",'Mapa final'!$AD$74="Menor"),CONCATENATE("R24C",'Mapa final'!$R$74),"")</f>
        <v/>
      </c>
      <c r="O129" s="125" t="str">
        <f>IF(AND('Mapa final'!$AB$75="Media",'Mapa final'!$AD$75="Menor"),CONCATENATE("R24C",'Mapa final'!$R$75),"")</f>
        <v/>
      </c>
      <c r="P129" s="51" t="str">
        <f>IF(AND('Mapa final'!$AB$73="Media",'Mapa final'!$AD$73="Moderado"),CONCATENATE("R24C",'Mapa final'!$R$73),"")</f>
        <v/>
      </c>
      <c r="Q129" s="52" t="str">
        <f>IF(AND('Mapa final'!$AB$74="Media",'Mapa final'!$AD$74="Moderado"),CONCATENATE("R24C",'Mapa final'!$R$74),"")</f>
        <v/>
      </c>
      <c r="R129" s="125" t="str">
        <f>IF(AND('Mapa final'!$AB$75="Media",'Mapa final'!$AD$75="Moderado"),CONCATENATE("R24C",'Mapa final'!$R$75),"")</f>
        <v/>
      </c>
      <c r="S129" s="119" t="str">
        <f>IF(AND('Mapa final'!$AB$73="Media",'Mapa final'!$AD$73="Mayor"),CONCATENATE("R24C",'Mapa final'!$R$73),"")</f>
        <v/>
      </c>
      <c r="T129" s="44" t="str">
        <f>IF(AND('Mapa final'!$AB$74="Media",'Mapa final'!$AD$74="Mayor"),CONCATENATE("R24C",'Mapa final'!$R$74),"")</f>
        <v/>
      </c>
      <c r="U129" s="120" t="str">
        <f>IF(AND('Mapa final'!$AB$75="Media",'Mapa final'!$AD$75="Mayor"),CONCATENATE("R24C",'Mapa final'!$R$75),"")</f>
        <v/>
      </c>
      <c r="V129" s="45" t="str">
        <f>IF(AND('Mapa final'!$AB$73="Media",'Mapa final'!$AD$73="Catastrófico"),CONCATENATE("R24C",'Mapa final'!$R$73),"")</f>
        <v/>
      </c>
      <c r="W129" s="46" t="str">
        <f>IF(AND('Mapa final'!$AB$74="Media",'Mapa final'!$AD$74="Catastrófico"),CONCATENATE("R24C",'Mapa final'!$R$74),"")</f>
        <v/>
      </c>
      <c r="X129" s="114" t="str">
        <f>IF(AND('Mapa final'!$AB$75="Media",'Mapa final'!$AD$75="Catastrófico"),CONCATENATE("R24C",'Mapa final'!$R$75),"")</f>
        <v/>
      </c>
      <c r="Y129" s="58"/>
      <c r="Z129" s="398"/>
      <c r="AA129" s="399"/>
      <c r="AB129" s="399"/>
      <c r="AC129" s="399"/>
      <c r="AD129" s="399"/>
      <c r="AE129" s="400"/>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row>
    <row r="130" spans="1:61" ht="15" customHeight="1" x14ac:dyDescent="0.25">
      <c r="A130" s="58"/>
      <c r="B130" s="356"/>
      <c r="C130" s="356"/>
      <c r="D130" s="357"/>
      <c r="E130" s="371"/>
      <c r="F130" s="372"/>
      <c r="G130" s="372"/>
      <c r="H130" s="372"/>
      <c r="I130" s="370"/>
      <c r="J130" s="51" t="str">
        <f>IF(AND('Mapa final'!$AB$76="Media",'Mapa final'!$AD$76="Leve"),CONCATENATE("R25C",'Mapa final'!$R$76),"")</f>
        <v/>
      </c>
      <c r="K130" s="52" t="str">
        <f>IF(AND('Mapa final'!$AB$77="Media",'Mapa final'!$AD$77="Leve"),CONCATENATE("R25C",'Mapa final'!$R$77),"")</f>
        <v/>
      </c>
      <c r="L130" s="125" t="str">
        <f>IF(AND('Mapa final'!$AB$78="Media",'Mapa final'!$AD$78="Leve"),CONCATENATE("R25C",'Mapa final'!$R$78),"")</f>
        <v/>
      </c>
      <c r="M130" s="51" t="str">
        <f>IF(AND('Mapa final'!$AB$76="Media",'Mapa final'!$AD$76="Menor"),CONCATENATE("R25C",'Mapa final'!$R$76),"")</f>
        <v/>
      </c>
      <c r="N130" s="52" t="str">
        <f>IF(AND('Mapa final'!$AB$77="Media",'Mapa final'!$AD$77="Menor"),CONCATENATE("R25C",'Mapa final'!$R$77),"")</f>
        <v/>
      </c>
      <c r="O130" s="125" t="str">
        <f>IF(AND('Mapa final'!$AB$78="Media",'Mapa final'!$AD$78="Menor"),CONCATENATE("R25C",'Mapa final'!$R$78),"")</f>
        <v/>
      </c>
      <c r="P130" s="51" t="str">
        <f>IF(AND('Mapa final'!$AB$76="Media",'Mapa final'!$AD$76="Moderado"),CONCATENATE("R25C",'Mapa final'!$R$76),"")</f>
        <v/>
      </c>
      <c r="Q130" s="52" t="str">
        <f>IF(AND('Mapa final'!$AB$77="Media",'Mapa final'!$AD$77="Moderado"),CONCATENATE("R25C",'Mapa final'!$R$77),"")</f>
        <v/>
      </c>
      <c r="R130" s="125" t="str">
        <f>IF(AND('Mapa final'!$AB$78="Media",'Mapa final'!$AD$78="Moderado"),CONCATENATE("R25C",'Mapa final'!$R$78),"")</f>
        <v/>
      </c>
      <c r="S130" s="119" t="str">
        <f>IF(AND('Mapa final'!$AB$76="Media",'Mapa final'!$AD$76="Mayor"),CONCATENATE("R25C",'Mapa final'!$R$76),"")</f>
        <v/>
      </c>
      <c r="T130" s="44" t="str">
        <f>IF(AND('Mapa final'!$AB$77="Media",'Mapa final'!$AD$77="Mayor"),CONCATENATE("R25C",'Mapa final'!$R$77),"")</f>
        <v/>
      </c>
      <c r="U130" s="120" t="str">
        <f>IF(AND('Mapa final'!$AB$78="Media",'Mapa final'!$AD$78="Mayor"),CONCATENATE("R25C",'Mapa final'!$R$78),"")</f>
        <v/>
      </c>
      <c r="V130" s="45" t="str">
        <f>IF(AND('Mapa final'!$AB$76="Media",'Mapa final'!$AD$76="Catastrófico"),CONCATENATE("R25C",'Mapa final'!$R$76),"")</f>
        <v/>
      </c>
      <c r="W130" s="46" t="str">
        <f>IF(AND('Mapa final'!$AB$77="Media",'Mapa final'!$AD$77="Catastrófico"),CONCATENATE("R25C",'Mapa final'!$R$77),"")</f>
        <v/>
      </c>
      <c r="X130" s="114" t="str">
        <f>IF(AND('Mapa final'!$AB$78="Media",'Mapa final'!$AD$78="Catastrófico"),CONCATENATE("R25C",'Mapa final'!$R$78),"")</f>
        <v/>
      </c>
      <c r="Y130" s="58"/>
      <c r="Z130" s="398"/>
      <c r="AA130" s="399"/>
      <c r="AB130" s="399"/>
      <c r="AC130" s="399"/>
      <c r="AD130" s="399"/>
      <c r="AE130" s="400"/>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row>
    <row r="131" spans="1:61" ht="15" customHeight="1" x14ac:dyDescent="0.25">
      <c r="A131" s="58"/>
      <c r="B131" s="356"/>
      <c r="C131" s="356"/>
      <c r="D131" s="357"/>
      <c r="E131" s="371"/>
      <c r="F131" s="372"/>
      <c r="G131" s="372"/>
      <c r="H131" s="372"/>
      <c r="I131" s="370"/>
      <c r="J131" s="51" t="str">
        <f>IF(AND('Mapa final'!$AB$79="Media",'Mapa final'!$AD$79="Leve"),CONCATENATE("R26C",'Mapa final'!$R$79),"")</f>
        <v/>
      </c>
      <c r="K131" s="52" t="str">
        <f>IF(AND('Mapa final'!$AB$80="Media",'Mapa final'!$AD$80="Leve"),CONCATENATE("R26C",'Mapa final'!$R$80),"")</f>
        <v/>
      </c>
      <c r="L131" s="125" t="str">
        <f>IF(AND('Mapa final'!$AB$81="Media",'Mapa final'!$AD$81="Leve"),CONCATENATE("R26C",'Mapa final'!$R$81),"")</f>
        <v/>
      </c>
      <c r="M131" s="51" t="str">
        <f>IF(AND('Mapa final'!$AB$79="Media",'Mapa final'!$AD$79="Menor"),CONCATENATE("R26C",'Mapa final'!$R$79),"")</f>
        <v/>
      </c>
      <c r="N131" s="52" t="str">
        <f>IF(AND('Mapa final'!$AB$80="Media",'Mapa final'!$AD$80="Menor"),CONCATENATE("R26C",'Mapa final'!$R$80),"")</f>
        <v/>
      </c>
      <c r="O131" s="125" t="str">
        <f>IF(AND('Mapa final'!$AB$81="Media",'Mapa final'!$AD$81="Menor"),CONCATENATE("R26C",'Mapa final'!$R$81),"")</f>
        <v/>
      </c>
      <c r="P131" s="51" t="str">
        <f>IF(AND('Mapa final'!$AB$79="Media",'Mapa final'!$AD$79="Moderado"),CONCATENATE("R26C",'Mapa final'!$R$79),"")</f>
        <v/>
      </c>
      <c r="Q131" s="52" t="str">
        <f>IF(AND('Mapa final'!$AB$80="Media",'Mapa final'!$AD$80="Moderado"),CONCATENATE("R26C",'Mapa final'!$R$80),"")</f>
        <v/>
      </c>
      <c r="R131" s="125" t="str">
        <f>IF(AND('Mapa final'!$AB$81="Media",'Mapa final'!$AD$81="Moderado"),CONCATENATE("R26C",'Mapa final'!$R$81),"")</f>
        <v/>
      </c>
      <c r="S131" s="119" t="str">
        <f>IF(AND('Mapa final'!$AB$79="Media",'Mapa final'!$AD$79="Mayor"),CONCATENATE("R26C",'Mapa final'!$R$79),"")</f>
        <v/>
      </c>
      <c r="T131" s="44" t="str">
        <f>IF(AND('Mapa final'!$AB$80="Media",'Mapa final'!$AD$80="Mayor"),CONCATENATE("R26C",'Mapa final'!$R$80),"")</f>
        <v/>
      </c>
      <c r="U131" s="120" t="str">
        <f>IF(AND('Mapa final'!$AB$81="Media",'Mapa final'!$AD$81="Mayor"),CONCATENATE("R26C",'Mapa final'!$R$81),"")</f>
        <v/>
      </c>
      <c r="V131" s="45" t="str">
        <f>IF(AND('Mapa final'!$AB$79="Media",'Mapa final'!$AD$79="Catastrófico"),CONCATENATE("R26C",'Mapa final'!$R$79),"")</f>
        <v/>
      </c>
      <c r="W131" s="46" t="str">
        <f>IF(AND('Mapa final'!$AB$80="Media",'Mapa final'!$AD$80="Catastrófico"),CONCATENATE("R26C",'Mapa final'!$R$80),"")</f>
        <v/>
      </c>
      <c r="X131" s="114" t="str">
        <f>IF(AND('Mapa final'!$AB$81="Media",'Mapa final'!$AD$81="Catastrófico"),CONCATENATE("R26C",'Mapa final'!$R$81),"")</f>
        <v/>
      </c>
      <c r="Y131" s="58"/>
      <c r="Z131" s="398"/>
      <c r="AA131" s="399"/>
      <c r="AB131" s="399"/>
      <c r="AC131" s="399"/>
      <c r="AD131" s="399"/>
      <c r="AE131" s="400"/>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row>
    <row r="132" spans="1:61" ht="15" customHeight="1" x14ac:dyDescent="0.25">
      <c r="A132" s="58"/>
      <c r="B132" s="356"/>
      <c r="C132" s="356"/>
      <c r="D132" s="357"/>
      <c r="E132" s="371"/>
      <c r="F132" s="372"/>
      <c r="G132" s="372"/>
      <c r="H132" s="372"/>
      <c r="I132" s="370"/>
      <c r="J132" s="51" t="str">
        <f>IF(AND('Mapa final'!$AB$82="Media",'Mapa final'!$AD$82="Leve"),CONCATENATE("R27C",'Mapa final'!$R$82),"")</f>
        <v/>
      </c>
      <c r="K132" s="52" t="str">
        <f>IF(AND('Mapa final'!$AB$83="Media",'Mapa final'!$AD$83="Leve"),CONCATENATE("R27C",'Mapa final'!$R$83),"")</f>
        <v/>
      </c>
      <c r="L132" s="125" t="str">
        <f>IF(AND('Mapa final'!$AB$84="Media",'Mapa final'!$AD$84="Leve"),CONCATENATE("R27C",'Mapa final'!$R$84),"")</f>
        <v/>
      </c>
      <c r="M132" s="51" t="str">
        <f>IF(AND('Mapa final'!$AB$82="Media",'Mapa final'!$AD$82="Menor"),CONCATENATE("R27C",'Mapa final'!$R$82),"")</f>
        <v/>
      </c>
      <c r="N132" s="52" t="str">
        <f>IF(AND('Mapa final'!$AB$83="Media",'Mapa final'!$AD$83="Menor"),CONCATENATE("R27C",'Mapa final'!$R$83),"")</f>
        <v/>
      </c>
      <c r="O132" s="125" t="str">
        <f>IF(AND('Mapa final'!$AB$84="Media",'Mapa final'!$AD$84="Menor"),CONCATENATE("R27C",'Mapa final'!$R$84),"")</f>
        <v/>
      </c>
      <c r="P132" s="51" t="str">
        <f>IF(AND('Mapa final'!$AB$82="Media",'Mapa final'!$AD$82="Moderado"),CONCATENATE("R27C",'Mapa final'!$R$82),"")</f>
        <v/>
      </c>
      <c r="Q132" s="52" t="str">
        <f>IF(AND('Mapa final'!$AB$83="Media",'Mapa final'!$AD$83="Moderado"),CONCATENATE("R27C",'Mapa final'!$R$83),"")</f>
        <v/>
      </c>
      <c r="R132" s="125" t="str">
        <f>IF(AND('Mapa final'!$AB$84="Media",'Mapa final'!$AD$84="Moderado"),CONCATENATE("R27C",'Mapa final'!$R$84),"")</f>
        <v/>
      </c>
      <c r="S132" s="119" t="str">
        <f>IF(AND('Mapa final'!$AB$82="Media",'Mapa final'!$AD$82="Mayor"),CONCATENATE("R27C",'Mapa final'!$R$82),"")</f>
        <v/>
      </c>
      <c r="T132" s="44" t="str">
        <f>IF(AND('Mapa final'!$AB$83="Media",'Mapa final'!$AD$83="Mayor"),CONCATENATE("R27C",'Mapa final'!$R$83),"")</f>
        <v/>
      </c>
      <c r="U132" s="120" t="str">
        <f>IF(AND('Mapa final'!$AB$84="Media",'Mapa final'!$AD$84="Mayor"),CONCATENATE("R27C",'Mapa final'!$R$84),"")</f>
        <v/>
      </c>
      <c r="V132" s="45" t="str">
        <f>IF(AND('Mapa final'!$AB$82="Media",'Mapa final'!$AD$82="Catastrófico"),CONCATENATE("R27C",'Mapa final'!$R$82),"")</f>
        <v/>
      </c>
      <c r="W132" s="46" t="str">
        <f>IF(AND('Mapa final'!$AB$83="Media",'Mapa final'!$AD$83="Catastrófico"),CONCATENATE("R27C",'Mapa final'!$R$83),"")</f>
        <v/>
      </c>
      <c r="X132" s="114" t="str">
        <f>IF(AND('Mapa final'!$AB$84="Media",'Mapa final'!$AD$84="Catastrófico"),CONCATENATE("R27C",'Mapa final'!$R$84),"")</f>
        <v/>
      </c>
      <c r="Y132" s="58"/>
      <c r="Z132" s="398"/>
      <c r="AA132" s="399"/>
      <c r="AB132" s="399"/>
      <c r="AC132" s="399"/>
      <c r="AD132" s="399"/>
      <c r="AE132" s="400"/>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row>
    <row r="133" spans="1:61" ht="15" customHeight="1" x14ac:dyDescent="0.25">
      <c r="A133" s="58"/>
      <c r="B133" s="356"/>
      <c r="C133" s="356"/>
      <c r="D133" s="357"/>
      <c r="E133" s="371"/>
      <c r="F133" s="372"/>
      <c r="G133" s="372"/>
      <c r="H133" s="372"/>
      <c r="I133" s="370"/>
      <c r="J133" s="51" t="str">
        <f>IF(AND('Mapa final'!$AB$85="Media",'Mapa final'!$AD$85="Leve"),CONCATENATE("R28C",'Mapa final'!$R$85),"")</f>
        <v/>
      </c>
      <c r="K133" s="52" t="str">
        <f>IF(AND('Mapa final'!$AB$86="Media",'Mapa final'!$AD$86="Leve"),CONCATENATE("R28C",'Mapa final'!$R$86),"")</f>
        <v/>
      </c>
      <c r="L133" s="125" t="str">
        <f>IF(AND('Mapa final'!$AB$87="Media",'Mapa final'!$AD$87="Leve"),CONCATENATE("R28C",'Mapa final'!$R$87),"")</f>
        <v/>
      </c>
      <c r="M133" s="51" t="str">
        <f>IF(AND('Mapa final'!$AB$85="Media",'Mapa final'!$AD$85="Menor"),CONCATENATE("R28C",'Mapa final'!$R$85),"")</f>
        <v/>
      </c>
      <c r="N133" s="52" t="str">
        <f>IF(AND('Mapa final'!$AB$86="Media",'Mapa final'!$AD$86="Menor"),CONCATENATE("R28C",'Mapa final'!$R$86),"")</f>
        <v/>
      </c>
      <c r="O133" s="125" t="str">
        <f>IF(AND('Mapa final'!$AB$87="Media",'Mapa final'!$AD$87="Menor"),CONCATENATE("R28C",'Mapa final'!$R$87),"")</f>
        <v/>
      </c>
      <c r="P133" s="51" t="str">
        <f>IF(AND('Mapa final'!$AB$85="Media",'Mapa final'!$AD$85="Moderado"),CONCATENATE("R28C",'Mapa final'!$R$85),"")</f>
        <v/>
      </c>
      <c r="Q133" s="52" t="str">
        <f>IF(AND('Mapa final'!$AB$86="Media",'Mapa final'!$AD$86="Moderado"),CONCATENATE("R28C",'Mapa final'!$R$86),"")</f>
        <v/>
      </c>
      <c r="R133" s="125" t="str">
        <f>IF(AND('Mapa final'!$AB$87="Media",'Mapa final'!$AD$87="Moderado"),CONCATENATE("R28C",'Mapa final'!$R$87),"")</f>
        <v/>
      </c>
      <c r="S133" s="119" t="str">
        <f>IF(AND('Mapa final'!$AB$85="Media",'Mapa final'!$AD$85="Mayor"),CONCATENATE("R28C",'Mapa final'!$R$85),"")</f>
        <v/>
      </c>
      <c r="T133" s="44" t="str">
        <f>IF(AND('Mapa final'!$AB$86="Media",'Mapa final'!$AD$86="Mayor"),CONCATENATE("R28C",'Mapa final'!$R$86),"")</f>
        <v/>
      </c>
      <c r="U133" s="120" t="str">
        <f>IF(AND('Mapa final'!$AB$87="Media",'Mapa final'!$AD$87="Mayor"),CONCATENATE("R28C",'Mapa final'!$R$87),"")</f>
        <v/>
      </c>
      <c r="V133" s="45" t="str">
        <f>IF(AND('Mapa final'!$AB$85="Media",'Mapa final'!$AD$85="Catastrófico"),CONCATENATE("R28C",'Mapa final'!$R$85),"")</f>
        <v/>
      </c>
      <c r="W133" s="46" t="str">
        <f>IF(AND('Mapa final'!$AB$86="Media",'Mapa final'!$AD$86="Catastrófico"),CONCATENATE("R28C",'Mapa final'!$R$86),"")</f>
        <v/>
      </c>
      <c r="X133" s="114" t="str">
        <f>IF(AND('Mapa final'!$AB$87="Media",'Mapa final'!$AD$87="Catastrófico"),CONCATENATE("R28C",'Mapa final'!$R$87),"")</f>
        <v/>
      </c>
      <c r="Y133" s="58"/>
      <c r="Z133" s="398"/>
      <c r="AA133" s="399"/>
      <c r="AB133" s="399"/>
      <c r="AC133" s="399"/>
      <c r="AD133" s="399"/>
      <c r="AE133" s="400"/>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row>
    <row r="134" spans="1:61" ht="15" customHeight="1" x14ac:dyDescent="0.25">
      <c r="A134" s="58"/>
      <c r="B134" s="356"/>
      <c r="C134" s="356"/>
      <c r="D134" s="357"/>
      <c r="E134" s="371"/>
      <c r="F134" s="372"/>
      <c r="G134" s="372"/>
      <c r="H134" s="372"/>
      <c r="I134" s="370"/>
      <c r="J134" s="51" t="str">
        <f>IF(AND('Mapa final'!$AB$88="Media",'Mapa final'!$AD$88="Leve"),CONCATENATE("R29C",'Mapa final'!$R$88),"")</f>
        <v/>
      </c>
      <c r="K134" s="52" t="str">
        <f>IF(AND('Mapa final'!$AB$89="Media",'Mapa final'!$AD$89="Leve"),CONCATENATE("R29C",'Mapa final'!$R$89),"")</f>
        <v/>
      </c>
      <c r="L134" s="125" t="str">
        <f>IF(AND('Mapa final'!$AB$90="Media",'Mapa final'!$AD$90="Leve"),CONCATENATE("R30C",'Mapa final'!$R$90),"")</f>
        <v/>
      </c>
      <c r="M134" s="51" t="str">
        <f>IF(AND('Mapa final'!$AB$88="Media",'Mapa final'!$AD$88="Menor"),CONCATENATE("R29C",'Mapa final'!$R$88),"")</f>
        <v/>
      </c>
      <c r="N134" s="52" t="str">
        <f>IF(AND('Mapa final'!$AB$89="Media",'Mapa final'!$AD$89="Menor"),CONCATENATE("R29C",'Mapa final'!$R$89),"")</f>
        <v/>
      </c>
      <c r="O134" s="125" t="str">
        <f>IF(AND('Mapa final'!$AB$90="Media",'Mapa final'!$AD$90="Menor"),CONCATENATE("R30C",'Mapa final'!$R$90),"")</f>
        <v/>
      </c>
      <c r="P134" s="51" t="str">
        <f>IF(AND('Mapa final'!$AB$88="Media",'Mapa final'!$AD$88="Moderado"),CONCATENATE("R29C",'Mapa final'!$R$88),"")</f>
        <v/>
      </c>
      <c r="Q134" s="52" t="str">
        <f>IF(AND('Mapa final'!$AB$89="Media",'Mapa final'!$AD$89="Moderado"),CONCATENATE("R29C",'Mapa final'!$R$89),"")</f>
        <v/>
      </c>
      <c r="R134" s="125" t="str">
        <f>IF(AND('Mapa final'!$AB$90="Media",'Mapa final'!$AD$90="Moderado"),CONCATENATE("R30C",'Mapa final'!$R$90),"")</f>
        <v/>
      </c>
      <c r="S134" s="119" t="str">
        <f>IF(AND('Mapa final'!$AB$88="Media",'Mapa final'!$AD$88="Mayor"),CONCATENATE("R29C",'Mapa final'!$R$88),"")</f>
        <v/>
      </c>
      <c r="T134" s="44" t="str">
        <f>IF(AND('Mapa final'!$AB$89="Media",'Mapa final'!$AD$89="Mayor"),CONCATENATE("R29C",'Mapa final'!$R$89),"")</f>
        <v/>
      </c>
      <c r="U134" s="120" t="str">
        <f>IF(AND('Mapa final'!$AB$90="Media",'Mapa final'!$AD$90="Mayor"),CONCATENATE("R30C",'Mapa final'!$R$90),"")</f>
        <v/>
      </c>
      <c r="V134" s="45" t="str">
        <f>IF(AND('Mapa final'!$AB$88="Media",'Mapa final'!$AD$88="Catastrófico"),CONCATENATE("R29C",'Mapa final'!$R$88),"")</f>
        <v/>
      </c>
      <c r="W134" s="46" t="str">
        <f>IF(AND('Mapa final'!$AB$89="Media",'Mapa final'!$AD$89="Catastrófico"),CONCATENATE("R29C",'Mapa final'!$R$89),"")</f>
        <v/>
      </c>
      <c r="X134" s="114" t="str">
        <f>IF(AND('Mapa final'!$AB$90="Media",'Mapa final'!$AD$90="Catastrófico"),CONCATENATE("R30C",'Mapa final'!$R$90),"")</f>
        <v/>
      </c>
      <c r="Y134" s="58"/>
      <c r="Z134" s="398"/>
      <c r="AA134" s="399"/>
      <c r="AB134" s="399"/>
      <c r="AC134" s="399"/>
      <c r="AD134" s="399"/>
      <c r="AE134" s="400"/>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row>
    <row r="135" spans="1:61" ht="15" customHeight="1" x14ac:dyDescent="0.25">
      <c r="A135" s="58"/>
      <c r="B135" s="356"/>
      <c r="C135" s="356"/>
      <c r="D135" s="357"/>
      <c r="E135" s="371"/>
      <c r="F135" s="372"/>
      <c r="G135" s="372"/>
      <c r="H135" s="372"/>
      <c r="I135" s="370"/>
      <c r="J135" s="51" t="str">
        <f>IF(AND('Mapa final'!$AB$91="Media",'Mapa final'!$AD$91="Leve"),CONCATENATE("R30C",'Mapa final'!$R$91),"")</f>
        <v/>
      </c>
      <c r="K135" s="52" t="str">
        <f>IF(AND('Mapa final'!$AB$92="Media",'Mapa final'!$AD$92="Leve"),CONCATENATE("R30C",'Mapa final'!$R$92),"")</f>
        <v/>
      </c>
      <c r="L135" s="125" t="str">
        <f>IF(AND('Mapa final'!$AB$93="Media",'Mapa final'!$AD$93="Leve"),CONCATENATE("R31C",'Mapa final'!$R$93),"")</f>
        <v/>
      </c>
      <c r="M135" s="51" t="str">
        <f>IF(AND('Mapa final'!$AB$91="Media",'Mapa final'!$AD$91="Menor"),CONCATENATE("R30C",'Mapa final'!$R$91),"")</f>
        <v/>
      </c>
      <c r="N135" s="52" t="str">
        <f>IF(AND('Mapa final'!$AB$92="Media",'Mapa final'!$AD$92="Menor"),CONCATENATE("R30C",'Mapa final'!$R$92),"")</f>
        <v/>
      </c>
      <c r="O135" s="125" t="str">
        <f>IF(AND('Mapa final'!$AB$93="Media",'Mapa final'!$AD$93="Menor"),CONCATENATE("R31C",'Mapa final'!$R$93),"")</f>
        <v/>
      </c>
      <c r="P135" s="51" t="str">
        <f>IF(AND('Mapa final'!$AB$91="Media",'Mapa final'!$AD$91="Moderado"),CONCATENATE("R30C",'Mapa final'!$R$91),"")</f>
        <v/>
      </c>
      <c r="Q135" s="52" t="str">
        <f>IF(AND('Mapa final'!$AB$92="Media",'Mapa final'!$AD$92="Moderado"),CONCATENATE("R30C",'Mapa final'!$R$92),"")</f>
        <v/>
      </c>
      <c r="R135" s="125" t="str">
        <f>IF(AND('Mapa final'!$AB$93="Media",'Mapa final'!$AD$93="Moderado"),CONCATENATE("R31C",'Mapa final'!$R$93),"")</f>
        <v/>
      </c>
      <c r="S135" s="119" t="str">
        <f>IF(AND('Mapa final'!$AB$91="Media",'Mapa final'!$AD$91="Mayor"),CONCATENATE("R30C",'Mapa final'!$R$91),"")</f>
        <v>R30C1</v>
      </c>
      <c r="T135" s="44" t="str">
        <f>IF(AND('Mapa final'!$AB$92="Media",'Mapa final'!$AD$92="Mayor"),CONCATENATE("R30C",'Mapa final'!$R$92),"")</f>
        <v/>
      </c>
      <c r="U135" s="120" t="str">
        <f>IF(AND('Mapa final'!$AB$93="Media",'Mapa final'!$AD$93="Mayor"),CONCATENATE("R31C",'Mapa final'!$R$93),"")</f>
        <v/>
      </c>
      <c r="V135" s="45" t="str">
        <f>IF(AND('Mapa final'!$AB$91="Media",'Mapa final'!$AD$91="Catastrófico"),CONCATENATE("R30C",'Mapa final'!$R$91),"")</f>
        <v/>
      </c>
      <c r="W135" s="46" t="str">
        <f>IF(AND('Mapa final'!$AB$92="Media",'Mapa final'!$AD$92="Catastrófico"),CONCATENATE("R30C",'Mapa final'!$R$92),"")</f>
        <v/>
      </c>
      <c r="X135" s="114" t="str">
        <f>IF(AND('Mapa final'!$AB$93="Media",'Mapa final'!$AD$93="Catastrófico"),CONCATENATE("R31C",'Mapa final'!$R$93),"")</f>
        <v/>
      </c>
      <c r="Y135" s="58"/>
      <c r="Z135" s="398"/>
      <c r="AA135" s="399"/>
      <c r="AB135" s="399"/>
      <c r="AC135" s="399"/>
      <c r="AD135" s="399"/>
      <c r="AE135" s="400"/>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row>
    <row r="136" spans="1:61" ht="15" customHeight="1" x14ac:dyDescent="0.25">
      <c r="A136" s="58"/>
      <c r="B136" s="356"/>
      <c r="C136" s="356"/>
      <c r="D136" s="357"/>
      <c r="E136" s="371"/>
      <c r="F136" s="372"/>
      <c r="G136" s="372"/>
      <c r="H136" s="372"/>
      <c r="I136" s="370"/>
      <c r="J136" s="51" t="str">
        <f>IF(AND('Mapa final'!$AB$94="Media",'Mapa final'!$AD$94="Leve"),CONCATENATE("R31C",'Mapa final'!$R$94),"")</f>
        <v/>
      </c>
      <c r="K136" s="52" t="str">
        <f>IF(AND('Mapa final'!$AB$95="Media",'Mapa final'!$AD$95="Leve"),CONCATENATE("R31C",'Mapa final'!$R$95),"")</f>
        <v/>
      </c>
      <c r="L136" s="125" t="str">
        <f>IF(AND('Mapa final'!$AB$96="Media",'Mapa final'!$AD$96="Leve"),CONCATENATE("R32C",'Mapa final'!$R$96),"")</f>
        <v/>
      </c>
      <c r="M136" s="51" t="str">
        <f>IF(AND('Mapa final'!$AB$94="Media",'Mapa final'!$AD$94="Menor"),CONCATENATE("R31C",'Mapa final'!$R$94),"")</f>
        <v/>
      </c>
      <c r="N136" s="52" t="str">
        <f>IF(AND('Mapa final'!$AB$95="Media",'Mapa final'!$AD$95="Menor"),CONCATENATE("R31C",'Mapa final'!$R$95),"")</f>
        <v/>
      </c>
      <c r="O136" s="125" t="str">
        <f>IF(AND('Mapa final'!$AB$96="Media",'Mapa final'!$AD$96="Menor"),CONCATENATE("R32C",'Mapa final'!$R$96),"")</f>
        <v/>
      </c>
      <c r="P136" s="51" t="str">
        <f>IF(AND('Mapa final'!$AB$94="Media",'Mapa final'!$AD$94="Moderado"),CONCATENATE("R31C",'Mapa final'!$R$94),"")</f>
        <v/>
      </c>
      <c r="Q136" s="52" t="str">
        <f>IF(AND('Mapa final'!$AB$95="Media",'Mapa final'!$AD$95="Moderado"),CONCATENATE("R31C",'Mapa final'!$R$95),"")</f>
        <v/>
      </c>
      <c r="R136" s="125" t="str">
        <f>IF(AND('Mapa final'!$AB$96="Media",'Mapa final'!$AD$96="Moderado"),CONCATENATE("R32C",'Mapa final'!$R$96),"")</f>
        <v/>
      </c>
      <c r="S136" s="119" t="str">
        <f>IF(AND('Mapa final'!$AB$94="Media",'Mapa final'!$AD$94="Mayor"),CONCATENATE("R31C",'Mapa final'!$R$94),"")</f>
        <v/>
      </c>
      <c r="T136" s="44" t="str">
        <f>IF(AND('Mapa final'!$AB$95="Media",'Mapa final'!$AD$95="Mayor"),CONCATENATE("R31C",'Mapa final'!$R$95),"")</f>
        <v/>
      </c>
      <c r="U136" s="120" t="str">
        <f>IF(AND('Mapa final'!$AB$96="Media",'Mapa final'!$AD$96="Mayor"),CONCATENATE("R32C",'Mapa final'!$R$96),"")</f>
        <v/>
      </c>
      <c r="V136" s="45" t="str">
        <f>IF(AND('Mapa final'!$AB$94="Media",'Mapa final'!$AD$94="Catastrófico"),CONCATENATE("R31C",'Mapa final'!$R$94),"")</f>
        <v/>
      </c>
      <c r="W136" s="46" t="str">
        <f>IF(AND('Mapa final'!$AB$95="Media",'Mapa final'!$AD$95="Catastrófico"),CONCATENATE("R31C",'Mapa final'!$R$95),"")</f>
        <v/>
      </c>
      <c r="X136" s="114" t="str">
        <f>IF(AND('Mapa final'!$AB$96="Media",'Mapa final'!$AD$96="Catastrófico"),CONCATENATE("R32C",'Mapa final'!$R$96),"")</f>
        <v/>
      </c>
      <c r="Y136" s="58"/>
      <c r="Z136" s="398"/>
      <c r="AA136" s="399"/>
      <c r="AB136" s="399"/>
      <c r="AC136" s="399"/>
      <c r="AD136" s="399"/>
      <c r="AE136" s="400"/>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row>
    <row r="137" spans="1:61" ht="15" customHeight="1" x14ac:dyDescent="0.25">
      <c r="A137" s="58"/>
      <c r="B137" s="356"/>
      <c r="C137" s="356"/>
      <c r="D137" s="357"/>
      <c r="E137" s="371"/>
      <c r="F137" s="372"/>
      <c r="G137" s="372"/>
      <c r="H137" s="372"/>
      <c r="I137" s="370"/>
      <c r="J137" s="51" t="str">
        <f>IF(AND('Mapa final'!$AB$97="Media",'Mapa final'!$AD$97="Leve"),CONCATENATE("R32C",'Mapa final'!$R$97),"")</f>
        <v/>
      </c>
      <c r="K137" s="52" t="str">
        <f>IF(AND('Mapa final'!$AB$98="Media",'Mapa final'!$AD$98="Leve"),CONCATENATE("R32C",'Mapa final'!$R$98),"")</f>
        <v/>
      </c>
      <c r="L137" s="125" t="str">
        <f>IF(AND('Mapa final'!$AB$99="Media",'Mapa final'!$AD$99="Leve"),CONCATENATE("R33C",'Mapa final'!$R$99),"")</f>
        <v/>
      </c>
      <c r="M137" s="51" t="str">
        <f>IF(AND('Mapa final'!$AB$97="Media",'Mapa final'!$AD$97="Menor"),CONCATENATE("R32C",'Mapa final'!$R$97),"")</f>
        <v/>
      </c>
      <c r="N137" s="52" t="str">
        <f>IF(AND('Mapa final'!$AB$98="Media",'Mapa final'!$AD$98="Menor"),CONCATENATE("R32C",'Mapa final'!$R$98),"")</f>
        <v/>
      </c>
      <c r="O137" s="125" t="str">
        <f>IF(AND('Mapa final'!$AB$99="Media",'Mapa final'!$AD$99="Menor"),CONCATENATE("R33C",'Mapa final'!$R$99),"")</f>
        <v/>
      </c>
      <c r="P137" s="51" t="str">
        <f>IF(AND('Mapa final'!$AB$97="Media",'Mapa final'!$AD$97="Moderado"),CONCATENATE("R32C",'Mapa final'!$R$97),"")</f>
        <v>R32C1</v>
      </c>
      <c r="Q137" s="52" t="str">
        <f>IF(AND('Mapa final'!$AB$98="Media",'Mapa final'!$AD$98="Moderado"),CONCATENATE("R32C",'Mapa final'!$R$98),"")</f>
        <v/>
      </c>
      <c r="R137" s="125" t="str">
        <f>IF(AND('Mapa final'!$AB$99="Media",'Mapa final'!$AD$99="Moderado"),CONCATENATE("R33C",'Mapa final'!$R$99),"")</f>
        <v/>
      </c>
      <c r="S137" s="119" t="str">
        <f>IF(AND('Mapa final'!$AB$97="Media",'Mapa final'!$AD$97="Mayor"),CONCATENATE("R32C",'Mapa final'!$R$97),"")</f>
        <v/>
      </c>
      <c r="T137" s="44" t="str">
        <f>IF(AND('Mapa final'!$AB$98="Media",'Mapa final'!$AD$98="Mayor"),CONCATENATE("R32C",'Mapa final'!$R$98),"")</f>
        <v/>
      </c>
      <c r="U137" s="120" t="str">
        <f>IF(AND('Mapa final'!$AB$99="Media",'Mapa final'!$AD$99="Mayor"),CONCATENATE("R33C",'Mapa final'!$R$99),"")</f>
        <v/>
      </c>
      <c r="V137" s="45" t="str">
        <f>IF(AND('Mapa final'!$AB$97="Media",'Mapa final'!$AD$97="Catastrófico"),CONCATENATE("R32C",'Mapa final'!$R$97),"")</f>
        <v/>
      </c>
      <c r="W137" s="46" t="str">
        <f>IF(AND('Mapa final'!$AB$98="Media",'Mapa final'!$AD$98="Catastrófico"),CONCATENATE("R32C",'Mapa final'!$R$98),"")</f>
        <v/>
      </c>
      <c r="X137" s="114" t="str">
        <f>IF(AND('Mapa final'!$AB$99="Media",'Mapa final'!$AD$99="Catastrófico"),CONCATENATE("R33C",'Mapa final'!$R$99),"")</f>
        <v/>
      </c>
      <c r="Y137" s="58"/>
      <c r="Z137" s="398"/>
      <c r="AA137" s="399"/>
      <c r="AB137" s="399"/>
      <c r="AC137" s="399"/>
      <c r="AD137" s="399"/>
      <c r="AE137" s="400"/>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row>
    <row r="138" spans="1:61" ht="15" customHeight="1" x14ac:dyDescent="0.25">
      <c r="A138" s="58"/>
      <c r="B138" s="356"/>
      <c r="C138" s="356"/>
      <c r="D138" s="357"/>
      <c r="E138" s="371"/>
      <c r="F138" s="372"/>
      <c r="G138" s="372"/>
      <c r="H138" s="372"/>
      <c r="I138" s="370"/>
      <c r="J138" s="51" t="str">
        <f>IF(AND('Mapa final'!$AB$100="Media",'Mapa final'!$AD$100="Leve"),CONCATENATE("R33C",'Mapa final'!$R$100),"")</f>
        <v/>
      </c>
      <c r="K138" s="52" t="str">
        <f>IF(AND('Mapa final'!$AB$101="Media",'Mapa final'!$AD$101="Leve"),CONCATENATE("R33C",'Mapa final'!$R$101),"")</f>
        <v/>
      </c>
      <c r="L138" s="125" t="str">
        <f>IF(AND('Mapa final'!$AB$102="Media",'Mapa final'!$AD$102="Leve"),CONCATENATE("R34C",'Mapa final'!$R$102),"")</f>
        <v/>
      </c>
      <c r="M138" s="51" t="str">
        <f>IF(AND('Mapa final'!$AB$100="Media",'Mapa final'!$AD$100="Menor"),CONCATENATE("R33C",'Mapa final'!$R$100),"")</f>
        <v/>
      </c>
      <c r="N138" s="52" t="str">
        <f>IF(AND('Mapa final'!$AB$101="Media",'Mapa final'!$AD$101="Menor"),CONCATENATE("R33C",'Mapa final'!$R$101),"")</f>
        <v/>
      </c>
      <c r="O138" s="125" t="str">
        <f>IF(AND('Mapa final'!$AB$102="Media",'Mapa final'!$AD$102="Menor"),CONCATENATE("R34C",'Mapa final'!$R$102),"")</f>
        <v/>
      </c>
      <c r="P138" s="51" t="str">
        <f>IF(AND('Mapa final'!$AB$100="Media",'Mapa final'!$AD$100="Moderado"),CONCATENATE("R33C",'Mapa final'!$R$100),"")</f>
        <v>R33C1</v>
      </c>
      <c r="Q138" s="52" t="str">
        <f>IF(AND('Mapa final'!$AB$101="Media",'Mapa final'!$AD$101="Moderado"),CONCATENATE("R33C",'Mapa final'!$R$101),"")</f>
        <v/>
      </c>
      <c r="R138" s="125" t="str">
        <f>IF(AND('Mapa final'!$AB$102="Media",'Mapa final'!$AD$102="Moderado"),CONCATENATE("R34C",'Mapa final'!$R$102),"")</f>
        <v/>
      </c>
      <c r="S138" s="119" t="str">
        <f>IF(AND('Mapa final'!$AB$100="Media",'Mapa final'!$AD$100="Mayor"),CONCATENATE("R33C",'Mapa final'!$R$100),"")</f>
        <v/>
      </c>
      <c r="T138" s="44" t="str">
        <f>IF(AND('Mapa final'!$AB$101="Media",'Mapa final'!$AD$101="Mayor"),CONCATENATE("R33C",'Mapa final'!$R$101),"")</f>
        <v/>
      </c>
      <c r="U138" s="120" t="str">
        <f>IF(AND('Mapa final'!$AB$102="Media",'Mapa final'!$AD$102="Mayor"),CONCATENATE("R34C",'Mapa final'!$R$102),"")</f>
        <v/>
      </c>
      <c r="V138" s="45" t="str">
        <f>IF(AND('Mapa final'!$AB$100="Media",'Mapa final'!$AD$100="Catastrófico"),CONCATENATE("R33C",'Mapa final'!$R$100),"")</f>
        <v/>
      </c>
      <c r="W138" s="46" t="str">
        <f>IF(AND('Mapa final'!$AB$101="Media",'Mapa final'!$AD$101="Catastrófico"),CONCATENATE("R33C",'Mapa final'!$R$101),"")</f>
        <v/>
      </c>
      <c r="X138" s="114" t="str">
        <f>IF(AND('Mapa final'!$AB$102="Media",'Mapa final'!$AD$102="Catastrófico"),CONCATENATE("R34C",'Mapa final'!$R$102),"")</f>
        <v/>
      </c>
      <c r="Y138" s="58"/>
      <c r="Z138" s="398"/>
      <c r="AA138" s="399"/>
      <c r="AB138" s="399"/>
      <c r="AC138" s="399"/>
      <c r="AD138" s="399"/>
      <c r="AE138" s="400"/>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row>
    <row r="139" spans="1:61" ht="15" customHeight="1" x14ac:dyDescent="0.25">
      <c r="A139" s="58"/>
      <c r="B139" s="356"/>
      <c r="C139" s="356"/>
      <c r="D139" s="357"/>
      <c r="E139" s="371"/>
      <c r="F139" s="372"/>
      <c r="G139" s="372"/>
      <c r="H139" s="372"/>
      <c r="I139" s="370"/>
      <c r="J139" s="51" t="str">
        <f>IF(AND('Mapa final'!$AB$103="Media",'Mapa final'!$AD$103="Leve"),CONCATENATE("R34C",'Mapa final'!$R$103),"")</f>
        <v/>
      </c>
      <c r="K139" s="52" t="str">
        <f>IF(AND('Mapa final'!$AB$104="Media",'Mapa final'!$AD$104="Leve"),CONCATENATE("R34C",'Mapa final'!$R$104),"")</f>
        <v/>
      </c>
      <c r="L139" s="125" t="str">
        <f>IF(AND('Mapa final'!$AB$105="Media",'Mapa final'!$AD$105="Leve"),CONCATENATE("R35C",'Mapa final'!$R$105),"")</f>
        <v/>
      </c>
      <c r="M139" s="51" t="str">
        <f>IF(AND('Mapa final'!$AB$103="Media",'Mapa final'!$AD$103="Menor"),CONCATENATE("R34C",'Mapa final'!$R$103),"")</f>
        <v/>
      </c>
      <c r="N139" s="52" t="str">
        <f>IF(AND('Mapa final'!$AB$104="Media",'Mapa final'!$AD$104="Menor"),CONCATENATE("R34C",'Mapa final'!$R$104),"")</f>
        <v/>
      </c>
      <c r="O139" s="125" t="str">
        <f>IF(AND('Mapa final'!$AB$105="Media",'Mapa final'!$AD$105="Menor"),CONCATENATE("R35C",'Mapa final'!$R$105),"")</f>
        <v/>
      </c>
      <c r="P139" s="51" t="str">
        <f>IF(AND('Mapa final'!$AB$103="Media",'Mapa final'!$AD$103="Moderado"),CONCATENATE("R34C",'Mapa final'!$R$103),"")</f>
        <v/>
      </c>
      <c r="Q139" s="52" t="str">
        <f>IF(AND('Mapa final'!$AB$104="Media",'Mapa final'!$AD$104="Moderado"),CONCATENATE("R34C",'Mapa final'!$R$104),"")</f>
        <v/>
      </c>
      <c r="R139" s="125" t="str">
        <f>IF(AND('Mapa final'!$AB$105="Media",'Mapa final'!$AD$105="Moderado"),CONCATENATE("R35C",'Mapa final'!$R$105),"")</f>
        <v/>
      </c>
      <c r="S139" s="119" t="str">
        <f>IF(AND('Mapa final'!$AB$103="Media",'Mapa final'!$AD$103="Mayor"),CONCATENATE("R34C",'Mapa final'!$R$103),"")</f>
        <v/>
      </c>
      <c r="T139" s="44" t="str">
        <f>IF(AND('Mapa final'!$AB$104="Media",'Mapa final'!$AD$104="Mayor"),CONCATENATE("R34C",'Mapa final'!$R$104),"")</f>
        <v/>
      </c>
      <c r="U139" s="120" t="str">
        <f>IF(AND('Mapa final'!$AB$105="Media",'Mapa final'!$AD$105="Mayor"),CONCATENATE("R35C",'Mapa final'!$R$105),"")</f>
        <v/>
      </c>
      <c r="V139" s="45" t="str">
        <f>IF(AND('Mapa final'!$AB$103="Media",'Mapa final'!$AD$103="Catastrófico"),CONCATENATE("R34C",'Mapa final'!$R$103),"")</f>
        <v/>
      </c>
      <c r="W139" s="46" t="str">
        <f>IF(AND('Mapa final'!$AB$104="Media",'Mapa final'!$AD$104="Catastrófico"),CONCATENATE("R34C",'Mapa final'!$R$104),"")</f>
        <v/>
      </c>
      <c r="X139" s="114" t="str">
        <f>IF(AND('Mapa final'!$AB$105="Media",'Mapa final'!$AD$105="Catastrófico"),CONCATENATE("R35C",'Mapa final'!$R$105),"")</f>
        <v/>
      </c>
      <c r="Y139" s="58"/>
      <c r="Z139" s="398"/>
      <c r="AA139" s="399"/>
      <c r="AB139" s="399"/>
      <c r="AC139" s="399"/>
      <c r="AD139" s="399"/>
      <c r="AE139" s="400"/>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row>
    <row r="140" spans="1:61" ht="15" customHeight="1" x14ac:dyDescent="0.25">
      <c r="A140" s="58"/>
      <c r="B140" s="356"/>
      <c r="C140" s="356"/>
      <c r="D140" s="357"/>
      <c r="E140" s="371"/>
      <c r="F140" s="372"/>
      <c r="G140" s="372"/>
      <c r="H140" s="372"/>
      <c r="I140" s="370"/>
      <c r="J140" s="51" t="str">
        <f>IF(AND('Mapa final'!$AB$106="Media",'Mapa final'!$AD$106="Leve"),CONCATENATE("R35C",'Mapa final'!$R$106),"")</f>
        <v/>
      </c>
      <c r="K140" s="52" t="str">
        <f>IF(AND('Mapa final'!$AB$107="Media",'Mapa final'!$AD$107="Leve"),CONCATENATE("R35C",'Mapa final'!$R$107),"")</f>
        <v/>
      </c>
      <c r="L140" s="125" t="str">
        <f>IF(AND('Mapa final'!$AB$108="Media",'Mapa final'!$AD$108="Leve"),CONCATENATE("R36C",'Mapa final'!$R$108),"")</f>
        <v/>
      </c>
      <c r="M140" s="51" t="str">
        <f>IF(AND('Mapa final'!$AB$106="Media",'Mapa final'!$AD$106="Menor"),CONCATENATE("R35C",'Mapa final'!$R$106),"")</f>
        <v/>
      </c>
      <c r="N140" s="52" t="str">
        <f>IF(AND('Mapa final'!$AB$107="Media",'Mapa final'!$AD$107="Menor"),CONCATENATE("R35C",'Mapa final'!$R$107),"")</f>
        <v/>
      </c>
      <c r="O140" s="125" t="str">
        <f>IF(AND('Mapa final'!$AB$108="Media",'Mapa final'!$AD$108="Menor"),CONCATENATE("R36C",'Mapa final'!$R$108),"")</f>
        <v/>
      </c>
      <c r="P140" s="51" t="str">
        <f>IF(AND('Mapa final'!$AB$106="Media",'Mapa final'!$AD$106="Moderado"),CONCATENATE("R35C",'Mapa final'!$R$106),"")</f>
        <v/>
      </c>
      <c r="Q140" s="52" t="str">
        <f>IF(AND('Mapa final'!$AB$107="Media",'Mapa final'!$AD$107="Moderado"),CONCATENATE("R35C",'Mapa final'!$R$107),"")</f>
        <v/>
      </c>
      <c r="R140" s="125" t="str">
        <f>IF(AND('Mapa final'!$AB$108="Media",'Mapa final'!$AD$108="Moderado"),CONCATENATE("R36C",'Mapa final'!$R$108),"")</f>
        <v/>
      </c>
      <c r="S140" s="119" t="str">
        <f>IF(AND('Mapa final'!$AB$106="Media",'Mapa final'!$AD$106="Mayor"),CONCATENATE("R35C",'Mapa final'!$R$106),"")</f>
        <v/>
      </c>
      <c r="T140" s="44" t="str">
        <f>IF(AND('Mapa final'!$AB$107="Media",'Mapa final'!$AD$107="Mayor"),CONCATENATE("R35C",'Mapa final'!$R$107),"")</f>
        <v/>
      </c>
      <c r="U140" s="120" t="str">
        <f>IF(AND('Mapa final'!$AB$108="Media",'Mapa final'!$AD$108="Mayor"),CONCATENATE("R36C",'Mapa final'!$R$108),"")</f>
        <v/>
      </c>
      <c r="V140" s="45" t="str">
        <f>IF(AND('Mapa final'!$AB$106="Media",'Mapa final'!$AD$106="Catastrófico"),CONCATENATE("R35C",'Mapa final'!$R$106),"")</f>
        <v/>
      </c>
      <c r="W140" s="46" t="str">
        <f>IF(AND('Mapa final'!$AB$107="Media",'Mapa final'!$AD$107="Catastrófico"),CONCATENATE("R35C",'Mapa final'!$R$107),"")</f>
        <v/>
      </c>
      <c r="X140" s="114" t="str">
        <f>IF(AND('Mapa final'!$AB$108="Media",'Mapa final'!$AD$108="Catastrófico"),CONCATENATE("R36C",'Mapa final'!$R$108),"")</f>
        <v/>
      </c>
      <c r="Y140" s="58"/>
      <c r="Z140" s="398"/>
      <c r="AA140" s="399"/>
      <c r="AB140" s="399"/>
      <c r="AC140" s="399"/>
      <c r="AD140" s="399"/>
      <c r="AE140" s="400"/>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row>
    <row r="141" spans="1:61" ht="15" customHeight="1" x14ac:dyDescent="0.25">
      <c r="A141" s="58"/>
      <c r="B141" s="356"/>
      <c r="C141" s="356"/>
      <c r="D141" s="357"/>
      <c r="E141" s="371"/>
      <c r="F141" s="372"/>
      <c r="G141" s="372"/>
      <c r="H141" s="372"/>
      <c r="I141" s="370"/>
      <c r="J141" s="51" t="str">
        <f>IF(AND('Mapa final'!$AB$109="Media",'Mapa final'!$AD$109="Leve"),CONCATENATE("R36C",'Mapa final'!$R$109),"")</f>
        <v/>
      </c>
      <c r="K141" s="52" t="str">
        <f>IF(AND('Mapa final'!$AB$110="Media",'Mapa final'!$AD$110="Leve"),CONCATENATE("R36C",'Mapa final'!$R$110),"")</f>
        <v/>
      </c>
      <c r="L141" s="125" t="str">
        <f>IF(AND('Mapa final'!$AB$111="Media",'Mapa final'!$AD$111="Leve"),CONCATENATE("R37C",'Mapa final'!$R$111),"")</f>
        <v/>
      </c>
      <c r="M141" s="51" t="str">
        <f>IF(AND('Mapa final'!$AB$109="Media",'Mapa final'!$AD$109="Menor"),CONCATENATE("R36C",'Mapa final'!$R$109),"")</f>
        <v/>
      </c>
      <c r="N141" s="52" t="str">
        <f>IF(AND('Mapa final'!$AB$110="Media",'Mapa final'!$AD$110="Menor"),CONCATENATE("R36C",'Mapa final'!$R$110),"")</f>
        <v/>
      </c>
      <c r="O141" s="125" t="str">
        <f>IF(AND('Mapa final'!$AB$111="Media",'Mapa final'!$AD$111="Menor"),CONCATENATE("R37C",'Mapa final'!$R$111),"")</f>
        <v/>
      </c>
      <c r="P141" s="51" t="str">
        <f>IF(AND('Mapa final'!$AB$109="Media",'Mapa final'!$AD$109="Moderado"),CONCATENATE("R36C",'Mapa final'!$R$109),"")</f>
        <v/>
      </c>
      <c r="Q141" s="52" t="str">
        <f>IF(AND('Mapa final'!$AB$110="Media",'Mapa final'!$AD$110="Moderado"),CONCATENATE("R36C",'Mapa final'!$R$110),"")</f>
        <v/>
      </c>
      <c r="R141" s="125" t="str">
        <f>IF(AND('Mapa final'!$AB$111="Media",'Mapa final'!$AD$111="Moderado"),CONCATENATE("R37C",'Mapa final'!$R$111),"")</f>
        <v/>
      </c>
      <c r="S141" s="119" t="str">
        <f>IF(AND('Mapa final'!$AB$109="Media",'Mapa final'!$AD$109="Mayor"),CONCATENATE("R36C",'Mapa final'!$R$109),"")</f>
        <v/>
      </c>
      <c r="T141" s="44" t="str">
        <f>IF(AND('Mapa final'!$AB$110="Media",'Mapa final'!$AD$110="Mayor"),CONCATENATE("R36C",'Mapa final'!$R$110),"")</f>
        <v/>
      </c>
      <c r="U141" s="120" t="str">
        <f>IF(AND('Mapa final'!$AB$111="Media",'Mapa final'!$AD$111="Mayor"),CONCATENATE("R37C",'Mapa final'!$R$111),"")</f>
        <v/>
      </c>
      <c r="V141" s="45" t="str">
        <f>IF(AND('Mapa final'!$AB$109="Media",'Mapa final'!$AD$109="Catastrófico"),CONCATENATE("R36C",'Mapa final'!$R$109),"")</f>
        <v/>
      </c>
      <c r="W141" s="46" t="str">
        <f>IF(AND('Mapa final'!$AB$110="Media",'Mapa final'!$AD$110="Catastrófico"),CONCATENATE("R36C",'Mapa final'!$R$110),"")</f>
        <v/>
      </c>
      <c r="X141" s="114" t="str">
        <f>IF(AND('Mapa final'!$AB$111="Media",'Mapa final'!$AD$111="Catastrófico"),CONCATENATE("R37C",'Mapa final'!$R$111),"")</f>
        <v/>
      </c>
      <c r="Y141" s="58"/>
      <c r="Z141" s="398"/>
      <c r="AA141" s="399"/>
      <c r="AB141" s="399"/>
      <c r="AC141" s="399"/>
      <c r="AD141" s="399"/>
      <c r="AE141" s="400"/>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row>
    <row r="142" spans="1:61" ht="15" customHeight="1" x14ac:dyDescent="0.25">
      <c r="A142" s="58"/>
      <c r="B142" s="356"/>
      <c r="C142" s="356"/>
      <c r="D142" s="357"/>
      <c r="E142" s="371"/>
      <c r="F142" s="372"/>
      <c r="G142" s="372"/>
      <c r="H142" s="372"/>
      <c r="I142" s="370"/>
      <c r="J142" s="51" t="str">
        <f>IF(AND('Mapa final'!$AB$112="Media",'Mapa final'!$AD$112="Leve"),CONCATENATE("R37C",'Mapa final'!$R$112),"")</f>
        <v/>
      </c>
      <c r="K142" s="52" t="str">
        <f>IF(AND('Mapa final'!$AB$113="Media",'Mapa final'!$AD$113="Leve"),CONCATENATE("R37C",'Mapa final'!$R$113),"")</f>
        <v/>
      </c>
      <c r="L142" s="125" t="str">
        <f>IF(AND('Mapa final'!$AB$114="Media",'Mapa final'!$AD$114="Leve"),CONCATENATE("R38C",'Mapa final'!$R$114),"")</f>
        <v/>
      </c>
      <c r="M142" s="51" t="str">
        <f>IF(AND('Mapa final'!$AB$112="Media",'Mapa final'!$AD$112="Menor"),CONCATENATE("R37C",'Mapa final'!$R$112),"")</f>
        <v/>
      </c>
      <c r="N142" s="52" t="str">
        <f>IF(AND('Mapa final'!$AB$113="Media",'Mapa final'!$AD$113="Menor"),CONCATENATE("R37C",'Mapa final'!$R$113),"")</f>
        <v/>
      </c>
      <c r="O142" s="125" t="str">
        <f>IF(AND('Mapa final'!$AB$114="Media",'Mapa final'!$AD$114="Menor"),CONCATENATE("R38C",'Mapa final'!$R$114),"")</f>
        <v/>
      </c>
      <c r="P142" s="51" t="str">
        <f>IF(AND('Mapa final'!$AB$112="Media",'Mapa final'!$AD$112="Moderado"),CONCATENATE("R37C",'Mapa final'!$R$112),"")</f>
        <v/>
      </c>
      <c r="Q142" s="52" t="str">
        <f>IF(AND('Mapa final'!$AB$113="Media",'Mapa final'!$AD$113="Moderado"),CONCATENATE("R37C",'Mapa final'!$R$113),"")</f>
        <v/>
      </c>
      <c r="R142" s="125" t="str">
        <f>IF(AND('Mapa final'!$AB$114="Media",'Mapa final'!$AD$114="Moderado"),CONCATENATE("R38C",'Mapa final'!$R$114),"")</f>
        <v/>
      </c>
      <c r="S142" s="119" t="str">
        <f>IF(AND('Mapa final'!$AB$112="Media",'Mapa final'!$AD$112="Mayor"),CONCATENATE("R37C",'Mapa final'!$R$112),"")</f>
        <v/>
      </c>
      <c r="T142" s="44" t="str">
        <f>IF(AND('Mapa final'!$AB$113="Media",'Mapa final'!$AD$113="Mayor"),CONCATENATE("R37C",'Mapa final'!$R$113),"")</f>
        <v/>
      </c>
      <c r="U142" s="120" t="str">
        <f>IF(AND('Mapa final'!$AB$114="Media",'Mapa final'!$AD$114="Mayor"),CONCATENATE("R38C",'Mapa final'!$R$114),"")</f>
        <v/>
      </c>
      <c r="V142" s="45" t="str">
        <f>IF(AND('Mapa final'!$AB$112="Media",'Mapa final'!$AD$112="Catastrófico"),CONCATENATE("R37C",'Mapa final'!$R$112),"")</f>
        <v/>
      </c>
      <c r="W142" s="46" t="str">
        <f>IF(AND('Mapa final'!$AB$113="Media",'Mapa final'!$AD$113="Catastrófico"),CONCATENATE("R37C",'Mapa final'!$R$113),"")</f>
        <v/>
      </c>
      <c r="X142" s="114" t="str">
        <f>IF(AND('Mapa final'!$AB$114="Media",'Mapa final'!$AD$114="Catastrófico"),CONCATENATE("R38C",'Mapa final'!$R$114),"")</f>
        <v/>
      </c>
      <c r="Y142" s="58"/>
      <c r="Z142" s="398"/>
      <c r="AA142" s="399"/>
      <c r="AB142" s="399"/>
      <c r="AC142" s="399"/>
      <c r="AD142" s="399"/>
      <c r="AE142" s="400"/>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row>
    <row r="143" spans="1:61" ht="15" customHeight="1" x14ac:dyDescent="0.25">
      <c r="A143" s="58"/>
      <c r="B143" s="356"/>
      <c r="C143" s="356"/>
      <c r="D143" s="357"/>
      <c r="E143" s="371"/>
      <c r="F143" s="372"/>
      <c r="G143" s="372"/>
      <c r="H143" s="372"/>
      <c r="I143" s="370"/>
      <c r="J143" s="51" t="str">
        <f>IF(AND('Mapa final'!$AB$115="Media",'Mapa final'!$AD$115="Leve"),CONCATENATE("R38C",'Mapa final'!$R$115),"")</f>
        <v/>
      </c>
      <c r="K143" s="52" t="str">
        <f>IF(AND('Mapa final'!$AB$116="Media",'Mapa final'!$AD$116="Leve"),CONCATENATE("R38C",'Mapa final'!$R$116),"")</f>
        <v/>
      </c>
      <c r="L143" s="125" t="str">
        <f>IF(AND('Mapa final'!$AB$117="Media",'Mapa final'!$AD$117="Leve"),CONCATENATE("R39C",'Mapa final'!$R$117),"")</f>
        <v/>
      </c>
      <c r="M143" s="51" t="str">
        <f>IF(AND('Mapa final'!$AB$115="Media",'Mapa final'!$AD$115="Menor"),CONCATENATE("R38C",'Mapa final'!$R$115),"")</f>
        <v>R38C1</v>
      </c>
      <c r="N143" s="52" t="str">
        <f>IF(AND('Mapa final'!$AB$116="Media",'Mapa final'!$AD$116="Menor"),CONCATENATE("R38C",'Mapa final'!$R$116),"")</f>
        <v/>
      </c>
      <c r="O143" s="125" t="str">
        <f>IF(AND('Mapa final'!$AB$117="Media",'Mapa final'!$AD$117="Menor"),CONCATENATE("R39C",'Mapa final'!$R$117),"")</f>
        <v/>
      </c>
      <c r="P143" s="51" t="str">
        <f>IF(AND('Mapa final'!$AB$115="Media",'Mapa final'!$AD$115="Moderado"),CONCATENATE("R38C",'Mapa final'!$R$115),"")</f>
        <v/>
      </c>
      <c r="Q143" s="52" t="str">
        <f>IF(AND('Mapa final'!$AB$116="Media",'Mapa final'!$AD$116="Moderado"),CONCATENATE("R38C",'Mapa final'!$R$116),"")</f>
        <v/>
      </c>
      <c r="R143" s="125" t="str">
        <f>IF(AND('Mapa final'!$AB$117="Media",'Mapa final'!$AD$117="Moderado"),CONCATENATE("R39C",'Mapa final'!$R$117),"")</f>
        <v/>
      </c>
      <c r="S143" s="119" t="str">
        <f>IF(AND('Mapa final'!$AB$115="Media",'Mapa final'!$AD$115="Mayor"),CONCATENATE("R38C",'Mapa final'!$R$115),"")</f>
        <v/>
      </c>
      <c r="T143" s="44" t="str">
        <f>IF(AND('Mapa final'!$AB$116="Media",'Mapa final'!$AD$116="Mayor"),CONCATENATE("R38C",'Mapa final'!$R$116),"")</f>
        <v/>
      </c>
      <c r="U143" s="120" t="str">
        <f>IF(AND('Mapa final'!$AB$117="Media",'Mapa final'!$AD$117="Mayor"),CONCATENATE("R39C",'Mapa final'!$R$117),"")</f>
        <v/>
      </c>
      <c r="V143" s="45" t="str">
        <f>IF(AND('Mapa final'!$AB$115="Media",'Mapa final'!$AD$115="Catastrófico"),CONCATENATE("R38C",'Mapa final'!$R$115),"")</f>
        <v/>
      </c>
      <c r="W143" s="46" t="str">
        <f>IF(AND('Mapa final'!$AB$116="Media",'Mapa final'!$AD$116="Catastrófico"),CONCATENATE("R38C",'Mapa final'!$R$116),"")</f>
        <v/>
      </c>
      <c r="X143" s="114" t="str">
        <f>IF(AND('Mapa final'!$AB$117="Media",'Mapa final'!$AD$117="Catastrófico"),CONCATENATE("R39C",'Mapa final'!$R$117),"")</f>
        <v/>
      </c>
      <c r="Y143" s="58"/>
      <c r="Z143" s="398"/>
      <c r="AA143" s="399"/>
      <c r="AB143" s="399"/>
      <c r="AC143" s="399"/>
      <c r="AD143" s="399"/>
      <c r="AE143" s="400"/>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row>
    <row r="144" spans="1:61" ht="15" customHeight="1" x14ac:dyDescent="0.25">
      <c r="A144" s="58"/>
      <c r="B144" s="356"/>
      <c r="C144" s="356"/>
      <c r="D144" s="357"/>
      <c r="E144" s="371"/>
      <c r="F144" s="372"/>
      <c r="G144" s="372"/>
      <c r="H144" s="372"/>
      <c r="I144" s="370"/>
      <c r="J144" s="51" t="str">
        <f>IF(AND('Mapa final'!$AB$118="Media",'Mapa final'!$AD$118="Leve"),CONCATENATE("R39C",'Mapa final'!$R$118),"")</f>
        <v/>
      </c>
      <c r="K144" s="52" t="str">
        <f>IF(AND('Mapa final'!$AB$119="Media",'Mapa final'!$AD$119="Leve"),CONCATENATE("R39C",'Mapa final'!$R$119),"")</f>
        <v/>
      </c>
      <c r="L144" s="125" t="str">
        <f>IF(AND('Mapa final'!$AB$120="Media",'Mapa final'!$AD$120="Leve"),CONCATENATE("R40C",'Mapa final'!$R$120),"")</f>
        <v/>
      </c>
      <c r="M144" s="51" t="str">
        <f>IF(AND('Mapa final'!$AB$118="Media",'Mapa final'!$AD$118="Menor"),CONCATENATE("R39C",'Mapa final'!$R$118),"")</f>
        <v/>
      </c>
      <c r="N144" s="52" t="str">
        <f>IF(AND('Mapa final'!$AB$119="Media",'Mapa final'!$AD$119="Menor"),CONCATENATE("R39C",'Mapa final'!$R$119),"")</f>
        <v/>
      </c>
      <c r="O144" s="125" t="str">
        <f>IF(AND('Mapa final'!$AB$120="Media",'Mapa final'!$AD$120="Menor"),CONCATENATE("R40C",'Mapa final'!$R$120),"")</f>
        <v/>
      </c>
      <c r="P144" s="51" t="str">
        <f>IF(AND('Mapa final'!$AB$118="Media",'Mapa final'!$AD$118="Moderado"),CONCATENATE("R39C",'Mapa final'!$R$118),"")</f>
        <v/>
      </c>
      <c r="Q144" s="52" t="str">
        <f>IF(AND('Mapa final'!$AB$119="Media",'Mapa final'!$AD$119="Moderado"),CONCATENATE("R39C",'Mapa final'!$R$119),"")</f>
        <v/>
      </c>
      <c r="R144" s="125" t="str">
        <f>IF(AND('Mapa final'!$AB$120="Media",'Mapa final'!$AD$120="Moderado"),CONCATENATE("R40C",'Mapa final'!$R$120),"")</f>
        <v/>
      </c>
      <c r="S144" s="119" t="str">
        <f>IF(AND('Mapa final'!$AB$118="Media",'Mapa final'!$AD$118="Mayor"),CONCATENATE("R39C",'Mapa final'!$R$118),"")</f>
        <v/>
      </c>
      <c r="T144" s="44" t="str">
        <f>IF(AND('Mapa final'!$AB$119="Media",'Mapa final'!$AD$119="Mayor"),CONCATENATE("R39C",'Mapa final'!$R$119),"")</f>
        <v/>
      </c>
      <c r="U144" s="120" t="str">
        <f>IF(AND('Mapa final'!$AB$120="Media",'Mapa final'!$AD$120="Mayor"),CONCATENATE("R40C",'Mapa final'!$R$120),"")</f>
        <v/>
      </c>
      <c r="V144" s="45" t="str">
        <f>IF(AND('Mapa final'!$AB$118="Media",'Mapa final'!$AD$118="Catastrófico"),CONCATENATE("R39C",'Mapa final'!$R$118),"")</f>
        <v/>
      </c>
      <c r="W144" s="46" t="str">
        <f>IF(AND('Mapa final'!$AB$119="Media",'Mapa final'!$AD$119="Catastrófico"),CONCATENATE("R39C",'Mapa final'!$R$119),"")</f>
        <v/>
      </c>
      <c r="X144" s="114" t="str">
        <f>IF(AND('Mapa final'!$AB$120="Media",'Mapa final'!$AD$120="Catastrófico"),CONCATENATE("R40C",'Mapa final'!$R$120),"")</f>
        <v/>
      </c>
      <c r="Y144" s="58"/>
      <c r="Z144" s="398"/>
      <c r="AA144" s="399"/>
      <c r="AB144" s="399"/>
      <c r="AC144" s="399"/>
      <c r="AD144" s="399"/>
      <c r="AE144" s="400"/>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row>
    <row r="145" spans="1:61" ht="15" customHeight="1" x14ac:dyDescent="0.25">
      <c r="A145" s="58"/>
      <c r="B145" s="356"/>
      <c r="C145" s="356"/>
      <c r="D145" s="357"/>
      <c r="E145" s="371"/>
      <c r="F145" s="372"/>
      <c r="G145" s="372"/>
      <c r="H145" s="372"/>
      <c r="I145" s="370"/>
      <c r="J145" s="51" t="str">
        <f>IF(AND('Mapa final'!$AB$121="Media",'Mapa final'!$AD$121="Leve"),CONCATENATE("R40C",'Mapa final'!$R$121),"")</f>
        <v/>
      </c>
      <c r="K145" s="52" t="str">
        <f>IF(AND('Mapa final'!$AB$122="Media",'Mapa final'!$AD$122="Leve"),CONCATENATE("R40C",'Mapa final'!$R$122),"")</f>
        <v/>
      </c>
      <c r="L145" s="125" t="str">
        <f>IF(AND('Mapa final'!$AB$123="Media",'Mapa final'!$AD$123="Leve"),CONCATENATE("R40C",'Mapa final'!$R$123),"")</f>
        <v/>
      </c>
      <c r="M145" s="51" t="str">
        <f>IF(AND('Mapa final'!$AB$121="Media",'Mapa final'!$AD$121="Menor"),CONCATENATE("R40C",'Mapa final'!$R$121),"")</f>
        <v/>
      </c>
      <c r="N145" s="52" t="str">
        <f>IF(AND('Mapa final'!$AB$122="Media",'Mapa final'!$AD$122="Menor"),CONCATENATE("R40C",'Mapa final'!$R$122),"")</f>
        <v/>
      </c>
      <c r="O145" s="125" t="str">
        <f>IF(AND('Mapa final'!$AB$123="Media",'Mapa final'!$AD$123="Menor"),CONCATENATE("R40C",'Mapa final'!$R$123),"")</f>
        <v/>
      </c>
      <c r="P145" s="51" t="str">
        <f>IF(AND('Mapa final'!$AB$121="Media",'Mapa final'!$AD$121="Moderado"),CONCATENATE("R40C",'Mapa final'!$R$121),"")</f>
        <v/>
      </c>
      <c r="Q145" s="52" t="str">
        <f>IF(AND('Mapa final'!$AB$122="Media",'Mapa final'!$AD$122="Moderado"),CONCATENATE("R40C",'Mapa final'!$R$122),"")</f>
        <v/>
      </c>
      <c r="R145" s="125" t="str">
        <f>IF(AND('Mapa final'!$AB$123="Media",'Mapa final'!$AD$123="Moderado"),CONCATENATE("R40C",'Mapa final'!$R$123),"")</f>
        <v/>
      </c>
      <c r="S145" s="119" t="str">
        <f>IF(AND('Mapa final'!$AB$121="Media",'Mapa final'!$AD$121="Mayor"),CONCATENATE("R40C",'Mapa final'!$R$121),"")</f>
        <v/>
      </c>
      <c r="T145" s="44" t="str">
        <f>IF(AND('Mapa final'!$AB$122="Media",'Mapa final'!$AD$122="Mayor"),CONCATENATE("R40C",'Mapa final'!$R$122),"")</f>
        <v/>
      </c>
      <c r="U145" s="120" t="str">
        <f>IF(AND('Mapa final'!$AB$123="Media",'Mapa final'!$AD$123="Mayor"),CONCATENATE("R40C",'Mapa final'!$R$123),"")</f>
        <v/>
      </c>
      <c r="V145" s="45" t="str">
        <f>IF(AND('Mapa final'!$AB$121="Media",'Mapa final'!$AD$121="Catastrófico"),CONCATENATE("R40C",'Mapa final'!$R$121),"")</f>
        <v/>
      </c>
      <c r="W145" s="46" t="str">
        <f>IF(AND('Mapa final'!$AB$122="Media",'Mapa final'!$AD$122="Catastrófico"),CONCATENATE("R40C",'Mapa final'!$R$122),"")</f>
        <v/>
      </c>
      <c r="X145" s="114" t="str">
        <f>IF(AND('Mapa final'!$AB$123="Media",'Mapa final'!$AD$123="Catastrófico"),CONCATENATE("R40C",'Mapa final'!$R$123),"")</f>
        <v/>
      </c>
      <c r="Y145" s="58"/>
      <c r="Z145" s="398"/>
      <c r="AA145" s="399"/>
      <c r="AB145" s="399"/>
      <c r="AC145" s="399"/>
      <c r="AD145" s="399"/>
      <c r="AE145" s="400"/>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row>
    <row r="146" spans="1:61" ht="15" customHeight="1" x14ac:dyDescent="0.25">
      <c r="A146" s="58"/>
      <c r="B146" s="356"/>
      <c r="C146" s="356"/>
      <c r="D146" s="357"/>
      <c r="E146" s="371"/>
      <c r="F146" s="372"/>
      <c r="G146" s="372"/>
      <c r="H146" s="372"/>
      <c r="I146" s="370"/>
      <c r="J146" s="51" t="str">
        <f>IF(AND('Mapa final'!$AB$124="Media",'Mapa final'!$AD$124="Leve"),CONCATENATE("R41C",'Mapa final'!$R$124),"")</f>
        <v/>
      </c>
      <c r="K146" s="52" t="str">
        <f>IF(AND('Mapa final'!$AB$125="Media",'Mapa final'!$AD$125="Leve"),CONCATENATE("R41C",'Mapa final'!$R$125),"")</f>
        <v/>
      </c>
      <c r="L146" s="125" t="str">
        <f>IF(AND('Mapa final'!$AB$126="Media",'Mapa final'!$AD$126="Leve"),CONCATENATE("R41C",'Mapa final'!$R$126),"")</f>
        <v/>
      </c>
      <c r="M146" s="51" t="str">
        <f>IF(AND('Mapa final'!$AB$124="Media",'Mapa final'!$AD$124="Menor"),CONCATENATE("R41C",'Mapa final'!$R$124),"")</f>
        <v/>
      </c>
      <c r="N146" s="52" t="str">
        <f>IF(AND('Mapa final'!$AB$125="Media",'Mapa final'!$AD$125="Menor"),CONCATENATE("R41C",'Mapa final'!$R$125),"")</f>
        <v/>
      </c>
      <c r="O146" s="125" t="str">
        <f>IF(AND('Mapa final'!$AB$126="Media",'Mapa final'!$AD$126="Menor"),CONCATENATE("R41C",'Mapa final'!$R$126),"")</f>
        <v/>
      </c>
      <c r="P146" s="51" t="str">
        <f>IF(AND('Mapa final'!$AB$124="Media",'Mapa final'!$AD$124="Moderado"),CONCATENATE("R41C",'Mapa final'!$R$124),"")</f>
        <v/>
      </c>
      <c r="Q146" s="52" t="str">
        <f>IF(AND('Mapa final'!$AB$125="Media",'Mapa final'!$AD$125="Moderado"),CONCATENATE("R41C",'Mapa final'!$R$125),"")</f>
        <v/>
      </c>
      <c r="R146" s="125" t="str">
        <f>IF(AND('Mapa final'!$AB$126="Media",'Mapa final'!$AD$126="Moderado"),CONCATENATE("R41C",'Mapa final'!$R$126),"")</f>
        <v/>
      </c>
      <c r="S146" s="119" t="str">
        <f>IF(AND('Mapa final'!$AB$124="Media",'Mapa final'!$AD$124="Mayor"),CONCATENATE("R41C",'Mapa final'!$R$124),"")</f>
        <v/>
      </c>
      <c r="T146" s="44" t="str">
        <f>IF(AND('Mapa final'!$AB$125="Media",'Mapa final'!$AD$125="Mayor"),CONCATENATE("R41C",'Mapa final'!$R$125),"")</f>
        <v/>
      </c>
      <c r="U146" s="120" t="str">
        <f>IF(AND('Mapa final'!$AB$126="Media",'Mapa final'!$AD$126="Mayor"),CONCATENATE("R41C",'Mapa final'!$R$126),"")</f>
        <v/>
      </c>
      <c r="V146" s="45" t="str">
        <f>IF(AND('Mapa final'!$AB$124="Media",'Mapa final'!$AD$124="Catastrófico"),CONCATENATE("R41C",'Mapa final'!$R$124),"")</f>
        <v/>
      </c>
      <c r="W146" s="46" t="str">
        <f>IF(AND('Mapa final'!$AB$125="Media",'Mapa final'!$AD$125="Catastrófico"),CONCATENATE("R41C",'Mapa final'!$R$125),"")</f>
        <v/>
      </c>
      <c r="X146" s="114" t="str">
        <f>IF(AND('Mapa final'!$AB$126="Media",'Mapa final'!$AD$126="Catastrófico"),CONCATENATE("R41C",'Mapa final'!$R$126),"")</f>
        <v/>
      </c>
      <c r="Y146" s="58"/>
      <c r="Z146" s="398"/>
      <c r="AA146" s="399"/>
      <c r="AB146" s="399"/>
      <c r="AC146" s="399"/>
      <c r="AD146" s="399"/>
      <c r="AE146" s="400"/>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row>
    <row r="147" spans="1:61" ht="15" customHeight="1" x14ac:dyDescent="0.25">
      <c r="A147" s="58"/>
      <c r="B147" s="356"/>
      <c r="C147" s="356"/>
      <c r="D147" s="357"/>
      <c r="E147" s="371"/>
      <c r="F147" s="372"/>
      <c r="G147" s="372"/>
      <c r="H147" s="372"/>
      <c r="I147" s="370"/>
      <c r="J147" s="51" t="str">
        <f>IF(AND('Mapa final'!$AB$127="Media",'Mapa final'!$AD$127="Leve"),CONCATENATE("R42C",'Mapa final'!$R$127),"")</f>
        <v/>
      </c>
      <c r="K147" s="52" t="str">
        <f>IF(AND('Mapa final'!$AB$128="Media",'Mapa final'!$AD$128="Leve"),CONCATENATE("R42C",'Mapa final'!$R$128),"")</f>
        <v/>
      </c>
      <c r="L147" s="125" t="str">
        <f>IF(AND('Mapa final'!$AB$129="Media",'Mapa final'!$AD$129="Leve"),CONCATENATE("R2C",'Mapa final'!$R$129),"")</f>
        <v/>
      </c>
      <c r="M147" s="51" t="str">
        <f>IF(AND('Mapa final'!$AB$127="Media",'Mapa final'!$AD$127="Menor"),CONCATENATE("R42C",'Mapa final'!$R$127),"")</f>
        <v/>
      </c>
      <c r="N147" s="52" t="str">
        <f>IF(AND('Mapa final'!$AB$128="Media",'Mapa final'!$AD$128="Menor"),CONCATENATE("R42C",'Mapa final'!$R$128),"")</f>
        <v/>
      </c>
      <c r="O147" s="125" t="str">
        <f>IF(AND('Mapa final'!$AB$129="Media",'Mapa final'!$AD$129="Menor"),CONCATENATE("R2C",'Mapa final'!$R$129),"")</f>
        <v/>
      </c>
      <c r="P147" s="51" t="str">
        <f>IF(AND('Mapa final'!$AB$127="Media",'Mapa final'!$AD$127="Moderado"),CONCATENATE("R42C",'Mapa final'!$R$127),"")</f>
        <v/>
      </c>
      <c r="Q147" s="52" t="str">
        <f>IF(AND('Mapa final'!$AB$128="Media",'Mapa final'!$AD$128="Moderado"),CONCATENATE("R42C",'Mapa final'!$R$128),"")</f>
        <v/>
      </c>
      <c r="R147" s="125" t="str">
        <f>IF(AND('Mapa final'!$AB$129="Media",'Mapa final'!$AD$129="Moderado"),CONCATENATE("R2C",'Mapa final'!$R$129),"")</f>
        <v/>
      </c>
      <c r="S147" s="119" t="str">
        <f>IF(AND('Mapa final'!$AB$127="Media",'Mapa final'!$AD$127="Mayor"),CONCATENATE("R42C",'Mapa final'!$R$127),"")</f>
        <v>R42C1</v>
      </c>
      <c r="T147" s="44" t="str">
        <f>IF(AND('Mapa final'!$AB$128="Media",'Mapa final'!$AD$128="Mayor"),CONCATENATE("R42C",'Mapa final'!$R$128),"")</f>
        <v/>
      </c>
      <c r="U147" s="120" t="str">
        <f>IF(AND('Mapa final'!$AB$129="Media",'Mapa final'!$AD$129="Mayor"),CONCATENATE("R2C",'Mapa final'!$R$129),"")</f>
        <v/>
      </c>
      <c r="V147" s="45" t="str">
        <f>IF(AND('Mapa final'!$AB$127="Media",'Mapa final'!$AD$127="Catastrófico"),CONCATENATE("R42C",'Mapa final'!$R$127),"")</f>
        <v/>
      </c>
      <c r="W147" s="46" t="str">
        <f>IF(AND('Mapa final'!$AB$128="Media",'Mapa final'!$AD$128="Catastrófico"),CONCATENATE("R42C",'Mapa final'!$R$128),"")</f>
        <v/>
      </c>
      <c r="X147" s="114" t="str">
        <f>IF(AND('Mapa final'!$AB$129="Media",'Mapa final'!$AD$129="Catastrófico"),CONCATENATE("R2C",'Mapa final'!$R$129),"")</f>
        <v/>
      </c>
      <c r="Y147" s="58"/>
      <c r="Z147" s="398"/>
      <c r="AA147" s="399"/>
      <c r="AB147" s="399"/>
      <c r="AC147" s="399"/>
      <c r="AD147" s="399"/>
      <c r="AE147" s="400"/>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row>
    <row r="148" spans="1:61" ht="15" customHeight="1" x14ac:dyDescent="0.25">
      <c r="A148" s="58"/>
      <c r="B148" s="356"/>
      <c r="C148" s="356"/>
      <c r="D148" s="357"/>
      <c r="E148" s="371"/>
      <c r="F148" s="372"/>
      <c r="G148" s="372"/>
      <c r="H148" s="372"/>
      <c r="I148" s="370"/>
      <c r="J148" s="51" t="str">
        <f>IF(AND('Mapa final'!$AB$130="Media",'Mapa final'!$AD$130="Leve"),CONCATENATE("R43C",'Mapa final'!$R$130),"")</f>
        <v/>
      </c>
      <c r="K148" s="52" t="str">
        <f>IF(AND('Mapa final'!$AB$131="Media",'Mapa final'!$AD$131="Leve"),CONCATENATE("R43C",'Mapa final'!$R$131),"")</f>
        <v/>
      </c>
      <c r="L148" s="125" t="str">
        <f>IF(AND('Mapa final'!$AB$132="Media",'Mapa final'!$AD$132="Leve"),CONCATENATE("R43C",'Mapa final'!$R$132),"")</f>
        <v/>
      </c>
      <c r="M148" s="51" t="str">
        <f>IF(AND('Mapa final'!$AB$130="Media",'Mapa final'!$AD$130="Menor"),CONCATENATE("R43C",'Mapa final'!$R$130),"")</f>
        <v/>
      </c>
      <c r="N148" s="52" t="str">
        <f>IF(AND('Mapa final'!$AB$131="Media",'Mapa final'!$AD$131="Menor"),CONCATENATE("R43C",'Mapa final'!$R$131),"")</f>
        <v/>
      </c>
      <c r="O148" s="125" t="str">
        <f>IF(AND('Mapa final'!$AB$132="Media",'Mapa final'!$AD$132="Menor"),CONCATENATE("R43C",'Mapa final'!$R$132),"")</f>
        <v/>
      </c>
      <c r="P148" s="51" t="str">
        <f>IF(AND('Mapa final'!$AB$130="Media",'Mapa final'!$AD$130="Moderado"),CONCATENATE("R43C",'Mapa final'!$R$130),"")</f>
        <v>R43C1</v>
      </c>
      <c r="Q148" s="52" t="str">
        <f>IF(AND('Mapa final'!$AB$131="Media",'Mapa final'!$AD$131="Moderado"),CONCATENATE("R43C",'Mapa final'!$R$131),"")</f>
        <v/>
      </c>
      <c r="R148" s="125" t="str">
        <f>IF(AND('Mapa final'!$AB$132="Media",'Mapa final'!$AD$132="Moderado"),CONCATENATE("R43C",'Mapa final'!$R$132),"")</f>
        <v/>
      </c>
      <c r="S148" s="119" t="str">
        <f>IF(AND('Mapa final'!$AB$130="Media",'Mapa final'!$AD$130="Mayor"),CONCATENATE("R43C",'Mapa final'!$R$130),"")</f>
        <v/>
      </c>
      <c r="T148" s="44" t="str">
        <f>IF(AND('Mapa final'!$AB$131="Media",'Mapa final'!$AD$131="Mayor"),CONCATENATE("R43C",'Mapa final'!$R$131),"")</f>
        <v/>
      </c>
      <c r="U148" s="120" t="str">
        <f>IF(AND('Mapa final'!$AB$132="Media",'Mapa final'!$AD$132="Mayor"),CONCATENATE("R43C",'Mapa final'!$R$132),"")</f>
        <v/>
      </c>
      <c r="V148" s="45" t="str">
        <f>IF(AND('Mapa final'!$AB$130="Media",'Mapa final'!$AD$130="Catastrófico"),CONCATENATE("R43C",'Mapa final'!$R$130),"")</f>
        <v/>
      </c>
      <c r="W148" s="46" t="str">
        <f>IF(AND('Mapa final'!$AB$131="Media",'Mapa final'!$AD$131="Catastrófico"),CONCATENATE("R43C",'Mapa final'!$R$131),"")</f>
        <v/>
      </c>
      <c r="X148" s="114" t="str">
        <f>IF(AND('Mapa final'!$AB$132="Media",'Mapa final'!$AD$132="Catastrófico"),CONCATENATE("R43C",'Mapa final'!$R$132),"")</f>
        <v/>
      </c>
      <c r="Y148" s="58"/>
      <c r="Z148" s="398"/>
      <c r="AA148" s="399"/>
      <c r="AB148" s="399"/>
      <c r="AC148" s="399"/>
      <c r="AD148" s="399"/>
      <c r="AE148" s="400"/>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row>
    <row r="149" spans="1:61" ht="15" customHeight="1" x14ac:dyDescent="0.25">
      <c r="A149" s="58"/>
      <c r="B149" s="356"/>
      <c r="C149" s="356"/>
      <c r="D149" s="357"/>
      <c r="E149" s="371"/>
      <c r="F149" s="372"/>
      <c r="G149" s="372"/>
      <c r="H149" s="372"/>
      <c r="I149" s="370"/>
      <c r="J149" s="51" t="str">
        <f>IF(AND('Mapa final'!$AB$133="Media",'Mapa final'!$AD$133="Leve"),CONCATENATE("R44C",'Mapa final'!$R$133),"")</f>
        <v>R44C1</v>
      </c>
      <c r="K149" s="52" t="str">
        <f>IF(AND('Mapa final'!$AB$134="Media",'Mapa final'!$AD$134="Leve"),CONCATENATE("R44C",'Mapa final'!$R$134),"")</f>
        <v/>
      </c>
      <c r="L149" s="125" t="str">
        <f>IF(AND('Mapa final'!$AB$135="Media",'Mapa final'!$AD$135="Leve"),CONCATENATE("R44C",'Mapa final'!$R$135),"")</f>
        <v/>
      </c>
      <c r="M149" s="51" t="str">
        <f>IF(AND('Mapa final'!$AB$133="Media",'Mapa final'!$AD$133="Menor"),CONCATENATE("R44C",'Mapa final'!$R$133),"")</f>
        <v/>
      </c>
      <c r="N149" s="52" t="str">
        <f>IF(AND('Mapa final'!$AB$134="Media",'Mapa final'!$AD$134="Menor"),CONCATENATE("R44C",'Mapa final'!$R$134),"")</f>
        <v/>
      </c>
      <c r="O149" s="125" t="str">
        <f>IF(AND('Mapa final'!$AB$135="Media",'Mapa final'!$AD$135="Menor"),CONCATENATE("R44C",'Mapa final'!$R$135),"")</f>
        <v/>
      </c>
      <c r="P149" s="51" t="str">
        <f>IF(AND('Mapa final'!$AB$133="Media",'Mapa final'!$AD$133="Moderado"),CONCATENATE("R44C",'Mapa final'!$R$133),"")</f>
        <v/>
      </c>
      <c r="Q149" s="52" t="str">
        <f>IF(AND('Mapa final'!$AB$134="Media",'Mapa final'!$AD$134="Moderado"),CONCATENATE("R44C",'Mapa final'!$R$134),"")</f>
        <v/>
      </c>
      <c r="R149" s="125" t="str">
        <f>IF(AND('Mapa final'!$AB$135="Media",'Mapa final'!$AD$135="Moderado"),CONCATENATE("R44C",'Mapa final'!$R$135),"")</f>
        <v/>
      </c>
      <c r="S149" s="119" t="str">
        <f>IF(AND('Mapa final'!$AB$133="Media",'Mapa final'!$AD$133="Mayor"),CONCATENATE("R44C",'Mapa final'!$R$133),"")</f>
        <v/>
      </c>
      <c r="T149" s="44" t="str">
        <f>IF(AND('Mapa final'!$AB$134="Media",'Mapa final'!$AD$134="Mayor"),CONCATENATE("R44C",'Mapa final'!$R$134),"")</f>
        <v/>
      </c>
      <c r="U149" s="120" t="str">
        <f>IF(AND('Mapa final'!$AB$135="Media",'Mapa final'!$AD$135="Mayor"),CONCATENATE("R44C",'Mapa final'!$R$135),"")</f>
        <v/>
      </c>
      <c r="V149" s="45" t="str">
        <f>IF(AND('Mapa final'!$AB$133="Media",'Mapa final'!$AD$133="Catastrófico"),CONCATENATE("R44C",'Mapa final'!$R$133),"")</f>
        <v/>
      </c>
      <c r="W149" s="46" t="str">
        <f>IF(AND('Mapa final'!$AB$134="Media",'Mapa final'!$AD$134="Catastrófico"),CONCATENATE("R44C",'Mapa final'!$R$134),"")</f>
        <v/>
      </c>
      <c r="X149" s="114" t="str">
        <f>IF(AND('Mapa final'!$AB$135="Media",'Mapa final'!$AD$135="Catastrófico"),CONCATENATE("R44C",'Mapa final'!$R$135),"")</f>
        <v/>
      </c>
      <c r="Y149" s="58"/>
      <c r="Z149" s="398"/>
      <c r="AA149" s="399"/>
      <c r="AB149" s="399"/>
      <c r="AC149" s="399"/>
      <c r="AD149" s="399"/>
      <c r="AE149" s="400"/>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row>
    <row r="150" spans="1:61" ht="15" customHeight="1" x14ac:dyDescent="0.25">
      <c r="A150" s="58"/>
      <c r="B150" s="356"/>
      <c r="C150" s="356"/>
      <c r="D150" s="357"/>
      <c r="E150" s="371"/>
      <c r="F150" s="372"/>
      <c r="G150" s="372"/>
      <c r="H150" s="372"/>
      <c r="I150" s="370"/>
      <c r="J150" s="51" t="str">
        <f>IF(AND('Mapa final'!$AB$136="Media",'Mapa final'!$AD$136="Leve"),CONCATENATE("R45C",'Mapa final'!$R$136),"")</f>
        <v/>
      </c>
      <c r="K150" s="52" t="str">
        <f>IF(AND('Mapa final'!$AB$137="Media",'Mapa final'!$AD$137="Leve"),CONCATENATE("R45C",'Mapa final'!$R$137),"")</f>
        <v/>
      </c>
      <c r="L150" s="125" t="str">
        <f>IF(AND('Mapa final'!$AB$138="Media",'Mapa final'!$AD$138="Leve"),CONCATENATE("R45C",'Mapa final'!$R$138),"")</f>
        <v/>
      </c>
      <c r="M150" s="51" t="str">
        <f>IF(AND('Mapa final'!$AB$136="Media",'Mapa final'!$AD$136="Menor"),CONCATENATE("R45C",'Mapa final'!$R$136),"")</f>
        <v/>
      </c>
      <c r="N150" s="52" t="str">
        <f>IF(AND('Mapa final'!$AB$137="Media",'Mapa final'!$AD$137="Menor"),CONCATENATE("R45C",'Mapa final'!$R$137),"")</f>
        <v/>
      </c>
      <c r="O150" s="125" t="str">
        <f>IF(AND('Mapa final'!$AB$138="Media",'Mapa final'!$AD$138="Menor"),CONCATENATE("R45C",'Mapa final'!$R$138),"")</f>
        <v/>
      </c>
      <c r="P150" s="51" t="str">
        <f>IF(AND('Mapa final'!$AB$136="Media",'Mapa final'!$AD$136="Moderado"),CONCATENATE("R45C",'Mapa final'!$R$136),"")</f>
        <v/>
      </c>
      <c r="Q150" s="52" t="str">
        <f>IF(AND('Mapa final'!$AB$137="Media",'Mapa final'!$AD$137="Moderado"),CONCATENATE("R45C",'Mapa final'!$R$137),"")</f>
        <v/>
      </c>
      <c r="R150" s="125" t="str">
        <f>IF(AND('Mapa final'!$AB$138="Media",'Mapa final'!$AD$138="Moderado"),CONCATENATE("R45C",'Mapa final'!$R$138),"")</f>
        <v/>
      </c>
      <c r="S150" s="119" t="str">
        <f>IF(AND('Mapa final'!$AB$136="Media",'Mapa final'!$AD$136="Mayor"),CONCATENATE("R45C",'Mapa final'!$R$136),"")</f>
        <v/>
      </c>
      <c r="T150" s="44" t="str">
        <f>IF(AND('Mapa final'!$AB$137="Media",'Mapa final'!$AD$137="Mayor"),CONCATENATE("R45C",'Mapa final'!$R$137),"")</f>
        <v/>
      </c>
      <c r="U150" s="120" t="str">
        <f>IF(AND('Mapa final'!$AB$138="Media",'Mapa final'!$AD$138="Mayor"),CONCATENATE("R45C",'Mapa final'!$R$138),"")</f>
        <v/>
      </c>
      <c r="V150" s="45" t="str">
        <f>IF(AND('Mapa final'!$AB$136="Media",'Mapa final'!$AD$136="Catastrófico"),CONCATENATE("R45C",'Mapa final'!$R$136),"")</f>
        <v/>
      </c>
      <c r="W150" s="46" t="str">
        <f>IF(AND('Mapa final'!$AB$137="Media",'Mapa final'!$AD$137="Catastrófico"),CONCATENATE("R45C",'Mapa final'!$R$137),"")</f>
        <v/>
      </c>
      <c r="X150" s="114" t="str">
        <f>IF(AND('Mapa final'!$AB$138="Media",'Mapa final'!$AD$138="Catastrófico"),CONCATENATE("R45C",'Mapa final'!$R$138),"")</f>
        <v/>
      </c>
      <c r="Y150" s="58"/>
      <c r="Z150" s="398"/>
      <c r="AA150" s="399"/>
      <c r="AB150" s="399"/>
      <c r="AC150" s="399"/>
      <c r="AD150" s="399"/>
      <c r="AE150" s="400"/>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row>
    <row r="151" spans="1:61" ht="15" customHeight="1" x14ac:dyDescent="0.25">
      <c r="A151" s="58"/>
      <c r="B151" s="356"/>
      <c r="C151" s="356"/>
      <c r="D151" s="357"/>
      <c r="E151" s="371"/>
      <c r="F151" s="372"/>
      <c r="G151" s="372"/>
      <c r="H151" s="372"/>
      <c r="I151" s="370"/>
      <c r="J151" s="51" t="str">
        <f>IF(AND('Mapa final'!$AB$139="Media",'Mapa final'!$AD$139="Leve"),CONCATENATE("R46C",'Mapa final'!$R$139),"")</f>
        <v/>
      </c>
      <c r="K151" s="52" t="str">
        <f>IF(AND('Mapa final'!$AB$140="Media",'Mapa final'!$AD$140="Leve"),CONCATENATE("R46C",'Mapa final'!$R$140),"")</f>
        <v/>
      </c>
      <c r="L151" s="125" t="str">
        <f>IF(AND('Mapa final'!$AB$141="Media",'Mapa final'!$AD$141="Leve"),CONCATENATE("R46C",'Mapa final'!$R$141),"")</f>
        <v/>
      </c>
      <c r="M151" s="51" t="str">
        <f>IF(AND('Mapa final'!$AB$139="Media",'Mapa final'!$AD$139="Menor"),CONCATENATE("R46C",'Mapa final'!$R$139),"")</f>
        <v/>
      </c>
      <c r="N151" s="52" t="str">
        <f>IF(AND('Mapa final'!$AB$140="Media",'Mapa final'!$AD$140="Menor"),CONCATENATE("R46C",'Mapa final'!$R$140),"")</f>
        <v/>
      </c>
      <c r="O151" s="125" t="str">
        <f>IF(AND('Mapa final'!$AB$141="Media",'Mapa final'!$AD$141="Menor"),CONCATENATE("R46C",'Mapa final'!$R$141),"")</f>
        <v/>
      </c>
      <c r="P151" s="51" t="str">
        <f>IF(AND('Mapa final'!$AB$139="Media",'Mapa final'!$AD$139="Moderado"),CONCATENATE("R46C",'Mapa final'!$R$139),"")</f>
        <v/>
      </c>
      <c r="Q151" s="52" t="str">
        <f>IF(AND('Mapa final'!$AB$140="Media",'Mapa final'!$AD$140="Moderado"),CONCATENATE("R46C",'Mapa final'!$R$140),"")</f>
        <v/>
      </c>
      <c r="R151" s="125" t="str">
        <f>IF(AND('Mapa final'!$AB$141="Media",'Mapa final'!$AD$141="Moderado"),CONCATENATE("R46C",'Mapa final'!$R$141),"")</f>
        <v/>
      </c>
      <c r="S151" s="119" t="str">
        <f>IF(AND('Mapa final'!$AB$139="Media",'Mapa final'!$AD$139="Mayor"),CONCATENATE("R46C",'Mapa final'!$R$139),"")</f>
        <v/>
      </c>
      <c r="T151" s="44" t="str">
        <f>IF(AND('Mapa final'!$AB$140="Media",'Mapa final'!$AD$140="Mayor"),CONCATENATE("R46C",'Mapa final'!$R$140),"")</f>
        <v/>
      </c>
      <c r="U151" s="120" t="str">
        <f>IF(AND('Mapa final'!$AB$141="Media",'Mapa final'!$AD$141="Mayor"),CONCATENATE("R46C",'Mapa final'!$R$141),"")</f>
        <v/>
      </c>
      <c r="V151" s="45" t="str">
        <f>IF(AND('Mapa final'!$AB$139="Media",'Mapa final'!$AD$139="Catastrófico"),CONCATENATE("R46C",'Mapa final'!$R$139),"")</f>
        <v/>
      </c>
      <c r="W151" s="46" t="str">
        <f>IF(AND('Mapa final'!$AB$140="Media",'Mapa final'!$AD$140="Catastrófico"),CONCATENATE("R46C",'Mapa final'!$R$140),"")</f>
        <v/>
      </c>
      <c r="X151" s="114" t="str">
        <f>IF(AND('Mapa final'!$AB$141="Media",'Mapa final'!$AD$141="Catastrófico"),CONCATENATE("R46C",'Mapa final'!$R$141),"")</f>
        <v/>
      </c>
      <c r="Y151" s="58"/>
      <c r="Z151" s="398"/>
      <c r="AA151" s="399"/>
      <c r="AB151" s="399"/>
      <c r="AC151" s="399"/>
      <c r="AD151" s="399"/>
      <c r="AE151" s="400"/>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row>
    <row r="152" spans="1:61" ht="15" customHeight="1" x14ac:dyDescent="0.25">
      <c r="A152" s="58"/>
      <c r="B152" s="356"/>
      <c r="C152" s="356"/>
      <c r="D152" s="357"/>
      <c r="E152" s="371"/>
      <c r="F152" s="372"/>
      <c r="G152" s="372"/>
      <c r="H152" s="372"/>
      <c r="I152" s="370"/>
      <c r="J152" s="51" t="str">
        <f>IF(AND('Mapa final'!$AB$142="Media",'Mapa final'!$AD$142="Leve"),CONCATENATE("R47C",'Mapa final'!$R$142),"")</f>
        <v/>
      </c>
      <c r="K152" s="52" t="str">
        <f>IF(AND('Mapa final'!$AB$143="Media",'Mapa final'!$AD$143="Leve"),CONCATENATE("R47C",'Mapa final'!$R$143),"")</f>
        <v/>
      </c>
      <c r="L152" s="125" t="str">
        <f>IF(AND('Mapa final'!$AB$144="Media",'Mapa final'!$AD$144="Leve"),CONCATENATE("R47C",'Mapa final'!$R$144),"")</f>
        <v/>
      </c>
      <c r="M152" s="51" t="str">
        <f>IF(AND('Mapa final'!$AB$142="Media",'Mapa final'!$AD$142="Menor"),CONCATENATE("R47C",'Mapa final'!$R$142),"")</f>
        <v/>
      </c>
      <c r="N152" s="52" t="str">
        <f>IF(AND('Mapa final'!$AB$143="Media",'Mapa final'!$AD$143="Menor"),CONCATENATE("R47C",'Mapa final'!$R$143),"")</f>
        <v/>
      </c>
      <c r="O152" s="125" t="str">
        <f>IF(AND('Mapa final'!$AB$144="Media",'Mapa final'!$AD$144="Menor"),CONCATENATE("R47C",'Mapa final'!$R$144),"")</f>
        <v/>
      </c>
      <c r="P152" s="51" t="str">
        <f>IF(AND('Mapa final'!$AB$142="Media",'Mapa final'!$AD$142="Moderado"),CONCATENATE("R47C",'Mapa final'!$R$142),"")</f>
        <v/>
      </c>
      <c r="Q152" s="52" t="str">
        <f>IF(AND('Mapa final'!$AB$143="Media",'Mapa final'!$AD$143="Moderado"),CONCATENATE("R47C",'Mapa final'!$R$143),"")</f>
        <v/>
      </c>
      <c r="R152" s="125" t="str">
        <f>IF(AND('Mapa final'!$AB$144="Media",'Mapa final'!$AD$144="Moderado"),CONCATENATE("R47C",'Mapa final'!$R$144),"")</f>
        <v/>
      </c>
      <c r="S152" s="119" t="str">
        <f>IF(AND('Mapa final'!$AB$142="Media",'Mapa final'!$AD$142="Mayor"),CONCATENATE("R47C",'Mapa final'!$R$142),"")</f>
        <v/>
      </c>
      <c r="T152" s="44" t="str">
        <f>IF(AND('Mapa final'!$AB$143="Media",'Mapa final'!$AD$143="Mayor"),CONCATENATE("R47C",'Mapa final'!$R$143),"")</f>
        <v/>
      </c>
      <c r="U152" s="120" t="str">
        <f>IF(AND('Mapa final'!$AB$144="Media",'Mapa final'!$AD$144="Mayor"),CONCATENATE("R47C",'Mapa final'!$R$144),"")</f>
        <v/>
      </c>
      <c r="V152" s="45" t="str">
        <f>IF(AND('Mapa final'!$AB$142="Media",'Mapa final'!$AD$142="Catastrófico"),CONCATENATE("R47C",'Mapa final'!$R$142),"")</f>
        <v/>
      </c>
      <c r="W152" s="46" t="str">
        <f>IF(AND('Mapa final'!$AB$143="Media",'Mapa final'!$AD$143="Catastrófico"),CONCATENATE("R47C",'Mapa final'!$R$143),"")</f>
        <v/>
      </c>
      <c r="X152" s="114" t="str">
        <f>IF(AND('Mapa final'!$AB$144="Media",'Mapa final'!$AD$144="Catastrófico"),CONCATENATE("R47C",'Mapa final'!$R$144),"")</f>
        <v/>
      </c>
      <c r="Y152" s="58"/>
      <c r="Z152" s="398"/>
      <c r="AA152" s="399"/>
      <c r="AB152" s="399"/>
      <c r="AC152" s="399"/>
      <c r="AD152" s="399"/>
      <c r="AE152" s="400"/>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row>
    <row r="153" spans="1:61" ht="15" customHeight="1" x14ac:dyDescent="0.25">
      <c r="A153" s="58"/>
      <c r="B153" s="356"/>
      <c r="C153" s="356"/>
      <c r="D153" s="357"/>
      <c r="E153" s="371"/>
      <c r="F153" s="372"/>
      <c r="G153" s="372"/>
      <c r="H153" s="372"/>
      <c r="I153" s="370"/>
      <c r="J153" s="51" t="str">
        <f>IF(AND('Mapa final'!$AB$145="Media",'Mapa final'!$AD$145="Leve"),CONCATENATE("R48C",'Mapa final'!$R$145),"")</f>
        <v/>
      </c>
      <c r="K153" s="52" t="str">
        <f>IF(AND('Mapa final'!$AB$146="Media",'Mapa final'!$AD$146="Leve"),CONCATENATE("R48C",'Mapa final'!$R$146),"")</f>
        <v/>
      </c>
      <c r="L153" s="125" t="str">
        <f>IF(AND('Mapa final'!$AB$147="Media",'Mapa final'!$AD$147="Leve"),CONCATENATE("R48C",'Mapa final'!$R$147),"")</f>
        <v/>
      </c>
      <c r="M153" s="51" t="str">
        <f>IF(AND('Mapa final'!$AB$145="Media",'Mapa final'!$AD$145="Menor"),CONCATENATE("R48C",'Mapa final'!$R$145),"")</f>
        <v/>
      </c>
      <c r="N153" s="52" t="str">
        <f>IF(AND('Mapa final'!$AB$146="Media",'Mapa final'!$AD$146="Menor"),CONCATENATE("R48C",'Mapa final'!$R$146),"")</f>
        <v/>
      </c>
      <c r="O153" s="125" t="str">
        <f>IF(AND('Mapa final'!$AB$147="Media",'Mapa final'!$AD$147="Menor"),CONCATENATE("R48C",'Mapa final'!$R$147),"")</f>
        <v/>
      </c>
      <c r="P153" s="51" t="str">
        <f>IF(AND('Mapa final'!$AB$145="Media",'Mapa final'!$AD$145="Moderado"),CONCATENATE("R48C",'Mapa final'!$R$145),"")</f>
        <v/>
      </c>
      <c r="Q153" s="52" t="str">
        <f>IF(AND('Mapa final'!$AB$146="Media",'Mapa final'!$AD$146="Moderado"),CONCATENATE("R48C",'Mapa final'!$R$146),"")</f>
        <v/>
      </c>
      <c r="R153" s="125" t="str">
        <f>IF(AND('Mapa final'!$AB$147="Media",'Mapa final'!$AD$147="Moderado"),CONCATENATE("R48C",'Mapa final'!$R$147),"")</f>
        <v/>
      </c>
      <c r="S153" s="119" t="str">
        <f>IF(AND('Mapa final'!$AB$145="Media",'Mapa final'!$AD$145="Mayor"),CONCATENATE("R48C",'Mapa final'!$R$145),"")</f>
        <v/>
      </c>
      <c r="T153" s="44" t="str">
        <f>IF(AND('Mapa final'!$AB$146="Media",'Mapa final'!$AD$146="Mayor"),CONCATENATE("R48C",'Mapa final'!$R$146),"")</f>
        <v/>
      </c>
      <c r="U153" s="120" t="str">
        <f>IF(AND('Mapa final'!$AB$147="Media",'Mapa final'!$AD$147="Mayor"),CONCATENATE("R48C",'Mapa final'!$R$147),"")</f>
        <v/>
      </c>
      <c r="V153" s="45" t="str">
        <f>IF(AND('Mapa final'!$AB$145="Media",'Mapa final'!$AD$145="Catastrófico"),CONCATENATE("R48C",'Mapa final'!$R$145),"")</f>
        <v/>
      </c>
      <c r="W153" s="46" t="str">
        <f>IF(AND('Mapa final'!$AB$146="Media",'Mapa final'!$AD$146="Catastrófico"),CONCATENATE("R48C",'Mapa final'!$R$146),"")</f>
        <v/>
      </c>
      <c r="X153" s="114" t="str">
        <f>IF(AND('Mapa final'!$AB$147="Media",'Mapa final'!$AD$147="Catastrófico"),CONCATENATE("R48C",'Mapa final'!$R$147),"")</f>
        <v/>
      </c>
      <c r="Y153" s="58"/>
      <c r="Z153" s="398"/>
      <c r="AA153" s="399"/>
      <c r="AB153" s="399"/>
      <c r="AC153" s="399"/>
      <c r="AD153" s="399"/>
      <c r="AE153" s="400"/>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row>
    <row r="154" spans="1:61" ht="15" customHeight="1" x14ac:dyDescent="0.25">
      <c r="A154" s="58"/>
      <c r="B154" s="356"/>
      <c r="C154" s="356"/>
      <c r="D154" s="357"/>
      <c r="E154" s="371"/>
      <c r="F154" s="372"/>
      <c r="G154" s="372"/>
      <c r="H154" s="372"/>
      <c r="I154" s="370"/>
      <c r="J154" s="51" t="str">
        <f>IF(AND('Mapa final'!$AB$148="Media",'Mapa final'!$AD$148="Leve"),CONCATENATE("R49C",'Mapa final'!$R$148),"")</f>
        <v/>
      </c>
      <c r="K154" s="52" t="str">
        <f>IF(AND('Mapa final'!$AB$149="Media",'Mapa final'!$AD$149="Leve"),CONCATENATE("R49C",'Mapa final'!$R$149),"")</f>
        <v/>
      </c>
      <c r="L154" s="125" t="str">
        <f>IF(AND('Mapa final'!$AB$150="Media",'Mapa final'!$AD$150="Leve"),CONCATENATE("R49C",'Mapa final'!$R$150),"")</f>
        <v/>
      </c>
      <c r="M154" s="51" t="str">
        <f>IF(AND('Mapa final'!$AB$148="Media",'Mapa final'!$AD$148="Menor"),CONCATENATE("R49C",'Mapa final'!$R$148),"")</f>
        <v/>
      </c>
      <c r="N154" s="52" t="str">
        <f>IF(AND('Mapa final'!$AB$149="Media",'Mapa final'!$AD$149="Menor"),CONCATENATE("R49C",'Mapa final'!$R$149),"")</f>
        <v/>
      </c>
      <c r="O154" s="125" t="str">
        <f>IF(AND('Mapa final'!$AB$150="Media",'Mapa final'!$AD$150="Menor"),CONCATENATE("R49C",'Mapa final'!$R$150),"")</f>
        <v/>
      </c>
      <c r="P154" s="51" t="str">
        <f>IF(AND('Mapa final'!$AB$148="Media",'Mapa final'!$AD$148="Moderado"),CONCATENATE("R49C",'Mapa final'!$R$148),"")</f>
        <v/>
      </c>
      <c r="Q154" s="52" t="str">
        <f>IF(AND('Mapa final'!$AB$149="Media",'Mapa final'!$AD$149="Moderado"),CONCATENATE("R49C",'Mapa final'!$R$149),"")</f>
        <v/>
      </c>
      <c r="R154" s="125" t="str">
        <f>IF(AND('Mapa final'!$AB$150="Media",'Mapa final'!$AD$150="Moderado"),CONCATENATE("R49C",'Mapa final'!$R$150),"")</f>
        <v/>
      </c>
      <c r="S154" s="119" t="str">
        <f>IF(AND('Mapa final'!$AB$148="Media",'Mapa final'!$AD$148="Mayor"),CONCATENATE("R49C",'Mapa final'!$R$148),"")</f>
        <v/>
      </c>
      <c r="T154" s="44" t="str">
        <f>IF(AND('Mapa final'!$AB$149="Media",'Mapa final'!$AD$149="Mayor"),CONCATENATE("R49C",'Mapa final'!$R$149),"")</f>
        <v/>
      </c>
      <c r="U154" s="120" t="str">
        <f>IF(AND('Mapa final'!$AB$150="Media",'Mapa final'!$AD$150="Mayor"),CONCATENATE("R49C",'Mapa final'!$R$150),"")</f>
        <v/>
      </c>
      <c r="V154" s="45" t="str">
        <f>IF(AND('Mapa final'!$AB$148="Media",'Mapa final'!$AD$148="Catastrófico"),CONCATENATE("R49C",'Mapa final'!$R$148),"")</f>
        <v/>
      </c>
      <c r="W154" s="46" t="str">
        <f>IF(AND('Mapa final'!$AB$149="Media",'Mapa final'!$AD$149="Catastrófico"),CONCATENATE("R49C",'Mapa final'!$R$149),"")</f>
        <v/>
      </c>
      <c r="X154" s="114" t="str">
        <f>IF(AND('Mapa final'!$AB$150="Media",'Mapa final'!$AD$150="Catastrófico"),CONCATENATE("R49C",'Mapa final'!$R$150),"")</f>
        <v/>
      </c>
      <c r="Y154" s="58"/>
      <c r="Z154" s="398"/>
      <c r="AA154" s="399"/>
      <c r="AB154" s="399"/>
      <c r="AC154" s="399"/>
      <c r="AD154" s="399"/>
      <c r="AE154" s="400"/>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row>
    <row r="155" spans="1:61" ht="15.75" customHeight="1" thickBot="1" x14ac:dyDescent="0.3">
      <c r="A155" s="58"/>
      <c r="B155" s="356"/>
      <c r="C155" s="356"/>
      <c r="D155" s="357"/>
      <c r="E155" s="373"/>
      <c r="F155" s="374"/>
      <c r="G155" s="374"/>
      <c r="H155" s="374"/>
      <c r="I155" s="374"/>
      <c r="J155" s="53" t="str">
        <f>IF(AND('Mapa final'!$AB$151="Media",'Mapa final'!$AD$151="Leve"),CONCATENATE("R50C",'Mapa final'!$R$151),"")</f>
        <v/>
      </c>
      <c r="K155" s="54" t="str">
        <f>IF(AND('Mapa final'!$AB$152="Media",'Mapa final'!$AD$152="Leve"),CONCATENATE("R50C",'Mapa final'!$R$152),"")</f>
        <v/>
      </c>
      <c r="L155" s="126" t="str">
        <f>IF(AND('Mapa final'!$AB$153="Media",'Mapa final'!$AD$153="Leve"),CONCATENATE("R50C",'Mapa final'!$R$153),"")</f>
        <v/>
      </c>
      <c r="M155" s="53" t="str">
        <f>IF(AND('Mapa final'!$AB$151="Media",'Mapa final'!$AD$151="Menor"),CONCATENATE("R50C",'Mapa final'!$R$151),"")</f>
        <v/>
      </c>
      <c r="N155" s="54" t="str">
        <f>IF(AND('Mapa final'!$AB$152="Media",'Mapa final'!$AD$152="Menor"),CONCATENATE("R50C",'Mapa final'!$R$152),"")</f>
        <v/>
      </c>
      <c r="O155" s="126" t="str">
        <f>IF(AND('Mapa final'!$AB$153="Media",'Mapa final'!$AD$153="Menor"),CONCATENATE("R50C",'Mapa final'!$R$153),"")</f>
        <v/>
      </c>
      <c r="P155" s="53" t="str">
        <f>IF(AND('Mapa final'!$AB$151="Media",'Mapa final'!$AD$151="Moderado"),CONCATENATE("R50C",'Mapa final'!$R$151),"")</f>
        <v/>
      </c>
      <c r="Q155" s="54" t="str">
        <f>IF(AND('Mapa final'!$AB$152="Media",'Mapa final'!$AD$152="Moderado"),CONCATENATE("R50C",'Mapa final'!$R$152),"")</f>
        <v/>
      </c>
      <c r="R155" s="126" t="str">
        <f>IF(AND('Mapa final'!$AB$153="Media",'Mapa final'!$AD$153="Moderado"),CONCATENATE("R50C",'Mapa final'!$R$153),"")</f>
        <v/>
      </c>
      <c r="S155" s="121" t="str">
        <f>IF(AND('Mapa final'!$AB$151="Media",'Mapa final'!$AD$151="Mayor"),CONCATENATE("R50C",'Mapa final'!$R$151),"")</f>
        <v/>
      </c>
      <c r="T155" s="122" t="str">
        <f>IF(AND('Mapa final'!$AB$152="Media",'Mapa final'!$AD$152="Mayor"),CONCATENATE("R50C",'Mapa final'!$R$152),"")</f>
        <v/>
      </c>
      <c r="U155" s="123" t="str">
        <f>IF(AND('Mapa final'!$AB$153="Media",'Mapa final'!$AD$153="Mayor"),CONCATENATE("R50C",'Mapa final'!$R$153),"")</f>
        <v/>
      </c>
      <c r="V155" s="47" t="str">
        <f>IF(AND('Mapa final'!$AB$151="Media",'Mapa final'!$AD$151="Catastrófico"),CONCATENATE("R50C",'Mapa final'!$R$151),"")</f>
        <v/>
      </c>
      <c r="W155" s="48" t="str">
        <f>IF(AND('Mapa final'!$AB$152="Media",'Mapa final'!$AD$152="Catastrófico"),CONCATENATE("R50C",'Mapa final'!$R$152),"")</f>
        <v/>
      </c>
      <c r="X155" s="115" t="str">
        <f>IF(AND('Mapa final'!$AB$153="Media",'Mapa final'!$AD$153="Catastrófico"),CONCATENATE("R50C",'Mapa final'!$R$153),"")</f>
        <v/>
      </c>
      <c r="Y155" s="58"/>
      <c r="Z155" s="401"/>
      <c r="AA155" s="402"/>
      <c r="AB155" s="402"/>
      <c r="AC155" s="402"/>
      <c r="AD155" s="402"/>
      <c r="AE155" s="403"/>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row>
    <row r="156" spans="1:61" ht="15" customHeight="1" x14ac:dyDescent="0.25">
      <c r="A156" s="58"/>
      <c r="B156" s="356"/>
      <c r="C156" s="356"/>
      <c r="D156" s="357"/>
      <c r="E156" s="367" t="s">
        <v>108</v>
      </c>
      <c r="F156" s="368"/>
      <c r="G156" s="368"/>
      <c r="H156" s="368"/>
      <c r="I156" s="368"/>
      <c r="J156" s="127" t="str">
        <f>IF(AND('Mapa final'!$AB$7="Baja",'Mapa final'!$AD$7="Leve"),CONCATENATE("R1C",'Mapa final'!$R$7),"")</f>
        <v/>
      </c>
      <c r="K156" s="55" t="str">
        <f>IF(AND('Mapa final'!$AB$8="Baja",'Mapa final'!$AD$8="Leve"),CONCATENATE("R1C",'Mapa final'!$R$8),"")</f>
        <v/>
      </c>
      <c r="L156" s="128" t="str">
        <f>IF(AND('Mapa final'!$AB$9="Baja",'Mapa final'!$AD$9="Leve"),CONCATENATE("R1C",'Mapa final'!$R$9),"")</f>
        <v/>
      </c>
      <c r="M156" s="49" t="str">
        <f>IF(AND('Mapa final'!$AB$7="Baja",'Mapa final'!$AD$7="Menor"),CONCATENATE("R1C",'Mapa final'!$R$7),"")</f>
        <v/>
      </c>
      <c r="N156" s="50" t="str">
        <f>IF(AND('Mapa final'!$AB$8="Baja",'Mapa final'!$AD$8="Menor"),CONCATENATE("R1C",'Mapa final'!$R$8),"")</f>
        <v/>
      </c>
      <c r="O156" s="124" t="str">
        <f>IF(AND('Mapa final'!$AB$9="Baja",'Mapa final'!$AD$9="Menor"),CONCATENATE("R1C",'Mapa final'!$R$9),"")</f>
        <v/>
      </c>
      <c r="P156" s="49" t="str">
        <f>IF(AND('Mapa final'!$AB$7="Baja",'Mapa final'!$AD$7="Moderado"),CONCATENATE("R1C",'Mapa final'!$R$7),"")</f>
        <v>R1C1</v>
      </c>
      <c r="Q156" s="50" t="str">
        <f>IF(AND('Mapa final'!$AB$8="Baja",'Mapa final'!$AD$8="Moderado"),CONCATENATE("R1C",'Mapa final'!$R$8),"")</f>
        <v>R1C2</v>
      </c>
      <c r="R156" s="124" t="str">
        <f>IF(AND('Mapa final'!$AB$9="Baja",'Mapa final'!$AD$9="Moderado"),CONCATENATE("R1C",'Mapa final'!$R$9),"")</f>
        <v>R1C3</v>
      </c>
      <c r="S156" s="116" t="str">
        <f>IF(AND('Mapa final'!$AB$7="Baja",'Mapa final'!$AD$7="Mayor"),CONCATENATE("R1C",'Mapa final'!$R$7),"")</f>
        <v/>
      </c>
      <c r="T156" s="117" t="str">
        <f>IF(AND('Mapa final'!$AB$8="Baja",'Mapa final'!$AD$8="Mayor"),CONCATENATE("R1C",'Mapa final'!$R$8),"")</f>
        <v/>
      </c>
      <c r="U156" s="118" t="str">
        <f>IF(AND('Mapa final'!$AB$9="Baja",'Mapa final'!$AD$9="Mayor"),CONCATENATE("R1C",'Mapa final'!$R$9),"")</f>
        <v/>
      </c>
      <c r="V156" s="42" t="str">
        <f>IF(AND('Mapa final'!$AB$7="Baja",'Mapa final'!$AD$7="Catastrófico"),CONCATENATE("R1C",'Mapa final'!$R$7),"")</f>
        <v/>
      </c>
      <c r="W156" s="43" t="str">
        <f>IF(AND('Mapa final'!$AB$8="Baja",'Mapa final'!$AD$8="Catastrófico"),CONCATENATE("R1C",'Mapa final'!$R$8),"")</f>
        <v/>
      </c>
      <c r="X156" s="113" t="str">
        <f>IF(AND('Mapa final'!$AB$9="Baja",'Mapa final'!$AD$9="Catastrófico"),CONCATENATE("R1C",'Mapa final'!$R$9),"")</f>
        <v/>
      </c>
      <c r="Y156" s="58"/>
      <c r="Z156" s="386" t="s">
        <v>76</v>
      </c>
      <c r="AA156" s="387"/>
      <c r="AB156" s="387"/>
      <c r="AC156" s="387"/>
      <c r="AD156" s="387"/>
      <c r="AE156" s="38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row>
    <row r="157" spans="1:61" ht="15" customHeight="1" x14ac:dyDescent="0.25">
      <c r="A157" s="58"/>
      <c r="B157" s="356"/>
      <c r="C157" s="356"/>
      <c r="D157" s="357"/>
      <c r="E157" s="369"/>
      <c r="F157" s="370"/>
      <c r="G157" s="370"/>
      <c r="H157" s="370"/>
      <c r="I157" s="370"/>
      <c r="J157" s="129" t="str">
        <f>IF(AND('Mapa final'!$AB$10="Baja",'Mapa final'!$AD$10="Leve"),CONCATENATE("R2C",'Mapa final'!$R$10),"")</f>
        <v/>
      </c>
      <c r="K157" s="56" t="str">
        <f>IF(AND('Mapa final'!$AB$11="Baja",'Mapa final'!$AD$11="Leve"),CONCATENATE("R2C",'Mapa final'!$R$11),"")</f>
        <v/>
      </c>
      <c r="L157" s="130" t="str">
        <f>IF(AND('Mapa final'!$AB$12="Baja",'Mapa final'!$AD$12="Leve"),CONCATENATE("R2C",'Mapa final'!$R$12),"")</f>
        <v/>
      </c>
      <c r="M157" s="51" t="str">
        <f>IF(AND('Mapa final'!$AB$10="Baja",'Mapa final'!$AD$10="Menor"),CONCATENATE("R2C",'Mapa final'!$R$10),"")</f>
        <v/>
      </c>
      <c r="N157" s="52" t="str">
        <f>IF(AND('Mapa final'!$AB$11="Baja",'Mapa final'!$AD$11="Menor"),CONCATENATE("R2C",'Mapa final'!$R$11),"")</f>
        <v/>
      </c>
      <c r="O157" s="125" t="str">
        <f>IF(AND('Mapa final'!$AB$12="Baja",'Mapa final'!$AD$12="Menor"),CONCATENATE("R2C",'Mapa final'!$R$12),"")</f>
        <v/>
      </c>
      <c r="P157" s="51" t="str">
        <f>IF(AND('Mapa final'!$AB$10="Baja",'Mapa final'!$AD$10="Moderado"),CONCATENATE("R2C",'Mapa final'!$R$10),"")</f>
        <v>R2C1</v>
      </c>
      <c r="Q157" s="52" t="str">
        <f>IF(AND('Mapa final'!$AB$11="Baja",'Mapa final'!$AD$11="Moderado"),CONCATENATE("R2C",'Mapa final'!$R$11),"")</f>
        <v/>
      </c>
      <c r="R157" s="125" t="str">
        <f>IF(AND('Mapa final'!$AB$12="Baja",'Mapa final'!$AD$12="Moderado"),CONCATENATE("R2C",'Mapa final'!$R$12),"")</f>
        <v/>
      </c>
      <c r="S157" s="119" t="str">
        <f>IF(AND('Mapa final'!$AB$10="Baja",'Mapa final'!$AD$10="Mayor"),CONCATENATE("R2C",'Mapa final'!$R$10),"")</f>
        <v/>
      </c>
      <c r="T157" s="44" t="str">
        <f>IF(AND('Mapa final'!$AB$11="Baja",'Mapa final'!$AD$11="Mayor"),CONCATENATE("R2C",'Mapa final'!$R$11),"")</f>
        <v/>
      </c>
      <c r="U157" s="120" t="str">
        <f>IF(AND('Mapa final'!$AB$12="Baja",'Mapa final'!$AD$12="Mayor"),CONCATENATE("R2C",'Mapa final'!$R$12),"")</f>
        <v/>
      </c>
      <c r="V157" s="45" t="str">
        <f>IF(AND('Mapa final'!$AB$10="Baja",'Mapa final'!$AD$10="Catastrófico"),CONCATENATE("R2C",'Mapa final'!$R$10),"")</f>
        <v/>
      </c>
      <c r="W157" s="46" t="str">
        <f>IF(AND('Mapa final'!$AB$11="Baja",'Mapa final'!$AD$11="Catastrófico"),CONCATENATE("R2C",'Mapa final'!$R$11),"")</f>
        <v/>
      </c>
      <c r="X157" s="114" t="str">
        <f>IF(AND('Mapa final'!$AB$12="Baja",'Mapa final'!$AD$12="Catastrófico"),CONCATENATE("R2C",'Mapa final'!$R$12),"")</f>
        <v/>
      </c>
      <c r="Y157" s="58"/>
      <c r="Z157" s="389"/>
      <c r="AA157" s="390"/>
      <c r="AB157" s="390"/>
      <c r="AC157" s="390"/>
      <c r="AD157" s="390"/>
      <c r="AE157" s="391"/>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row>
    <row r="158" spans="1:61" ht="15" customHeight="1" x14ac:dyDescent="0.25">
      <c r="A158" s="58"/>
      <c r="B158" s="356"/>
      <c r="C158" s="356"/>
      <c r="D158" s="357"/>
      <c r="E158" s="369"/>
      <c r="F158" s="370"/>
      <c r="G158" s="370"/>
      <c r="H158" s="370"/>
      <c r="I158" s="370"/>
      <c r="J158" s="129" t="str">
        <f>IF(AND('Mapa final'!$AB$13="Baja",'Mapa final'!$AD$13="Leve"),CONCATENATE("R3C",'Mapa final'!$R$13),"")</f>
        <v/>
      </c>
      <c r="K158" s="56" t="str">
        <f>IF(AND('Mapa final'!$AB$14="Baja",'Mapa final'!$AD$14="Leve"),CONCATENATE("R3C",'Mapa final'!$R$14),"")</f>
        <v/>
      </c>
      <c r="L158" s="130" t="str">
        <f>IF(AND('Mapa final'!$AB$15="Baja",'Mapa final'!$AD$15="Leve"),CONCATENATE("R3C",'Mapa final'!$R$15),"")</f>
        <v/>
      </c>
      <c r="M158" s="51" t="str">
        <f>IF(AND('Mapa final'!$AB$13="Baja",'Mapa final'!$AD$13="Menor"),CONCATENATE("R3C",'Mapa final'!$R$13),"")</f>
        <v/>
      </c>
      <c r="N158" s="52" t="str">
        <f>IF(AND('Mapa final'!$AB$14="Baja",'Mapa final'!$AD$14="Menor"),CONCATENATE("R3C",'Mapa final'!$R$14),"")</f>
        <v/>
      </c>
      <c r="O158" s="125" t="str">
        <f>IF(AND('Mapa final'!$AB$15="Baja",'Mapa final'!$AD$15="Menor"),CONCATENATE("R3C",'Mapa final'!$R$15),"")</f>
        <v/>
      </c>
      <c r="P158" s="51" t="str">
        <f>IF(AND('Mapa final'!$AB$13="Baja",'Mapa final'!$AD$13="Moderado"),CONCATENATE("R3C",'Mapa final'!$R$13),"")</f>
        <v/>
      </c>
      <c r="Q158" s="52" t="str">
        <f>IF(AND('Mapa final'!$AB$14="Baja",'Mapa final'!$AD$14="Moderado"),CONCATENATE("R3C",'Mapa final'!$R$14),"")</f>
        <v/>
      </c>
      <c r="R158" s="125" t="str">
        <f>IF(AND('Mapa final'!$AB$15="Baja",'Mapa final'!$AD$15="Moderado"),CONCATENATE("R3C",'Mapa final'!$R$15),"")</f>
        <v/>
      </c>
      <c r="S158" s="119" t="str">
        <f>IF(AND('Mapa final'!$AB$13="Baja",'Mapa final'!$AD$13="Mayor"),CONCATENATE("R3C",'Mapa final'!$R$13),"")</f>
        <v/>
      </c>
      <c r="T158" s="44" t="str">
        <f>IF(AND('Mapa final'!$AB$14="Baja",'Mapa final'!$AD$14="Mayor"),CONCATENATE("R3C",'Mapa final'!$R$14),"")</f>
        <v/>
      </c>
      <c r="U158" s="120" t="str">
        <f>IF(AND('Mapa final'!$AB$15="Baja",'Mapa final'!$AD$15="Mayor"),CONCATENATE("R3C",'Mapa final'!$R$15),"")</f>
        <v/>
      </c>
      <c r="V158" s="45" t="str">
        <f>IF(AND('Mapa final'!$AB$13="Baja",'Mapa final'!$AD$13="Catastrófico"),CONCATENATE("R3C",'Mapa final'!$R$13),"")</f>
        <v/>
      </c>
      <c r="W158" s="46" t="str">
        <f>IF(AND('Mapa final'!$AB$14="Baja",'Mapa final'!$AD$14="Catastrófico"),CONCATENATE("R3C",'Mapa final'!$R$14),"")</f>
        <v/>
      </c>
      <c r="X158" s="114" t="str">
        <f>IF(AND('Mapa final'!$AB$15="Baja",'Mapa final'!$AD$15="Catastrófico"),CONCATENATE("R3C",'Mapa final'!$R$15),"")</f>
        <v/>
      </c>
      <c r="Y158" s="58"/>
      <c r="Z158" s="389"/>
      <c r="AA158" s="390"/>
      <c r="AB158" s="390"/>
      <c r="AC158" s="390"/>
      <c r="AD158" s="390"/>
      <c r="AE158" s="391"/>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row>
    <row r="159" spans="1:61" ht="15" customHeight="1" x14ac:dyDescent="0.25">
      <c r="A159" s="58"/>
      <c r="B159" s="356"/>
      <c r="C159" s="356"/>
      <c r="D159" s="357"/>
      <c r="E159" s="369"/>
      <c r="F159" s="370"/>
      <c r="G159" s="370"/>
      <c r="H159" s="370"/>
      <c r="I159" s="370"/>
      <c r="J159" s="129" t="str">
        <f>IF(AND('Mapa final'!$AB$16="Baja",'Mapa final'!$AD$16="Leve"),CONCATENATE("R4C",'Mapa final'!$R$16),"")</f>
        <v/>
      </c>
      <c r="K159" s="56" t="str">
        <f>IF(AND('Mapa final'!$AB$17="Baja",'Mapa final'!$AD$17="Leve"),CONCATENATE("R4C",'Mapa final'!$R$17),"")</f>
        <v>R4C2</v>
      </c>
      <c r="L159" s="130" t="str">
        <f>IF(AND('Mapa final'!$AB$18="Baja",'Mapa final'!$AD$18="Leve"),CONCATENATE("R4C",'Mapa final'!$R$18),"")</f>
        <v/>
      </c>
      <c r="M159" s="51" t="str">
        <f>IF(AND('Mapa final'!$AB$16="Baja",'Mapa final'!$AD$16="Menor"),CONCATENATE("R4C",'Mapa final'!$R$16),"")</f>
        <v/>
      </c>
      <c r="N159" s="52" t="str">
        <f>IF(AND('Mapa final'!$AB$17="Baja",'Mapa final'!$AD$17="Menor"),CONCATENATE("R4C",'Mapa final'!$R$17),"")</f>
        <v/>
      </c>
      <c r="O159" s="125" t="str">
        <f>IF(AND('Mapa final'!$AB$18="Baja",'Mapa final'!$AD$18="Menor"),CONCATENATE("R4C",'Mapa final'!$R$18),"")</f>
        <v/>
      </c>
      <c r="P159" s="51" t="str">
        <f>IF(AND('Mapa final'!$AB$16="Baja",'Mapa final'!$AD$16="Moderado"),CONCATENATE("R4C",'Mapa final'!$R$16),"")</f>
        <v/>
      </c>
      <c r="Q159" s="52" t="str">
        <f>IF(AND('Mapa final'!$AB$17="Baja",'Mapa final'!$AD$17="Moderado"),CONCATENATE("R4C",'Mapa final'!$R$17),"")</f>
        <v/>
      </c>
      <c r="R159" s="125" t="str">
        <f>IF(AND('Mapa final'!$AB$18="Baja",'Mapa final'!$AD$18="Moderado"),CONCATENATE("R4C",'Mapa final'!$R$18),"")</f>
        <v/>
      </c>
      <c r="S159" s="119" t="str">
        <f>IF(AND('Mapa final'!$AB$16="Baja",'Mapa final'!$AD$16="Mayor"),CONCATENATE("R4C",'Mapa final'!$R$16),"")</f>
        <v/>
      </c>
      <c r="T159" s="44" t="str">
        <f>IF(AND('Mapa final'!$AB$17="Baja",'Mapa final'!$AD$17="Mayor"),CONCATENATE("R4C",'Mapa final'!$R$17),"")</f>
        <v/>
      </c>
      <c r="U159" s="120" t="str">
        <f>IF(AND('Mapa final'!$AB$18="Baja",'Mapa final'!$AD$18="Mayor"),CONCATENATE("R4C",'Mapa final'!$R$18),"")</f>
        <v/>
      </c>
      <c r="V159" s="45" t="str">
        <f>IF(AND('Mapa final'!$AB$16="Baja",'Mapa final'!$AD$16="Catastrófico"),CONCATENATE("R4C",'Mapa final'!$R$16),"")</f>
        <v/>
      </c>
      <c r="W159" s="46" t="str">
        <f>IF(AND('Mapa final'!$AB$17="Baja",'Mapa final'!$AD$17="Catastrófico"),CONCATENATE("R4C",'Mapa final'!$R$17),"")</f>
        <v/>
      </c>
      <c r="X159" s="114" t="str">
        <f>IF(AND('Mapa final'!$AB$18="Baja",'Mapa final'!$AD$18="Catastrófico"),CONCATENATE("R4C",'Mapa final'!$R$18),"")</f>
        <v/>
      </c>
      <c r="Y159" s="58"/>
      <c r="Z159" s="389"/>
      <c r="AA159" s="390"/>
      <c r="AB159" s="390"/>
      <c r="AC159" s="390"/>
      <c r="AD159" s="390"/>
      <c r="AE159" s="391"/>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row>
    <row r="160" spans="1:61" ht="15" customHeight="1" x14ac:dyDescent="0.25">
      <c r="A160" s="58"/>
      <c r="B160" s="356"/>
      <c r="C160" s="356"/>
      <c r="D160" s="357"/>
      <c r="E160" s="369"/>
      <c r="F160" s="370"/>
      <c r="G160" s="370"/>
      <c r="H160" s="370"/>
      <c r="I160" s="370"/>
      <c r="J160" s="129" t="str">
        <f>IF(AND('Mapa final'!$AB$19="Baja",'Mapa final'!$AD$19="Leve"),CONCATENATE("R5C",'Mapa final'!$R$19),"")</f>
        <v/>
      </c>
      <c r="K160" s="56" t="str">
        <f>IF(AND('Mapa final'!$AB$20="Baja",'Mapa final'!$AD$20="Leve"),CONCATENATE("R5C",'Mapa final'!$R$20),"")</f>
        <v/>
      </c>
      <c r="L160" s="130" t="str">
        <f>IF(AND('Mapa final'!$AB$21="Baja",'Mapa final'!$AD$21="Leve"),CONCATENATE("R5C",'Mapa final'!$R$21),"")</f>
        <v/>
      </c>
      <c r="M160" s="51" t="str">
        <f>IF(AND('Mapa final'!$AB$19="Baja",'Mapa final'!$AD$19="Menor"),CONCATENATE("R5C",'Mapa final'!$R$19),"")</f>
        <v/>
      </c>
      <c r="N160" s="52" t="str">
        <f>IF(AND('Mapa final'!$AB$20="Baja",'Mapa final'!$AD$20="Menor"),CONCATENATE("R5C",'Mapa final'!$R$20),"")</f>
        <v/>
      </c>
      <c r="O160" s="125" t="str">
        <f>IF(AND('Mapa final'!$AB$21="Baja",'Mapa final'!$AD$21="Menor"),CONCATENATE("R5C",'Mapa final'!$R$21),"")</f>
        <v/>
      </c>
      <c r="P160" s="51" t="str">
        <f>IF(AND('Mapa final'!$AB$19="Baja",'Mapa final'!$AD$19="Moderado"),CONCATENATE("R5C",'Mapa final'!$R$19),"")</f>
        <v/>
      </c>
      <c r="Q160" s="52" t="str">
        <f>IF(AND('Mapa final'!$AB$20="Baja",'Mapa final'!$AD$20="Moderado"),CONCATENATE("R5C",'Mapa final'!$R$20),"")</f>
        <v/>
      </c>
      <c r="R160" s="125" t="str">
        <f>IF(AND('Mapa final'!$AB$21="Baja",'Mapa final'!$AD$21="Moderado"),CONCATENATE("R5C",'Mapa final'!$R$21),"")</f>
        <v/>
      </c>
      <c r="S160" s="119" t="str">
        <f>IF(AND('Mapa final'!$AB$19="Baja",'Mapa final'!$AD$19="Mayor"),CONCATENATE("R5C",'Mapa final'!$R$19),"")</f>
        <v/>
      </c>
      <c r="T160" s="44" t="str">
        <f>IF(AND('Mapa final'!$AB$20="Baja",'Mapa final'!$AD$20="Mayor"),CONCATENATE("R5C",'Mapa final'!$R$20),"")</f>
        <v/>
      </c>
      <c r="U160" s="120" t="str">
        <f>IF(AND('Mapa final'!$AB$21="Baja",'Mapa final'!$AD$21="Mayor"),CONCATENATE("R5C",'Mapa final'!$R$21),"")</f>
        <v/>
      </c>
      <c r="V160" s="45" t="str">
        <f>IF(AND('Mapa final'!$AB$19="Baja",'Mapa final'!$AD$19="Catastrófico"),CONCATENATE("R5C",'Mapa final'!$R$19),"")</f>
        <v/>
      </c>
      <c r="W160" s="46" t="str">
        <f>IF(AND('Mapa final'!$AB$20="Baja",'Mapa final'!$AD$20="Catastrófico"),CONCATENATE("R5C",'Mapa final'!$R$20),"")</f>
        <v/>
      </c>
      <c r="X160" s="114" t="str">
        <f>IF(AND('Mapa final'!$AB$21="Baja",'Mapa final'!$AD$21="Catastrófico"),CONCATENATE("R5C",'Mapa final'!$R$21),"")</f>
        <v/>
      </c>
      <c r="Y160" s="58"/>
      <c r="Z160" s="389"/>
      <c r="AA160" s="390"/>
      <c r="AB160" s="390"/>
      <c r="AC160" s="390"/>
      <c r="AD160" s="390"/>
      <c r="AE160" s="391"/>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row>
    <row r="161" spans="1:61" ht="15" customHeight="1" x14ac:dyDescent="0.25">
      <c r="A161" s="58"/>
      <c r="B161" s="356"/>
      <c r="C161" s="356"/>
      <c r="D161" s="357"/>
      <c r="E161" s="369"/>
      <c r="F161" s="370"/>
      <c r="G161" s="370"/>
      <c r="H161" s="370"/>
      <c r="I161" s="370"/>
      <c r="J161" s="129" t="str">
        <f>IF(AND('Mapa final'!$AB$22="Baja",'Mapa final'!$AD$22="Leve"),CONCATENATE("R6C",'Mapa final'!$R$22),"")</f>
        <v/>
      </c>
      <c r="K161" s="56" t="str">
        <f>IF(AND('Mapa final'!$AB$23="Baja",'Mapa final'!$AD$23="Leve"),CONCATENATE("R6C",'Mapa final'!$R$23),"")</f>
        <v/>
      </c>
      <c r="L161" s="130" t="str">
        <f>IF(AND('Mapa final'!$AB$24="Baja",'Mapa final'!$AD$24="Leve"),CONCATENATE("R6C",'Mapa final'!$R$24),"")</f>
        <v/>
      </c>
      <c r="M161" s="51" t="str">
        <f>IF(AND('Mapa final'!$AB$22="Baja",'Mapa final'!$AD$22="Menor"),CONCATENATE("R6C",'Mapa final'!$R$22),"")</f>
        <v/>
      </c>
      <c r="N161" s="52" t="str">
        <f>IF(AND('Mapa final'!$AB$23="Baja",'Mapa final'!$AD$23="Menor"),CONCATENATE("R6C",'Mapa final'!$R$23),"")</f>
        <v/>
      </c>
      <c r="O161" s="125" t="str">
        <f>IF(AND('Mapa final'!$AB$24="Baja",'Mapa final'!$AD$24="Menor"),CONCATENATE("R6C",'Mapa final'!$R$24),"")</f>
        <v/>
      </c>
      <c r="P161" s="51" t="str">
        <f>IF(AND('Mapa final'!$AB$22="Baja",'Mapa final'!$AD$22="Moderado"),CONCATENATE("R6C",'Mapa final'!$R$22),"")</f>
        <v/>
      </c>
      <c r="Q161" s="52" t="str">
        <f>IF(AND('Mapa final'!$AB$23="Baja",'Mapa final'!$AD$23="Moderado"),CONCATENATE("R6C",'Mapa final'!$R$23),"")</f>
        <v/>
      </c>
      <c r="R161" s="125" t="str">
        <f>IF(AND('Mapa final'!$AB$24="Baja",'Mapa final'!$AD$24="Moderado"),CONCATENATE("R6C",'Mapa final'!$R$24),"")</f>
        <v/>
      </c>
      <c r="S161" s="119" t="str">
        <f>IF(AND('Mapa final'!$AB$22="Baja",'Mapa final'!$AD$22="Mayor"),CONCATENATE("R6C",'Mapa final'!$R$22),"")</f>
        <v/>
      </c>
      <c r="T161" s="44" t="str">
        <f>IF(AND('Mapa final'!$AB$23="Baja",'Mapa final'!$AD$23="Mayor"),CONCATENATE("R6C",'Mapa final'!$R$23),"")</f>
        <v/>
      </c>
      <c r="U161" s="120" t="str">
        <f>IF(AND('Mapa final'!$AB$24="Baja",'Mapa final'!$AD$24="Mayor"),CONCATENATE("R6C",'Mapa final'!$R$24),"")</f>
        <v/>
      </c>
      <c r="V161" s="45" t="str">
        <f>IF(AND('Mapa final'!$AB$22="Baja",'Mapa final'!$AD$22="Catastrófico"),CONCATENATE("R6C",'Mapa final'!$R$22),"")</f>
        <v/>
      </c>
      <c r="W161" s="46" t="str">
        <f>IF(AND('Mapa final'!$AB$23="Baja",'Mapa final'!$AD$23="Catastrófico"),CONCATENATE("R6C",'Mapa final'!$R$23),"")</f>
        <v/>
      </c>
      <c r="X161" s="114" t="str">
        <f>IF(AND('Mapa final'!$AB$24="Baja",'Mapa final'!$AD$24="Catastrófico"),CONCATENATE("R6C",'Mapa final'!$R$24),"")</f>
        <v/>
      </c>
      <c r="Y161" s="58"/>
      <c r="Z161" s="389"/>
      <c r="AA161" s="390"/>
      <c r="AB161" s="390"/>
      <c r="AC161" s="390"/>
      <c r="AD161" s="390"/>
      <c r="AE161" s="391"/>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row>
    <row r="162" spans="1:61" ht="15" customHeight="1" x14ac:dyDescent="0.25">
      <c r="A162" s="58"/>
      <c r="B162" s="356"/>
      <c r="C162" s="356"/>
      <c r="D162" s="357"/>
      <c r="E162" s="369"/>
      <c r="F162" s="370"/>
      <c r="G162" s="370"/>
      <c r="H162" s="370"/>
      <c r="I162" s="370"/>
      <c r="J162" s="129" t="str">
        <f>IF(AND('Mapa final'!$AB$25="Baja",'Mapa final'!$AD$25="Leve"),CONCATENATE("R7C",'Mapa final'!$R$25),"")</f>
        <v/>
      </c>
      <c r="K162" s="56" t="str">
        <f>IF(AND('Mapa final'!$AB$26="Baja",'Mapa final'!$AD$26="Leve"),CONCATENATE("R7C",'Mapa final'!$R$26),"")</f>
        <v/>
      </c>
      <c r="L162" s="130" t="str">
        <f>IF(AND('Mapa final'!$AB$27="Baja",'Mapa final'!$AD$27="Leve"),CONCATENATE("R7C",'Mapa final'!$R$27),"")</f>
        <v/>
      </c>
      <c r="M162" s="51" t="str">
        <f>IF(AND('Mapa final'!$AB$25="Baja",'Mapa final'!$AD$25="Menor"),CONCATENATE("R7C",'Mapa final'!$R$25),"")</f>
        <v/>
      </c>
      <c r="N162" s="52" t="str">
        <f>IF(AND('Mapa final'!$AB$26="Baja",'Mapa final'!$AD$26="Menor"),CONCATENATE("R7C",'Mapa final'!$R$26),"")</f>
        <v/>
      </c>
      <c r="O162" s="125" t="str">
        <f>IF(AND('Mapa final'!$AB$27="Baja",'Mapa final'!$AD$27="Menor"),CONCATENATE("R7C",'Mapa final'!$R$27),"")</f>
        <v/>
      </c>
      <c r="P162" s="51" t="str">
        <f>IF(AND('Mapa final'!$AB$25="Baja",'Mapa final'!$AD$25="Moderado"),CONCATENATE("R7C",'Mapa final'!$R$25),"")</f>
        <v/>
      </c>
      <c r="Q162" s="52" t="str">
        <f>IF(AND('Mapa final'!$AB$26="Baja",'Mapa final'!$AD$26="Moderado"),CONCATENATE("R7C",'Mapa final'!$R$26),"")</f>
        <v/>
      </c>
      <c r="R162" s="125" t="str">
        <f>IF(AND('Mapa final'!$AB$27="Baja",'Mapa final'!$AD$27="Moderado"),CONCATENATE("R7C",'Mapa final'!$R$27),"")</f>
        <v/>
      </c>
      <c r="S162" s="119" t="str">
        <f>IF(AND('Mapa final'!$AB$25="Baja",'Mapa final'!$AD$25="Mayor"),CONCATENATE("R7C",'Mapa final'!$R$25),"")</f>
        <v/>
      </c>
      <c r="T162" s="44" t="str">
        <f>IF(AND('Mapa final'!$AB$26="Baja",'Mapa final'!$AD$26="Mayor"),CONCATENATE("R7C",'Mapa final'!$R$26),"")</f>
        <v/>
      </c>
      <c r="U162" s="120" t="str">
        <f>IF(AND('Mapa final'!$AB$27="Baja",'Mapa final'!$AD$27="Mayor"),CONCATENATE("R7C",'Mapa final'!$R$27),"")</f>
        <v/>
      </c>
      <c r="V162" s="45" t="str">
        <f>IF(AND('Mapa final'!$AB$25="Baja",'Mapa final'!$AD$25="Catastrófico"),CONCATENATE("R7C",'Mapa final'!$R$25),"")</f>
        <v/>
      </c>
      <c r="W162" s="46" t="str">
        <f>IF(AND('Mapa final'!$AB$26="Baja",'Mapa final'!$AD$26="Catastrófico"),CONCATENATE("R7C",'Mapa final'!$R$26),"")</f>
        <v/>
      </c>
      <c r="X162" s="114" t="str">
        <f>IF(AND('Mapa final'!$AB$27="Baja",'Mapa final'!$AD$27="Catastrófico"),CONCATENATE("R7C",'Mapa final'!$R$27),"")</f>
        <v/>
      </c>
      <c r="Y162" s="58"/>
      <c r="Z162" s="389"/>
      <c r="AA162" s="390"/>
      <c r="AB162" s="390"/>
      <c r="AC162" s="390"/>
      <c r="AD162" s="390"/>
      <c r="AE162" s="391"/>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row>
    <row r="163" spans="1:61" ht="15" customHeight="1" x14ac:dyDescent="0.25">
      <c r="A163" s="58"/>
      <c r="B163" s="356"/>
      <c r="C163" s="356"/>
      <c r="D163" s="357"/>
      <c r="E163" s="369"/>
      <c r="F163" s="370"/>
      <c r="G163" s="370"/>
      <c r="H163" s="370"/>
      <c r="I163" s="370"/>
      <c r="J163" s="129" t="str">
        <f>IF(AND('Mapa final'!$AB$28="Baja",'Mapa final'!$AD$28="Leve"),CONCATENATE("R8C",'Mapa final'!$R$28),"")</f>
        <v/>
      </c>
      <c r="K163" s="56" t="str">
        <f>IF(AND('Mapa final'!$AB$29="Baja",'Mapa final'!$AD$29="Leve"),CONCATENATE("R8C",'Mapa final'!$R$29),"")</f>
        <v/>
      </c>
      <c r="L163" s="130" t="str">
        <f>IF(AND('Mapa final'!$AB$30="Baja",'Mapa final'!$AD$30="Leve"),CONCATENATE("R8C",'Mapa final'!$R$30),"")</f>
        <v/>
      </c>
      <c r="M163" s="51" t="str">
        <f>IF(AND('Mapa final'!$AB$28="Baja",'Mapa final'!$AD$28="Menor"),CONCATENATE("R8C",'Mapa final'!$R$28),"")</f>
        <v/>
      </c>
      <c r="N163" s="52" t="str">
        <f>IF(AND('Mapa final'!$AB$29="Baja",'Mapa final'!$AD$29="Menor"),CONCATENATE("R8C",'Mapa final'!$R$29),"")</f>
        <v/>
      </c>
      <c r="O163" s="125" t="str">
        <f>IF(AND('Mapa final'!$AB$30="Baja",'Mapa final'!$AD$30="Menor"),CONCATENATE("R8C",'Mapa final'!$R$30),"")</f>
        <v/>
      </c>
      <c r="P163" s="51" t="str">
        <f>IF(AND('Mapa final'!$AB$28="Baja",'Mapa final'!$AD$28="Moderado"),CONCATENATE("R8C",'Mapa final'!$R$28),"")</f>
        <v/>
      </c>
      <c r="Q163" s="52" t="str">
        <f>IF(AND('Mapa final'!$AB$29="Baja",'Mapa final'!$AD$29="Moderado"),CONCATENATE("R8C",'Mapa final'!$R$29),"")</f>
        <v/>
      </c>
      <c r="R163" s="125" t="str">
        <f>IF(AND('Mapa final'!$AB$30="Baja",'Mapa final'!$AD$30="Moderado"),CONCATENATE("R8C",'Mapa final'!$R$30),"")</f>
        <v/>
      </c>
      <c r="S163" s="119" t="str">
        <f>IF(AND('Mapa final'!$AB$28="Baja",'Mapa final'!$AD$28="Mayor"),CONCATENATE("R8C",'Mapa final'!$R$28),"")</f>
        <v/>
      </c>
      <c r="T163" s="44" t="str">
        <f>IF(AND('Mapa final'!$AB$29="Baja",'Mapa final'!$AD$29="Mayor"),CONCATENATE("R8C",'Mapa final'!$R$29),"")</f>
        <v/>
      </c>
      <c r="U163" s="120" t="str">
        <f>IF(AND('Mapa final'!$AB$30="Baja",'Mapa final'!$AD$30="Mayor"),CONCATENATE("R8C",'Mapa final'!$R$30),"")</f>
        <v/>
      </c>
      <c r="V163" s="45" t="str">
        <f>IF(AND('Mapa final'!$AB$28="Baja",'Mapa final'!$AD$28="Catastrófico"),CONCATENATE("R8C",'Mapa final'!$R$28),"")</f>
        <v/>
      </c>
      <c r="W163" s="46" t="str">
        <f>IF(AND('Mapa final'!$AB$29="Baja",'Mapa final'!$AD$29="Catastrófico"),CONCATENATE("R8C",'Mapa final'!$R$29),"")</f>
        <v/>
      </c>
      <c r="X163" s="114" t="str">
        <f>IF(AND('Mapa final'!$AB$30="Baja",'Mapa final'!$AD$30="Catastrófico"),CONCATENATE("R8C",'Mapa final'!$R$30),"")</f>
        <v/>
      </c>
      <c r="Y163" s="58"/>
      <c r="Z163" s="389"/>
      <c r="AA163" s="390"/>
      <c r="AB163" s="390"/>
      <c r="AC163" s="390"/>
      <c r="AD163" s="390"/>
      <c r="AE163" s="391"/>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row>
    <row r="164" spans="1:61" ht="15" customHeight="1" x14ac:dyDescent="0.25">
      <c r="A164" s="58"/>
      <c r="B164" s="356"/>
      <c r="C164" s="356"/>
      <c r="D164" s="357"/>
      <c r="E164" s="369"/>
      <c r="F164" s="370"/>
      <c r="G164" s="370"/>
      <c r="H164" s="370"/>
      <c r="I164" s="370"/>
      <c r="J164" s="129" t="str">
        <f>IF(AND('Mapa final'!$AB$31="Baja",'Mapa final'!$AD$31="Leve"),CONCATENATE("R9C",'Mapa final'!$R$31),"")</f>
        <v/>
      </c>
      <c r="K164" s="56" t="str">
        <f>IF(AND('Mapa final'!$AB$32="Baja",'Mapa final'!$AD$32="Leve"),CONCATENATE("R9C",'Mapa final'!$R$32),"")</f>
        <v/>
      </c>
      <c r="L164" s="130" t="str">
        <f>IF(AND('Mapa final'!$AB$33="Baja",'Mapa final'!$AD$33="Leve"),CONCATENATE("R9C",'Mapa final'!$R$33),"")</f>
        <v/>
      </c>
      <c r="M164" s="51" t="str">
        <f>IF(AND('Mapa final'!$AB$31="Baja",'Mapa final'!$AD$31="Menor"),CONCATENATE("R9C",'Mapa final'!$R$31),"")</f>
        <v/>
      </c>
      <c r="N164" s="52" t="str">
        <f>IF(AND('Mapa final'!$AB$32="Baja",'Mapa final'!$AD$32="Menor"),CONCATENATE("R9C",'Mapa final'!$R$32),"")</f>
        <v/>
      </c>
      <c r="O164" s="125" t="str">
        <f>IF(AND('Mapa final'!$AB$33="Baja",'Mapa final'!$AD$33="Menor"),CONCATENATE("R9C",'Mapa final'!$R$33),"")</f>
        <v/>
      </c>
      <c r="P164" s="51" t="str">
        <f>IF(AND('Mapa final'!$AB$31="Baja",'Mapa final'!$AD$31="Moderado"),CONCATENATE("R9C",'Mapa final'!$R$31),"")</f>
        <v/>
      </c>
      <c r="Q164" s="52" t="str">
        <f>IF(AND('Mapa final'!$AB$32="Baja",'Mapa final'!$AD$32="Moderado"),CONCATENATE("R9C",'Mapa final'!$R$32),"")</f>
        <v/>
      </c>
      <c r="R164" s="125" t="str">
        <f>IF(AND('Mapa final'!$AB$33="Baja",'Mapa final'!$AD$33="Moderado"),CONCATENATE("R9C",'Mapa final'!$R$33),"")</f>
        <v/>
      </c>
      <c r="S164" s="119" t="str">
        <f>IF(AND('Mapa final'!$AB$31="Baja",'Mapa final'!$AD$31="Mayor"),CONCATENATE("R9C",'Mapa final'!$R$31),"")</f>
        <v/>
      </c>
      <c r="T164" s="44" t="str">
        <f>IF(AND('Mapa final'!$AB$32="Baja",'Mapa final'!$AD$32="Mayor"),CONCATENATE("R9C",'Mapa final'!$R$32),"")</f>
        <v/>
      </c>
      <c r="U164" s="120" t="str">
        <f>IF(AND('Mapa final'!$AB$33="Baja",'Mapa final'!$AD$33="Mayor"),CONCATENATE("R9C",'Mapa final'!$R$33),"")</f>
        <v/>
      </c>
      <c r="V164" s="45" t="str">
        <f>IF(AND('Mapa final'!$AB$31="Baja",'Mapa final'!$AD$31="Catastrófico"),CONCATENATE("R9C",'Mapa final'!$R$31),"")</f>
        <v/>
      </c>
      <c r="W164" s="46" t="str">
        <f>IF(AND('Mapa final'!$AB$32="Baja",'Mapa final'!$AD$32="Catastrófico"),CONCATENATE("R9C",'Mapa final'!$R$32),"")</f>
        <v/>
      </c>
      <c r="X164" s="114" t="str">
        <f>IF(AND('Mapa final'!$AB$33="Baja",'Mapa final'!$AD$33="Catastrófico"),CONCATENATE("R9C",'Mapa final'!$R$33),"")</f>
        <v/>
      </c>
      <c r="Y164" s="58"/>
      <c r="Z164" s="389"/>
      <c r="AA164" s="390"/>
      <c r="AB164" s="390"/>
      <c r="AC164" s="390"/>
      <c r="AD164" s="390"/>
      <c r="AE164" s="391"/>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row>
    <row r="165" spans="1:61" ht="15" customHeight="1" x14ac:dyDescent="0.25">
      <c r="A165" s="58"/>
      <c r="B165" s="356"/>
      <c r="C165" s="356"/>
      <c r="D165" s="357"/>
      <c r="E165" s="369"/>
      <c r="F165" s="370"/>
      <c r="G165" s="370"/>
      <c r="H165" s="370"/>
      <c r="I165" s="370"/>
      <c r="J165" s="129" t="str">
        <f>IF(AND('Mapa final'!$AB$34="Baja",'Mapa final'!$AD$34="Leve"),CONCATENATE("R10C",'Mapa final'!$R$34),"")</f>
        <v/>
      </c>
      <c r="K165" s="56" t="str">
        <f>IF(AND('Mapa final'!$AB$35="Baja",'Mapa final'!$AD$35="Leve"),CONCATENATE("R10C",'Mapa final'!$R$35),"")</f>
        <v/>
      </c>
      <c r="L165" s="130" t="str">
        <f>IF(AND('Mapa final'!$AB$36="Baja",'Mapa final'!$AD$36="Leve"),CONCATENATE("R10C",'Mapa final'!$R$36),"")</f>
        <v/>
      </c>
      <c r="M165" s="51" t="str">
        <f>IF(AND('Mapa final'!$AB$34="Baja",'Mapa final'!$AD$34="Menor"),CONCATENATE("R10C",'Mapa final'!$R$34),"")</f>
        <v/>
      </c>
      <c r="N165" s="52" t="str">
        <f>IF(AND('Mapa final'!$AB$35="Baja",'Mapa final'!$AD$35="Menor"),CONCATENATE("R10C",'Mapa final'!$R$35),"")</f>
        <v/>
      </c>
      <c r="O165" s="125" t="str">
        <f>IF(AND('Mapa final'!$AB$36="Baja",'Mapa final'!$AD$36="Menor"),CONCATENATE("R10C",'Mapa final'!$R$36),"")</f>
        <v/>
      </c>
      <c r="P165" s="51" t="str">
        <f>IF(AND('Mapa final'!$AB$34="Baja",'Mapa final'!$AD$34="Moderado"),CONCATENATE("R10C",'Mapa final'!$R$34),"")</f>
        <v/>
      </c>
      <c r="Q165" s="52" t="str">
        <f>IF(AND('Mapa final'!$AB$35="Baja",'Mapa final'!$AD$35="Moderado"),CONCATENATE("R10C",'Mapa final'!$R$35),"")</f>
        <v/>
      </c>
      <c r="R165" s="125" t="str">
        <f>IF(AND('Mapa final'!$AB$36="Baja",'Mapa final'!$AD$36="Moderado"),CONCATENATE("R10C",'Mapa final'!$R$36),"")</f>
        <v/>
      </c>
      <c r="S165" s="119" t="str">
        <f>IF(AND('Mapa final'!$AB$34="Baja",'Mapa final'!$AD$34="Mayor"),CONCATENATE("R10C",'Mapa final'!$R$34),"")</f>
        <v/>
      </c>
      <c r="T165" s="44" t="str">
        <f>IF(AND('Mapa final'!$AB$35="Baja",'Mapa final'!$AD$35="Mayor"),CONCATENATE("R10C",'Mapa final'!$R$35),"")</f>
        <v/>
      </c>
      <c r="U165" s="120" t="str">
        <f>IF(AND('Mapa final'!$AB$36="Baja",'Mapa final'!$AD$36="Mayor"),CONCATENATE("R10C",'Mapa final'!$R$36),"")</f>
        <v/>
      </c>
      <c r="V165" s="45" t="str">
        <f>IF(AND('Mapa final'!$AB$34="Baja",'Mapa final'!$AD$34="Catastrófico"),CONCATENATE("R10C",'Mapa final'!$R$34),"")</f>
        <v/>
      </c>
      <c r="W165" s="46" t="str">
        <f>IF(AND('Mapa final'!$AB$35="Baja",'Mapa final'!$AD$35="Catastrófico"),CONCATENATE("R10C",'Mapa final'!$R$35),"")</f>
        <v/>
      </c>
      <c r="X165" s="114" t="str">
        <f>IF(AND('Mapa final'!$AB$36="Baja",'Mapa final'!$AD$36="Catastrófico"),CONCATENATE("R10C",'Mapa final'!$R$36),"")</f>
        <v/>
      </c>
      <c r="Y165" s="58"/>
      <c r="Z165" s="389"/>
      <c r="AA165" s="390"/>
      <c r="AB165" s="390"/>
      <c r="AC165" s="390"/>
      <c r="AD165" s="390"/>
      <c r="AE165" s="391"/>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row>
    <row r="166" spans="1:61" ht="15" customHeight="1" x14ac:dyDescent="0.25">
      <c r="A166" s="58"/>
      <c r="B166" s="356"/>
      <c r="C166" s="356"/>
      <c r="D166" s="357"/>
      <c r="E166" s="369"/>
      <c r="F166" s="370"/>
      <c r="G166" s="370"/>
      <c r="H166" s="370"/>
      <c r="I166" s="370"/>
      <c r="J166" s="129" t="str">
        <f>IF(AND('Mapa final'!$AB$37="Baja",'Mapa final'!$AD$37="Leve"),CONCATENATE("R11C",'Mapa final'!$R$37),"")</f>
        <v/>
      </c>
      <c r="K166" s="56" t="str">
        <f>IF(AND('Mapa final'!$AB$38="Baja",'Mapa final'!$AD$38="Leve"),CONCATENATE("R11C",'Mapa final'!$R$38),"")</f>
        <v/>
      </c>
      <c r="L166" s="130" t="str">
        <f>IF(AND('Mapa final'!$AB$39="Baja",'Mapa final'!$AD$39="Leve"),CONCATENATE("R11C",'Mapa final'!$R$39),"")</f>
        <v/>
      </c>
      <c r="M166" s="51" t="str">
        <f>IF(AND('Mapa final'!$AB$37="Baja",'Mapa final'!$AD$37="Menor"),CONCATENATE("R11C",'Mapa final'!$R$37),"")</f>
        <v/>
      </c>
      <c r="N166" s="52" t="str">
        <f>IF(AND('Mapa final'!$AB$38="Baja",'Mapa final'!$AD$38="Menor"),CONCATENATE("R11C",'Mapa final'!$R$38),"")</f>
        <v/>
      </c>
      <c r="O166" s="125" t="str">
        <f>IF(AND('Mapa final'!$AB$39="Baja",'Mapa final'!$AD$39="Menor"),CONCATENATE("R11C",'Mapa final'!$R$39),"")</f>
        <v/>
      </c>
      <c r="P166" s="51" t="str">
        <f>IF(AND('Mapa final'!$AB$37="Baja",'Mapa final'!$AD$37="Moderado"),CONCATENATE("R11C",'Mapa final'!$R$37),"")</f>
        <v/>
      </c>
      <c r="Q166" s="52" t="str">
        <f>IF(AND('Mapa final'!$AB$38="Baja",'Mapa final'!$AD$38="Moderado"),CONCATENATE("R11C",'Mapa final'!$R$38),"")</f>
        <v/>
      </c>
      <c r="R166" s="125" t="str">
        <f>IF(AND('Mapa final'!$AB$39="Baja",'Mapa final'!$AD$39="Moderado"),CONCATENATE("R11C",'Mapa final'!$R$39),"")</f>
        <v/>
      </c>
      <c r="S166" s="119" t="str">
        <f>IF(AND('Mapa final'!$AB$37="Baja",'Mapa final'!$AD$37="Mayor"),CONCATENATE("R11C",'Mapa final'!$R$37),"")</f>
        <v>R11C1</v>
      </c>
      <c r="T166" s="44" t="str">
        <f>IF(AND('Mapa final'!$AB$38="Baja",'Mapa final'!$AD$38="Mayor"),CONCATENATE("R11C",'Mapa final'!$R$38),"")</f>
        <v/>
      </c>
      <c r="U166" s="120" t="str">
        <f>IF(AND('Mapa final'!$AB$39="Baja",'Mapa final'!$AD$39="Mayor"),CONCATENATE("R11C",'Mapa final'!$R$39),"")</f>
        <v/>
      </c>
      <c r="V166" s="45" t="str">
        <f>IF(AND('Mapa final'!$AB$37="Baja",'Mapa final'!$AD$37="Catastrófico"),CONCATENATE("R11C",'Mapa final'!$R$37),"")</f>
        <v/>
      </c>
      <c r="W166" s="46" t="str">
        <f>IF(AND('Mapa final'!$AB$38="Baja",'Mapa final'!$AD$38="Catastrófico"),CONCATENATE("R11C",'Mapa final'!$R$38),"")</f>
        <v/>
      </c>
      <c r="X166" s="114" t="str">
        <f>IF(AND('Mapa final'!$AB$39="Baja",'Mapa final'!$AD$39="Catastrófico"),CONCATENATE("R11C",'Mapa final'!$R$39),"")</f>
        <v/>
      </c>
      <c r="Y166" s="58"/>
      <c r="Z166" s="389"/>
      <c r="AA166" s="390"/>
      <c r="AB166" s="390"/>
      <c r="AC166" s="390"/>
      <c r="AD166" s="390"/>
      <c r="AE166" s="391"/>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row>
    <row r="167" spans="1:61" ht="15" customHeight="1" x14ac:dyDescent="0.25">
      <c r="A167" s="58"/>
      <c r="B167" s="356"/>
      <c r="C167" s="356"/>
      <c r="D167" s="357"/>
      <c r="E167" s="369"/>
      <c r="F167" s="370"/>
      <c r="G167" s="370"/>
      <c r="H167" s="370"/>
      <c r="I167" s="370"/>
      <c r="J167" s="129" t="str">
        <f>IF(AND('Mapa final'!$AB$40="Baja",'Mapa final'!$AD$40="Leve"),CONCATENATE("R12C",'Mapa final'!$R$40),"")</f>
        <v/>
      </c>
      <c r="K167" s="56" t="str">
        <f>IF(AND('Mapa final'!$AB$41="Baja",'Mapa final'!$AD$41="Leve"),CONCATENATE("R12C",'Mapa final'!$R$41),"")</f>
        <v/>
      </c>
      <c r="L167" s="130" t="str">
        <f>IF(AND('Mapa final'!$AB$42="Baja",'Mapa final'!$AD$42="Leve"),CONCATENATE("R12C",'Mapa final'!$R$42),"")</f>
        <v/>
      </c>
      <c r="M167" s="51" t="str">
        <f>IF(AND('Mapa final'!$AB$40="Baja",'Mapa final'!$AD$40="Menor"),CONCATENATE("R12C",'Mapa final'!$R$40),"")</f>
        <v/>
      </c>
      <c r="N167" s="52" t="str">
        <f>IF(AND('Mapa final'!$AB$41="Baja",'Mapa final'!$AD$41="Menor"),CONCATENATE("R12C",'Mapa final'!$R$41),"")</f>
        <v/>
      </c>
      <c r="O167" s="125" t="str">
        <f>IF(AND('Mapa final'!$AB$42="Baja",'Mapa final'!$AD$42="Menor"),CONCATENATE("R12C",'Mapa final'!$R$42),"")</f>
        <v/>
      </c>
      <c r="P167" s="51" t="str">
        <f>IF(AND('Mapa final'!$AB$40="Baja",'Mapa final'!$AD$40="Moderado"),CONCATENATE("R12C",'Mapa final'!$R$40),"")</f>
        <v>R12C1</v>
      </c>
      <c r="Q167" s="52" t="str">
        <f>IF(AND('Mapa final'!$AB$41="Baja",'Mapa final'!$AD$41="Moderado"),CONCATENATE("R12C",'Mapa final'!$R$41),"")</f>
        <v/>
      </c>
      <c r="R167" s="125" t="str">
        <f>IF(AND('Mapa final'!$AB$42="Baja",'Mapa final'!$AD$42="Moderado"),CONCATENATE("R12C",'Mapa final'!$R$42),"")</f>
        <v/>
      </c>
      <c r="S167" s="119" t="str">
        <f>IF(AND('Mapa final'!$AB$40="Baja",'Mapa final'!$AD$40="Mayor"),CONCATENATE("R12C",'Mapa final'!$R$40),"")</f>
        <v/>
      </c>
      <c r="T167" s="44" t="str">
        <f>IF(AND('Mapa final'!$AB$41="Baja",'Mapa final'!$AD$41="Mayor"),CONCATENATE("R12C",'Mapa final'!$R$41),"")</f>
        <v/>
      </c>
      <c r="U167" s="120" t="str">
        <f>IF(AND('Mapa final'!$AB$42="Baja",'Mapa final'!$AD$42="Mayor"),CONCATENATE("R12C",'Mapa final'!$R$42),"")</f>
        <v/>
      </c>
      <c r="V167" s="45" t="str">
        <f>IF(AND('Mapa final'!$AB$40="Baja",'Mapa final'!$AD$40="Catastrófico"),CONCATENATE("R12C",'Mapa final'!$R$40),"")</f>
        <v/>
      </c>
      <c r="W167" s="46" t="str">
        <f>IF(AND('Mapa final'!$AB$41="Baja",'Mapa final'!$AD$41="Catastrófico"),CONCATENATE("R12C",'Mapa final'!$R$41),"")</f>
        <v/>
      </c>
      <c r="X167" s="114" t="str">
        <f>IF(AND('Mapa final'!$AB$42="Baja",'Mapa final'!$AD$42="Catastrófico"),CONCATENATE("R12C",'Mapa final'!$R$42),"")</f>
        <v/>
      </c>
      <c r="Y167" s="58"/>
      <c r="Z167" s="389"/>
      <c r="AA167" s="390"/>
      <c r="AB167" s="390"/>
      <c r="AC167" s="390"/>
      <c r="AD167" s="390"/>
      <c r="AE167" s="391"/>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row>
    <row r="168" spans="1:61" ht="15" customHeight="1" x14ac:dyDescent="0.25">
      <c r="A168" s="58"/>
      <c r="B168" s="356"/>
      <c r="C168" s="356"/>
      <c r="D168" s="357"/>
      <c r="E168" s="369"/>
      <c r="F168" s="370"/>
      <c r="G168" s="370"/>
      <c r="H168" s="370"/>
      <c r="I168" s="370"/>
      <c r="J168" s="129" t="str">
        <f>IF(AND('Mapa final'!$AB$43="Baja",'Mapa final'!$AD$43="Leve"),CONCATENATE("R13C",'Mapa final'!$R$43),"")</f>
        <v/>
      </c>
      <c r="K168" s="56" t="str">
        <f>IF(AND('Mapa final'!$AB$44="Baja",'Mapa final'!$AD$44="Leve"),CONCATENATE("R13C",'Mapa final'!$R$44),"")</f>
        <v/>
      </c>
      <c r="L168" s="130" t="str">
        <f>IF(AND('Mapa final'!$AB$45="Baja",'Mapa final'!$AD$45="Leve"),CONCATENATE("R13C",'Mapa final'!$R$45),"")</f>
        <v/>
      </c>
      <c r="M168" s="51" t="str">
        <f>IF(AND('Mapa final'!$AB$43="Baja",'Mapa final'!$AD$43="Menor"),CONCATENATE("R13C",'Mapa final'!$R$43),"")</f>
        <v/>
      </c>
      <c r="N168" s="52" t="str">
        <f>IF(AND('Mapa final'!$AB$44="Baja",'Mapa final'!$AD$44="Menor"),CONCATENATE("R13C",'Mapa final'!$R$44),"")</f>
        <v/>
      </c>
      <c r="O168" s="125" t="str">
        <f>IF(AND('Mapa final'!$AB$45="Baja",'Mapa final'!$AD$45="Menor"),CONCATENATE("R13C",'Mapa final'!$R$45),"")</f>
        <v/>
      </c>
      <c r="P168" s="51" t="str">
        <f>IF(AND('Mapa final'!$AB$43="Baja",'Mapa final'!$AD$43="Moderado"),CONCATENATE("R13C",'Mapa final'!$R$43),"")</f>
        <v/>
      </c>
      <c r="Q168" s="52" t="str">
        <f>IF(AND('Mapa final'!$AB$44="Baja",'Mapa final'!$AD$44="Moderado"),CONCATENATE("R13C",'Mapa final'!$R$44),"")</f>
        <v/>
      </c>
      <c r="R168" s="125" t="str">
        <f>IF(AND('Mapa final'!$AB$45="Baja",'Mapa final'!$AD$45="Moderado"),CONCATENATE("R13C",'Mapa final'!$R$45),"")</f>
        <v/>
      </c>
      <c r="S168" s="119" t="str">
        <f>IF(AND('Mapa final'!$AB$43="Baja",'Mapa final'!$AD$43="Mayor"),CONCATENATE("R13C",'Mapa final'!$R$43),"")</f>
        <v/>
      </c>
      <c r="T168" s="44" t="str">
        <f>IF(AND('Mapa final'!$AB$44="Baja",'Mapa final'!$AD$44="Mayor"),CONCATENATE("R13C",'Mapa final'!$R$44),"")</f>
        <v/>
      </c>
      <c r="U168" s="120" t="str">
        <f>IF(AND('Mapa final'!$AB$45="Baja",'Mapa final'!$AD$45="Mayor"),CONCATENATE("R13C",'Mapa final'!$R$45),"")</f>
        <v/>
      </c>
      <c r="V168" s="45" t="str">
        <f>IF(AND('Mapa final'!$AB$43="Baja",'Mapa final'!$AD$43="Catastrófico"),CONCATENATE("R13C",'Mapa final'!$R$43),"")</f>
        <v/>
      </c>
      <c r="W168" s="46" t="str">
        <f>IF(AND('Mapa final'!$AB$44="Baja",'Mapa final'!$AD$44="Catastrófico"),CONCATENATE("R13C",'Mapa final'!$R$44),"")</f>
        <v/>
      </c>
      <c r="X168" s="114" t="str">
        <f>IF(AND('Mapa final'!$AB$45="Baja",'Mapa final'!$AD$45="Catastrófico"),CONCATENATE("R13C",'Mapa final'!$R$45),"")</f>
        <v/>
      </c>
      <c r="Y168" s="58"/>
      <c r="Z168" s="389"/>
      <c r="AA168" s="390"/>
      <c r="AB168" s="390"/>
      <c r="AC168" s="390"/>
      <c r="AD168" s="390"/>
      <c r="AE168" s="391"/>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row>
    <row r="169" spans="1:61" ht="15" customHeight="1" x14ac:dyDescent="0.25">
      <c r="A169" s="58"/>
      <c r="B169" s="356"/>
      <c r="C169" s="356"/>
      <c r="D169" s="357"/>
      <c r="E169" s="369"/>
      <c r="F169" s="370"/>
      <c r="G169" s="370"/>
      <c r="H169" s="370"/>
      <c r="I169" s="370"/>
      <c r="J169" s="129" t="e">
        <f>IF(AND('Mapa final'!#REF!="Baja",'Mapa final'!#REF!="Leve"),CONCATENATE("R14C",'Mapa final'!#REF!),"")</f>
        <v>#REF!</v>
      </c>
      <c r="K169" s="56" t="e">
        <f>IF(AND('Mapa final'!#REF!="Baja",'Mapa final'!#REF!="Leve"),CONCATENATE("R14C",'Mapa final'!#REF!),"")</f>
        <v>#REF!</v>
      </c>
      <c r="L169" s="130" t="e">
        <f>IF(AND('Mapa final'!#REF!="Baja",'Mapa final'!#REF!="Leve"),CONCATENATE("R14C",'Mapa final'!#REF!),"")</f>
        <v>#REF!</v>
      </c>
      <c r="M169" s="51" t="e">
        <f>IF(AND('Mapa final'!#REF!="Baja",'Mapa final'!#REF!="Menor"),CONCATENATE("R14C",'Mapa final'!#REF!),"")</f>
        <v>#REF!</v>
      </c>
      <c r="N169" s="52" t="e">
        <f>IF(AND('Mapa final'!#REF!="Baja",'Mapa final'!#REF!="Menor"),CONCATENATE("R14C",'Mapa final'!#REF!),"")</f>
        <v>#REF!</v>
      </c>
      <c r="O169" s="125" t="e">
        <f>IF(AND('Mapa final'!#REF!="Baja",'Mapa final'!#REF!="Menor"),CONCATENATE("R14C",'Mapa final'!#REF!),"")</f>
        <v>#REF!</v>
      </c>
      <c r="P169" s="51" t="e">
        <f>IF(AND('Mapa final'!#REF!="Baja",'Mapa final'!#REF!="Moderado"),CONCATENATE("R14C",'Mapa final'!#REF!),"")</f>
        <v>#REF!</v>
      </c>
      <c r="Q169" s="52" t="e">
        <f>IF(AND('Mapa final'!#REF!="Baja",'Mapa final'!#REF!="Moderado"),CONCATENATE("R14C",'Mapa final'!#REF!),"")</f>
        <v>#REF!</v>
      </c>
      <c r="R169" s="125" t="e">
        <f>IF(AND('Mapa final'!#REF!="Baja",'Mapa final'!#REF!="Moderado"),CONCATENATE("R14C",'Mapa final'!#REF!),"")</f>
        <v>#REF!</v>
      </c>
      <c r="S169" s="119" t="e">
        <f>IF(AND('Mapa final'!#REF!="Baja",'Mapa final'!#REF!="Mayor"),CONCATENATE("R14C",'Mapa final'!#REF!),"")</f>
        <v>#REF!</v>
      </c>
      <c r="T169" s="44" t="e">
        <f>IF(AND('Mapa final'!#REF!="Baja",'Mapa final'!#REF!="Mayor"),CONCATENATE("R14C",'Mapa final'!#REF!),"")</f>
        <v>#REF!</v>
      </c>
      <c r="U169" s="120" t="e">
        <f>IF(AND('Mapa final'!#REF!="Baja",'Mapa final'!#REF!="Mayor"),CONCATENATE("R14C",'Mapa final'!#REF!),"")</f>
        <v>#REF!</v>
      </c>
      <c r="V169" s="45" t="e">
        <f>IF(AND('Mapa final'!#REF!="Baja",'Mapa final'!#REF!="Catastrófico"),CONCATENATE("R14C",'Mapa final'!#REF!),"")</f>
        <v>#REF!</v>
      </c>
      <c r="W169" s="46" t="e">
        <f>IF(AND('Mapa final'!#REF!="Baja",'Mapa final'!#REF!="Catastrófico"),CONCATENATE("R14C",'Mapa final'!#REF!),"")</f>
        <v>#REF!</v>
      </c>
      <c r="X169" s="114" t="e">
        <f>IF(AND('Mapa final'!#REF!="Baja",'Mapa final'!#REF!="Catastrófico"),CONCATENATE("R14C",'Mapa final'!#REF!),"")</f>
        <v>#REF!</v>
      </c>
      <c r="Y169" s="58"/>
      <c r="Z169" s="389"/>
      <c r="AA169" s="390"/>
      <c r="AB169" s="390"/>
      <c r="AC169" s="390"/>
      <c r="AD169" s="390"/>
      <c r="AE169" s="391"/>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c r="BC169" s="58"/>
      <c r="BD169" s="58"/>
      <c r="BE169" s="58"/>
      <c r="BF169" s="58"/>
      <c r="BG169" s="58"/>
      <c r="BH169" s="58"/>
      <c r="BI169" s="58"/>
    </row>
    <row r="170" spans="1:61" ht="15" customHeight="1" x14ac:dyDescent="0.25">
      <c r="A170" s="58"/>
      <c r="B170" s="356"/>
      <c r="C170" s="356"/>
      <c r="D170" s="357"/>
      <c r="E170" s="369"/>
      <c r="F170" s="370"/>
      <c r="G170" s="370"/>
      <c r="H170" s="370"/>
      <c r="I170" s="370"/>
      <c r="J170" s="129" t="str">
        <f>IF(AND('Mapa final'!$AB$46="Baja",'Mapa final'!$AD$46="Leve"),CONCATENATE("R15C",'Mapa final'!$R$46),"")</f>
        <v/>
      </c>
      <c r="K170" s="56" t="str">
        <f>IF(AND('Mapa final'!$AB$47="Baja",'Mapa final'!$AD$47="Leve"),CONCATENATE("R15C",'Mapa final'!$R$47),"")</f>
        <v/>
      </c>
      <c r="L170" s="130" t="str">
        <f>IF(AND('Mapa final'!$AB$48="Baja",'Mapa final'!$AD$48="Leve"),CONCATENATE("R15C",'Mapa final'!$R$48),"")</f>
        <v/>
      </c>
      <c r="M170" s="51" t="str">
        <f>IF(AND('Mapa final'!$AB$46="Baja",'Mapa final'!$AD$46="Menor"),CONCATENATE("R15C",'Mapa final'!$R$46),"")</f>
        <v/>
      </c>
      <c r="N170" s="52" t="str">
        <f>IF(AND('Mapa final'!$AB$47="Baja",'Mapa final'!$AD$47="Menor"),CONCATENATE("R15C",'Mapa final'!$R$47),"")</f>
        <v/>
      </c>
      <c r="O170" s="125" t="str">
        <f>IF(AND('Mapa final'!$AB$48="Baja",'Mapa final'!$AD$48="Menor"),CONCATENATE("R15C",'Mapa final'!$R$48),"")</f>
        <v/>
      </c>
      <c r="P170" s="51" t="str">
        <f>IF(AND('Mapa final'!$AB$46="Baja",'Mapa final'!$AD$46="Moderado"),CONCATENATE("R15C",'Mapa final'!$R$46),"")</f>
        <v>R15C1</v>
      </c>
      <c r="Q170" s="52" t="str">
        <f>IF(AND('Mapa final'!$AB$47="Baja",'Mapa final'!$AD$47="Moderado"),CONCATENATE("R15C",'Mapa final'!$R$47),"")</f>
        <v/>
      </c>
      <c r="R170" s="125" t="str">
        <f>IF(AND('Mapa final'!$AB$48="Baja",'Mapa final'!$AD$48="Moderado"),CONCATENATE("R15C",'Mapa final'!$R$48),"")</f>
        <v/>
      </c>
      <c r="S170" s="119" t="str">
        <f>IF(AND('Mapa final'!$AB$46="Baja",'Mapa final'!$AD$46="Mayor"),CONCATENATE("R15C",'Mapa final'!$R$46),"")</f>
        <v/>
      </c>
      <c r="T170" s="44" t="str">
        <f>IF(AND('Mapa final'!$AB$47="Baja",'Mapa final'!$AD$47="Mayor"),CONCATENATE("R15C",'Mapa final'!$R$47),"")</f>
        <v/>
      </c>
      <c r="U170" s="120" t="str">
        <f>IF(AND('Mapa final'!$AB$48="Baja",'Mapa final'!$AD$48="Mayor"),CONCATENATE("R15C",'Mapa final'!$R$48),"")</f>
        <v/>
      </c>
      <c r="V170" s="45" t="str">
        <f>IF(AND('Mapa final'!$AB$46="Baja",'Mapa final'!$AD$46="Catastrófico"),CONCATENATE("R15C",'Mapa final'!$R$46),"")</f>
        <v/>
      </c>
      <c r="W170" s="46" t="str">
        <f>IF(AND('Mapa final'!$AB$47="Baja",'Mapa final'!$AD$47="Catastrófico"),CONCATENATE("R15C",'Mapa final'!$R$47),"")</f>
        <v/>
      </c>
      <c r="X170" s="114" t="str">
        <f>IF(AND('Mapa final'!$AB$48="Baja",'Mapa final'!$AD$48="Catastrófico"),CONCATENATE("R15C",'Mapa final'!$R$48),"")</f>
        <v/>
      </c>
      <c r="Y170" s="58"/>
      <c r="Z170" s="389"/>
      <c r="AA170" s="390"/>
      <c r="AB170" s="390"/>
      <c r="AC170" s="390"/>
      <c r="AD170" s="390"/>
      <c r="AE170" s="391"/>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row>
    <row r="171" spans="1:61" ht="15" customHeight="1" x14ac:dyDescent="0.25">
      <c r="A171" s="58"/>
      <c r="B171" s="356"/>
      <c r="C171" s="356"/>
      <c r="D171" s="357"/>
      <c r="E171" s="369"/>
      <c r="F171" s="370"/>
      <c r="G171" s="370"/>
      <c r="H171" s="370"/>
      <c r="I171" s="370"/>
      <c r="J171" s="129" t="str">
        <f>IF(AND('Mapa final'!$AB$49="Baja",'Mapa final'!$AD$49="Leve"),CONCATENATE("R16C",'Mapa final'!$R$49),"")</f>
        <v/>
      </c>
      <c r="K171" s="56" t="str">
        <f>IF(AND('Mapa final'!$AB$50="Baja",'Mapa final'!$AD$50="Leve"),CONCATENATE("R16C",'Mapa final'!$R$50),"")</f>
        <v/>
      </c>
      <c r="L171" s="130" t="str">
        <f>IF(AND('Mapa final'!$AB$51="Baja",'Mapa final'!$AD$51="Leve"),CONCATENATE("R16C",'Mapa final'!$R$51),"")</f>
        <v/>
      </c>
      <c r="M171" s="51" t="str">
        <f>IF(AND('Mapa final'!$AB$49="Baja",'Mapa final'!$AD$49="Menor"),CONCATENATE("R16C",'Mapa final'!$R$49),"")</f>
        <v/>
      </c>
      <c r="N171" s="52" t="str">
        <f>IF(AND('Mapa final'!$AB$50="Baja",'Mapa final'!$AD$50="Menor"),CONCATENATE("R16C",'Mapa final'!$R$50),"")</f>
        <v/>
      </c>
      <c r="O171" s="125" t="str">
        <f>IF(AND('Mapa final'!$AB$51="Baja",'Mapa final'!$AD$51="Menor"),CONCATENATE("R16C",'Mapa final'!$R$51),"")</f>
        <v/>
      </c>
      <c r="P171" s="51" t="str">
        <f>IF(AND('Mapa final'!$AB$49="Baja",'Mapa final'!$AD$49="Moderado"),CONCATENATE("R16C",'Mapa final'!$R$49),"")</f>
        <v/>
      </c>
      <c r="Q171" s="52" t="str">
        <f>IF(AND('Mapa final'!$AB$50="Baja",'Mapa final'!$AD$50="Moderado"),CONCATENATE("R16C",'Mapa final'!$R$50),"")</f>
        <v/>
      </c>
      <c r="R171" s="125" t="str">
        <f>IF(AND('Mapa final'!$AB$51="Baja",'Mapa final'!$AD$51="Moderado"),CONCATENATE("R16C",'Mapa final'!$R$51),"")</f>
        <v/>
      </c>
      <c r="S171" s="119" t="str">
        <f>IF(AND('Mapa final'!$AB$49="Baja",'Mapa final'!$AD$49="Mayor"),CONCATENATE("R16C",'Mapa final'!$R$49),"")</f>
        <v/>
      </c>
      <c r="T171" s="44" t="str">
        <f>IF(AND('Mapa final'!$AB$50="Baja",'Mapa final'!$AD$50="Mayor"),CONCATENATE("R16C",'Mapa final'!$R$50),"")</f>
        <v/>
      </c>
      <c r="U171" s="120" t="str">
        <f>IF(AND('Mapa final'!$AB$51="Baja",'Mapa final'!$AD$51="Mayor"),CONCATENATE("R16C",'Mapa final'!$R$51),"")</f>
        <v/>
      </c>
      <c r="V171" s="45" t="str">
        <f>IF(AND('Mapa final'!$AB$49="Baja",'Mapa final'!$AD$49="Catastrófico"),CONCATENATE("R16C",'Mapa final'!$R$49),"")</f>
        <v/>
      </c>
      <c r="W171" s="46" t="str">
        <f>IF(AND('Mapa final'!$AB$50="Baja",'Mapa final'!$AD$50="Catastrófico"),CONCATENATE("R16C",'Mapa final'!$R$50),"")</f>
        <v/>
      </c>
      <c r="X171" s="114" t="str">
        <f>IF(AND('Mapa final'!$AB$51="Baja",'Mapa final'!$AD$51="Catastrófico"),CONCATENATE("R16C",'Mapa final'!$R$51),"")</f>
        <v/>
      </c>
      <c r="Y171" s="58"/>
      <c r="Z171" s="389"/>
      <c r="AA171" s="390"/>
      <c r="AB171" s="390"/>
      <c r="AC171" s="390"/>
      <c r="AD171" s="390"/>
      <c r="AE171" s="391"/>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row>
    <row r="172" spans="1:61" ht="15" customHeight="1" x14ac:dyDescent="0.25">
      <c r="A172" s="58"/>
      <c r="B172" s="356"/>
      <c r="C172" s="356"/>
      <c r="D172" s="357"/>
      <c r="E172" s="369"/>
      <c r="F172" s="370"/>
      <c r="G172" s="370"/>
      <c r="H172" s="370"/>
      <c r="I172" s="370"/>
      <c r="J172" s="129" t="str">
        <f>IF(AND('Mapa final'!$AB$52="Baja",'Mapa final'!$AD$52="Leve"),CONCATENATE("R17C",'Mapa final'!$R$52),"")</f>
        <v/>
      </c>
      <c r="K172" s="56" t="str">
        <f>IF(AND('Mapa final'!$AB$53="Baja",'Mapa final'!$AD$53="Leve"),CONCATENATE("R17C",'Mapa final'!$R$53),"")</f>
        <v/>
      </c>
      <c r="L172" s="130" t="str">
        <f>IF(AND('Mapa final'!$AB$54="Baja",'Mapa final'!$AD$54="Leve"),CONCATENATE("R17C",'Mapa final'!$R$54),"")</f>
        <v/>
      </c>
      <c r="M172" s="51" t="str">
        <f>IF(AND('Mapa final'!$AB$52="Baja",'Mapa final'!$AD$52="Menor"),CONCATENATE("R17C",'Mapa final'!$R$52),"")</f>
        <v/>
      </c>
      <c r="N172" s="52" t="str">
        <f>IF(AND('Mapa final'!$AB$53="Baja",'Mapa final'!$AD$53="Menor"),CONCATENATE("R17C",'Mapa final'!$R$53),"")</f>
        <v/>
      </c>
      <c r="O172" s="125" t="str">
        <f>IF(AND('Mapa final'!$AB$54="Baja",'Mapa final'!$AD$54="Menor"),CONCATENATE("R17C",'Mapa final'!$R$54),"")</f>
        <v/>
      </c>
      <c r="P172" s="51" t="str">
        <f>IF(AND('Mapa final'!$AB$52="Baja",'Mapa final'!$AD$52="Moderado"),CONCATENATE("R17C",'Mapa final'!$R$52),"")</f>
        <v/>
      </c>
      <c r="Q172" s="52" t="str">
        <f>IF(AND('Mapa final'!$AB$53="Baja",'Mapa final'!$AD$53="Moderado"),CONCATENATE("R17C",'Mapa final'!$R$53),"")</f>
        <v/>
      </c>
      <c r="R172" s="125" t="str">
        <f>IF(AND('Mapa final'!$AB$54="Baja",'Mapa final'!$AD$54="Moderado"),CONCATENATE("R17C",'Mapa final'!$R$54),"")</f>
        <v/>
      </c>
      <c r="S172" s="119" t="str">
        <f>IF(AND('Mapa final'!$AB$52="Baja",'Mapa final'!$AD$52="Mayor"),CONCATENATE("R17C",'Mapa final'!$R$52),"")</f>
        <v/>
      </c>
      <c r="T172" s="44" t="str">
        <f>IF(AND('Mapa final'!$AB$53="Baja",'Mapa final'!$AD$53="Mayor"),CONCATENATE("R17C",'Mapa final'!$R$53),"")</f>
        <v/>
      </c>
      <c r="U172" s="120" t="str">
        <f>IF(AND('Mapa final'!$AB$54="Baja",'Mapa final'!$AD$54="Mayor"),CONCATENATE("R17C",'Mapa final'!$R$54),"")</f>
        <v/>
      </c>
      <c r="V172" s="45" t="str">
        <f>IF(AND('Mapa final'!$AB$52="Baja",'Mapa final'!$AD$52="Catastrófico"),CONCATENATE("R17C",'Mapa final'!$R$52),"")</f>
        <v/>
      </c>
      <c r="W172" s="46" t="str">
        <f>IF(AND('Mapa final'!$AB$53="Baja",'Mapa final'!$AD$53="Catastrófico"),CONCATENATE("R17C",'Mapa final'!$R$53),"")</f>
        <v/>
      </c>
      <c r="X172" s="114" t="str">
        <f>IF(AND('Mapa final'!$AB$54="Baja",'Mapa final'!$AD$54="Catastrófico"),CONCATENATE("R17C",'Mapa final'!$R$54),"")</f>
        <v/>
      </c>
      <c r="Y172" s="58"/>
      <c r="Z172" s="389"/>
      <c r="AA172" s="390"/>
      <c r="AB172" s="390"/>
      <c r="AC172" s="390"/>
      <c r="AD172" s="390"/>
      <c r="AE172" s="391"/>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row>
    <row r="173" spans="1:61" ht="15" customHeight="1" x14ac:dyDescent="0.25">
      <c r="A173" s="58"/>
      <c r="B173" s="356"/>
      <c r="C173" s="356"/>
      <c r="D173" s="357"/>
      <c r="E173" s="369"/>
      <c r="F173" s="370"/>
      <c r="G173" s="370"/>
      <c r="H173" s="370"/>
      <c r="I173" s="370"/>
      <c r="J173" s="129" t="str">
        <f>IF(AND('Mapa final'!$AB$55="Baja",'Mapa final'!$AD$55="Leve"),CONCATENATE("R18C",'Mapa final'!$R$55),"")</f>
        <v/>
      </c>
      <c r="K173" s="56" t="str">
        <f>IF(AND('Mapa final'!$AB$56="Baja",'Mapa final'!$AD$56="Leve"),CONCATENATE("R18C",'Mapa final'!$R$56),"")</f>
        <v/>
      </c>
      <c r="L173" s="130" t="str">
        <f>IF(AND('Mapa final'!$AB$57="Baja",'Mapa final'!$AD$57="Leve"),CONCATENATE("R18C",'Mapa final'!$R$57),"")</f>
        <v/>
      </c>
      <c r="M173" s="51" t="str">
        <f>IF(AND('Mapa final'!$AB$55="Baja",'Mapa final'!$AD$55="Menor"),CONCATENATE("R18C",'Mapa final'!$R$55),"")</f>
        <v/>
      </c>
      <c r="N173" s="52" t="str">
        <f>IF(AND('Mapa final'!$AB$56="Baja",'Mapa final'!$AD$56="Menor"),CONCATENATE("R18C",'Mapa final'!$R$56),"")</f>
        <v/>
      </c>
      <c r="O173" s="125" t="str">
        <f>IF(AND('Mapa final'!$AB$57="Baja",'Mapa final'!$AD$57="Menor"),CONCATENATE("R18C",'Mapa final'!$R$57),"")</f>
        <v/>
      </c>
      <c r="P173" s="51" t="str">
        <f>IF(AND('Mapa final'!$AB$55="Baja",'Mapa final'!$AD$55="Moderado"),CONCATENATE("R18C",'Mapa final'!$R$55),"")</f>
        <v/>
      </c>
      <c r="Q173" s="52" t="str">
        <f>IF(AND('Mapa final'!$AB$56="Baja",'Mapa final'!$AD$56="Moderado"),CONCATENATE("R18C",'Mapa final'!$R$56),"")</f>
        <v/>
      </c>
      <c r="R173" s="125" t="str">
        <f>IF(AND('Mapa final'!$AB$57="Baja",'Mapa final'!$AD$57="Moderado"),CONCATENATE("R18C",'Mapa final'!$R$57),"")</f>
        <v/>
      </c>
      <c r="S173" s="119" t="str">
        <f>IF(AND('Mapa final'!$AB$55="Baja",'Mapa final'!$AD$55="Mayor"),CONCATENATE("R18C",'Mapa final'!$R$55),"")</f>
        <v/>
      </c>
      <c r="T173" s="44" t="str">
        <f>IF(AND('Mapa final'!$AB$56="Baja",'Mapa final'!$AD$56="Mayor"),CONCATENATE("R18C",'Mapa final'!$R$56),"")</f>
        <v/>
      </c>
      <c r="U173" s="120" t="str">
        <f>IF(AND('Mapa final'!$AB$57="Baja",'Mapa final'!$AD$57="Mayor"),CONCATENATE("R18C",'Mapa final'!$R$57),"")</f>
        <v/>
      </c>
      <c r="V173" s="45" t="str">
        <f>IF(AND('Mapa final'!$AB$55="Baja",'Mapa final'!$AD$55="Catastrófico"),CONCATENATE("R18C",'Mapa final'!$R$55),"")</f>
        <v/>
      </c>
      <c r="W173" s="46" t="str">
        <f>IF(AND('Mapa final'!$AB$56="Baja",'Mapa final'!$AD$56="Catastrófico"),CONCATENATE("R18C",'Mapa final'!$R$56),"")</f>
        <v/>
      </c>
      <c r="X173" s="114" t="str">
        <f>IF(AND('Mapa final'!$AB$57="Baja",'Mapa final'!$AD$57="Catastrófico"),CONCATENATE("R18C",'Mapa final'!$R$57),"")</f>
        <v/>
      </c>
      <c r="Y173" s="58"/>
      <c r="Z173" s="389"/>
      <c r="AA173" s="390"/>
      <c r="AB173" s="390"/>
      <c r="AC173" s="390"/>
      <c r="AD173" s="390"/>
      <c r="AE173" s="391"/>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row>
    <row r="174" spans="1:61" ht="15" customHeight="1" x14ac:dyDescent="0.25">
      <c r="A174" s="58"/>
      <c r="B174" s="356"/>
      <c r="C174" s="356"/>
      <c r="D174" s="357"/>
      <c r="E174" s="369"/>
      <c r="F174" s="370"/>
      <c r="G174" s="370"/>
      <c r="H174" s="370"/>
      <c r="I174" s="370"/>
      <c r="J174" s="129" t="str">
        <f>IF(AND('Mapa final'!$AB$58="Baja",'Mapa final'!$AD$58="Leve"),CONCATENATE("R19C",'Mapa final'!$R$58),"")</f>
        <v/>
      </c>
      <c r="K174" s="56" t="str">
        <f>IF(AND('Mapa final'!$AB$59="Baja",'Mapa final'!$AD$59="Leve"),CONCATENATE("R19C",'Mapa final'!$R$59),"")</f>
        <v/>
      </c>
      <c r="L174" s="130" t="str">
        <f>IF(AND('Mapa final'!$AB$60="Baja",'Mapa final'!$AD$60="Leve"),CONCATENATE("R19C",'Mapa final'!$R$60),"")</f>
        <v/>
      </c>
      <c r="M174" s="51" t="str">
        <f>IF(AND('Mapa final'!$AB$58="Baja",'Mapa final'!$AD$58="Menor"),CONCATENATE("R19C",'Mapa final'!$R$58),"")</f>
        <v/>
      </c>
      <c r="N174" s="52" t="str">
        <f>IF(AND('Mapa final'!$AB$59="Baja",'Mapa final'!$AD$59="Menor"),CONCATENATE("R19C",'Mapa final'!$R$59),"")</f>
        <v/>
      </c>
      <c r="O174" s="125" t="str">
        <f>IF(AND('Mapa final'!$AB$60="Baja",'Mapa final'!$AD$60="Menor"),CONCATENATE("R19C",'Mapa final'!$R$60),"")</f>
        <v/>
      </c>
      <c r="P174" s="51" t="str">
        <f>IF(AND('Mapa final'!$AB$58="Baja",'Mapa final'!$AD$58="Moderado"),CONCATENATE("R19C",'Mapa final'!$R$58),"")</f>
        <v/>
      </c>
      <c r="Q174" s="52" t="str">
        <f>IF(AND('Mapa final'!$AB$59="Baja",'Mapa final'!$AD$59="Moderado"),CONCATENATE("R19C",'Mapa final'!$R$59),"")</f>
        <v/>
      </c>
      <c r="R174" s="125" t="str">
        <f>IF(AND('Mapa final'!$AB$60="Baja",'Mapa final'!$AD$60="Moderado"),CONCATENATE("R19C",'Mapa final'!$R$60),"")</f>
        <v/>
      </c>
      <c r="S174" s="119" t="str">
        <f>IF(AND('Mapa final'!$AB$58="Baja",'Mapa final'!$AD$58="Mayor"),CONCATENATE("R19C",'Mapa final'!$R$58),"")</f>
        <v/>
      </c>
      <c r="T174" s="44" t="str">
        <f>IF(AND('Mapa final'!$AB$59="Baja",'Mapa final'!$AD$59="Mayor"),CONCATENATE("R19C",'Mapa final'!$R$59),"")</f>
        <v/>
      </c>
      <c r="U174" s="120" t="str">
        <f>IF(AND('Mapa final'!$AB$60="Baja",'Mapa final'!$AD$60="Mayor"),CONCATENATE("R19C",'Mapa final'!$R$60),"")</f>
        <v/>
      </c>
      <c r="V174" s="45" t="str">
        <f>IF(AND('Mapa final'!$AB$58="Baja",'Mapa final'!$AD$58="Catastrófico"),CONCATENATE("R19C",'Mapa final'!$R$58),"")</f>
        <v/>
      </c>
      <c r="W174" s="46" t="str">
        <f>IF(AND('Mapa final'!$AB$59="Baja",'Mapa final'!$AD$59="Catastrófico"),CONCATENATE("R19C",'Mapa final'!$R$59),"")</f>
        <v/>
      </c>
      <c r="X174" s="114" t="str">
        <f>IF(AND('Mapa final'!$AB$60="Baja",'Mapa final'!$AD$60="Catastrófico"),CONCATENATE("R19C",'Mapa final'!$R$60),"")</f>
        <v/>
      </c>
      <c r="Y174" s="58"/>
      <c r="Z174" s="389"/>
      <c r="AA174" s="390"/>
      <c r="AB174" s="390"/>
      <c r="AC174" s="390"/>
      <c r="AD174" s="390"/>
      <c r="AE174" s="391"/>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row>
    <row r="175" spans="1:61" ht="15" customHeight="1" x14ac:dyDescent="0.25">
      <c r="A175" s="58"/>
      <c r="B175" s="356"/>
      <c r="C175" s="356"/>
      <c r="D175" s="357"/>
      <c r="E175" s="369"/>
      <c r="F175" s="370"/>
      <c r="G175" s="370"/>
      <c r="H175" s="370"/>
      <c r="I175" s="370"/>
      <c r="J175" s="129" t="str">
        <f>IF(AND('Mapa final'!$AB$61="Baja",'Mapa final'!$AD$61="Leve"),CONCATENATE("R20C",'Mapa final'!$R$61),"")</f>
        <v/>
      </c>
      <c r="K175" s="56" t="str">
        <f>IF(AND('Mapa final'!$AB$62="Baja",'Mapa final'!$AD$62="Leve"),CONCATENATE("R20C",'Mapa final'!$R$62),"")</f>
        <v/>
      </c>
      <c r="L175" s="130" t="str">
        <f>IF(AND('Mapa final'!$AB$63="Baja",'Mapa final'!$AD$63="Leve"),CONCATENATE("R20C",'Mapa final'!$R$63),"")</f>
        <v/>
      </c>
      <c r="M175" s="51" t="str">
        <f>IF(AND('Mapa final'!$AB$61="Baja",'Mapa final'!$AD$61="Menor"),CONCATENATE("R20C",'Mapa final'!$R$61),"")</f>
        <v/>
      </c>
      <c r="N175" s="52" t="str">
        <f>IF(AND('Mapa final'!$AB$62="Baja",'Mapa final'!$AD$62="Menor"),CONCATENATE("R20C",'Mapa final'!$R$62),"")</f>
        <v/>
      </c>
      <c r="O175" s="125" t="str">
        <f>IF(AND('Mapa final'!$AB$63="Baja",'Mapa final'!$AD$63="Menor"),CONCATENATE("R20C",'Mapa final'!$R$63),"")</f>
        <v/>
      </c>
      <c r="P175" s="51" t="str">
        <f>IF(AND('Mapa final'!$AB$61="Baja",'Mapa final'!$AD$61="Moderado"),CONCATENATE("R20C",'Mapa final'!$R$61),"")</f>
        <v/>
      </c>
      <c r="Q175" s="52" t="str">
        <f>IF(AND('Mapa final'!$AB$62="Baja",'Mapa final'!$AD$62="Moderado"),CONCATENATE("R20C",'Mapa final'!$R$62),"")</f>
        <v/>
      </c>
      <c r="R175" s="125" t="str">
        <f>IF(AND('Mapa final'!$AB$63="Baja",'Mapa final'!$AD$63="Moderado"),CONCATENATE("R20C",'Mapa final'!$R$63),"")</f>
        <v/>
      </c>
      <c r="S175" s="119" t="str">
        <f>IF(AND('Mapa final'!$AB$61="Baja",'Mapa final'!$AD$61="Mayor"),CONCATENATE("R20C",'Mapa final'!$R$61),"")</f>
        <v/>
      </c>
      <c r="T175" s="44" t="str">
        <f>IF(AND('Mapa final'!$AB$62="Baja",'Mapa final'!$AD$62="Mayor"),CONCATENATE("R20C",'Mapa final'!$R$62),"")</f>
        <v/>
      </c>
      <c r="U175" s="120" t="str">
        <f>IF(AND('Mapa final'!$AB$63="Baja",'Mapa final'!$AD$63="Mayor"),CONCATENATE("R20C",'Mapa final'!$R$63),"")</f>
        <v/>
      </c>
      <c r="V175" s="45" t="str">
        <f>IF(AND('Mapa final'!$AB$61="Baja",'Mapa final'!$AD$61="Catastrófico"),CONCATENATE("R20C",'Mapa final'!$R$61),"")</f>
        <v/>
      </c>
      <c r="W175" s="46" t="str">
        <f>IF(AND('Mapa final'!$AB$62="Baja",'Mapa final'!$AD$62="Catastrófico"),CONCATENATE("R20C",'Mapa final'!$R$62),"")</f>
        <v/>
      </c>
      <c r="X175" s="114" t="str">
        <f>IF(AND('Mapa final'!$AB$63="Baja",'Mapa final'!$AD$63="Catastrófico"),CONCATENATE("R20C",'Mapa final'!$R$63),"")</f>
        <v/>
      </c>
      <c r="Y175" s="58"/>
      <c r="Z175" s="389"/>
      <c r="AA175" s="390"/>
      <c r="AB175" s="390"/>
      <c r="AC175" s="390"/>
      <c r="AD175" s="390"/>
      <c r="AE175" s="391"/>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row>
    <row r="176" spans="1:61" ht="15" customHeight="1" x14ac:dyDescent="0.25">
      <c r="A176" s="58"/>
      <c r="B176" s="356"/>
      <c r="C176" s="356"/>
      <c r="D176" s="357"/>
      <c r="E176" s="369"/>
      <c r="F176" s="370"/>
      <c r="G176" s="370"/>
      <c r="H176" s="370"/>
      <c r="I176" s="370"/>
      <c r="J176" s="129" t="str">
        <f>IF(AND('Mapa final'!$AB$64="Baja",'Mapa final'!$AD$64="Leve"),CONCATENATE("R21C",'Mapa final'!$R$64),"")</f>
        <v/>
      </c>
      <c r="K176" s="56" t="str">
        <f>IF(AND('Mapa final'!$AB$65="Baja",'Mapa final'!$AD$65="Leve"),CONCATENATE("R21C",'Mapa final'!$R$65),"")</f>
        <v/>
      </c>
      <c r="L176" s="130" t="str">
        <f>IF(AND('Mapa final'!$AB$66="Baja",'Mapa final'!$AD$66="Leve"),CONCATENATE("R21C",'Mapa final'!$R$66),"")</f>
        <v/>
      </c>
      <c r="M176" s="51" t="str">
        <f>IF(AND('Mapa final'!$AB$64="Baja",'Mapa final'!$AD$64="Menor"),CONCATENATE("R21C",'Mapa final'!$R$64),"")</f>
        <v/>
      </c>
      <c r="N176" s="52" t="str">
        <f>IF(AND('Mapa final'!$AB$65="Baja",'Mapa final'!$AD$65="Menor"),CONCATENATE("R21C",'Mapa final'!$R$65),"")</f>
        <v/>
      </c>
      <c r="O176" s="125" t="str">
        <f>IF(AND('Mapa final'!$AB$66="Baja",'Mapa final'!$AD$66="Menor"),CONCATENATE("R21C",'Mapa final'!$R$66),"")</f>
        <v/>
      </c>
      <c r="P176" s="51" t="str">
        <f>IF(AND('Mapa final'!$AB$64="Baja",'Mapa final'!$AD$64="Moderado"),CONCATENATE("R21C",'Mapa final'!$R$64),"")</f>
        <v/>
      </c>
      <c r="Q176" s="52" t="str">
        <f>IF(AND('Mapa final'!$AB$65="Baja",'Mapa final'!$AD$65="Moderado"),CONCATENATE("R21C",'Mapa final'!$R$65),"")</f>
        <v/>
      </c>
      <c r="R176" s="125" t="str">
        <f>IF(AND('Mapa final'!$AB$66="Baja",'Mapa final'!$AD$66="Moderado"),CONCATENATE("R21C",'Mapa final'!$R$66),"")</f>
        <v/>
      </c>
      <c r="S176" s="119" t="str">
        <f>IF(AND('Mapa final'!$AB$64="Baja",'Mapa final'!$AD$64="Mayor"),CONCATENATE("R21C",'Mapa final'!$R$64),"")</f>
        <v>R21C1</v>
      </c>
      <c r="T176" s="44" t="str">
        <f>IF(AND('Mapa final'!$AB$65="Baja",'Mapa final'!$AD$65="Mayor"),CONCATENATE("R21C",'Mapa final'!$R$65),"")</f>
        <v/>
      </c>
      <c r="U176" s="120" t="str">
        <f>IF(AND('Mapa final'!$AB$66="Baja",'Mapa final'!$AD$66="Mayor"),CONCATENATE("R21C",'Mapa final'!$R$66),"")</f>
        <v/>
      </c>
      <c r="V176" s="45" t="str">
        <f>IF(AND('Mapa final'!$AB$64="Baja",'Mapa final'!$AD$64="Catastrófico"),CONCATENATE("R21C",'Mapa final'!$R$64),"")</f>
        <v/>
      </c>
      <c r="W176" s="46" t="str">
        <f>IF(AND('Mapa final'!$AB$65="Baja",'Mapa final'!$AD$65="Catastrófico"),CONCATENATE("R21C",'Mapa final'!$R$65),"")</f>
        <v/>
      </c>
      <c r="X176" s="114" t="str">
        <f>IF(AND('Mapa final'!$AB$66="Baja",'Mapa final'!$AD$66="Catastrófico"),CONCATENATE("R21C",'Mapa final'!$R$66),"")</f>
        <v/>
      </c>
      <c r="Y176" s="58"/>
      <c r="Z176" s="389"/>
      <c r="AA176" s="390"/>
      <c r="AB176" s="390"/>
      <c r="AC176" s="390"/>
      <c r="AD176" s="390"/>
      <c r="AE176" s="391"/>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row>
    <row r="177" spans="1:61" ht="15" customHeight="1" x14ac:dyDescent="0.25">
      <c r="A177" s="58"/>
      <c r="B177" s="356"/>
      <c r="C177" s="356"/>
      <c r="D177" s="357"/>
      <c r="E177" s="369"/>
      <c r="F177" s="370"/>
      <c r="G177" s="370"/>
      <c r="H177" s="370"/>
      <c r="I177" s="370"/>
      <c r="J177" s="129" t="str">
        <f>IF(AND('Mapa final'!$AB$67="Baja",'Mapa final'!$AD$67="Leve"),CONCATENATE("R22C",'Mapa final'!$R$67),"")</f>
        <v>R22C1</v>
      </c>
      <c r="K177" s="56" t="str">
        <f>IF(AND('Mapa final'!$AB$68="Baja",'Mapa final'!$AD$68="Leve"),CONCATENATE("R22C",'Mapa final'!$R$68),"")</f>
        <v/>
      </c>
      <c r="L177" s="130" t="str">
        <f>IF(AND('Mapa final'!$AB$69="Baja",'Mapa final'!$AD$69="Leve"),CONCATENATE("R22C",'Mapa final'!$R$69),"")</f>
        <v/>
      </c>
      <c r="M177" s="51" t="str">
        <f>IF(AND('Mapa final'!$AB$67="Baja",'Mapa final'!$AD$67="Menor"),CONCATENATE("R22C",'Mapa final'!$R$67),"")</f>
        <v/>
      </c>
      <c r="N177" s="52" t="str">
        <f>IF(AND('Mapa final'!$AB$68="Baja",'Mapa final'!$AD$68="Menor"),CONCATENATE("R22C",'Mapa final'!$R$68),"")</f>
        <v/>
      </c>
      <c r="O177" s="125" t="str">
        <f>IF(AND('Mapa final'!$AB$69="Baja",'Mapa final'!$AD$69="Menor"),CONCATENATE("R22C",'Mapa final'!$R$69),"")</f>
        <v/>
      </c>
      <c r="P177" s="51" t="str">
        <f>IF(AND('Mapa final'!$AB$67="Baja",'Mapa final'!$AD$67="Moderado"),CONCATENATE("R22C",'Mapa final'!$R$67),"")</f>
        <v/>
      </c>
      <c r="Q177" s="52" t="str">
        <f>IF(AND('Mapa final'!$AB$68="Baja",'Mapa final'!$AD$68="Moderado"),CONCATENATE("R22C",'Mapa final'!$R$68),"")</f>
        <v/>
      </c>
      <c r="R177" s="125" t="str">
        <f>IF(AND('Mapa final'!$AB$69="Baja",'Mapa final'!$AD$69="Moderado"),CONCATENATE("R22C",'Mapa final'!$R$69),"")</f>
        <v/>
      </c>
      <c r="S177" s="119" t="str">
        <f>IF(AND('Mapa final'!$AB$67="Baja",'Mapa final'!$AD$67="Mayor"),CONCATENATE("R22C",'Mapa final'!$R$67),"")</f>
        <v/>
      </c>
      <c r="T177" s="44" t="str">
        <f>IF(AND('Mapa final'!$AB$68="Baja",'Mapa final'!$AD$68="Mayor"),CONCATENATE("R22C",'Mapa final'!$R$68),"")</f>
        <v/>
      </c>
      <c r="U177" s="120" t="str">
        <f>IF(AND('Mapa final'!$AB$69="Baja",'Mapa final'!$AD$69="Mayor"),CONCATENATE("R22C",'Mapa final'!$R$69),"")</f>
        <v/>
      </c>
      <c r="V177" s="45" t="str">
        <f>IF(AND('Mapa final'!$AB$67="Baja",'Mapa final'!$AD$67="Catastrófico"),CONCATENATE("R22C",'Mapa final'!$R$67),"")</f>
        <v/>
      </c>
      <c r="W177" s="46" t="str">
        <f>IF(AND('Mapa final'!$AB$68="Baja",'Mapa final'!$AD$68="Catastrófico"),CONCATENATE("R22C",'Mapa final'!$R$68),"")</f>
        <v/>
      </c>
      <c r="X177" s="114" t="str">
        <f>IF(AND('Mapa final'!$AB$69="Baja",'Mapa final'!$AD$69="Catastrófico"),CONCATENATE("R22C",'Mapa final'!$R$69),"")</f>
        <v/>
      </c>
      <c r="Y177" s="58"/>
      <c r="Z177" s="389"/>
      <c r="AA177" s="390"/>
      <c r="AB177" s="390"/>
      <c r="AC177" s="390"/>
      <c r="AD177" s="390"/>
      <c r="AE177" s="391"/>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row>
    <row r="178" spans="1:61" ht="15" customHeight="1" x14ac:dyDescent="0.25">
      <c r="A178" s="58"/>
      <c r="B178" s="356"/>
      <c r="C178" s="356"/>
      <c r="D178" s="357"/>
      <c r="E178" s="369"/>
      <c r="F178" s="370"/>
      <c r="G178" s="370"/>
      <c r="H178" s="370"/>
      <c r="I178" s="370"/>
      <c r="J178" s="129" t="str">
        <f>IF(AND('Mapa final'!$AB$70="Baja",'Mapa final'!$AD$70="Leve"),CONCATENATE("R23C",'Mapa final'!$R$70),"")</f>
        <v/>
      </c>
      <c r="K178" s="56" t="str">
        <f>IF(AND('Mapa final'!$AB$71="Baja",'Mapa final'!$AD$71="Leve"),CONCATENATE("R23C",'Mapa final'!$R$71),"")</f>
        <v/>
      </c>
      <c r="L178" s="130" t="str">
        <f>IF(AND('Mapa final'!$AB$72="Baja",'Mapa final'!$AD$72="Leve"),CONCATENATE("R23C",'Mapa final'!$R$72),"")</f>
        <v/>
      </c>
      <c r="M178" s="51" t="str">
        <f>IF(AND('Mapa final'!$AB$70="Baja",'Mapa final'!$AD$70="Menor"),CONCATENATE("R23C",'Mapa final'!$R$70),"")</f>
        <v>R23C1</v>
      </c>
      <c r="N178" s="52" t="str">
        <f>IF(AND('Mapa final'!$AB$71="Baja",'Mapa final'!$AD$71="Menor"),CONCATENATE("R23C",'Mapa final'!$R$71),"")</f>
        <v/>
      </c>
      <c r="O178" s="125" t="str">
        <f>IF(AND('Mapa final'!$AB$72="Baja",'Mapa final'!$AD$72="Menor"),CONCATENATE("R23C",'Mapa final'!$R$72),"")</f>
        <v/>
      </c>
      <c r="P178" s="51" t="str">
        <f>IF(AND('Mapa final'!$AB$70="Baja",'Mapa final'!$AD$70="Moderado"),CONCATENATE("R23C",'Mapa final'!$R$70),"")</f>
        <v/>
      </c>
      <c r="Q178" s="52" t="str">
        <f>IF(AND('Mapa final'!$AB$71="Baja",'Mapa final'!$AD$71="Moderado"),CONCATENATE("R23C",'Mapa final'!$R$71),"")</f>
        <v/>
      </c>
      <c r="R178" s="125" t="str">
        <f>IF(AND('Mapa final'!$AB$72="Baja",'Mapa final'!$AD$72="Moderado"),CONCATENATE("R23C",'Mapa final'!$R$72),"")</f>
        <v/>
      </c>
      <c r="S178" s="119" t="str">
        <f>IF(AND('Mapa final'!$AB$70="Baja",'Mapa final'!$AD$70="Mayor"),CONCATENATE("R23C",'Mapa final'!$R$70),"")</f>
        <v/>
      </c>
      <c r="T178" s="44" t="str">
        <f>IF(AND('Mapa final'!$AB$71="Baja",'Mapa final'!$AD$71="Mayor"),CONCATENATE("R23C",'Mapa final'!$R$71),"")</f>
        <v/>
      </c>
      <c r="U178" s="120" t="str">
        <f>IF(AND('Mapa final'!$AB$72="Baja",'Mapa final'!$AD$72="Mayor"),CONCATENATE("R23C",'Mapa final'!$R$72),"")</f>
        <v/>
      </c>
      <c r="V178" s="45" t="str">
        <f>IF(AND('Mapa final'!$AB$70="Baja",'Mapa final'!$AD$70="Catastrófico"),CONCATENATE("R23C",'Mapa final'!$R$70),"")</f>
        <v/>
      </c>
      <c r="W178" s="46" t="str">
        <f>IF(AND('Mapa final'!$AB$71="Baja",'Mapa final'!$AD$71="Catastrófico"),CONCATENATE("R23C",'Mapa final'!$R$71),"")</f>
        <v/>
      </c>
      <c r="X178" s="114" t="str">
        <f>IF(AND('Mapa final'!$AB$72="Baja",'Mapa final'!$AD$72="Catastrófico"),CONCATENATE("R23C",'Mapa final'!$R$72),"")</f>
        <v/>
      </c>
      <c r="Y178" s="58"/>
      <c r="Z178" s="389"/>
      <c r="AA178" s="390"/>
      <c r="AB178" s="390"/>
      <c r="AC178" s="390"/>
      <c r="AD178" s="390"/>
      <c r="AE178" s="391"/>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row>
    <row r="179" spans="1:61" ht="15" customHeight="1" x14ac:dyDescent="0.25">
      <c r="A179" s="58"/>
      <c r="B179" s="356"/>
      <c r="C179" s="356"/>
      <c r="D179" s="357"/>
      <c r="E179" s="369"/>
      <c r="F179" s="370"/>
      <c r="G179" s="370"/>
      <c r="H179" s="370"/>
      <c r="I179" s="370"/>
      <c r="J179" s="129" t="str">
        <f>IF(AND('Mapa final'!$AB$73="Baja",'Mapa final'!$AD$73="Leve"),CONCATENATE("R24C",'Mapa final'!$R$73),"")</f>
        <v/>
      </c>
      <c r="K179" s="56" t="str">
        <f>IF(AND('Mapa final'!$AB$74="Baja",'Mapa final'!$AD$74="Leve"),CONCATENATE("R24C",'Mapa final'!$R$74),"")</f>
        <v/>
      </c>
      <c r="L179" s="130" t="str">
        <f>IF(AND('Mapa final'!$AB$75="Baja",'Mapa final'!$AD$75="Leve"),CONCATENATE("R24C",'Mapa final'!$R$75),"")</f>
        <v/>
      </c>
      <c r="M179" s="51" t="str">
        <f>IF(AND('Mapa final'!$AB$73="Baja",'Mapa final'!$AD$73="Menor"),CONCATENATE("R24C",'Mapa final'!$R$73),"")</f>
        <v/>
      </c>
      <c r="N179" s="52" t="str">
        <f>IF(AND('Mapa final'!$AB$74="Baja",'Mapa final'!$AD$74="Menor"),CONCATENATE("R24C",'Mapa final'!$R$74),"")</f>
        <v/>
      </c>
      <c r="O179" s="125" t="str">
        <f>IF(AND('Mapa final'!$AB$75="Baja",'Mapa final'!$AD$75="Menor"),CONCATENATE("R24C",'Mapa final'!$R$75),"")</f>
        <v/>
      </c>
      <c r="P179" s="51" t="str">
        <f>IF(AND('Mapa final'!$AB$73="Baja",'Mapa final'!$AD$73="Moderado"),CONCATENATE("R24C",'Mapa final'!$R$73),"")</f>
        <v/>
      </c>
      <c r="Q179" s="52" t="str">
        <f>IF(AND('Mapa final'!$AB$74="Baja",'Mapa final'!$AD$74="Moderado"),CONCATENATE("R24C",'Mapa final'!$R$74),"")</f>
        <v/>
      </c>
      <c r="R179" s="125" t="str">
        <f>IF(AND('Mapa final'!$AB$75="Baja",'Mapa final'!$AD$75="Moderado"),CONCATENATE("R24C",'Mapa final'!$R$75),"")</f>
        <v/>
      </c>
      <c r="S179" s="119" t="str">
        <f>IF(AND('Mapa final'!$AB$73="Baja",'Mapa final'!$AD$73="Mayor"),CONCATENATE("R24C",'Mapa final'!$R$73),"")</f>
        <v>R24C1</v>
      </c>
      <c r="T179" s="44" t="str">
        <f>IF(AND('Mapa final'!$AB$74="Baja",'Mapa final'!$AD$74="Mayor"),CONCATENATE("R24C",'Mapa final'!$R$74),"")</f>
        <v/>
      </c>
      <c r="U179" s="120" t="str">
        <f>IF(AND('Mapa final'!$AB$75="Baja",'Mapa final'!$AD$75="Mayor"),CONCATENATE("R24C",'Mapa final'!$R$75),"")</f>
        <v/>
      </c>
      <c r="V179" s="45" t="str">
        <f>IF(AND('Mapa final'!$AB$73="Baja",'Mapa final'!$AD$73="Catastrófico"),CONCATENATE("R24C",'Mapa final'!$R$73),"")</f>
        <v/>
      </c>
      <c r="W179" s="46" t="str">
        <f>IF(AND('Mapa final'!$AB$74="Baja",'Mapa final'!$AD$74="Catastrófico"),CONCATENATE("R24C",'Mapa final'!$R$74),"")</f>
        <v/>
      </c>
      <c r="X179" s="114" t="str">
        <f>IF(AND('Mapa final'!$AB$75="Baja",'Mapa final'!$AD$75="Catastrófico"),CONCATENATE("R24C",'Mapa final'!$R$75),"")</f>
        <v/>
      </c>
      <c r="Y179" s="58"/>
      <c r="Z179" s="389"/>
      <c r="AA179" s="390"/>
      <c r="AB179" s="390"/>
      <c r="AC179" s="390"/>
      <c r="AD179" s="390"/>
      <c r="AE179" s="391"/>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row>
    <row r="180" spans="1:61" ht="15" customHeight="1" x14ac:dyDescent="0.25">
      <c r="A180" s="58"/>
      <c r="B180" s="356"/>
      <c r="C180" s="356"/>
      <c r="D180" s="357"/>
      <c r="E180" s="369"/>
      <c r="F180" s="370"/>
      <c r="G180" s="370"/>
      <c r="H180" s="370"/>
      <c r="I180" s="370"/>
      <c r="J180" s="129" t="str">
        <f>IF(AND('Mapa final'!$AB$76="Baja",'Mapa final'!$AD$76="Leve"),CONCATENATE("R25C",'Mapa final'!$R$76),"")</f>
        <v/>
      </c>
      <c r="K180" s="56" t="str">
        <f>IF(AND('Mapa final'!$AB$77="Baja",'Mapa final'!$AD$77="Leve"),CONCATENATE("R25C",'Mapa final'!$R$77),"")</f>
        <v/>
      </c>
      <c r="L180" s="130" t="str">
        <f>IF(AND('Mapa final'!$AB$78="Baja",'Mapa final'!$AD$78="Leve"),CONCATENATE("R25C",'Mapa final'!$R$78),"")</f>
        <v/>
      </c>
      <c r="M180" s="51" t="str">
        <f>IF(AND('Mapa final'!$AB$76="Baja",'Mapa final'!$AD$76="Menor"),CONCATENATE("R25C",'Mapa final'!$R$76),"")</f>
        <v/>
      </c>
      <c r="N180" s="52" t="str">
        <f>IF(AND('Mapa final'!$AB$77="Baja",'Mapa final'!$AD$77="Menor"),CONCATENATE("R25C",'Mapa final'!$R$77),"")</f>
        <v/>
      </c>
      <c r="O180" s="125" t="str">
        <f>IF(AND('Mapa final'!$AB$78="Baja",'Mapa final'!$AD$78="Menor"),CONCATENATE("R25C",'Mapa final'!$R$78),"")</f>
        <v/>
      </c>
      <c r="P180" s="51" t="str">
        <f>IF(AND('Mapa final'!$AB$76="Baja",'Mapa final'!$AD$76="Moderado"),CONCATENATE("R25C",'Mapa final'!$R$76),"")</f>
        <v>R25C1</v>
      </c>
      <c r="Q180" s="52" t="str">
        <f>IF(AND('Mapa final'!$AB$77="Baja",'Mapa final'!$AD$77="Moderado"),CONCATENATE("R25C",'Mapa final'!$R$77),"")</f>
        <v/>
      </c>
      <c r="R180" s="125" t="str">
        <f>IF(AND('Mapa final'!$AB$78="Baja",'Mapa final'!$AD$78="Moderado"),CONCATENATE("R25C",'Mapa final'!$R$78),"")</f>
        <v/>
      </c>
      <c r="S180" s="119" t="str">
        <f>IF(AND('Mapa final'!$AB$76="Baja",'Mapa final'!$AD$76="Mayor"),CONCATENATE("R25C",'Mapa final'!$R$76),"")</f>
        <v/>
      </c>
      <c r="T180" s="44" t="str">
        <f>IF(AND('Mapa final'!$AB$77="Baja",'Mapa final'!$AD$77="Mayor"),CONCATENATE("R25C",'Mapa final'!$R$77),"")</f>
        <v/>
      </c>
      <c r="U180" s="120" t="str">
        <f>IF(AND('Mapa final'!$AB$78="Baja",'Mapa final'!$AD$78="Mayor"),CONCATENATE("R25C",'Mapa final'!$R$78),"")</f>
        <v/>
      </c>
      <c r="V180" s="45" t="str">
        <f>IF(AND('Mapa final'!$AB$76="Baja",'Mapa final'!$AD$76="Catastrófico"),CONCATENATE("R25C",'Mapa final'!$R$76),"")</f>
        <v/>
      </c>
      <c r="W180" s="46" t="str">
        <f>IF(AND('Mapa final'!$AB$77="Baja",'Mapa final'!$AD$77="Catastrófico"),CONCATENATE("R25C",'Mapa final'!$R$77),"")</f>
        <v/>
      </c>
      <c r="X180" s="114" t="str">
        <f>IF(AND('Mapa final'!$AB$78="Baja",'Mapa final'!$AD$78="Catastrófico"),CONCATENATE("R25C",'Mapa final'!$R$78),"")</f>
        <v/>
      </c>
      <c r="Y180" s="58"/>
      <c r="Z180" s="389"/>
      <c r="AA180" s="390"/>
      <c r="AB180" s="390"/>
      <c r="AC180" s="390"/>
      <c r="AD180" s="390"/>
      <c r="AE180" s="391"/>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row>
    <row r="181" spans="1:61" ht="15" customHeight="1" x14ac:dyDescent="0.25">
      <c r="A181" s="58"/>
      <c r="B181" s="356"/>
      <c r="C181" s="356"/>
      <c r="D181" s="357"/>
      <c r="E181" s="369"/>
      <c r="F181" s="370"/>
      <c r="G181" s="370"/>
      <c r="H181" s="370"/>
      <c r="I181" s="370"/>
      <c r="J181" s="129" t="str">
        <f>IF(AND('Mapa final'!$AB$79="Baja",'Mapa final'!$AD$79="Leve"),CONCATENATE("R26C",'Mapa final'!$R$79),"")</f>
        <v/>
      </c>
      <c r="K181" s="56" t="str">
        <f>IF(AND('Mapa final'!$AB$80="Baja",'Mapa final'!$AD$80="Leve"),CONCATENATE("R26C",'Mapa final'!$R$80),"")</f>
        <v/>
      </c>
      <c r="L181" s="130" t="str">
        <f>IF(AND('Mapa final'!$AB$81="Baja",'Mapa final'!$AD$81="Leve"),CONCATENATE("R26C",'Mapa final'!$R$81),"")</f>
        <v/>
      </c>
      <c r="M181" s="51" t="str">
        <f>IF(AND('Mapa final'!$AB$79="Baja",'Mapa final'!$AD$79="Menor"),CONCATENATE("R26C",'Mapa final'!$R$79),"")</f>
        <v/>
      </c>
      <c r="N181" s="52" t="str">
        <f>IF(AND('Mapa final'!$AB$80="Baja",'Mapa final'!$AD$80="Menor"),CONCATENATE("R26C",'Mapa final'!$R$80),"")</f>
        <v/>
      </c>
      <c r="O181" s="125" t="str">
        <f>IF(AND('Mapa final'!$AB$81="Baja",'Mapa final'!$AD$81="Menor"),CONCATENATE("R26C",'Mapa final'!$R$81),"")</f>
        <v/>
      </c>
      <c r="P181" s="51" t="str">
        <f>IF(AND('Mapa final'!$AB$79="Baja",'Mapa final'!$AD$79="Moderado"),CONCATENATE("R26C",'Mapa final'!$R$79),"")</f>
        <v>R26C1</v>
      </c>
      <c r="Q181" s="52" t="str">
        <f>IF(AND('Mapa final'!$AB$80="Baja",'Mapa final'!$AD$80="Moderado"),CONCATENATE("R26C",'Mapa final'!$R$80),"")</f>
        <v/>
      </c>
      <c r="R181" s="125" t="str">
        <f>IF(AND('Mapa final'!$AB$81="Baja",'Mapa final'!$AD$81="Moderado"),CONCATENATE("R26C",'Mapa final'!$R$81),"")</f>
        <v/>
      </c>
      <c r="S181" s="119" t="str">
        <f>IF(AND('Mapa final'!$AB$79="Baja",'Mapa final'!$AD$79="Mayor"),CONCATENATE("R26C",'Mapa final'!$R$79),"")</f>
        <v/>
      </c>
      <c r="T181" s="44" t="str">
        <f>IF(AND('Mapa final'!$AB$80="Baja",'Mapa final'!$AD$80="Mayor"),CONCATENATE("R26C",'Mapa final'!$R$80),"")</f>
        <v/>
      </c>
      <c r="U181" s="120" t="str">
        <f>IF(AND('Mapa final'!$AB$81="Baja",'Mapa final'!$AD$81="Mayor"),CONCATENATE("R26C",'Mapa final'!$R$81),"")</f>
        <v/>
      </c>
      <c r="V181" s="45" t="str">
        <f>IF(AND('Mapa final'!$AB$79="Baja",'Mapa final'!$AD$79="Catastrófico"),CONCATENATE("R26C",'Mapa final'!$R$79),"")</f>
        <v/>
      </c>
      <c r="W181" s="46" t="str">
        <f>IF(AND('Mapa final'!$AB$80="Baja",'Mapa final'!$AD$80="Catastrófico"),CONCATENATE("R26C",'Mapa final'!$R$80),"")</f>
        <v/>
      </c>
      <c r="X181" s="114" t="str">
        <f>IF(AND('Mapa final'!$AB$81="Baja",'Mapa final'!$AD$81="Catastrófico"),CONCATENATE("R26C",'Mapa final'!$R$81),"")</f>
        <v/>
      </c>
      <c r="Y181" s="58"/>
      <c r="Z181" s="389"/>
      <c r="AA181" s="390"/>
      <c r="AB181" s="390"/>
      <c r="AC181" s="390"/>
      <c r="AD181" s="390"/>
      <c r="AE181" s="391"/>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row>
    <row r="182" spans="1:61" ht="15" customHeight="1" x14ac:dyDescent="0.25">
      <c r="A182" s="58"/>
      <c r="B182" s="356"/>
      <c r="C182" s="356"/>
      <c r="D182" s="357"/>
      <c r="E182" s="369"/>
      <c r="F182" s="370"/>
      <c r="G182" s="370"/>
      <c r="H182" s="370"/>
      <c r="I182" s="370"/>
      <c r="J182" s="129" t="str">
        <f>IF(AND('Mapa final'!$AB$82="Baja",'Mapa final'!$AD$82="Leve"),CONCATENATE("R27C",'Mapa final'!$R$82),"")</f>
        <v/>
      </c>
      <c r="K182" s="56" t="str">
        <f>IF(AND('Mapa final'!$AB$83="Baja",'Mapa final'!$AD$83="Leve"),CONCATENATE("R27C",'Mapa final'!$R$83),"")</f>
        <v/>
      </c>
      <c r="L182" s="130" t="str">
        <f>IF(AND('Mapa final'!$AB$84="Baja",'Mapa final'!$AD$84="Leve"),CONCATENATE("R27C",'Mapa final'!$R$84),"")</f>
        <v/>
      </c>
      <c r="M182" s="51" t="str">
        <f>IF(AND('Mapa final'!$AB$82="Baja",'Mapa final'!$AD$82="Menor"),CONCATENATE("R27C",'Mapa final'!$R$82),"")</f>
        <v/>
      </c>
      <c r="N182" s="52" t="str">
        <f>IF(AND('Mapa final'!$AB$83="Baja",'Mapa final'!$AD$83="Menor"),CONCATENATE("R27C",'Mapa final'!$R$83),"")</f>
        <v/>
      </c>
      <c r="O182" s="125" t="str">
        <f>IF(AND('Mapa final'!$AB$84="Baja",'Mapa final'!$AD$84="Menor"),CONCATENATE("R27C",'Mapa final'!$R$84),"")</f>
        <v/>
      </c>
      <c r="P182" s="51" t="str">
        <f>IF(AND('Mapa final'!$AB$82="Baja",'Mapa final'!$AD$82="Moderado"),CONCATENATE("R27C",'Mapa final'!$R$82),"")</f>
        <v/>
      </c>
      <c r="Q182" s="52" t="str">
        <f>IF(AND('Mapa final'!$AB$83="Baja",'Mapa final'!$AD$83="Moderado"),CONCATENATE("R27C",'Mapa final'!$R$83),"")</f>
        <v/>
      </c>
      <c r="R182" s="125" t="str">
        <f>IF(AND('Mapa final'!$AB$84="Baja",'Mapa final'!$AD$84="Moderado"),CONCATENATE("R27C",'Mapa final'!$R$84),"")</f>
        <v/>
      </c>
      <c r="S182" s="119" t="str">
        <f>IF(AND('Mapa final'!$AB$82="Baja",'Mapa final'!$AD$82="Mayor"),CONCATENATE("R27C",'Mapa final'!$R$82),"")</f>
        <v>R27C1</v>
      </c>
      <c r="T182" s="44" t="str">
        <f>IF(AND('Mapa final'!$AB$83="Baja",'Mapa final'!$AD$83="Mayor"),CONCATENATE("R27C",'Mapa final'!$R$83),"")</f>
        <v/>
      </c>
      <c r="U182" s="120" t="str">
        <f>IF(AND('Mapa final'!$AB$84="Baja",'Mapa final'!$AD$84="Mayor"),CONCATENATE("R27C",'Mapa final'!$R$84),"")</f>
        <v/>
      </c>
      <c r="V182" s="45" t="str">
        <f>IF(AND('Mapa final'!$AB$82="Baja",'Mapa final'!$AD$82="Catastrófico"),CONCATENATE("R27C",'Mapa final'!$R$82),"")</f>
        <v/>
      </c>
      <c r="W182" s="46" t="str">
        <f>IF(AND('Mapa final'!$AB$83="Baja",'Mapa final'!$AD$83="Catastrófico"),CONCATENATE("R27C",'Mapa final'!$R$83),"")</f>
        <v/>
      </c>
      <c r="X182" s="114" t="str">
        <f>IF(AND('Mapa final'!$AB$84="Baja",'Mapa final'!$AD$84="Catastrófico"),CONCATENATE("R27C",'Mapa final'!$R$84),"")</f>
        <v/>
      </c>
      <c r="Y182" s="58"/>
      <c r="Z182" s="389"/>
      <c r="AA182" s="390"/>
      <c r="AB182" s="390"/>
      <c r="AC182" s="390"/>
      <c r="AD182" s="390"/>
      <c r="AE182" s="391"/>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row>
    <row r="183" spans="1:61" ht="15" customHeight="1" x14ac:dyDescent="0.25">
      <c r="A183" s="58"/>
      <c r="B183" s="356"/>
      <c r="C183" s="356"/>
      <c r="D183" s="357"/>
      <c r="E183" s="371"/>
      <c r="F183" s="372"/>
      <c r="G183" s="372"/>
      <c r="H183" s="372"/>
      <c r="I183" s="370"/>
      <c r="J183" s="129" t="str">
        <f>IF(AND('Mapa final'!$AB$85="Baja",'Mapa final'!$AD$85="Leve"),CONCATENATE("R28C",'Mapa final'!$R$85),"")</f>
        <v/>
      </c>
      <c r="K183" s="56" t="str">
        <f>IF(AND('Mapa final'!$AB$86="Baja",'Mapa final'!$AD$86="Leve"),CONCATENATE("R28C",'Mapa final'!$R$86),"")</f>
        <v/>
      </c>
      <c r="L183" s="130" t="str">
        <f>IF(AND('Mapa final'!$AB$87="Baja",'Mapa final'!$AD$87="Leve"),CONCATENATE("R28C",'Mapa final'!$R$87),"")</f>
        <v/>
      </c>
      <c r="M183" s="51" t="str">
        <f>IF(AND('Mapa final'!$AB$85="Baja",'Mapa final'!$AD$85="Menor"),CONCATENATE("R28C",'Mapa final'!$R$85),"")</f>
        <v/>
      </c>
      <c r="N183" s="52" t="str">
        <f>IF(AND('Mapa final'!$AB$86="Baja",'Mapa final'!$AD$86="Menor"),CONCATENATE("R28C",'Mapa final'!$R$86),"")</f>
        <v/>
      </c>
      <c r="O183" s="125" t="str">
        <f>IF(AND('Mapa final'!$AB$87="Baja",'Mapa final'!$AD$87="Menor"),CONCATENATE("R28C",'Mapa final'!$R$87),"")</f>
        <v/>
      </c>
      <c r="P183" s="51" t="str">
        <f>IF(AND('Mapa final'!$AB$85="Baja",'Mapa final'!$AD$85="Moderado"),CONCATENATE("R28C",'Mapa final'!$R$85),"")</f>
        <v/>
      </c>
      <c r="Q183" s="52" t="str">
        <f>IF(AND('Mapa final'!$AB$86="Baja",'Mapa final'!$AD$86="Moderado"),CONCATENATE("R28C",'Mapa final'!$R$86),"")</f>
        <v/>
      </c>
      <c r="R183" s="125" t="str">
        <f>IF(AND('Mapa final'!$AB$87="Baja",'Mapa final'!$AD$87="Moderado"),CONCATENATE("R28C",'Mapa final'!$R$87),"")</f>
        <v/>
      </c>
      <c r="S183" s="119" t="str">
        <f>IF(AND('Mapa final'!$AB$85="Baja",'Mapa final'!$AD$85="Mayor"),CONCATENATE("R28C",'Mapa final'!$R$85),"")</f>
        <v>R28C1</v>
      </c>
      <c r="T183" s="44" t="str">
        <f>IF(AND('Mapa final'!$AB$86="Baja",'Mapa final'!$AD$86="Mayor"),CONCATENATE("R28C",'Mapa final'!$R$86),"")</f>
        <v/>
      </c>
      <c r="U183" s="120" t="str">
        <f>IF(AND('Mapa final'!$AB$87="Baja",'Mapa final'!$AD$87="Mayor"),CONCATENATE("R28C",'Mapa final'!$R$87),"")</f>
        <v/>
      </c>
      <c r="V183" s="45" t="str">
        <f>IF(AND('Mapa final'!$AB$85="Baja",'Mapa final'!$AD$85="Catastrófico"),CONCATENATE("R28C",'Mapa final'!$R$85),"")</f>
        <v/>
      </c>
      <c r="W183" s="46" t="str">
        <f>IF(AND('Mapa final'!$AB$86="Baja",'Mapa final'!$AD$86="Catastrófico"),CONCATENATE("R28C",'Mapa final'!$R$86),"")</f>
        <v/>
      </c>
      <c r="X183" s="114" t="str">
        <f>IF(AND('Mapa final'!$AB$87="Baja",'Mapa final'!$AD$87="Catastrófico"),CONCATENATE("R28C",'Mapa final'!$R$87),"")</f>
        <v/>
      </c>
      <c r="Y183" s="58"/>
      <c r="Z183" s="389"/>
      <c r="AA183" s="390"/>
      <c r="AB183" s="390"/>
      <c r="AC183" s="390"/>
      <c r="AD183" s="390"/>
      <c r="AE183" s="391"/>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row>
    <row r="184" spans="1:61" ht="15" customHeight="1" x14ac:dyDescent="0.25">
      <c r="A184" s="58"/>
      <c r="B184" s="356"/>
      <c r="C184" s="356"/>
      <c r="D184" s="357"/>
      <c r="E184" s="371"/>
      <c r="F184" s="372"/>
      <c r="G184" s="372"/>
      <c r="H184" s="372"/>
      <c r="I184" s="370"/>
      <c r="J184" s="129" t="str">
        <f>IF(AND('Mapa final'!$AB$88="Baja",'Mapa final'!$AD$88="Leve"),CONCATENATE("R29C",'Mapa final'!$R$88),"")</f>
        <v/>
      </c>
      <c r="K184" s="56" t="str">
        <f>IF(AND('Mapa final'!$AB$89="Baja",'Mapa final'!$AD$89="Leve"),CONCATENATE("R29C",'Mapa final'!$R$89),"")</f>
        <v/>
      </c>
      <c r="L184" s="130" t="str">
        <f>IF(AND('Mapa final'!$AB$90="Baja",'Mapa final'!$AD$90="Leve"),CONCATENATE("R30C",'Mapa final'!$R$90),"")</f>
        <v/>
      </c>
      <c r="M184" s="51" t="str">
        <f>IF(AND('Mapa final'!$AB$88="Baja",'Mapa final'!$AD$88="Menor"),CONCATENATE("R29C",'Mapa final'!$R$88),"")</f>
        <v/>
      </c>
      <c r="N184" s="52" t="str">
        <f>IF(AND('Mapa final'!$AB$89="Baja",'Mapa final'!$AD$89="Menor"),CONCATENATE("R29C",'Mapa final'!$R$89),"")</f>
        <v/>
      </c>
      <c r="O184" s="125" t="str">
        <f>IF(AND('Mapa final'!$AB$90="Baja",'Mapa final'!$AD$90="Menor"),CONCATENATE("R30C",'Mapa final'!$R$90),"")</f>
        <v/>
      </c>
      <c r="P184" s="51" t="str">
        <f>IF(AND('Mapa final'!$AB$88="Baja",'Mapa final'!$AD$88="Moderado"),CONCATENATE("R29C",'Mapa final'!$R$88),"")</f>
        <v/>
      </c>
      <c r="Q184" s="52" t="str">
        <f>IF(AND('Mapa final'!$AB$89="Baja",'Mapa final'!$AD$89="Moderado"),CONCATENATE("R29C",'Mapa final'!$R$89),"")</f>
        <v/>
      </c>
      <c r="R184" s="125" t="str">
        <f>IF(AND('Mapa final'!$AB$90="Baja",'Mapa final'!$AD$90="Moderado"),CONCATENATE("R30C",'Mapa final'!$R$90),"")</f>
        <v/>
      </c>
      <c r="S184" s="119" t="str">
        <f>IF(AND('Mapa final'!$AB$88="Baja",'Mapa final'!$AD$88="Mayor"),CONCATENATE("R29C",'Mapa final'!$R$88),"")</f>
        <v>R29C1</v>
      </c>
      <c r="T184" s="44" t="str">
        <f>IF(AND('Mapa final'!$AB$89="Baja",'Mapa final'!$AD$89="Mayor"),CONCATENATE("R29C",'Mapa final'!$R$89),"")</f>
        <v/>
      </c>
      <c r="U184" s="120" t="str">
        <f>IF(AND('Mapa final'!$AB$90="Baja",'Mapa final'!$AD$90="Mayor"),CONCATENATE("R30C",'Mapa final'!$R$90),"")</f>
        <v/>
      </c>
      <c r="V184" s="45" t="str">
        <f>IF(AND('Mapa final'!$AB$88="Baja",'Mapa final'!$AD$88="Catastrófico"),CONCATENATE("R29C",'Mapa final'!$R$88),"")</f>
        <v/>
      </c>
      <c r="W184" s="46" t="str">
        <f>IF(AND('Mapa final'!$AB$89="Baja",'Mapa final'!$AD$89="Catastrófico"),CONCATENATE("R29C",'Mapa final'!$R$89),"")</f>
        <v/>
      </c>
      <c r="X184" s="114" t="str">
        <f>IF(AND('Mapa final'!$AB$90="Baja",'Mapa final'!$AD$90="Catastrófico"),CONCATENATE("R30C",'Mapa final'!$R$90),"")</f>
        <v/>
      </c>
      <c r="Y184" s="58"/>
      <c r="Z184" s="389"/>
      <c r="AA184" s="390"/>
      <c r="AB184" s="390"/>
      <c r="AC184" s="390"/>
      <c r="AD184" s="390"/>
      <c r="AE184" s="391"/>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row>
    <row r="185" spans="1:61" ht="15" customHeight="1" x14ac:dyDescent="0.25">
      <c r="A185" s="58"/>
      <c r="B185" s="356"/>
      <c r="C185" s="356"/>
      <c r="D185" s="357"/>
      <c r="E185" s="371"/>
      <c r="F185" s="372"/>
      <c r="G185" s="372"/>
      <c r="H185" s="372"/>
      <c r="I185" s="370"/>
      <c r="J185" s="129" t="str">
        <f>IF(AND('Mapa final'!$AB$91="Baja",'Mapa final'!$AD$91="Leve"),CONCATENATE("R30C",'Mapa final'!$R$91),"")</f>
        <v/>
      </c>
      <c r="K185" s="56" t="str">
        <f>IF(AND('Mapa final'!$AB$92="Baja",'Mapa final'!$AD$92="Leve"),CONCATENATE("R30C",'Mapa final'!$R$92),"")</f>
        <v/>
      </c>
      <c r="L185" s="130" t="str">
        <f>IF(AND('Mapa final'!$AB$93="Baja",'Mapa final'!$AD$93="Leve"),CONCATENATE("R31C",'Mapa final'!$R$93),"")</f>
        <v/>
      </c>
      <c r="M185" s="51" t="str">
        <f>IF(AND('Mapa final'!$AB$91="Baja",'Mapa final'!$AD$91="Menor"),CONCATENATE("R30C",'Mapa final'!$R$91),"")</f>
        <v/>
      </c>
      <c r="N185" s="52" t="str">
        <f>IF(AND('Mapa final'!$AB$92="Baja",'Mapa final'!$AD$92="Menor"),CONCATENATE("R30C",'Mapa final'!$R$92),"")</f>
        <v/>
      </c>
      <c r="O185" s="125" t="str">
        <f>IF(AND('Mapa final'!$AB$93="Baja",'Mapa final'!$AD$93="Menor"),CONCATENATE("R31C",'Mapa final'!$R$93),"")</f>
        <v/>
      </c>
      <c r="P185" s="51" t="str">
        <f>IF(AND('Mapa final'!$AB$91="Baja",'Mapa final'!$AD$91="Moderado"),CONCATENATE("R30C",'Mapa final'!$R$91),"")</f>
        <v/>
      </c>
      <c r="Q185" s="52" t="str">
        <f>IF(AND('Mapa final'!$AB$92="Baja",'Mapa final'!$AD$92="Moderado"),CONCATENATE("R30C",'Mapa final'!$R$92),"")</f>
        <v/>
      </c>
      <c r="R185" s="125" t="str">
        <f>IF(AND('Mapa final'!$AB$93="Baja",'Mapa final'!$AD$93="Moderado"),CONCATENATE("R31C",'Mapa final'!$R$93),"")</f>
        <v/>
      </c>
      <c r="S185" s="119" t="str">
        <f>IF(AND('Mapa final'!$AB$91="Baja",'Mapa final'!$AD$91="Mayor"),CONCATENATE("R30C",'Mapa final'!$R$91),"")</f>
        <v/>
      </c>
      <c r="T185" s="44" t="str">
        <f>IF(AND('Mapa final'!$AB$92="Baja",'Mapa final'!$AD$92="Mayor"),CONCATENATE("R30C",'Mapa final'!$R$92),"")</f>
        <v/>
      </c>
      <c r="U185" s="120" t="str">
        <f>IF(AND('Mapa final'!$AB$93="Baja",'Mapa final'!$AD$93="Mayor"),CONCATENATE("R31C",'Mapa final'!$R$93),"")</f>
        <v/>
      </c>
      <c r="V185" s="45" t="str">
        <f>IF(AND('Mapa final'!$AB$91="Baja",'Mapa final'!$AD$91="Catastrófico"),CONCATENATE("R30C",'Mapa final'!$R$91),"")</f>
        <v/>
      </c>
      <c r="W185" s="46" t="str">
        <f>IF(AND('Mapa final'!$AB$92="Baja",'Mapa final'!$AD$92="Catastrófico"),CONCATENATE("R30C",'Mapa final'!$R$92),"")</f>
        <v/>
      </c>
      <c r="X185" s="114" t="str">
        <f>IF(AND('Mapa final'!$AB$93="Baja",'Mapa final'!$AD$93="Catastrófico"),CONCATENATE("R31C",'Mapa final'!$R$93),"")</f>
        <v/>
      </c>
      <c r="Y185" s="58"/>
      <c r="Z185" s="389"/>
      <c r="AA185" s="390"/>
      <c r="AB185" s="390"/>
      <c r="AC185" s="390"/>
      <c r="AD185" s="390"/>
      <c r="AE185" s="391"/>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row>
    <row r="186" spans="1:61" ht="15" customHeight="1" x14ac:dyDescent="0.25">
      <c r="A186" s="58"/>
      <c r="B186" s="356"/>
      <c r="C186" s="356"/>
      <c r="D186" s="357"/>
      <c r="E186" s="371"/>
      <c r="F186" s="372"/>
      <c r="G186" s="372"/>
      <c r="H186" s="372"/>
      <c r="I186" s="370"/>
      <c r="J186" s="129" t="str">
        <f>IF(AND('Mapa final'!$AB$94="Baja",'Mapa final'!$AD$94="Leve"),CONCATENATE("R31C",'Mapa final'!$R$94),"")</f>
        <v/>
      </c>
      <c r="K186" s="56" t="str">
        <f>IF(AND('Mapa final'!$AB$95="Baja",'Mapa final'!$AD$95="Leve"),CONCATENATE("R31C",'Mapa final'!$R$95),"")</f>
        <v/>
      </c>
      <c r="L186" s="130" t="str">
        <f>IF(AND('Mapa final'!$AB$96="Baja",'Mapa final'!$AD$96="Leve"),CONCATENATE("R32C",'Mapa final'!$R$96),"")</f>
        <v/>
      </c>
      <c r="M186" s="51" t="str">
        <f>IF(AND('Mapa final'!$AB$94="Baja",'Mapa final'!$AD$94="Menor"),CONCATENATE("R31C",'Mapa final'!$R$94),"")</f>
        <v/>
      </c>
      <c r="N186" s="52" t="str">
        <f>IF(AND('Mapa final'!$AB$95="Baja",'Mapa final'!$AD$95="Menor"),CONCATENATE("R31C",'Mapa final'!$R$95),"")</f>
        <v/>
      </c>
      <c r="O186" s="125" t="str">
        <f>IF(AND('Mapa final'!$AB$96="Baja",'Mapa final'!$AD$96="Menor"),CONCATENATE("R32C",'Mapa final'!$R$96),"")</f>
        <v/>
      </c>
      <c r="P186" s="51" t="str">
        <f>IF(AND('Mapa final'!$AB$94="Baja",'Mapa final'!$AD$94="Moderado"),CONCATENATE("R31C",'Mapa final'!$R$94),"")</f>
        <v>R31C1</v>
      </c>
      <c r="Q186" s="52" t="str">
        <f>IF(AND('Mapa final'!$AB$95="Baja",'Mapa final'!$AD$95="Moderado"),CONCATENATE("R31C",'Mapa final'!$R$95),"")</f>
        <v/>
      </c>
      <c r="R186" s="125" t="str">
        <f>IF(AND('Mapa final'!$AB$96="Baja",'Mapa final'!$AD$96="Moderado"),CONCATENATE("R32C",'Mapa final'!$R$96),"")</f>
        <v/>
      </c>
      <c r="S186" s="119" t="str">
        <f>IF(AND('Mapa final'!$AB$94="Baja",'Mapa final'!$AD$94="Mayor"),CONCATENATE("R31C",'Mapa final'!$R$94),"")</f>
        <v/>
      </c>
      <c r="T186" s="44" t="str">
        <f>IF(AND('Mapa final'!$AB$95="Baja",'Mapa final'!$AD$95="Mayor"),CONCATENATE("R31C",'Mapa final'!$R$95),"")</f>
        <v/>
      </c>
      <c r="U186" s="120" t="str">
        <f>IF(AND('Mapa final'!$AB$96="Baja",'Mapa final'!$AD$96="Mayor"),CONCATENATE("R32C",'Mapa final'!$R$96),"")</f>
        <v/>
      </c>
      <c r="V186" s="45" t="str">
        <f>IF(AND('Mapa final'!$AB$94="Baja",'Mapa final'!$AD$94="Catastrófico"),CONCATENATE("R31C",'Mapa final'!$R$94),"")</f>
        <v/>
      </c>
      <c r="W186" s="46" t="str">
        <f>IF(AND('Mapa final'!$AB$95="Baja",'Mapa final'!$AD$95="Catastrófico"),CONCATENATE("R31C",'Mapa final'!$R$95),"")</f>
        <v/>
      </c>
      <c r="X186" s="114" t="str">
        <f>IF(AND('Mapa final'!$AB$96="Baja",'Mapa final'!$AD$96="Catastrófico"),CONCATENATE("R32C",'Mapa final'!$R$96),"")</f>
        <v/>
      </c>
      <c r="Y186" s="58"/>
      <c r="Z186" s="389"/>
      <c r="AA186" s="390"/>
      <c r="AB186" s="390"/>
      <c r="AC186" s="390"/>
      <c r="AD186" s="390"/>
      <c r="AE186" s="391"/>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row>
    <row r="187" spans="1:61" ht="15" customHeight="1" x14ac:dyDescent="0.25">
      <c r="A187" s="58"/>
      <c r="B187" s="356"/>
      <c r="C187" s="356"/>
      <c r="D187" s="357"/>
      <c r="E187" s="371"/>
      <c r="F187" s="372"/>
      <c r="G187" s="372"/>
      <c r="H187" s="372"/>
      <c r="I187" s="370"/>
      <c r="J187" s="129" t="str">
        <f>IF(AND('Mapa final'!$AB$97="Baja",'Mapa final'!$AD$97="Leve"),CONCATENATE("R32C",'Mapa final'!$R$97),"")</f>
        <v/>
      </c>
      <c r="K187" s="56" t="str">
        <f>IF(AND('Mapa final'!$AB$98="Baja",'Mapa final'!$AD$98="Leve"),CONCATENATE("R32C",'Mapa final'!$R$98),"")</f>
        <v/>
      </c>
      <c r="L187" s="130" t="str">
        <f>IF(AND('Mapa final'!$AB$99="Baja",'Mapa final'!$AD$99="Leve"),CONCATENATE("R33C",'Mapa final'!$R$99),"")</f>
        <v/>
      </c>
      <c r="M187" s="51" t="str">
        <f>IF(AND('Mapa final'!$AB$97="Baja",'Mapa final'!$AD$97="Menor"),CONCATENATE("R32C",'Mapa final'!$R$97),"")</f>
        <v/>
      </c>
      <c r="N187" s="52" t="str">
        <f>IF(AND('Mapa final'!$AB$98="Baja",'Mapa final'!$AD$98="Menor"),CONCATENATE("R32C",'Mapa final'!$R$98),"")</f>
        <v/>
      </c>
      <c r="O187" s="125" t="str">
        <f>IF(AND('Mapa final'!$AB$99="Baja",'Mapa final'!$AD$99="Menor"),CONCATENATE("R33C",'Mapa final'!$R$99),"")</f>
        <v/>
      </c>
      <c r="P187" s="51" t="str">
        <f>IF(AND('Mapa final'!$AB$97="Baja",'Mapa final'!$AD$97="Moderado"),CONCATENATE("R32C",'Mapa final'!$R$97),"")</f>
        <v/>
      </c>
      <c r="Q187" s="52" t="str">
        <f>IF(AND('Mapa final'!$AB$98="Baja",'Mapa final'!$AD$98="Moderado"),CONCATENATE("R32C",'Mapa final'!$R$98),"")</f>
        <v/>
      </c>
      <c r="R187" s="125" t="str">
        <f>IF(AND('Mapa final'!$AB$99="Baja",'Mapa final'!$AD$99="Moderado"),CONCATENATE("R33C",'Mapa final'!$R$99),"")</f>
        <v/>
      </c>
      <c r="S187" s="119" t="str">
        <f>IF(AND('Mapa final'!$AB$97="Baja",'Mapa final'!$AD$97="Mayor"),CONCATENATE("R32C",'Mapa final'!$R$97),"")</f>
        <v/>
      </c>
      <c r="T187" s="44" t="str">
        <f>IF(AND('Mapa final'!$AB$98="Baja",'Mapa final'!$AD$98="Mayor"),CONCATENATE("R32C",'Mapa final'!$R$98),"")</f>
        <v/>
      </c>
      <c r="U187" s="120" t="str">
        <f>IF(AND('Mapa final'!$AB$99="Baja",'Mapa final'!$AD$99="Mayor"),CONCATENATE("R33C",'Mapa final'!$R$99),"")</f>
        <v/>
      </c>
      <c r="V187" s="45" t="str">
        <f>IF(AND('Mapa final'!$AB$97="Baja",'Mapa final'!$AD$97="Catastrófico"),CONCATENATE("R32C",'Mapa final'!$R$97),"")</f>
        <v/>
      </c>
      <c r="W187" s="46" t="str">
        <f>IF(AND('Mapa final'!$AB$98="Baja",'Mapa final'!$AD$98="Catastrófico"),CONCATENATE("R32C",'Mapa final'!$R$98),"")</f>
        <v/>
      </c>
      <c r="X187" s="114" t="str">
        <f>IF(AND('Mapa final'!$AB$99="Baja",'Mapa final'!$AD$99="Catastrófico"),CONCATENATE("R33C",'Mapa final'!$R$99),"")</f>
        <v/>
      </c>
      <c r="Y187" s="58"/>
      <c r="Z187" s="389"/>
      <c r="AA187" s="390"/>
      <c r="AB187" s="390"/>
      <c r="AC187" s="390"/>
      <c r="AD187" s="390"/>
      <c r="AE187" s="391"/>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row>
    <row r="188" spans="1:61" ht="15" customHeight="1" x14ac:dyDescent="0.25">
      <c r="A188" s="58"/>
      <c r="B188" s="356"/>
      <c r="C188" s="356"/>
      <c r="D188" s="357"/>
      <c r="E188" s="371"/>
      <c r="F188" s="372"/>
      <c r="G188" s="372"/>
      <c r="H188" s="372"/>
      <c r="I188" s="370"/>
      <c r="J188" s="129" t="str">
        <f>IF(AND('Mapa final'!$AB$100="Baja",'Mapa final'!$AD$100="Leve"),CONCATENATE("R33C",'Mapa final'!$R$100),"")</f>
        <v/>
      </c>
      <c r="K188" s="56" t="str">
        <f>IF(AND('Mapa final'!$AB$101="Baja",'Mapa final'!$AD$101="Leve"),CONCATENATE("R33C",'Mapa final'!$R$101),"")</f>
        <v/>
      </c>
      <c r="L188" s="130" t="str">
        <f>IF(AND('Mapa final'!$AB$102="Baja",'Mapa final'!$AD$102="Leve"),CONCATENATE("R34C",'Mapa final'!$R$102),"")</f>
        <v/>
      </c>
      <c r="M188" s="51" t="str">
        <f>IF(AND('Mapa final'!$AB$100="Baja",'Mapa final'!$AD$100="Menor"),CONCATENATE("R33C",'Mapa final'!$R$100),"")</f>
        <v/>
      </c>
      <c r="N188" s="52" t="str">
        <f>IF(AND('Mapa final'!$AB$101="Baja",'Mapa final'!$AD$101="Menor"),CONCATENATE("R33C",'Mapa final'!$R$101),"")</f>
        <v/>
      </c>
      <c r="O188" s="125" t="str">
        <f>IF(AND('Mapa final'!$AB$102="Baja",'Mapa final'!$AD$102="Menor"),CONCATENATE("R34C",'Mapa final'!$R$102),"")</f>
        <v/>
      </c>
      <c r="P188" s="51" t="str">
        <f>IF(AND('Mapa final'!$AB$100="Baja",'Mapa final'!$AD$100="Moderado"),CONCATENATE("R33C",'Mapa final'!$R$100),"")</f>
        <v/>
      </c>
      <c r="Q188" s="52" t="str">
        <f>IF(AND('Mapa final'!$AB$101="Baja",'Mapa final'!$AD$101="Moderado"),CONCATENATE("R33C",'Mapa final'!$R$101),"")</f>
        <v/>
      </c>
      <c r="R188" s="125" t="str">
        <f>IF(AND('Mapa final'!$AB$102="Baja",'Mapa final'!$AD$102="Moderado"),CONCATENATE("R34C",'Mapa final'!$R$102),"")</f>
        <v/>
      </c>
      <c r="S188" s="119" t="str">
        <f>IF(AND('Mapa final'!$AB$100="Baja",'Mapa final'!$AD$100="Mayor"),CONCATENATE("R33C",'Mapa final'!$R$100),"")</f>
        <v/>
      </c>
      <c r="T188" s="44" t="str">
        <f>IF(AND('Mapa final'!$AB$101="Baja",'Mapa final'!$AD$101="Mayor"),CONCATENATE("R33C",'Mapa final'!$R$101),"")</f>
        <v/>
      </c>
      <c r="U188" s="120" t="str">
        <f>IF(AND('Mapa final'!$AB$102="Baja",'Mapa final'!$AD$102="Mayor"),CONCATENATE("R34C",'Mapa final'!$R$102),"")</f>
        <v/>
      </c>
      <c r="V188" s="45" t="str">
        <f>IF(AND('Mapa final'!$AB$100="Baja",'Mapa final'!$AD$100="Catastrófico"),CONCATENATE("R33C",'Mapa final'!$R$100),"")</f>
        <v/>
      </c>
      <c r="W188" s="46" t="str">
        <f>IF(AND('Mapa final'!$AB$101="Baja",'Mapa final'!$AD$101="Catastrófico"),CONCATENATE("R33C",'Mapa final'!$R$101),"")</f>
        <v/>
      </c>
      <c r="X188" s="114" t="str">
        <f>IF(AND('Mapa final'!$AB$102="Baja",'Mapa final'!$AD$102="Catastrófico"),CONCATENATE("R34C",'Mapa final'!$R$102),"")</f>
        <v/>
      </c>
      <c r="Y188" s="58"/>
      <c r="Z188" s="389"/>
      <c r="AA188" s="390"/>
      <c r="AB188" s="390"/>
      <c r="AC188" s="390"/>
      <c r="AD188" s="390"/>
      <c r="AE188" s="391"/>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row>
    <row r="189" spans="1:61" ht="15" customHeight="1" x14ac:dyDescent="0.25">
      <c r="A189" s="58"/>
      <c r="B189" s="356"/>
      <c r="C189" s="356"/>
      <c r="D189" s="357"/>
      <c r="E189" s="371"/>
      <c r="F189" s="372"/>
      <c r="G189" s="372"/>
      <c r="H189" s="372"/>
      <c r="I189" s="370"/>
      <c r="J189" s="129" t="str">
        <f>IF(AND('Mapa final'!$AB$103="Baja",'Mapa final'!$AD$103="Leve"),CONCATENATE("R34C",'Mapa final'!$R$103),"")</f>
        <v/>
      </c>
      <c r="K189" s="56" t="str">
        <f>IF(AND('Mapa final'!$AB$104="Baja",'Mapa final'!$AD$104="Leve"),CONCATENATE("R34C",'Mapa final'!$R$104),"")</f>
        <v/>
      </c>
      <c r="L189" s="130" t="str">
        <f>IF(AND('Mapa final'!$AB$105="Baja",'Mapa final'!$AD$105="Leve"),CONCATENATE("R35C",'Mapa final'!$R$105),"")</f>
        <v/>
      </c>
      <c r="M189" s="51" t="str">
        <f>IF(AND('Mapa final'!$AB$103="Baja",'Mapa final'!$AD$103="Menor"),CONCATENATE("R34C",'Mapa final'!$R$103),"")</f>
        <v/>
      </c>
      <c r="N189" s="52" t="str">
        <f>IF(AND('Mapa final'!$AB$104="Baja",'Mapa final'!$AD$104="Menor"),CONCATENATE("R34C",'Mapa final'!$R$104),"")</f>
        <v/>
      </c>
      <c r="O189" s="125" t="str">
        <f>IF(AND('Mapa final'!$AB$105="Baja",'Mapa final'!$AD$105="Menor"),CONCATENATE("R35C",'Mapa final'!$R$105),"")</f>
        <v/>
      </c>
      <c r="P189" s="51" t="str">
        <f>IF(AND('Mapa final'!$AB$103="Baja",'Mapa final'!$AD$103="Moderado"),CONCATENATE("R34C",'Mapa final'!$R$103),"")</f>
        <v>R34C1</v>
      </c>
      <c r="Q189" s="52" t="str">
        <f>IF(AND('Mapa final'!$AB$104="Baja",'Mapa final'!$AD$104="Moderado"),CONCATENATE("R34C",'Mapa final'!$R$104),"")</f>
        <v/>
      </c>
      <c r="R189" s="125" t="str">
        <f>IF(AND('Mapa final'!$AB$105="Baja",'Mapa final'!$AD$105="Moderado"),CONCATENATE("R35C",'Mapa final'!$R$105),"")</f>
        <v/>
      </c>
      <c r="S189" s="119" t="str">
        <f>IF(AND('Mapa final'!$AB$103="Baja",'Mapa final'!$AD$103="Mayor"),CONCATENATE("R34C",'Mapa final'!$R$103),"")</f>
        <v/>
      </c>
      <c r="T189" s="44" t="str">
        <f>IF(AND('Mapa final'!$AB$104="Baja",'Mapa final'!$AD$104="Mayor"),CONCATENATE("R34C",'Mapa final'!$R$104),"")</f>
        <v/>
      </c>
      <c r="U189" s="120" t="str">
        <f>IF(AND('Mapa final'!$AB$105="Baja",'Mapa final'!$AD$105="Mayor"),CONCATENATE("R35C",'Mapa final'!$R$105),"")</f>
        <v/>
      </c>
      <c r="V189" s="45" t="str">
        <f>IF(AND('Mapa final'!$AB$103="Baja",'Mapa final'!$AD$103="Catastrófico"),CONCATENATE("R34C",'Mapa final'!$R$103),"")</f>
        <v/>
      </c>
      <c r="W189" s="46" t="str">
        <f>IF(AND('Mapa final'!$AB$104="Baja",'Mapa final'!$AD$104="Catastrófico"),CONCATENATE("R34C",'Mapa final'!$R$104),"")</f>
        <v/>
      </c>
      <c r="X189" s="114" t="str">
        <f>IF(AND('Mapa final'!$AB$105="Baja",'Mapa final'!$AD$105="Catastrófico"),CONCATENATE("R35C",'Mapa final'!$R$105),"")</f>
        <v/>
      </c>
      <c r="Y189" s="58"/>
      <c r="Z189" s="389"/>
      <c r="AA189" s="390"/>
      <c r="AB189" s="390"/>
      <c r="AC189" s="390"/>
      <c r="AD189" s="390"/>
      <c r="AE189" s="391"/>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row>
    <row r="190" spans="1:61" ht="15" customHeight="1" x14ac:dyDescent="0.25">
      <c r="A190" s="58"/>
      <c r="B190" s="356"/>
      <c r="C190" s="356"/>
      <c r="D190" s="357"/>
      <c r="E190" s="371"/>
      <c r="F190" s="372"/>
      <c r="G190" s="372"/>
      <c r="H190" s="372"/>
      <c r="I190" s="370"/>
      <c r="J190" s="129" t="str">
        <f>IF(AND('Mapa final'!$AB$106="Baja",'Mapa final'!$AD$106="Leve"),CONCATENATE("R35C",'Mapa final'!$R$106),"")</f>
        <v/>
      </c>
      <c r="K190" s="56" t="str">
        <f>IF(AND('Mapa final'!$AB$107="Baja",'Mapa final'!$AD$107="Leve"),CONCATENATE("R35C",'Mapa final'!$R$107),"")</f>
        <v/>
      </c>
      <c r="L190" s="130" t="str">
        <f>IF(AND('Mapa final'!$AB$108="Baja",'Mapa final'!$AD$108="Leve"),CONCATENATE("R36C",'Mapa final'!$R$108),"")</f>
        <v/>
      </c>
      <c r="M190" s="51" t="str">
        <f>IF(AND('Mapa final'!$AB$106="Baja",'Mapa final'!$AD$106="Menor"),CONCATENATE("R35C",'Mapa final'!$R$106),"")</f>
        <v/>
      </c>
      <c r="N190" s="52" t="str">
        <f>IF(AND('Mapa final'!$AB$107="Baja",'Mapa final'!$AD$107="Menor"),CONCATENATE("R35C",'Mapa final'!$R$107),"")</f>
        <v/>
      </c>
      <c r="O190" s="125" t="str">
        <f>IF(AND('Mapa final'!$AB$108="Baja",'Mapa final'!$AD$108="Menor"),CONCATENATE("R36C",'Mapa final'!$R$108),"")</f>
        <v/>
      </c>
      <c r="P190" s="51" t="str">
        <f>IF(AND('Mapa final'!$AB$106="Baja",'Mapa final'!$AD$106="Moderado"),CONCATENATE("R35C",'Mapa final'!$R$106),"")</f>
        <v/>
      </c>
      <c r="Q190" s="52" t="str">
        <f>IF(AND('Mapa final'!$AB$107="Baja",'Mapa final'!$AD$107="Moderado"),CONCATENATE("R35C",'Mapa final'!$R$107),"")</f>
        <v/>
      </c>
      <c r="R190" s="125" t="str">
        <f>IF(AND('Mapa final'!$AB$108="Baja",'Mapa final'!$AD$108="Moderado"),CONCATENATE("R36C",'Mapa final'!$R$108),"")</f>
        <v/>
      </c>
      <c r="S190" s="119" t="str">
        <f>IF(AND('Mapa final'!$AB$106="Baja",'Mapa final'!$AD$106="Mayor"),CONCATENATE("R35C",'Mapa final'!$R$106),"")</f>
        <v>R35C1</v>
      </c>
      <c r="T190" s="44" t="str">
        <f>IF(AND('Mapa final'!$AB$107="Baja",'Mapa final'!$AD$107="Mayor"),CONCATENATE("R35C",'Mapa final'!$R$107),"")</f>
        <v/>
      </c>
      <c r="U190" s="120" t="str">
        <f>IF(AND('Mapa final'!$AB$108="Baja",'Mapa final'!$AD$108="Mayor"),CONCATENATE("R36C",'Mapa final'!$R$108),"")</f>
        <v/>
      </c>
      <c r="V190" s="45" t="str">
        <f>IF(AND('Mapa final'!$AB$106="Baja",'Mapa final'!$AD$106="Catastrófico"),CONCATENATE("R35C",'Mapa final'!$R$106),"")</f>
        <v/>
      </c>
      <c r="W190" s="46" t="str">
        <f>IF(AND('Mapa final'!$AB$107="Baja",'Mapa final'!$AD$107="Catastrófico"),CONCATENATE("R35C",'Mapa final'!$R$107),"")</f>
        <v/>
      </c>
      <c r="X190" s="114" t="str">
        <f>IF(AND('Mapa final'!$AB$108="Baja",'Mapa final'!$AD$108="Catastrófico"),CONCATENATE("R36C",'Mapa final'!$R$108),"")</f>
        <v/>
      </c>
      <c r="Y190" s="58"/>
      <c r="Z190" s="389"/>
      <c r="AA190" s="390"/>
      <c r="AB190" s="390"/>
      <c r="AC190" s="390"/>
      <c r="AD190" s="390"/>
      <c r="AE190" s="391"/>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row>
    <row r="191" spans="1:61" ht="15" customHeight="1" x14ac:dyDescent="0.25">
      <c r="A191" s="58"/>
      <c r="B191" s="356"/>
      <c r="C191" s="356"/>
      <c r="D191" s="357"/>
      <c r="E191" s="371"/>
      <c r="F191" s="372"/>
      <c r="G191" s="372"/>
      <c r="H191" s="372"/>
      <c r="I191" s="370"/>
      <c r="J191" s="129" t="str">
        <f>IF(AND('Mapa final'!$AB$109="Baja",'Mapa final'!$AD$109="Leve"),CONCATENATE("R36C",'Mapa final'!$R$109),"")</f>
        <v/>
      </c>
      <c r="K191" s="56" t="str">
        <f>IF(AND('Mapa final'!$AB$110="Baja",'Mapa final'!$AD$110="Leve"),CONCATENATE("R36C",'Mapa final'!$R$110),"")</f>
        <v/>
      </c>
      <c r="L191" s="130" t="str">
        <f>IF(AND('Mapa final'!$AB$111="Baja",'Mapa final'!$AD$111="Leve"),CONCATENATE("R37C",'Mapa final'!$R$111),"")</f>
        <v/>
      </c>
      <c r="M191" s="51" t="str">
        <f>IF(AND('Mapa final'!$AB$109="Baja",'Mapa final'!$AD$109="Menor"),CONCATENATE("R36C",'Mapa final'!$R$109),"")</f>
        <v>R36C1</v>
      </c>
      <c r="N191" s="52" t="str">
        <f>IF(AND('Mapa final'!$AB$110="Baja",'Mapa final'!$AD$110="Menor"),CONCATENATE("R36C",'Mapa final'!$R$110),"")</f>
        <v/>
      </c>
      <c r="O191" s="125" t="str">
        <f>IF(AND('Mapa final'!$AB$111="Baja",'Mapa final'!$AD$111="Menor"),CONCATENATE("R37C",'Mapa final'!$R$111),"")</f>
        <v/>
      </c>
      <c r="P191" s="51" t="str">
        <f>IF(AND('Mapa final'!$AB$109="Baja",'Mapa final'!$AD$109="Moderado"),CONCATENATE("R36C",'Mapa final'!$R$109),"")</f>
        <v/>
      </c>
      <c r="Q191" s="52" t="str">
        <f>IF(AND('Mapa final'!$AB$110="Baja",'Mapa final'!$AD$110="Moderado"),CONCATENATE("R36C",'Mapa final'!$R$110),"")</f>
        <v/>
      </c>
      <c r="R191" s="125" t="str">
        <f>IF(AND('Mapa final'!$AB$111="Baja",'Mapa final'!$AD$111="Moderado"),CONCATENATE("R37C",'Mapa final'!$R$111),"")</f>
        <v/>
      </c>
      <c r="S191" s="119" t="str">
        <f>IF(AND('Mapa final'!$AB$109="Baja",'Mapa final'!$AD$109="Mayor"),CONCATENATE("R36C",'Mapa final'!$R$109),"")</f>
        <v/>
      </c>
      <c r="T191" s="44" t="str">
        <f>IF(AND('Mapa final'!$AB$110="Baja",'Mapa final'!$AD$110="Mayor"),CONCATENATE("R36C",'Mapa final'!$R$110),"")</f>
        <v/>
      </c>
      <c r="U191" s="120" t="str">
        <f>IF(AND('Mapa final'!$AB$111="Baja",'Mapa final'!$AD$111="Mayor"),CONCATENATE("R37C",'Mapa final'!$R$111),"")</f>
        <v/>
      </c>
      <c r="V191" s="45" t="str">
        <f>IF(AND('Mapa final'!$AB$109="Baja",'Mapa final'!$AD$109="Catastrófico"),CONCATENATE("R36C",'Mapa final'!$R$109),"")</f>
        <v/>
      </c>
      <c r="W191" s="46" t="str">
        <f>IF(AND('Mapa final'!$AB$110="Baja",'Mapa final'!$AD$110="Catastrófico"),CONCATENATE("R36C",'Mapa final'!$R$110),"")</f>
        <v/>
      </c>
      <c r="X191" s="114" t="str">
        <f>IF(AND('Mapa final'!$AB$111="Baja",'Mapa final'!$AD$111="Catastrófico"),CONCATENATE("R37C",'Mapa final'!$R$111),"")</f>
        <v/>
      </c>
      <c r="Y191" s="58"/>
      <c r="Z191" s="389"/>
      <c r="AA191" s="390"/>
      <c r="AB191" s="390"/>
      <c r="AC191" s="390"/>
      <c r="AD191" s="390"/>
      <c r="AE191" s="391"/>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c r="BB191" s="58"/>
      <c r="BC191" s="58"/>
      <c r="BD191" s="58"/>
      <c r="BE191" s="58"/>
      <c r="BF191" s="58"/>
      <c r="BG191" s="58"/>
      <c r="BH191" s="58"/>
      <c r="BI191" s="58"/>
    </row>
    <row r="192" spans="1:61" ht="15" customHeight="1" x14ac:dyDescent="0.25">
      <c r="A192" s="58"/>
      <c r="B192" s="356"/>
      <c r="C192" s="356"/>
      <c r="D192" s="357"/>
      <c r="E192" s="371"/>
      <c r="F192" s="372"/>
      <c r="G192" s="372"/>
      <c r="H192" s="372"/>
      <c r="I192" s="370"/>
      <c r="J192" s="129" t="str">
        <f>IF(AND('Mapa final'!$AB$112="Baja",'Mapa final'!$AD$112="Leve"),CONCATENATE("R37C",'Mapa final'!$R$112),"")</f>
        <v/>
      </c>
      <c r="K192" s="56" t="str">
        <f>IF(AND('Mapa final'!$AB$113="Baja",'Mapa final'!$AD$113="Leve"),CONCATENATE("R37C",'Mapa final'!$R$113),"")</f>
        <v/>
      </c>
      <c r="L192" s="130" t="str">
        <f>IF(AND('Mapa final'!$AB$114="Baja",'Mapa final'!$AD$114="Leve"),CONCATENATE("R38C",'Mapa final'!$R$114),"")</f>
        <v/>
      </c>
      <c r="M192" s="51" t="str">
        <f>IF(AND('Mapa final'!$AB$112="Baja",'Mapa final'!$AD$112="Menor"),CONCATENATE("R37C",'Mapa final'!$R$112),"")</f>
        <v>R37C1</v>
      </c>
      <c r="N192" s="52" t="str">
        <f>IF(AND('Mapa final'!$AB$113="Baja",'Mapa final'!$AD$113="Menor"),CONCATENATE("R37C",'Mapa final'!$R$113),"")</f>
        <v/>
      </c>
      <c r="O192" s="125" t="str">
        <f>IF(AND('Mapa final'!$AB$114="Baja",'Mapa final'!$AD$114="Menor"),CONCATENATE("R38C",'Mapa final'!$R$114),"")</f>
        <v/>
      </c>
      <c r="P192" s="51" t="str">
        <f>IF(AND('Mapa final'!$AB$112="Baja",'Mapa final'!$AD$112="Moderado"),CONCATENATE("R37C",'Mapa final'!$R$112),"")</f>
        <v/>
      </c>
      <c r="Q192" s="52" t="str">
        <f>IF(AND('Mapa final'!$AB$113="Baja",'Mapa final'!$AD$113="Moderado"),CONCATENATE("R37C",'Mapa final'!$R$113),"")</f>
        <v/>
      </c>
      <c r="R192" s="125" t="str">
        <f>IF(AND('Mapa final'!$AB$114="Baja",'Mapa final'!$AD$114="Moderado"),CONCATENATE("R38C",'Mapa final'!$R$114),"")</f>
        <v/>
      </c>
      <c r="S192" s="119" t="str">
        <f>IF(AND('Mapa final'!$AB$112="Baja",'Mapa final'!$AD$112="Mayor"),CONCATENATE("R37C",'Mapa final'!$R$112),"")</f>
        <v/>
      </c>
      <c r="T192" s="44" t="str">
        <f>IF(AND('Mapa final'!$AB$113="Baja",'Mapa final'!$AD$113="Mayor"),CONCATENATE("R37C",'Mapa final'!$R$113),"")</f>
        <v/>
      </c>
      <c r="U192" s="120" t="str">
        <f>IF(AND('Mapa final'!$AB$114="Baja",'Mapa final'!$AD$114="Mayor"),CONCATENATE("R38C",'Mapa final'!$R$114),"")</f>
        <v/>
      </c>
      <c r="V192" s="45" t="str">
        <f>IF(AND('Mapa final'!$AB$112="Baja",'Mapa final'!$AD$112="Catastrófico"),CONCATENATE("R37C",'Mapa final'!$R$112),"")</f>
        <v/>
      </c>
      <c r="W192" s="46" t="str">
        <f>IF(AND('Mapa final'!$AB$113="Baja",'Mapa final'!$AD$113="Catastrófico"),CONCATENATE("R37C",'Mapa final'!$R$113),"")</f>
        <v/>
      </c>
      <c r="X192" s="114" t="str">
        <f>IF(AND('Mapa final'!$AB$114="Baja",'Mapa final'!$AD$114="Catastrófico"),CONCATENATE("R38C",'Mapa final'!$R$114),"")</f>
        <v/>
      </c>
      <c r="Y192" s="58"/>
      <c r="Z192" s="389"/>
      <c r="AA192" s="390"/>
      <c r="AB192" s="390"/>
      <c r="AC192" s="390"/>
      <c r="AD192" s="390"/>
      <c r="AE192" s="391"/>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row>
    <row r="193" spans="1:65" ht="15" customHeight="1" x14ac:dyDescent="0.25">
      <c r="A193" s="58"/>
      <c r="B193" s="356"/>
      <c r="C193" s="356"/>
      <c r="D193" s="357"/>
      <c r="E193" s="371"/>
      <c r="F193" s="372"/>
      <c r="G193" s="372"/>
      <c r="H193" s="372"/>
      <c r="I193" s="370"/>
      <c r="J193" s="129" t="str">
        <f>IF(AND('Mapa final'!$AB$115="Baja",'Mapa final'!$AD$115="Leve"),CONCATENATE("R38C",'Mapa final'!$R$115),"")</f>
        <v/>
      </c>
      <c r="K193" s="56" t="str">
        <f>IF(AND('Mapa final'!$AB$116="Baja",'Mapa final'!$AD$116="Leve"),CONCATENATE("R38C",'Mapa final'!$R$116),"")</f>
        <v/>
      </c>
      <c r="L193" s="130" t="str">
        <f>IF(AND('Mapa final'!$AB$117="Baja",'Mapa final'!$AD$117="Leve"),CONCATENATE("R39C",'Mapa final'!$R$117),"")</f>
        <v/>
      </c>
      <c r="M193" s="51" t="str">
        <f>IF(AND('Mapa final'!$AB$115="Baja",'Mapa final'!$AD$115="Menor"),CONCATENATE("R38C",'Mapa final'!$R$115),"")</f>
        <v/>
      </c>
      <c r="N193" s="52" t="str">
        <f>IF(AND('Mapa final'!$AB$116="Baja",'Mapa final'!$AD$116="Menor"),CONCATENATE("R38C",'Mapa final'!$R$116),"")</f>
        <v/>
      </c>
      <c r="O193" s="125" t="str">
        <f>IF(AND('Mapa final'!$AB$117="Baja",'Mapa final'!$AD$117="Menor"),CONCATENATE("R39C",'Mapa final'!$R$117),"")</f>
        <v/>
      </c>
      <c r="P193" s="51" t="str">
        <f>IF(AND('Mapa final'!$AB$115="Baja",'Mapa final'!$AD$115="Moderado"),CONCATENATE("R38C",'Mapa final'!$R$115),"")</f>
        <v/>
      </c>
      <c r="Q193" s="52" t="str">
        <f>IF(AND('Mapa final'!$AB$116="Baja",'Mapa final'!$AD$116="Moderado"),CONCATENATE("R38C",'Mapa final'!$R$116),"")</f>
        <v/>
      </c>
      <c r="R193" s="125" t="str">
        <f>IF(AND('Mapa final'!$AB$117="Baja",'Mapa final'!$AD$117="Moderado"),CONCATENATE("R39C",'Mapa final'!$R$117),"")</f>
        <v/>
      </c>
      <c r="S193" s="119" t="str">
        <f>IF(AND('Mapa final'!$AB$115="Baja",'Mapa final'!$AD$115="Mayor"),CONCATENATE("R38C",'Mapa final'!$R$115),"")</f>
        <v/>
      </c>
      <c r="T193" s="44" t="str">
        <f>IF(AND('Mapa final'!$AB$116="Baja",'Mapa final'!$AD$116="Mayor"),CONCATENATE("R38C",'Mapa final'!$R$116),"")</f>
        <v/>
      </c>
      <c r="U193" s="120" t="str">
        <f>IF(AND('Mapa final'!$AB$117="Baja",'Mapa final'!$AD$117="Mayor"),CONCATENATE("R39C",'Mapa final'!$R$117),"")</f>
        <v/>
      </c>
      <c r="V193" s="45" t="str">
        <f>IF(AND('Mapa final'!$AB$115="Baja",'Mapa final'!$AD$115="Catastrófico"),CONCATENATE("R38C",'Mapa final'!$R$115),"")</f>
        <v/>
      </c>
      <c r="W193" s="46" t="str">
        <f>IF(AND('Mapa final'!$AB$116="Baja",'Mapa final'!$AD$116="Catastrófico"),CONCATENATE("R38C",'Mapa final'!$R$116),"")</f>
        <v/>
      </c>
      <c r="X193" s="114" t="str">
        <f>IF(AND('Mapa final'!$AB$117="Baja",'Mapa final'!$AD$117="Catastrófico"),CONCATENATE("R39C",'Mapa final'!$R$117),"")</f>
        <v/>
      </c>
      <c r="Y193" s="58"/>
      <c r="Z193" s="389"/>
      <c r="AA193" s="390"/>
      <c r="AB193" s="390"/>
      <c r="AC193" s="390"/>
      <c r="AD193" s="390"/>
      <c r="AE193" s="391"/>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row>
    <row r="194" spans="1:65" ht="15" customHeight="1" x14ac:dyDescent="0.25">
      <c r="A194" s="58"/>
      <c r="B194" s="356"/>
      <c r="C194" s="356"/>
      <c r="D194" s="357"/>
      <c r="E194" s="371"/>
      <c r="F194" s="372"/>
      <c r="G194" s="372"/>
      <c r="H194" s="372"/>
      <c r="I194" s="370"/>
      <c r="J194" s="129" t="str">
        <f>IF(AND('Mapa final'!$AB$118="Baja",'Mapa final'!$AD$118="Leve"),CONCATENATE("R39C",'Mapa final'!$R$118),"")</f>
        <v/>
      </c>
      <c r="K194" s="56" t="str">
        <f>IF(AND('Mapa final'!$AB$119="Baja",'Mapa final'!$AD$119="Leve"),CONCATENATE("R39C",'Mapa final'!$R$119),"")</f>
        <v/>
      </c>
      <c r="L194" s="130" t="str">
        <f>IF(AND('Mapa final'!$AB$120="Baja",'Mapa final'!$AD$120="Leve"),CONCATENATE("R40C",'Mapa final'!$R$120),"")</f>
        <v/>
      </c>
      <c r="M194" s="51" t="str">
        <f>IF(AND('Mapa final'!$AB$118="Baja",'Mapa final'!$AD$118="Menor"),CONCATENATE("R39C",'Mapa final'!$R$118),"")</f>
        <v/>
      </c>
      <c r="N194" s="52" t="str">
        <f>IF(AND('Mapa final'!$AB$119="Baja",'Mapa final'!$AD$119="Menor"),CONCATENATE("R39C",'Mapa final'!$R$119),"")</f>
        <v/>
      </c>
      <c r="O194" s="125" t="str">
        <f>IF(AND('Mapa final'!$AB$120="Baja",'Mapa final'!$AD$120="Menor"),CONCATENATE("R40C",'Mapa final'!$R$120),"")</f>
        <v/>
      </c>
      <c r="P194" s="51" t="str">
        <f>IF(AND('Mapa final'!$AB$118="Baja",'Mapa final'!$AD$118="Moderado"),CONCATENATE("R39C",'Mapa final'!$R$118),"")</f>
        <v/>
      </c>
      <c r="Q194" s="52" t="str">
        <f>IF(AND('Mapa final'!$AB$119="Baja",'Mapa final'!$AD$119="Moderado"),CONCATENATE("R39C",'Mapa final'!$R$119),"")</f>
        <v/>
      </c>
      <c r="R194" s="125" t="str">
        <f>IF(AND('Mapa final'!$AB$120="Baja",'Mapa final'!$AD$120="Moderado"),CONCATENATE("R40C",'Mapa final'!$R$120),"")</f>
        <v/>
      </c>
      <c r="S194" s="119" t="str">
        <f>IF(AND('Mapa final'!$AB$118="Baja",'Mapa final'!$AD$118="Mayor"),CONCATENATE("R39C",'Mapa final'!$R$118),"")</f>
        <v/>
      </c>
      <c r="T194" s="44" t="str">
        <f>IF(AND('Mapa final'!$AB$119="Baja",'Mapa final'!$AD$119="Mayor"),CONCATENATE("R39C",'Mapa final'!$R$119),"")</f>
        <v/>
      </c>
      <c r="U194" s="120" t="str">
        <f>IF(AND('Mapa final'!$AB$120="Baja",'Mapa final'!$AD$120="Mayor"),CONCATENATE("R40C",'Mapa final'!$R$120),"")</f>
        <v/>
      </c>
      <c r="V194" s="45" t="str">
        <f>IF(AND('Mapa final'!$AB$118="Baja",'Mapa final'!$AD$118="Catastrófico"),CONCATENATE("R39C",'Mapa final'!$R$118),"")</f>
        <v/>
      </c>
      <c r="W194" s="46" t="str">
        <f>IF(AND('Mapa final'!$AB$119="Baja",'Mapa final'!$AD$119="Catastrófico"),CONCATENATE("R39C",'Mapa final'!$R$119),"")</f>
        <v/>
      </c>
      <c r="X194" s="114" t="str">
        <f>IF(AND('Mapa final'!$AB$120="Baja",'Mapa final'!$AD$120="Catastrófico"),CONCATENATE("R40C",'Mapa final'!$R$120),"")</f>
        <v/>
      </c>
      <c r="Y194" s="58"/>
      <c r="Z194" s="389"/>
      <c r="AA194" s="390"/>
      <c r="AB194" s="390"/>
      <c r="AC194" s="390"/>
      <c r="AD194" s="390"/>
      <c r="AE194" s="391"/>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row>
    <row r="195" spans="1:65" ht="15" customHeight="1" x14ac:dyDescent="0.25">
      <c r="A195" s="58"/>
      <c r="B195" s="356"/>
      <c r="C195" s="356"/>
      <c r="D195" s="357"/>
      <c r="E195" s="371"/>
      <c r="F195" s="372"/>
      <c r="G195" s="372"/>
      <c r="H195" s="372"/>
      <c r="I195" s="370"/>
      <c r="J195" s="129" t="str">
        <f>IF(AND('Mapa final'!$AB$121="Baja",'Mapa final'!$AD$121="Leve"),CONCATENATE("R40C",'Mapa final'!$R$121),"")</f>
        <v/>
      </c>
      <c r="K195" s="56" t="str">
        <f>IF(AND('Mapa final'!$AB$122="Baja",'Mapa final'!$AD$122="Leve"),CONCATENATE("R40C",'Mapa final'!$R$122),"")</f>
        <v/>
      </c>
      <c r="L195" s="130" t="str">
        <f>IF(AND('Mapa final'!$AB$123="Baja",'Mapa final'!$AD$123="Leve"),CONCATENATE("R40C",'Mapa final'!$R$123),"")</f>
        <v/>
      </c>
      <c r="M195" s="51" t="str">
        <f>IF(AND('Mapa final'!$AB$121="Baja",'Mapa final'!$AD$121="Menor"),CONCATENATE("R40C",'Mapa final'!$R$121),"")</f>
        <v/>
      </c>
      <c r="N195" s="52" t="str">
        <f>IF(AND('Mapa final'!$AB$122="Baja",'Mapa final'!$AD$122="Menor"),CONCATENATE("R40C",'Mapa final'!$R$122),"")</f>
        <v/>
      </c>
      <c r="O195" s="125" t="str">
        <f>IF(AND('Mapa final'!$AB$123="Baja",'Mapa final'!$AD$123="Menor"),CONCATENATE("R40C",'Mapa final'!$R$123),"")</f>
        <v/>
      </c>
      <c r="P195" s="51" t="str">
        <f>IF(AND('Mapa final'!$AB$121="Baja",'Mapa final'!$AD$121="Moderado"),CONCATENATE("R40C",'Mapa final'!$R$121),"")</f>
        <v/>
      </c>
      <c r="Q195" s="52" t="str">
        <f>IF(AND('Mapa final'!$AB$122="Baja",'Mapa final'!$AD$122="Moderado"),CONCATENATE("R40C",'Mapa final'!$R$122),"")</f>
        <v/>
      </c>
      <c r="R195" s="125" t="str">
        <f>IF(AND('Mapa final'!$AB$123="Baja",'Mapa final'!$AD$123="Moderado"),CONCATENATE("R40C",'Mapa final'!$R$123),"")</f>
        <v/>
      </c>
      <c r="S195" s="119" t="str">
        <f>IF(AND('Mapa final'!$AB$121="Baja",'Mapa final'!$AD$121="Mayor"),CONCATENATE("R40C",'Mapa final'!$R$121),"")</f>
        <v/>
      </c>
      <c r="T195" s="44" t="str">
        <f>IF(AND('Mapa final'!$AB$122="Baja",'Mapa final'!$AD$122="Mayor"),CONCATENATE("R40C",'Mapa final'!$R$122),"")</f>
        <v/>
      </c>
      <c r="U195" s="120" t="str">
        <f>IF(AND('Mapa final'!$AB$123="Baja",'Mapa final'!$AD$123="Mayor"),CONCATENATE("R40C",'Mapa final'!$R$123),"")</f>
        <v/>
      </c>
      <c r="V195" s="45" t="str">
        <f>IF(AND('Mapa final'!$AB$121="Baja",'Mapa final'!$AD$121="Catastrófico"),CONCATENATE("R40C",'Mapa final'!$R$121),"")</f>
        <v/>
      </c>
      <c r="W195" s="46" t="str">
        <f>IF(AND('Mapa final'!$AB$122="Baja",'Mapa final'!$AD$122="Catastrófico"),CONCATENATE("R40C",'Mapa final'!$R$122),"")</f>
        <v/>
      </c>
      <c r="X195" s="114" t="str">
        <f>IF(AND('Mapa final'!$AB$123="Baja",'Mapa final'!$AD$123="Catastrófico"),CONCATENATE("R40C",'Mapa final'!$R$123),"")</f>
        <v/>
      </c>
      <c r="Y195" s="58"/>
      <c r="Z195" s="389"/>
      <c r="AA195" s="390"/>
      <c r="AB195" s="390"/>
      <c r="AC195" s="390"/>
      <c r="AD195" s="390"/>
      <c r="AE195" s="391"/>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row>
    <row r="196" spans="1:65" ht="15" customHeight="1" x14ac:dyDescent="0.25">
      <c r="A196" s="58"/>
      <c r="B196" s="356"/>
      <c r="C196" s="356"/>
      <c r="D196" s="357"/>
      <c r="E196" s="371"/>
      <c r="F196" s="372"/>
      <c r="G196" s="372"/>
      <c r="H196" s="372"/>
      <c r="I196" s="370"/>
      <c r="J196" s="129" t="str">
        <f>IF(AND('Mapa final'!$AB$124="Baja",'Mapa final'!$AD$124="Leve"),CONCATENATE("R41C",'Mapa final'!$R$124),"")</f>
        <v/>
      </c>
      <c r="K196" s="56" t="str">
        <f>IF(AND('Mapa final'!$AB$125="Baja",'Mapa final'!$AD$125="Leve"),CONCATENATE("R41C",'Mapa final'!$R$125),"")</f>
        <v/>
      </c>
      <c r="L196" s="130" t="str">
        <f>IF(AND('Mapa final'!$AB$126="Baja",'Mapa final'!$AD$126="Leve"),CONCATENATE("R41C",'Mapa final'!$R$126),"")</f>
        <v/>
      </c>
      <c r="M196" s="51" t="str">
        <f>IF(AND('Mapa final'!$AB$124="Baja",'Mapa final'!$AD$124="Menor"),CONCATENATE("R41C",'Mapa final'!$R$124),"")</f>
        <v/>
      </c>
      <c r="N196" s="52" t="str">
        <f>IF(AND('Mapa final'!$AB$125="Baja",'Mapa final'!$AD$125="Menor"),CONCATENATE("R41C",'Mapa final'!$R$125),"")</f>
        <v/>
      </c>
      <c r="O196" s="125" t="str">
        <f>IF(AND('Mapa final'!$AB$126="Baja",'Mapa final'!$AD$126="Menor"),CONCATENATE("R41C",'Mapa final'!$R$126),"")</f>
        <v/>
      </c>
      <c r="P196" s="51" t="str">
        <f>IF(AND('Mapa final'!$AB$124="Baja",'Mapa final'!$AD$124="Moderado"),CONCATENATE("R41C",'Mapa final'!$R$124),"")</f>
        <v/>
      </c>
      <c r="Q196" s="52" t="str">
        <f>IF(AND('Mapa final'!$AB$125="Baja",'Mapa final'!$AD$125="Moderado"),CONCATENATE("R41C",'Mapa final'!$R$125),"")</f>
        <v/>
      </c>
      <c r="R196" s="125" t="str">
        <f>IF(AND('Mapa final'!$AB$126="Baja",'Mapa final'!$AD$126="Moderado"),CONCATENATE("R41C",'Mapa final'!$R$126),"")</f>
        <v/>
      </c>
      <c r="S196" s="119" t="str">
        <f>IF(AND('Mapa final'!$AB$124="Baja",'Mapa final'!$AD$124="Mayor"),CONCATENATE("R41C",'Mapa final'!$R$124),"")</f>
        <v/>
      </c>
      <c r="T196" s="44" t="str">
        <f>IF(AND('Mapa final'!$AB$125="Baja",'Mapa final'!$AD$125="Mayor"),CONCATENATE("R41C",'Mapa final'!$R$125),"")</f>
        <v/>
      </c>
      <c r="U196" s="120" t="str">
        <f>IF(AND('Mapa final'!$AB$126="Baja",'Mapa final'!$AD$126="Mayor"),CONCATENATE("R41C",'Mapa final'!$R$126),"")</f>
        <v/>
      </c>
      <c r="V196" s="45" t="str">
        <f>IF(AND('Mapa final'!$AB$124="Baja",'Mapa final'!$AD$124="Catastrófico"),CONCATENATE("R41C",'Mapa final'!$R$124),"")</f>
        <v/>
      </c>
      <c r="W196" s="46" t="str">
        <f>IF(AND('Mapa final'!$AB$125="Baja",'Mapa final'!$AD$125="Catastrófico"),CONCATENATE("R41C",'Mapa final'!$R$125),"")</f>
        <v/>
      </c>
      <c r="X196" s="114" t="str">
        <f>IF(AND('Mapa final'!$AB$126="Baja",'Mapa final'!$AD$126="Catastrófico"),CONCATENATE("R41C",'Mapa final'!$R$126),"")</f>
        <v/>
      </c>
      <c r="Y196" s="58"/>
      <c r="Z196" s="389"/>
      <c r="AA196" s="390"/>
      <c r="AB196" s="390"/>
      <c r="AC196" s="390"/>
      <c r="AD196" s="390"/>
      <c r="AE196" s="391"/>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row>
    <row r="197" spans="1:65" ht="15" customHeight="1" x14ac:dyDescent="0.25">
      <c r="A197" s="58"/>
      <c r="B197" s="356"/>
      <c r="C197" s="356"/>
      <c r="D197" s="357"/>
      <c r="E197" s="371"/>
      <c r="F197" s="372"/>
      <c r="G197" s="372"/>
      <c r="H197" s="372"/>
      <c r="I197" s="370"/>
      <c r="J197" s="129" t="str">
        <f>IF(AND('Mapa final'!$AB$127="Baja",'Mapa final'!$AD$127="Leve"),CONCATENATE("R42C",'Mapa final'!$R$127),"")</f>
        <v/>
      </c>
      <c r="K197" s="56" t="str">
        <f>IF(AND('Mapa final'!$AB$128="Baja",'Mapa final'!$AD$128="Leve"),CONCATENATE("R42C",'Mapa final'!$R$128),"")</f>
        <v/>
      </c>
      <c r="L197" s="130" t="str">
        <f>IF(AND('Mapa final'!$AB$129="Baja",'Mapa final'!$AD$129="Leve"),CONCATENATE("R2C",'Mapa final'!$R$129),"")</f>
        <v/>
      </c>
      <c r="M197" s="51" t="str">
        <f>IF(AND('Mapa final'!$AB$127="Baja",'Mapa final'!$AD$127="Menor"),CONCATENATE("R42C",'Mapa final'!$R$127),"")</f>
        <v/>
      </c>
      <c r="N197" s="52" t="str">
        <f>IF(AND('Mapa final'!$AB$128="Baja",'Mapa final'!$AD$128="Menor"),CONCATENATE("R42C",'Mapa final'!$R$128),"")</f>
        <v/>
      </c>
      <c r="O197" s="125" t="str">
        <f>IF(AND('Mapa final'!$AB$129="Baja",'Mapa final'!$AD$129="Menor"),CONCATENATE("R2C",'Mapa final'!$R$129),"")</f>
        <v/>
      </c>
      <c r="P197" s="51" t="str">
        <f>IF(AND('Mapa final'!$AB$127="Baja",'Mapa final'!$AD$127="Moderado"),CONCATENATE("R42C",'Mapa final'!$R$127),"")</f>
        <v/>
      </c>
      <c r="Q197" s="52" t="str">
        <f>IF(AND('Mapa final'!$AB$128="Baja",'Mapa final'!$AD$128="Moderado"),CONCATENATE("R42C",'Mapa final'!$R$128),"")</f>
        <v/>
      </c>
      <c r="R197" s="125" t="str">
        <f>IF(AND('Mapa final'!$AB$129="Baja",'Mapa final'!$AD$129="Moderado"),CONCATENATE("R2C",'Mapa final'!$R$129),"")</f>
        <v/>
      </c>
      <c r="S197" s="119" t="str">
        <f>IF(AND('Mapa final'!$AB$127="Baja",'Mapa final'!$AD$127="Mayor"),CONCATENATE("R42C",'Mapa final'!$R$127),"")</f>
        <v/>
      </c>
      <c r="T197" s="44" t="str">
        <f>IF(AND('Mapa final'!$AB$128="Baja",'Mapa final'!$AD$128="Mayor"),CONCATENATE("R42C",'Mapa final'!$R$128),"")</f>
        <v/>
      </c>
      <c r="U197" s="120" t="str">
        <f>IF(AND('Mapa final'!$AB$129="Baja",'Mapa final'!$AD$129="Mayor"),CONCATENATE("R2C",'Mapa final'!$R$129),"")</f>
        <v/>
      </c>
      <c r="V197" s="45" t="str">
        <f>IF(AND('Mapa final'!$AB$127="Baja",'Mapa final'!$AD$127="Catastrófico"),CONCATENATE("R42C",'Mapa final'!$R$127),"")</f>
        <v/>
      </c>
      <c r="W197" s="46" t="str">
        <f>IF(AND('Mapa final'!$AB$128="Baja",'Mapa final'!$AD$128="Catastrófico"),CONCATENATE("R42C",'Mapa final'!$R$128),"")</f>
        <v/>
      </c>
      <c r="X197" s="114" t="str">
        <f>IF(AND('Mapa final'!$AB$129="Baja",'Mapa final'!$AD$129="Catastrófico"),CONCATENATE("R2C",'Mapa final'!$R$129),"")</f>
        <v/>
      </c>
      <c r="Y197" s="58"/>
      <c r="Z197" s="389"/>
      <c r="AA197" s="390"/>
      <c r="AB197" s="390"/>
      <c r="AC197" s="390"/>
      <c r="AD197" s="390"/>
      <c r="AE197" s="391"/>
      <c r="AF197" s="58"/>
      <c r="AG197" s="58"/>
      <c r="AH197" s="58"/>
      <c r="AI197" s="58"/>
      <c r="AJ197" s="58"/>
      <c r="AK197" s="58"/>
      <c r="AL197" s="58"/>
      <c r="AM197" s="58"/>
      <c r="AN197" s="58"/>
      <c r="AO197" s="58"/>
      <c r="AP197" s="58"/>
      <c r="AQ197" s="58"/>
      <c r="AR197" s="58"/>
      <c r="AS197" s="58"/>
      <c r="AT197" s="58"/>
      <c r="AU197" s="58"/>
      <c r="AV197" s="58"/>
      <c r="AW197" s="58"/>
      <c r="AX197" s="58"/>
      <c r="AY197" s="58"/>
      <c r="AZ197" s="58"/>
      <c r="BA197" s="58"/>
      <c r="BB197" s="58"/>
      <c r="BC197" s="58"/>
      <c r="BD197" s="58"/>
      <c r="BE197" s="58"/>
      <c r="BF197" s="58"/>
      <c r="BG197" s="58"/>
      <c r="BH197" s="58"/>
      <c r="BI197" s="58"/>
    </row>
    <row r="198" spans="1:65" ht="15" customHeight="1" x14ac:dyDescent="0.25">
      <c r="A198" s="58"/>
      <c r="B198" s="356"/>
      <c r="C198" s="356"/>
      <c r="D198" s="357"/>
      <c r="E198" s="371"/>
      <c r="F198" s="372"/>
      <c r="G198" s="372"/>
      <c r="H198" s="372"/>
      <c r="I198" s="370"/>
      <c r="J198" s="129" t="str">
        <f>IF(AND('Mapa final'!$AB$130="Baja",'Mapa final'!$AD$130="Leve"),CONCATENATE("R43C",'Mapa final'!$R$130),"")</f>
        <v/>
      </c>
      <c r="K198" s="56" t="str">
        <f>IF(AND('Mapa final'!$AB$131="Baja",'Mapa final'!$AD$131="Leve"),CONCATENATE("R43C",'Mapa final'!$R$131),"")</f>
        <v/>
      </c>
      <c r="L198" s="130" t="str">
        <f>IF(AND('Mapa final'!$AB$132="Baja",'Mapa final'!$AD$132="Leve"),CONCATENATE("R43C",'Mapa final'!$R$132),"")</f>
        <v/>
      </c>
      <c r="M198" s="51" t="str">
        <f>IF(AND('Mapa final'!$AB$130="Baja",'Mapa final'!$AD$130="Menor"),CONCATENATE("R43C",'Mapa final'!$R$130),"")</f>
        <v/>
      </c>
      <c r="N198" s="52" t="str">
        <f>IF(AND('Mapa final'!$AB$131="Baja",'Mapa final'!$AD$131="Menor"),CONCATENATE("R43C",'Mapa final'!$R$131),"")</f>
        <v/>
      </c>
      <c r="O198" s="125" t="str">
        <f>IF(AND('Mapa final'!$AB$132="Baja",'Mapa final'!$AD$132="Menor"),CONCATENATE("R43C",'Mapa final'!$R$132),"")</f>
        <v/>
      </c>
      <c r="P198" s="51" t="str">
        <f>IF(AND('Mapa final'!$AB$130="Baja",'Mapa final'!$AD$130="Moderado"),CONCATENATE("R43C",'Mapa final'!$R$130),"")</f>
        <v/>
      </c>
      <c r="Q198" s="52" t="str">
        <f>IF(AND('Mapa final'!$AB$131="Baja",'Mapa final'!$AD$131="Moderado"),CONCATENATE("R43C",'Mapa final'!$R$131),"")</f>
        <v/>
      </c>
      <c r="R198" s="125" t="str">
        <f>IF(AND('Mapa final'!$AB$132="Baja",'Mapa final'!$AD$132="Moderado"),CONCATENATE("R43C",'Mapa final'!$R$132),"")</f>
        <v/>
      </c>
      <c r="S198" s="119" t="str">
        <f>IF(AND('Mapa final'!$AB$130="Baja",'Mapa final'!$AD$130="Mayor"),CONCATENATE("R43C",'Mapa final'!$R$130),"")</f>
        <v/>
      </c>
      <c r="T198" s="44" t="str">
        <f>IF(AND('Mapa final'!$AB$131="Baja",'Mapa final'!$AD$131="Mayor"),CONCATENATE("R43C",'Mapa final'!$R$131),"")</f>
        <v/>
      </c>
      <c r="U198" s="120" t="str">
        <f>IF(AND('Mapa final'!$AB$132="Baja",'Mapa final'!$AD$132="Mayor"),CONCATENATE("R43C",'Mapa final'!$R$132),"")</f>
        <v/>
      </c>
      <c r="V198" s="45" t="str">
        <f>IF(AND('Mapa final'!$AB$130="Baja",'Mapa final'!$AD$130="Catastrófico"),CONCATENATE("R43C",'Mapa final'!$R$130),"")</f>
        <v/>
      </c>
      <c r="W198" s="46" t="str">
        <f>IF(AND('Mapa final'!$AB$131="Baja",'Mapa final'!$AD$131="Catastrófico"),CONCATENATE("R43C",'Mapa final'!$R$131),"")</f>
        <v/>
      </c>
      <c r="X198" s="114" t="str">
        <f>IF(AND('Mapa final'!$AB$132="Baja",'Mapa final'!$AD$132="Catastrófico"),CONCATENATE("R43C",'Mapa final'!$R$132),"")</f>
        <v/>
      </c>
      <c r="Y198" s="58"/>
      <c r="Z198" s="389"/>
      <c r="AA198" s="390"/>
      <c r="AB198" s="390"/>
      <c r="AC198" s="390"/>
      <c r="AD198" s="390"/>
      <c r="AE198" s="391"/>
      <c r="AF198" s="58"/>
      <c r="AG198" s="58"/>
      <c r="AH198" s="58"/>
      <c r="AI198" s="58"/>
      <c r="AJ198" s="58"/>
      <c r="AK198" s="58"/>
      <c r="AL198" s="58"/>
      <c r="AM198" s="58"/>
      <c r="AN198" s="58"/>
      <c r="AO198" s="58"/>
      <c r="AP198" s="58"/>
      <c r="AQ198" s="58"/>
      <c r="AR198" s="58"/>
      <c r="AS198" s="58"/>
      <c r="AT198" s="58"/>
      <c r="AU198" s="58"/>
      <c r="AV198" s="58"/>
      <c r="AW198" s="58"/>
      <c r="AX198" s="58"/>
      <c r="AY198" s="58"/>
      <c r="AZ198" s="58"/>
      <c r="BA198" s="58"/>
      <c r="BB198" s="58"/>
      <c r="BC198" s="58"/>
      <c r="BD198" s="58"/>
      <c r="BE198" s="58"/>
      <c r="BF198" s="58"/>
      <c r="BG198" s="58"/>
      <c r="BH198" s="58"/>
      <c r="BI198" s="58"/>
    </row>
    <row r="199" spans="1:65" ht="15" customHeight="1" x14ac:dyDescent="0.25">
      <c r="A199" s="58"/>
      <c r="B199" s="356"/>
      <c r="C199" s="356"/>
      <c r="D199" s="357"/>
      <c r="E199" s="371"/>
      <c r="F199" s="372"/>
      <c r="G199" s="372"/>
      <c r="H199" s="372"/>
      <c r="I199" s="370"/>
      <c r="J199" s="129" t="str">
        <f>IF(AND('Mapa final'!$AB$133="Baja",'Mapa final'!$AD$133="Leve"),CONCATENATE("R44C",'Mapa final'!$R$133),"")</f>
        <v/>
      </c>
      <c r="K199" s="56" t="str">
        <f>IF(AND('Mapa final'!$AB$134="Baja",'Mapa final'!$AD$134="Leve"),CONCATENATE("R44C",'Mapa final'!$R$134),"")</f>
        <v/>
      </c>
      <c r="L199" s="130" t="str">
        <f>IF(AND('Mapa final'!$AB$135="Baja",'Mapa final'!$AD$135="Leve"),CONCATENATE("R44C",'Mapa final'!$R$135),"")</f>
        <v/>
      </c>
      <c r="M199" s="51" t="str">
        <f>IF(AND('Mapa final'!$AB$133="Baja",'Mapa final'!$AD$133="Menor"),CONCATENATE("R44C",'Mapa final'!$R$133),"")</f>
        <v/>
      </c>
      <c r="N199" s="52" t="str">
        <f>IF(AND('Mapa final'!$AB$134="Baja",'Mapa final'!$AD$134="Menor"),CONCATENATE("R44C",'Mapa final'!$R$134),"")</f>
        <v/>
      </c>
      <c r="O199" s="125" t="str">
        <f>IF(AND('Mapa final'!$AB$135="Baja",'Mapa final'!$AD$135="Menor"),CONCATENATE("R44C",'Mapa final'!$R$135),"")</f>
        <v/>
      </c>
      <c r="P199" s="51" t="str">
        <f>IF(AND('Mapa final'!$AB$133="Baja",'Mapa final'!$AD$133="Moderado"),CONCATENATE("R44C",'Mapa final'!$R$133),"")</f>
        <v/>
      </c>
      <c r="Q199" s="52" t="str">
        <f>IF(AND('Mapa final'!$AB$134="Baja",'Mapa final'!$AD$134="Moderado"),CONCATENATE("R44C",'Mapa final'!$R$134),"")</f>
        <v/>
      </c>
      <c r="R199" s="125" t="str">
        <f>IF(AND('Mapa final'!$AB$135="Baja",'Mapa final'!$AD$135="Moderado"),CONCATENATE("R44C",'Mapa final'!$R$135),"")</f>
        <v/>
      </c>
      <c r="S199" s="119" t="str">
        <f>IF(AND('Mapa final'!$AB$133="Baja",'Mapa final'!$AD$133="Mayor"),CONCATENATE("R44C",'Mapa final'!$R$133),"")</f>
        <v/>
      </c>
      <c r="T199" s="44" t="str">
        <f>IF(AND('Mapa final'!$AB$134="Baja",'Mapa final'!$AD$134="Mayor"),CONCATENATE("R44C",'Mapa final'!$R$134),"")</f>
        <v/>
      </c>
      <c r="U199" s="120" t="str">
        <f>IF(AND('Mapa final'!$AB$135="Baja",'Mapa final'!$AD$135="Mayor"),CONCATENATE("R44C",'Mapa final'!$R$135),"")</f>
        <v/>
      </c>
      <c r="V199" s="45" t="str">
        <f>IF(AND('Mapa final'!$AB$133="Baja",'Mapa final'!$AD$133="Catastrófico"),CONCATENATE("R44C",'Mapa final'!$R$133),"")</f>
        <v/>
      </c>
      <c r="W199" s="46" t="str">
        <f>IF(AND('Mapa final'!$AB$134="Baja",'Mapa final'!$AD$134="Catastrófico"),CONCATENATE("R44C",'Mapa final'!$R$134),"")</f>
        <v/>
      </c>
      <c r="X199" s="114" t="str">
        <f>IF(AND('Mapa final'!$AB$135="Baja",'Mapa final'!$AD$135="Catastrófico"),CONCATENATE("R44C",'Mapa final'!$R$135),"")</f>
        <v/>
      </c>
      <c r="Y199" s="58"/>
      <c r="Z199" s="389"/>
      <c r="AA199" s="390"/>
      <c r="AB199" s="390"/>
      <c r="AC199" s="390"/>
      <c r="AD199" s="390"/>
      <c r="AE199" s="391"/>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row>
    <row r="200" spans="1:65" ht="15" customHeight="1" x14ac:dyDescent="0.25">
      <c r="A200" s="58"/>
      <c r="B200" s="356"/>
      <c r="C200" s="356"/>
      <c r="D200" s="357"/>
      <c r="E200" s="371"/>
      <c r="F200" s="372"/>
      <c r="G200" s="372"/>
      <c r="H200" s="372"/>
      <c r="I200" s="370"/>
      <c r="J200" s="129" t="str">
        <f>IF(AND('Mapa final'!$AB$136="Baja",'Mapa final'!$AD$136="Leve"),CONCATENATE("R45C",'Mapa final'!$R$136),"")</f>
        <v/>
      </c>
      <c r="K200" s="56" t="str">
        <f>IF(AND('Mapa final'!$AB$137="Baja",'Mapa final'!$AD$137="Leve"),CONCATENATE("R45C",'Mapa final'!$R$137),"")</f>
        <v/>
      </c>
      <c r="L200" s="130" t="str">
        <f>IF(AND('Mapa final'!$AB$138="Baja",'Mapa final'!$AD$138="Leve"),CONCATENATE("R45C",'Mapa final'!$R$138),"")</f>
        <v/>
      </c>
      <c r="M200" s="51" t="str">
        <f>IF(AND('Mapa final'!$AB$136="Baja",'Mapa final'!$AD$136="Menor"),CONCATENATE("R45C",'Mapa final'!$R$136),"")</f>
        <v/>
      </c>
      <c r="N200" s="52" t="str">
        <f>IF(AND('Mapa final'!$AB$137="Baja",'Mapa final'!$AD$137="Menor"),CONCATENATE("R45C",'Mapa final'!$R$137),"")</f>
        <v/>
      </c>
      <c r="O200" s="125" t="str">
        <f>IF(AND('Mapa final'!$AB$138="Baja",'Mapa final'!$AD$138="Menor"),CONCATENATE("R45C",'Mapa final'!$R$138),"")</f>
        <v/>
      </c>
      <c r="P200" s="51" t="str">
        <f>IF(AND('Mapa final'!$AB$136="Baja",'Mapa final'!$AD$136="Moderado"),CONCATENATE("R45C",'Mapa final'!$R$136),"")</f>
        <v/>
      </c>
      <c r="Q200" s="52" t="str">
        <f>IF(AND('Mapa final'!$AB$137="Baja",'Mapa final'!$AD$137="Moderado"),CONCATENATE("R45C",'Mapa final'!$R$137),"")</f>
        <v/>
      </c>
      <c r="R200" s="125" t="str">
        <f>IF(AND('Mapa final'!$AB$138="Baja",'Mapa final'!$AD$138="Moderado"),CONCATENATE("R45C",'Mapa final'!$R$138),"")</f>
        <v/>
      </c>
      <c r="S200" s="119" t="str">
        <f>IF(AND('Mapa final'!$AB$136="Baja",'Mapa final'!$AD$136="Mayor"),CONCATENATE("R45C",'Mapa final'!$R$136),"")</f>
        <v/>
      </c>
      <c r="T200" s="44" t="str">
        <f>IF(AND('Mapa final'!$AB$137="Baja",'Mapa final'!$AD$137="Mayor"),CONCATENATE("R45C",'Mapa final'!$R$137),"")</f>
        <v/>
      </c>
      <c r="U200" s="120" t="str">
        <f>IF(AND('Mapa final'!$AB$138="Baja",'Mapa final'!$AD$138="Mayor"),CONCATENATE("R45C",'Mapa final'!$R$138),"")</f>
        <v/>
      </c>
      <c r="V200" s="45" t="str">
        <f>IF(AND('Mapa final'!$AB$136="Baja",'Mapa final'!$AD$136="Catastrófico"),CONCATENATE("R45C",'Mapa final'!$R$136),"")</f>
        <v/>
      </c>
      <c r="W200" s="46" t="str">
        <f>IF(AND('Mapa final'!$AB$137="Baja",'Mapa final'!$AD$137="Catastrófico"),CONCATENATE("R45C",'Mapa final'!$R$137),"")</f>
        <v/>
      </c>
      <c r="X200" s="114" t="str">
        <f>IF(AND('Mapa final'!$AB$138="Baja",'Mapa final'!$AD$138="Catastrófico"),CONCATENATE("R45C",'Mapa final'!$R$138),"")</f>
        <v/>
      </c>
      <c r="Y200" s="58"/>
      <c r="Z200" s="389"/>
      <c r="AA200" s="390"/>
      <c r="AB200" s="390"/>
      <c r="AC200" s="390"/>
      <c r="AD200" s="390"/>
      <c r="AE200" s="391"/>
      <c r="AF200" s="58"/>
      <c r="AG200" s="58"/>
      <c r="AH200" s="58"/>
      <c r="AI200" s="58"/>
      <c r="AJ200" s="58"/>
      <c r="AK200" s="58"/>
      <c r="AL200" s="58"/>
      <c r="AM200" s="58"/>
      <c r="AN200" s="58"/>
      <c r="AO200" s="58"/>
      <c r="AP200" s="58"/>
      <c r="AQ200" s="58"/>
      <c r="AR200" s="58"/>
      <c r="AS200" s="58"/>
      <c r="AT200" s="58"/>
      <c r="AU200" s="58"/>
      <c r="AV200" s="58"/>
      <c r="AW200" s="58"/>
      <c r="AX200" s="58"/>
      <c r="AY200" s="58"/>
      <c r="AZ200" s="58"/>
      <c r="BA200" s="58"/>
      <c r="BB200" s="58"/>
      <c r="BC200" s="58"/>
      <c r="BD200" s="58"/>
      <c r="BE200" s="58"/>
      <c r="BF200" s="58"/>
      <c r="BG200" s="58"/>
      <c r="BH200" s="58"/>
      <c r="BI200" s="58"/>
    </row>
    <row r="201" spans="1:65" ht="15" customHeight="1" x14ac:dyDescent="0.25">
      <c r="A201" s="58"/>
      <c r="B201" s="356"/>
      <c r="C201" s="356"/>
      <c r="D201" s="357"/>
      <c r="E201" s="371"/>
      <c r="F201" s="372"/>
      <c r="G201" s="372"/>
      <c r="H201" s="372"/>
      <c r="I201" s="370"/>
      <c r="J201" s="129" t="str">
        <f>IF(AND('Mapa final'!$AB$139="Baja",'Mapa final'!$AD$139="Leve"),CONCATENATE("R46C",'Mapa final'!$R$139),"")</f>
        <v/>
      </c>
      <c r="K201" s="56" t="str">
        <f>IF(AND('Mapa final'!$AB$140="Baja",'Mapa final'!$AD$140="Leve"),CONCATENATE("R46C",'Mapa final'!$R$140),"")</f>
        <v/>
      </c>
      <c r="L201" s="130" t="str">
        <f>IF(AND('Mapa final'!$AB$141="Baja",'Mapa final'!$AD$141="Leve"),CONCATENATE("R46C",'Mapa final'!$R$141),"")</f>
        <v/>
      </c>
      <c r="M201" s="51" t="str">
        <f>IF(AND('Mapa final'!$AB$139="Baja",'Mapa final'!$AD$139="Menor"),CONCATENATE("R46C",'Mapa final'!$R$139),"")</f>
        <v/>
      </c>
      <c r="N201" s="52" t="str">
        <f>IF(AND('Mapa final'!$AB$140="Baja",'Mapa final'!$AD$140="Menor"),CONCATENATE("R46C",'Mapa final'!$R$140),"")</f>
        <v/>
      </c>
      <c r="O201" s="125" t="str">
        <f>IF(AND('Mapa final'!$AB$141="Baja",'Mapa final'!$AD$141="Menor"),CONCATENATE("R46C",'Mapa final'!$R$141),"")</f>
        <v/>
      </c>
      <c r="P201" s="51" t="str">
        <f>IF(AND('Mapa final'!$AB$139="Baja",'Mapa final'!$AD$139="Moderado"),CONCATENATE("R46C",'Mapa final'!$R$139),"")</f>
        <v/>
      </c>
      <c r="Q201" s="52" t="str">
        <f>IF(AND('Mapa final'!$AB$140="Baja",'Mapa final'!$AD$140="Moderado"),CONCATENATE("R46C",'Mapa final'!$R$140),"")</f>
        <v/>
      </c>
      <c r="R201" s="125" t="str">
        <f>IF(AND('Mapa final'!$AB$141="Baja",'Mapa final'!$AD$141="Moderado"),CONCATENATE("R46C",'Mapa final'!$R$141),"")</f>
        <v/>
      </c>
      <c r="S201" s="119" t="str">
        <f>IF(AND('Mapa final'!$AB$139="Baja",'Mapa final'!$AD$139="Mayor"),CONCATENATE("R46C",'Mapa final'!$R$139),"")</f>
        <v/>
      </c>
      <c r="T201" s="44" t="str">
        <f>IF(AND('Mapa final'!$AB$140="Baja",'Mapa final'!$AD$140="Mayor"),CONCATENATE("R46C",'Mapa final'!$R$140),"")</f>
        <v/>
      </c>
      <c r="U201" s="120" t="str">
        <f>IF(AND('Mapa final'!$AB$141="Baja",'Mapa final'!$AD$141="Mayor"),CONCATENATE("R46C",'Mapa final'!$R$141),"")</f>
        <v/>
      </c>
      <c r="V201" s="45" t="str">
        <f>IF(AND('Mapa final'!$AB$139="Baja",'Mapa final'!$AD$139="Catastrófico"),CONCATENATE("R46C",'Mapa final'!$R$139),"")</f>
        <v/>
      </c>
      <c r="W201" s="46" t="str">
        <f>IF(AND('Mapa final'!$AB$140="Baja",'Mapa final'!$AD$140="Catastrófico"),CONCATENATE("R46C",'Mapa final'!$R$140),"")</f>
        <v/>
      </c>
      <c r="X201" s="114" t="str">
        <f>IF(AND('Mapa final'!$AB$141="Baja",'Mapa final'!$AD$141="Catastrófico"),CONCATENATE("R46C",'Mapa final'!$R$141),"")</f>
        <v/>
      </c>
      <c r="Y201" s="58"/>
      <c r="Z201" s="389"/>
      <c r="AA201" s="390"/>
      <c r="AB201" s="390"/>
      <c r="AC201" s="390"/>
      <c r="AD201" s="390"/>
      <c r="AE201" s="391"/>
      <c r="AF201" s="58"/>
      <c r="AG201" s="58"/>
      <c r="AH201" s="58"/>
      <c r="AI201" s="58"/>
      <c r="AJ201" s="58"/>
      <c r="AK201" s="58"/>
      <c r="AL201" s="58"/>
      <c r="AM201" s="58"/>
      <c r="AN201" s="58"/>
      <c r="AO201" s="58"/>
      <c r="AP201" s="58"/>
      <c r="AQ201" s="58"/>
      <c r="AR201" s="58"/>
      <c r="AS201" s="58"/>
      <c r="AT201" s="58"/>
      <c r="AU201" s="58"/>
      <c r="AV201" s="58"/>
      <c r="AW201" s="58"/>
      <c r="AX201" s="58"/>
      <c r="AY201" s="58"/>
      <c r="AZ201" s="58"/>
      <c r="BA201" s="58"/>
      <c r="BB201" s="58"/>
      <c r="BC201" s="58"/>
      <c r="BD201" s="58"/>
      <c r="BE201" s="58"/>
      <c r="BF201" s="58"/>
      <c r="BG201" s="58"/>
      <c r="BH201" s="58"/>
      <c r="BI201" s="58"/>
    </row>
    <row r="202" spans="1:65" ht="15" customHeight="1" x14ac:dyDescent="0.25">
      <c r="A202" s="58"/>
      <c r="B202" s="356"/>
      <c r="C202" s="356"/>
      <c r="D202" s="357"/>
      <c r="E202" s="371"/>
      <c r="F202" s="372"/>
      <c r="G202" s="372"/>
      <c r="H202" s="372"/>
      <c r="I202" s="370"/>
      <c r="J202" s="129" t="str">
        <f>IF(AND('Mapa final'!$AB$142="Baja",'Mapa final'!$AD$142="Leve"),CONCATENATE("R47C",'Mapa final'!$R$142),"")</f>
        <v/>
      </c>
      <c r="K202" s="56" t="str">
        <f>IF(AND('Mapa final'!$AB$143="Baja",'Mapa final'!$AD$143="Leve"),CONCATENATE("R47C",'Mapa final'!$R$143),"")</f>
        <v/>
      </c>
      <c r="L202" s="130" t="str">
        <f>IF(AND('Mapa final'!$AB$144="Baja",'Mapa final'!$AD$144="Leve"),CONCATENATE("R47C",'Mapa final'!$R$144),"")</f>
        <v/>
      </c>
      <c r="M202" s="51" t="str">
        <f>IF(AND('Mapa final'!$AB$142="Baja",'Mapa final'!$AD$142="Menor"),CONCATENATE("R47C",'Mapa final'!$R$142),"")</f>
        <v/>
      </c>
      <c r="N202" s="52" t="str">
        <f>IF(AND('Mapa final'!$AB$143="Baja",'Mapa final'!$AD$143="Menor"),CONCATENATE("R47C",'Mapa final'!$R$143),"")</f>
        <v/>
      </c>
      <c r="O202" s="125" t="str">
        <f>IF(AND('Mapa final'!$AB$144="Baja",'Mapa final'!$AD$144="Menor"),CONCATENATE("R47C",'Mapa final'!$R$144),"")</f>
        <v/>
      </c>
      <c r="P202" s="51" t="str">
        <f>IF(AND('Mapa final'!$AB$142="Baja",'Mapa final'!$AD$142="Moderado"),CONCATENATE("R47C",'Mapa final'!$R$142),"")</f>
        <v/>
      </c>
      <c r="Q202" s="52" t="str">
        <f>IF(AND('Mapa final'!$AB$143="Baja",'Mapa final'!$AD$143="Moderado"),CONCATENATE("R47C",'Mapa final'!$R$143),"")</f>
        <v/>
      </c>
      <c r="R202" s="125" t="str">
        <f>IF(AND('Mapa final'!$AB$144="Baja",'Mapa final'!$AD$144="Moderado"),CONCATENATE("R47C",'Mapa final'!$R$144),"")</f>
        <v/>
      </c>
      <c r="S202" s="119" t="str">
        <f>IF(AND('Mapa final'!$AB$142="Baja",'Mapa final'!$AD$142="Mayor"),CONCATENATE("R47C",'Mapa final'!$R$142),"")</f>
        <v/>
      </c>
      <c r="T202" s="44" t="str">
        <f>IF(AND('Mapa final'!$AB$143="Baja",'Mapa final'!$AD$143="Mayor"),CONCATENATE("R47C",'Mapa final'!$R$143),"")</f>
        <v/>
      </c>
      <c r="U202" s="120" t="str">
        <f>IF(AND('Mapa final'!$AB$144="Baja",'Mapa final'!$AD$144="Mayor"),CONCATENATE("R47C",'Mapa final'!$R$144),"")</f>
        <v/>
      </c>
      <c r="V202" s="45" t="str">
        <f>IF(AND('Mapa final'!$AB$142="Baja",'Mapa final'!$AD$142="Catastrófico"),CONCATENATE("R47C",'Mapa final'!$R$142),"")</f>
        <v/>
      </c>
      <c r="W202" s="46" t="str">
        <f>IF(AND('Mapa final'!$AB$143="Baja",'Mapa final'!$AD$143="Catastrófico"),CONCATENATE("R47C",'Mapa final'!$R$143),"")</f>
        <v/>
      </c>
      <c r="X202" s="114" t="str">
        <f>IF(AND('Mapa final'!$AB$144="Baja",'Mapa final'!$AD$144="Catastrófico"),CONCATENATE("R47C",'Mapa final'!$R$144),"")</f>
        <v/>
      </c>
      <c r="Y202" s="58"/>
      <c r="Z202" s="389"/>
      <c r="AA202" s="390"/>
      <c r="AB202" s="390"/>
      <c r="AC202" s="390"/>
      <c r="AD202" s="390"/>
      <c r="AE202" s="391"/>
      <c r="AF202" s="58"/>
      <c r="AG202" s="58"/>
      <c r="AH202" s="58"/>
      <c r="AI202" s="58"/>
      <c r="AJ202" s="58"/>
      <c r="AK202" s="58"/>
      <c r="AL202" s="58"/>
      <c r="AM202" s="58"/>
      <c r="AN202" s="58"/>
      <c r="AO202" s="58"/>
      <c r="AP202" s="58"/>
      <c r="AQ202" s="58"/>
      <c r="AR202" s="58"/>
      <c r="AS202" s="58"/>
      <c r="AT202" s="58"/>
      <c r="AU202" s="58"/>
      <c r="AV202" s="58"/>
      <c r="AW202" s="58"/>
      <c r="AX202" s="58"/>
      <c r="AY202" s="58"/>
      <c r="AZ202" s="58"/>
      <c r="BA202" s="58"/>
      <c r="BB202" s="58"/>
      <c r="BC202" s="58"/>
      <c r="BD202" s="58"/>
      <c r="BE202" s="58"/>
      <c r="BF202" s="58"/>
      <c r="BG202" s="58"/>
      <c r="BH202" s="58"/>
      <c r="BI202" s="58"/>
    </row>
    <row r="203" spans="1:65" ht="15" customHeight="1" x14ac:dyDescent="0.25">
      <c r="A203" s="58"/>
      <c r="B203" s="356"/>
      <c r="C203" s="356"/>
      <c r="D203" s="357"/>
      <c r="E203" s="371"/>
      <c r="F203" s="372"/>
      <c r="G203" s="372"/>
      <c r="H203" s="372"/>
      <c r="I203" s="370"/>
      <c r="J203" s="129" t="str">
        <f>IF(AND('Mapa final'!$AB$145="Baja",'Mapa final'!$AD$145="Leve"),CONCATENATE("R48C",'Mapa final'!$R$145),"")</f>
        <v/>
      </c>
      <c r="K203" s="56" t="str">
        <f>IF(AND('Mapa final'!$AB$146="Baja",'Mapa final'!$AD$146="Leve"),CONCATENATE("R48C",'Mapa final'!$R$146),"")</f>
        <v/>
      </c>
      <c r="L203" s="130" t="str">
        <f>IF(AND('Mapa final'!$AB$147="Baja",'Mapa final'!$AD$147="Leve"),CONCATENATE("R48C",'Mapa final'!$R$147),"")</f>
        <v/>
      </c>
      <c r="M203" s="51" t="str">
        <f>IF(AND('Mapa final'!$AB$145="Baja",'Mapa final'!$AD$145="Menor"),CONCATENATE("R48C",'Mapa final'!$R$145),"")</f>
        <v/>
      </c>
      <c r="N203" s="52" t="str">
        <f>IF(AND('Mapa final'!$AB$146="Baja",'Mapa final'!$AD$146="Menor"),CONCATENATE("R48C",'Mapa final'!$R$146),"")</f>
        <v/>
      </c>
      <c r="O203" s="125" t="str">
        <f>IF(AND('Mapa final'!$AB$147="Baja",'Mapa final'!$AD$147="Menor"),CONCATENATE("R48C",'Mapa final'!$R$147),"")</f>
        <v/>
      </c>
      <c r="P203" s="51" t="str">
        <f>IF(AND('Mapa final'!$AB$145="Baja",'Mapa final'!$AD$145="Moderado"),CONCATENATE("R48C",'Mapa final'!$R$145),"")</f>
        <v/>
      </c>
      <c r="Q203" s="52" t="str">
        <f>IF(AND('Mapa final'!$AB$146="Baja",'Mapa final'!$AD$146="Moderado"),CONCATENATE("R48C",'Mapa final'!$R$146),"")</f>
        <v/>
      </c>
      <c r="R203" s="125" t="str">
        <f>IF(AND('Mapa final'!$AB$147="Baja",'Mapa final'!$AD$147="Moderado"),CONCATENATE("R48C",'Mapa final'!$R$147),"")</f>
        <v/>
      </c>
      <c r="S203" s="119" t="str">
        <f>IF(AND('Mapa final'!$AB$145="Baja",'Mapa final'!$AD$145="Mayor"),CONCATENATE("R48C",'Mapa final'!$R$145),"")</f>
        <v/>
      </c>
      <c r="T203" s="44" t="str">
        <f>IF(AND('Mapa final'!$AB$146="Baja",'Mapa final'!$AD$146="Mayor"),CONCATENATE("R48C",'Mapa final'!$R$146),"")</f>
        <v/>
      </c>
      <c r="U203" s="120" t="str">
        <f>IF(AND('Mapa final'!$AB$147="Baja",'Mapa final'!$AD$147="Mayor"),CONCATENATE("R48C",'Mapa final'!$R$147),"")</f>
        <v/>
      </c>
      <c r="V203" s="45" t="str">
        <f>IF(AND('Mapa final'!$AB$145="Baja",'Mapa final'!$AD$145="Catastrófico"),CONCATENATE("R48C",'Mapa final'!$R$145),"")</f>
        <v/>
      </c>
      <c r="W203" s="46" t="str">
        <f>IF(AND('Mapa final'!$AB$146="Baja",'Mapa final'!$AD$146="Catastrófico"),CONCATENATE("R48C",'Mapa final'!$R$146),"")</f>
        <v/>
      </c>
      <c r="X203" s="114" t="str">
        <f>IF(AND('Mapa final'!$AB$147="Baja",'Mapa final'!$AD$147="Catastrófico"),CONCATENATE("R48C",'Mapa final'!$R$147),"")</f>
        <v/>
      </c>
      <c r="Y203" s="58"/>
      <c r="Z203" s="389"/>
      <c r="AA203" s="390"/>
      <c r="AB203" s="390"/>
      <c r="AC203" s="390"/>
      <c r="AD203" s="390"/>
      <c r="AE203" s="391"/>
      <c r="AF203" s="58"/>
      <c r="AG203" s="58"/>
      <c r="AH203" s="58"/>
      <c r="AI203" s="58"/>
      <c r="AJ203" s="58"/>
      <c r="AK203" s="58"/>
      <c r="AL203" s="58"/>
      <c r="AM203" s="58"/>
      <c r="AN203" s="58"/>
      <c r="AO203" s="58"/>
      <c r="AP203" s="58"/>
      <c r="AQ203" s="58"/>
      <c r="AR203" s="58"/>
      <c r="AS203" s="58"/>
      <c r="AT203" s="58"/>
      <c r="AU203" s="58"/>
      <c r="AV203" s="58"/>
      <c r="AW203" s="58"/>
      <c r="AX203" s="58"/>
      <c r="AY203" s="58"/>
      <c r="AZ203" s="58"/>
      <c r="BA203" s="58"/>
      <c r="BB203" s="58"/>
      <c r="BC203" s="58"/>
      <c r="BD203" s="58"/>
      <c r="BE203" s="58"/>
      <c r="BF203" s="58"/>
      <c r="BG203" s="58"/>
      <c r="BH203" s="58"/>
      <c r="BI203" s="58"/>
    </row>
    <row r="204" spans="1:65" ht="15" customHeight="1" x14ac:dyDescent="0.25">
      <c r="A204" s="58"/>
      <c r="B204" s="356"/>
      <c r="C204" s="356"/>
      <c r="D204" s="357"/>
      <c r="E204" s="371"/>
      <c r="F204" s="372"/>
      <c r="G204" s="372"/>
      <c r="H204" s="372"/>
      <c r="I204" s="370"/>
      <c r="J204" s="129" t="str">
        <f>IF(AND('Mapa final'!$AB$148="Baja",'Mapa final'!$AD$148="Leve"),CONCATENATE("R49C",'Mapa final'!$R$148),"")</f>
        <v/>
      </c>
      <c r="K204" s="56" t="str">
        <f>IF(AND('Mapa final'!$AB$149="Baja",'Mapa final'!$AD$149="Leve"),CONCATENATE("R49C",'Mapa final'!$R$149),"")</f>
        <v/>
      </c>
      <c r="L204" s="130" t="str">
        <f>IF(AND('Mapa final'!$AB$150="Baja",'Mapa final'!$AD$150="Leve"),CONCATENATE("R49C",'Mapa final'!$R$150),"")</f>
        <v/>
      </c>
      <c r="M204" s="51" t="str">
        <f>IF(AND('Mapa final'!$AB$148="Baja",'Mapa final'!$AD$148="Menor"),CONCATENATE("R49C",'Mapa final'!$R$148),"")</f>
        <v/>
      </c>
      <c r="N204" s="52" t="str">
        <f>IF(AND('Mapa final'!$AB$149="Baja",'Mapa final'!$AD$149="Menor"),CONCATENATE("R49C",'Mapa final'!$R$149),"")</f>
        <v/>
      </c>
      <c r="O204" s="125" t="str">
        <f>IF(AND('Mapa final'!$AB$150="Baja",'Mapa final'!$AD$150="Menor"),CONCATENATE("R49C",'Mapa final'!$R$150),"")</f>
        <v/>
      </c>
      <c r="P204" s="51" t="str">
        <f>IF(AND('Mapa final'!$AB$148="Baja",'Mapa final'!$AD$148="Moderado"),CONCATENATE("R49C",'Mapa final'!$R$148),"")</f>
        <v/>
      </c>
      <c r="Q204" s="52" t="str">
        <f>IF(AND('Mapa final'!$AB$149="Baja",'Mapa final'!$AD$149="Moderado"),CONCATENATE("R49C",'Mapa final'!$R$149),"")</f>
        <v/>
      </c>
      <c r="R204" s="125" t="str">
        <f>IF(AND('Mapa final'!$AB$150="Baja",'Mapa final'!$AD$150="Moderado"),CONCATENATE("R49C",'Mapa final'!$R$150),"")</f>
        <v/>
      </c>
      <c r="S204" s="119" t="str">
        <f>IF(AND('Mapa final'!$AB$148="Baja",'Mapa final'!$AD$148="Mayor"),CONCATENATE("R49C",'Mapa final'!$R$148),"")</f>
        <v/>
      </c>
      <c r="T204" s="44" t="str">
        <f>IF(AND('Mapa final'!$AB$149="Baja",'Mapa final'!$AD$149="Mayor"),CONCATENATE("R49C",'Mapa final'!$R$149),"")</f>
        <v/>
      </c>
      <c r="U204" s="120" t="str">
        <f>IF(AND('Mapa final'!$AB$150="Baja",'Mapa final'!$AD$150="Mayor"),CONCATENATE("R49C",'Mapa final'!$R$150),"")</f>
        <v/>
      </c>
      <c r="V204" s="45" t="str">
        <f>IF(AND('Mapa final'!$AB$148="Baja",'Mapa final'!$AD$148="Catastrófico"),CONCATENATE("R49C",'Mapa final'!$R$148),"")</f>
        <v/>
      </c>
      <c r="W204" s="46" t="str">
        <f>IF(AND('Mapa final'!$AB$149="Baja",'Mapa final'!$AD$149="Catastrófico"),CONCATENATE("R49C",'Mapa final'!$R$149),"")</f>
        <v/>
      </c>
      <c r="X204" s="114" t="str">
        <f>IF(AND('Mapa final'!$AB$150="Baja",'Mapa final'!$AD$150="Catastrófico"),CONCATENATE("R49C",'Mapa final'!$R$150),"")</f>
        <v/>
      </c>
      <c r="Y204" s="58"/>
      <c r="Z204" s="389"/>
      <c r="AA204" s="390"/>
      <c r="AB204" s="390"/>
      <c r="AC204" s="390"/>
      <c r="AD204" s="390"/>
      <c r="AE204" s="391"/>
      <c r="AF204" s="58"/>
      <c r="AG204" s="58"/>
      <c r="AH204" s="58"/>
      <c r="AI204" s="58"/>
      <c r="AJ204" s="58"/>
      <c r="AK204" s="58"/>
      <c r="AL204" s="58"/>
      <c r="AM204" s="58"/>
      <c r="AN204" s="58"/>
      <c r="AO204" s="58"/>
      <c r="AP204" s="58"/>
      <c r="AQ204" s="58"/>
      <c r="AR204" s="58"/>
      <c r="AS204" s="58"/>
      <c r="AT204" s="58"/>
      <c r="AU204" s="58"/>
      <c r="AV204" s="58"/>
      <c r="AW204" s="58"/>
      <c r="AX204" s="58"/>
      <c r="AY204" s="58"/>
      <c r="AZ204" s="58"/>
      <c r="BA204" s="58"/>
      <c r="BB204" s="58"/>
      <c r="BC204" s="58"/>
      <c r="BD204" s="58"/>
      <c r="BE204" s="58"/>
      <c r="BF204" s="58"/>
      <c r="BG204" s="58"/>
      <c r="BH204" s="58"/>
      <c r="BI204" s="58"/>
    </row>
    <row r="205" spans="1:65" ht="15.75" customHeight="1" thickBot="1" x14ac:dyDescent="0.3">
      <c r="A205" s="58"/>
      <c r="B205" s="356"/>
      <c r="C205" s="356"/>
      <c r="D205" s="357"/>
      <c r="E205" s="373"/>
      <c r="F205" s="374"/>
      <c r="G205" s="374"/>
      <c r="H205" s="374"/>
      <c r="I205" s="374"/>
      <c r="J205" s="131" t="str">
        <f>IF(AND('Mapa final'!$AB$151="Baja",'Mapa final'!$AD$151="Leve"),CONCATENATE("R50C",'Mapa final'!$R$151),"")</f>
        <v/>
      </c>
      <c r="K205" s="57" t="str">
        <f>IF(AND('Mapa final'!$AB$152="Baja",'Mapa final'!$AD$152="Leve"),CONCATENATE("R50C",'Mapa final'!$R$152),"")</f>
        <v/>
      </c>
      <c r="L205" s="132" t="str">
        <f>IF(AND('Mapa final'!$AB$153="Baja",'Mapa final'!$AD$153="Leve"),CONCATENATE("R50C",'Mapa final'!$R$153),"")</f>
        <v/>
      </c>
      <c r="M205" s="53" t="str">
        <f>IF(AND('Mapa final'!$AB$151="Baja",'Mapa final'!$AD$151="Menor"),CONCATENATE("R50C",'Mapa final'!$R$151),"")</f>
        <v/>
      </c>
      <c r="N205" s="54" t="str">
        <f>IF(AND('Mapa final'!$AB$152="Baja",'Mapa final'!$AD$152="Menor"),CONCATENATE("R50C",'Mapa final'!$R$152),"")</f>
        <v/>
      </c>
      <c r="O205" s="126" t="str">
        <f>IF(AND('Mapa final'!$AB$153="Baja",'Mapa final'!$AD$153="Menor"),CONCATENATE("R50C",'Mapa final'!$R$153),"")</f>
        <v/>
      </c>
      <c r="P205" s="53" t="str">
        <f>IF(AND('Mapa final'!$AB$151="Baja",'Mapa final'!$AD$151="Moderado"),CONCATENATE("R50C",'Mapa final'!$R$151),"")</f>
        <v/>
      </c>
      <c r="Q205" s="54" t="str">
        <f>IF(AND('Mapa final'!$AB$152="Baja",'Mapa final'!$AD$152="Moderado"),CONCATENATE("R50C",'Mapa final'!$R$152),"")</f>
        <v/>
      </c>
      <c r="R205" s="126" t="str">
        <f>IF(AND('Mapa final'!$AB$153="Baja",'Mapa final'!$AD$153="Moderado"),CONCATENATE("R50C",'Mapa final'!$R$153),"")</f>
        <v/>
      </c>
      <c r="S205" s="121" t="str">
        <f>IF(AND('Mapa final'!$AB$151="Baja",'Mapa final'!$AD$151="Mayor"),CONCATENATE("R50C",'Mapa final'!$R$151),"")</f>
        <v/>
      </c>
      <c r="T205" s="122" t="str">
        <f>IF(AND('Mapa final'!$AB$152="Baja",'Mapa final'!$AD$152="Mayor"),CONCATENATE("R50C",'Mapa final'!$R$152),"")</f>
        <v/>
      </c>
      <c r="U205" s="123" t="str">
        <f>IF(AND('Mapa final'!$AB$153="Baja",'Mapa final'!$AD$153="Mayor"),CONCATENATE("R50C",'Mapa final'!$R$153),"")</f>
        <v/>
      </c>
      <c r="V205" s="47" t="str">
        <f>IF(AND('Mapa final'!$AB$151="Baja",'Mapa final'!$AD$151="Catastrófico"),CONCATENATE("R50C",'Mapa final'!$R$151),"")</f>
        <v/>
      </c>
      <c r="W205" s="48" t="str">
        <f>IF(AND('Mapa final'!$AB$152="Baja",'Mapa final'!$AD$152="Catastrófico"),CONCATENATE("R50C",'Mapa final'!$R$152),"")</f>
        <v/>
      </c>
      <c r="X205" s="115" t="str">
        <f>IF(AND('Mapa final'!$AB$153="Baja",'Mapa final'!$AD$153="Catastrófico"),CONCATENATE("R50C",'Mapa final'!$R$153),"")</f>
        <v/>
      </c>
      <c r="Y205" s="58"/>
      <c r="Z205" s="392"/>
      <c r="AA205" s="393"/>
      <c r="AB205" s="393"/>
      <c r="AC205" s="393"/>
      <c r="AD205" s="393"/>
      <c r="AE205" s="394"/>
    </row>
    <row r="206" spans="1:65" ht="16.5" customHeight="1" x14ac:dyDescent="0.25">
      <c r="A206" s="58"/>
      <c r="B206" s="356"/>
      <c r="C206" s="356"/>
      <c r="D206" s="357"/>
      <c r="E206" s="367" t="s">
        <v>107</v>
      </c>
      <c r="F206" s="368"/>
      <c r="G206" s="368"/>
      <c r="H206" s="368"/>
      <c r="I206" s="368"/>
      <c r="J206" s="127" t="str">
        <f>IF(AND('Mapa final'!$AB$7="Muy Baja",'Mapa final'!$AD$7="Leve"),CONCATENATE("R1C",'Mapa final'!$R$7),"")</f>
        <v/>
      </c>
      <c r="K206" s="55" t="str">
        <f>IF(AND('Mapa final'!$AB$8="Muy Baja",'Mapa final'!$AD$8="Leve"),CONCATENATE("R1C",'Mapa final'!$R$8),"")</f>
        <v/>
      </c>
      <c r="L206" s="128" t="str">
        <f>IF(AND('Mapa final'!$AB$9="Muy Baja",'Mapa final'!$AD$9="Leve"),CONCATENATE("R1C",'Mapa final'!$R$9),"")</f>
        <v/>
      </c>
      <c r="M206" s="127" t="str">
        <f>IF(AND('Mapa final'!$AB$7="Muy Baja",'Mapa final'!$AD$7="Menor"),CONCATENATE("R1C",'Mapa final'!$R$7),"")</f>
        <v/>
      </c>
      <c r="N206" s="55" t="str">
        <f>IF(AND('Mapa final'!$AB$8="Muy Baja",'Mapa final'!$AD$8="Menor"),CONCATENATE("R1C",'Mapa final'!$R$8),"")</f>
        <v/>
      </c>
      <c r="O206" s="128" t="str">
        <f>IF(AND('Mapa final'!$AB$9="Muy Baja",'Mapa final'!$AD$9="Menor"),CONCATENATE("R1C",'Mapa final'!$R$9),"")</f>
        <v/>
      </c>
      <c r="P206" s="49" t="str">
        <f>IF(AND('Mapa final'!$AB$7="Muy Baja",'Mapa final'!$AD$7="Moderado"),CONCATENATE("R1C",'Mapa final'!$R$7),"")</f>
        <v/>
      </c>
      <c r="Q206" s="50" t="str">
        <f>IF(AND('Mapa final'!$AB$8="Muy Baja",'Mapa final'!$AD$8="Moderado"),CONCATENATE("R1C",'Mapa final'!$R$8),"")</f>
        <v/>
      </c>
      <c r="R206" s="124" t="str">
        <f>IF(AND('Mapa final'!$AB$9="Muy Baja",'Mapa final'!$AD$9="Moderado"),CONCATENATE("R1C",'Mapa final'!$R$9),"")</f>
        <v/>
      </c>
      <c r="S206" s="116" t="str">
        <f>IF(AND('Mapa final'!$AB$7="Muy Baja",'Mapa final'!$AD$7="Mayor"),CONCATENATE("R1C",'Mapa final'!$R$7),"")</f>
        <v/>
      </c>
      <c r="T206" s="117" t="str">
        <f>IF(AND('Mapa final'!$AB$8="Muy Baja",'Mapa final'!$AD$8="Mayor"),CONCATENATE("R1C",'Mapa final'!$R$8),"")</f>
        <v/>
      </c>
      <c r="U206" s="118" t="str">
        <f>IF(AND('Mapa final'!$AB$9="Muy Baja",'Mapa final'!$AD$9="Mayor"),CONCATENATE("R1C",'Mapa final'!$R$9),"")</f>
        <v/>
      </c>
      <c r="V206" s="45" t="str">
        <f>IF(AND('Mapa final'!$AB$7="Muy Baja",'Mapa final'!$AD$7="Catastrófico"),CONCATENATE("R1C",'Mapa final'!$R$7),"")</f>
        <v/>
      </c>
      <c r="W206" s="46" t="str">
        <f>IF(AND('Mapa final'!$AB$8="Muy Baja",'Mapa final'!$AD$8="Catastrófico"),CONCATENATE("R1C",'Mapa final'!$R$8),"")</f>
        <v/>
      </c>
      <c r="X206" s="114" t="str">
        <f>IF(AND('Mapa final'!$AB$9="Muy Baja",'Mapa final'!$AD$9="Catastrófico"),CONCATENATE("R1C",'Mapa final'!$R$9),"")</f>
        <v/>
      </c>
      <c r="Y206" s="58"/>
      <c r="Z206" s="58"/>
      <c r="AA206" s="58"/>
      <c r="AB206" s="58"/>
      <c r="AC206" s="58"/>
      <c r="AD206" s="58"/>
      <c r="AE206" s="58"/>
      <c r="AF206" s="58"/>
      <c r="AG206" s="58"/>
      <c r="AH206" s="58"/>
      <c r="AI206" s="58"/>
      <c r="AJ206" s="58"/>
      <c r="AK206" s="58"/>
      <c r="AL206" s="58"/>
      <c r="AM206" s="58"/>
      <c r="AN206" s="58"/>
      <c r="AO206" s="58"/>
      <c r="AP206" s="58"/>
      <c r="AQ206" s="58"/>
      <c r="AR206" s="58"/>
      <c r="AS206" s="58"/>
      <c r="AT206" s="58"/>
      <c r="AU206" s="58"/>
      <c r="AV206" s="58"/>
      <c r="AW206" s="58"/>
      <c r="AX206" s="58"/>
      <c r="AY206" s="58"/>
      <c r="AZ206" s="58"/>
      <c r="BA206" s="58"/>
      <c r="BB206" s="58"/>
      <c r="BC206" s="58"/>
      <c r="BD206" s="58"/>
      <c r="BE206" s="58"/>
      <c r="BF206" s="58"/>
      <c r="BG206" s="58"/>
      <c r="BH206" s="58"/>
      <c r="BI206" s="58"/>
      <c r="BJ206" s="58"/>
      <c r="BK206" s="58"/>
      <c r="BL206" s="58"/>
      <c r="BM206" s="58"/>
    </row>
    <row r="207" spans="1:65" ht="15.75" x14ac:dyDescent="0.25">
      <c r="A207" s="58"/>
      <c r="B207" s="356"/>
      <c r="C207" s="356"/>
      <c r="D207" s="357"/>
      <c r="E207" s="369"/>
      <c r="F207" s="370"/>
      <c r="G207" s="370"/>
      <c r="H207" s="370"/>
      <c r="I207" s="370"/>
      <c r="J207" s="129" t="str">
        <f>IF(AND('Mapa final'!$AB$10="Muy Baja",'Mapa final'!$AD$10="Leve"),CONCATENATE("R2C",'Mapa final'!$R$10),"")</f>
        <v/>
      </c>
      <c r="K207" s="56" t="str">
        <f>IF(AND('Mapa final'!$AB$11="Muy Baja",'Mapa final'!$AD$11="Leve"),CONCATENATE("R2C",'Mapa final'!$R$11),"")</f>
        <v/>
      </c>
      <c r="L207" s="130" t="str">
        <f>IF(AND('Mapa final'!$AB$12="Muy Baja",'Mapa final'!$AD$12="Leve"),CONCATENATE("R2C",'Mapa final'!$R$12),"")</f>
        <v/>
      </c>
      <c r="M207" s="129" t="str">
        <f>IF(AND('Mapa final'!$AB$10="Muy Baja",'Mapa final'!$AD$10="Menor"),CONCATENATE("R2C",'Mapa final'!$R$10),"")</f>
        <v/>
      </c>
      <c r="N207" s="56" t="str">
        <f>IF(AND('Mapa final'!$AB$11="Muy Baja",'Mapa final'!$AD$11="Menor"),CONCATENATE("R2C",'Mapa final'!$R$11),"")</f>
        <v/>
      </c>
      <c r="O207" s="130" t="str">
        <f>IF(AND('Mapa final'!$AB$12="Muy Baja",'Mapa final'!$AD$12="Menor"),CONCATENATE("R2C",'Mapa final'!$R$12),"")</f>
        <v/>
      </c>
      <c r="P207" s="51" t="str">
        <f>IF(AND('Mapa final'!$AB$10="Muy Baja",'Mapa final'!$AD$10="Moderado"),CONCATENATE("R2C",'Mapa final'!$R$10),"")</f>
        <v/>
      </c>
      <c r="Q207" s="52" t="str">
        <f>IF(AND('Mapa final'!$AB$11="Muy Baja",'Mapa final'!$AD$11="Moderado"),CONCATENATE("R2C",'Mapa final'!$R$11),"")</f>
        <v/>
      </c>
      <c r="R207" s="125" t="str">
        <f>IF(AND('Mapa final'!$AB$12="Muy Baja",'Mapa final'!$AD$12="Moderado"),CONCATENATE("R2C",'Mapa final'!$R$12),"")</f>
        <v/>
      </c>
      <c r="S207" s="119" t="str">
        <f>IF(AND('Mapa final'!$AB$10="Muy Baja",'Mapa final'!$AD$10="Mayor"),CONCATENATE("R2C",'Mapa final'!$R$10),"")</f>
        <v/>
      </c>
      <c r="T207" s="44" t="str">
        <f>IF(AND('Mapa final'!$AB$11="Muy Baja",'Mapa final'!$AD$11="Mayor"),CONCATENATE("R2C",'Mapa final'!$R$11),"")</f>
        <v/>
      </c>
      <c r="U207" s="120" t="str">
        <f>IF(AND('Mapa final'!$AB$12="Muy Baja",'Mapa final'!$AD$12="Mayor"),CONCATENATE("R2C",'Mapa final'!$R$12),"")</f>
        <v/>
      </c>
      <c r="V207" s="45" t="str">
        <f>IF(AND('Mapa final'!$AB$10="Muy Baja",'Mapa final'!$AD$10="Catastrófico"),CONCATENATE("R2C",'Mapa final'!$R$10),"")</f>
        <v/>
      </c>
      <c r="W207" s="46" t="str">
        <f>IF(AND('Mapa final'!$AB$11="Muy Baja",'Mapa final'!$AD$11="Catastrófico"),CONCATENATE("R2C",'Mapa final'!$R$11),"")</f>
        <v/>
      </c>
      <c r="X207" s="114" t="str">
        <f>IF(AND('Mapa final'!$AB$12="Muy Baja",'Mapa final'!$AD$12="Catastrófico"),CONCATENATE("R2C",'Mapa final'!$R$12),"")</f>
        <v/>
      </c>
      <c r="Y207" s="58"/>
      <c r="Z207" s="58"/>
      <c r="AA207" s="58"/>
      <c r="AB207" s="58"/>
      <c r="AC207" s="58"/>
      <c r="AD207" s="58"/>
      <c r="AE207" s="58"/>
      <c r="AF207" s="58"/>
      <c r="AG207" s="58"/>
      <c r="AH207" s="58"/>
      <c r="AI207" s="58"/>
      <c r="AJ207" s="58"/>
      <c r="AK207" s="58"/>
      <c r="AL207" s="58"/>
      <c r="AM207" s="58"/>
      <c r="AN207" s="58"/>
      <c r="AO207" s="58"/>
      <c r="AP207" s="58"/>
      <c r="AQ207" s="58"/>
      <c r="AR207" s="58"/>
      <c r="AS207" s="58"/>
      <c r="AT207" s="58"/>
      <c r="AU207" s="58"/>
      <c r="AV207" s="58"/>
      <c r="AW207" s="58"/>
      <c r="AX207" s="58"/>
      <c r="AY207" s="58"/>
      <c r="AZ207" s="58"/>
      <c r="BA207" s="58"/>
      <c r="BB207" s="58"/>
      <c r="BC207" s="58"/>
      <c r="BD207" s="58"/>
      <c r="BE207" s="58"/>
      <c r="BF207" s="58"/>
      <c r="BG207" s="58"/>
      <c r="BH207" s="58"/>
      <c r="BI207" s="58"/>
      <c r="BJ207" s="58"/>
      <c r="BK207" s="58"/>
      <c r="BL207" s="58"/>
      <c r="BM207" s="58"/>
    </row>
    <row r="208" spans="1:65" ht="15.75" x14ac:dyDescent="0.25">
      <c r="A208" s="58"/>
      <c r="B208" s="356"/>
      <c r="C208" s="356"/>
      <c r="D208" s="357"/>
      <c r="E208" s="369"/>
      <c r="F208" s="370"/>
      <c r="G208" s="370"/>
      <c r="H208" s="370"/>
      <c r="I208" s="370"/>
      <c r="J208" s="129" t="str">
        <f>IF(AND('Mapa final'!$AB$13="Muy Baja",'Mapa final'!$AD$13="Leve"),CONCATENATE("R3C",'Mapa final'!$R$13),"")</f>
        <v/>
      </c>
      <c r="K208" s="56" t="str">
        <f>IF(AND('Mapa final'!$AB$14="Muy Baja",'Mapa final'!$AD$14="Leve"),CONCATENATE("R3C",'Mapa final'!$R$14),"")</f>
        <v/>
      </c>
      <c r="L208" s="130" t="str">
        <f>IF(AND('Mapa final'!$AB$15="Muy Baja",'Mapa final'!$AD$15="Leve"),CONCATENATE("R3C",'Mapa final'!$R$15),"")</f>
        <v/>
      </c>
      <c r="M208" s="129" t="str">
        <f>IF(AND('Mapa final'!$AB$13="Muy Baja",'Mapa final'!$AD$13="Menor"),CONCATENATE("R3C",'Mapa final'!$R$13),"")</f>
        <v/>
      </c>
      <c r="N208" s="56" t="str">
        <f>IF(AND('Mapa final'!$AB$14="Muy Baja",'Mapa final'!$AD$14="Menor"),CONCATENATE("R3C",'Mapa final'!$R$14),"")</f>
        <v/>
      </c>
      <c r="O208" s="130" t="str">
        <f>IF(AND('Mapa final'!$AB$15="Muy Baja",'Mapa final'!$AD$15="Menor"),CONCATENATE("R3C",'Mapa final'!$R$15),"")</f>
        <v/>
      </c>
      <c r="P208" s="51" t="str">
        <f>IF(AND('Mapa final'!$AB$13="Muy Baja",'Mapa final'!$AD$13="Moderado"),CONCATENATE("R3C",'Mapa final'!$R$13),"")</f>
        <v/>
      </c>
      <c r="Q208" s="52" t="str">
        <f>IF(AND('Mapa final'!$AB$14="Muy Baja",'Mapa final'!$AD$14="Moderado"),CONCATENATE("R3C",'Mapa final'!$R$14),"")</f>
        <v/>
      </c>
      <c r="R208" s="125" t="str">
        <f>IF(AND('Mapa final'!$AB$15="Muy Baja",'Mapa final'!$AD$15="Moderado"),CONCATENATE("R3C",'Mapa final'!$R$15),"")</f>
        <v/>
      </c>
      <c r="S208" s="119" t="str">
        <f>IF(AND('Mapa final'!$AB$13="Muy Baja",'Mapa final'!$AD$13="Mayor"),CONCATENATE("R3C",'Mapa final'!$R$13),"")</f>
        <v/>
      </c>
      <c r="T208" s="44" t="str">
        <f>IF(AND('Mapa final'!$AB$14="Muy Baja",'Mapa final'!$AD$14="Mayor"),CONCATENATE("R3C",'Mapa final'!$R$14),"")</f>
        <v/>
      </c>
      <c r="U208" s="120" t="str">
        <f>IF(AND('Mapa final'!$AB$15="Muy Baja",'Mapa final'!$AD$15="Mayor"),CONCATENATE("R3C",'Mapa final'!$R$15),"")</f>
        <v/>
      </c>
      <c r="V208" s="45" t="str">
        <f>IF(AND('Mapa final'!$AB$13="Muy Baja",'Mapa final'!$AD$13="Catastrófico"),CONCATENATE("R3C",'Mapa final'!$R$13),"")</f>
        <v/>
      </c>
      <c r="W208" s="46" t="str">
        <f>IF(AND('Mapa final'!$AB$14="Muy Baja",'Mapa final'!$AD$14="Catastrófico"),CONCATENATE("R3C",'Mapa final'!$R$14),"")</f>
        <v/>
      </c>
      <c r="X208" s="114" t="str">
        <f>IF(AND('Mapa final'!$AB$15="Muy Baja",'Mapa final'!$AD$15="Catastrófico"),CONCATENATE("R3C",'Mapa final'!$R$15),"")</f>
        <v/>
      </c>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8"/>
      <c r="AX208" s="58"/>
      <c r="AY208" s="58"/>
      <c r="AZ208" s="58"/>
      <c r="BA208" s="58"/>
      <c r="BB208" s="58"/>
      <c r="BC208" s="58"/>
      <c r="BD208" s="58"/>
      <c r="BE208" s="58"/>
      <c r="BF208" s="58"/>
      <c r="BG208" s="58"/>
      <c r="BH208" s="58"/>
      <c r="BI208" s="58"/>
      <c r="BJ208" s="58"/>
      <c r="BK208" s="58"/>
      <c r="BL208" s="58"/>
      <c r="BM208" s="58"/>
    </row>
    <row r="209" spans="1:65" ht="15.75" x14ac:dyDescent="0.25">
      <c r="A209" s="58"/>
      <c r="B209" s="356"/>
      <c r="C209" s="356"/>
      <c r="D209" s="357"/>
      <c r="E209" s="369"/>
      <c r="F209" s="370"/>
      <c r="G209" s="370"/>
      <c r="H209" s="370"/>
      <c r="I209" s="370"/>
      <c r="J209" s="129" t="str">
        <f>IF(AND('Mapa final'!$AB$16="Muy Baja",'Mapa final'!$AD$16="Leve"),CONCATENATE("R4C",'Mapa final'!$R$16),"")</f>
        <v/>
      </c>
      <c r="K209" s="56" t="str">
        <f>IF(AND('Mapa final'!$AB$17="Muy Baja",'Mapa final'!$AD$17="Leve"),CONCATENATE("R4C",'Mapa final'!$R$17),"")</f>
        <v/>
      </c>
      <c r="L209" s="130" t="str">
        <f>IF(AND('Mapa final'!$AB$18="Muy Baja",'Mapa final'!$AD$18="Leve"),CONCATENATE("R4C",'Mapa final'!$R$18),"")</f>
        <v/>
      </c>
      <c r="M209" s="129" t="str">
        <f>IF(AND('Mapa final'!$AB$16="Muy Baja",'Mapa final'!$AD$16="Menor"),CONCATENATE("R4C",'Mapa final'!$R$16),"")</f>
        <v/>
      </c>
      <c r="N209" s="56" t="str">
        <f>IF(AND('Mapa final'!$AB$17="Muy Baja",'Mapa final'!$AD$17="Menor"),CONCATENATE("R4C",'Mapa final'!$R$17),"")</f>
        <v/>
      </c>
      <c r="O209" s="130" t="str">
        <f>IF(AND('Mapa final'!$AB$18="Muy Baja",'Mapa final'!$AD$18="Menor"),CONCATENATE("R4C",'Mapa final'!$R$18),"")</f>
        <v/>
      </c>
      <c r="P209" s="51" t="str">
        <f>IF(AND('Mapa final'!$AB$16="Muy Baja",'Mapa final'!$AD$16="Moderado"),CONCATENATE("R4C",'Mapa final'!$R$16),"")</f>
        <v/>
      </c>
      <c r="Q209" s="52" t="str">
        <f>IF(AND('Mapa final'!$AB$17="Muy Baja",'Mapa final'!$AD$17="Moderado"),CONCATENATE("R4C",'Mapa final'!$R$17),"")</f>
        <v/>
      </c>
      <c r="R209" s="125" t="str">
        <f>IF(AND('Mapa final'!$AB$18="Muy Baja",'Mapa final'!$AD$18="Moderado"),CONCATENATE("R4C",'Mapa final'!$R$18),"")</f>
        <v/>
      </c>
      <c r="S209" s="119" t="str">
        <f>IF(AND('Mapa final'!$AB$16="Muy Baja",'Mapa final'!$AD$16="Mayor"),CONCATENATE("R4C",'Mapa final'!$R$16),"")</f>
        <v/>
      </c>
      <c r="T209" s="44" t="str">
        <f>IF(AND('Mapa final'!$AB$17="Muy Baja",'Mapa final'!$AD$17="Mayor"),CONCATENATE("R4C",'Mapa final'!$R$17),"")</f>
        <v/>
      </c>
      <c r="U209" s="120" t="str">
        <f>IF(AND('Mapa final'!$AB$18="Muy Baja",'Mapa final'!$AD$18="Mayor"),CONCATENATE("R4C",'Mapa final'!$R$18),"")</f>
        <v/>
      </c>
      <c r="V209" s="45" t="str">
        <f>IF(AND('Mapa final'!$AB$16="Muy Baja",'Mapa final'!$AD$16="Catastrófico"),CONCATENATE("R4C",'Mapa final'!$R$16),"")</f>
        <v/>
      </c>
      <c r="W209" s="46" t="str">
        <f>IF(AND('Mapa final'!$AB$17="Muy Baja",'Mapa final'!$AD$17="Catastrófico"),CONCATENATE("R4C",'Mapa final'!$R$17),"")</f>
        <v/>
      </c>
      <c r="X209" s="114" t="str">
        <f>IF(AND('Mapa final'!$AB$18="Muy Baja",'Mapa final'!$AD$18="Catastrófico"),CONCATENATE("R4C",'Mapa final'!$R$18),"")</f>
        <v/>
      </c>
      <c r="Y209" s="58"/>
      <c r="Z209" s="58"/>
      <c r="AA209" s="58"/>
      <c r="AB209" s="58"/>
      <c r="AC209" s="58"/>
      <c r="AD209" s="58"/>
      <c r="AE209" s="58"/>
      <c r="AF209" s="58"/>
      <c r="AG209" s="58"/>
      <c r="AH209" s="58"/>
      <c r="AI209" s="58"/>
      <c r="AJ209" s="58"/>
      <c r="AK209" s="58"/>
      <c r="AL209" s="58"/>
      <c r="AM209" s="58"/>
      <c r="AN209" s="58"/>
      <c r="AO209" s="58"/>
      <c r="AP209" s="58"/>
      <c r="AQ209" s="58"/>
      <c r="AR209" s="58"/>
      <c r="AS209" s="58"/>
      <c r="AT209" s="58"/>
      <c r="AU209" s="58"/>
      <c r="AV209" s="58"/>
      <c r="AW209" s="58"/>
      <c r="AX209" s="58"/>
      <c r="AY209" s="58"/>
      <c r="AZ209" s="58"/>
      <c r="BA209" s="58"/>
      <c r="BB209" s="58"/>
      <c r="BC209" s="58"/>
      <c r="BD209" s="58"/>
      <c r="BE209" s="58"/>
      <c r="BF209" s="58"/>
      <c r="BG209" s="58"/>
      <c r="BH209" s="58"/>
      <c r="BI209" s="58"/>
      <c r="BJ209" s="58"/>
      <c r="BK209" s="58"/>
      <c r="BL209" s="58"/>
      <c r="BM209" s="58"/>
    </row>
    <row r="210" spans="1:65" ht="15.75" x14ac:dyDescent="0.25">
      <c r="A210" s="58"/>
      <c r="B210" s="356"/>
      <c r="C210" s="356"/>
      <c r="D210" s="357"/>
      <c r="E210" s="369"/>
      <c r="F210" s="370"/>
      <c r="G210" s="370"/>
      <c r="H210" s="370"/>
      <c r="I210" s="370"/>
      <c r="J210" s="129" t="str">
        <f>IF(AND('Mapa final'!$AB$19="Muy Baja",'Mapa final'!$AD$19="Leve"),CONCATENATE("R5C",'Mapa final'!$R$19),"")</f>
        <v/>
      </c>
      <c r="K210" s="56" t="str">
        <f>IF(AND('Mapa final'!$AB$20="Muy Baja",'Mapa final'!$AD$20="Leve"),CONCATENATE("R5C",'Mapa final'!$R$20),"")</f>
        <v>R5C2</v>
      </c>
      <c r="L210" s="130" t="str">
        <f>IF(AND('Mapa final'!$AB$21="Muy Baja",'Mapa final'!$AD$21="Leve"),CONCATENATE("R5C",'Mapa final'!$R$21),"")</f>
        <v>R5C3</v>
      </c>
      <c r="M210" s="129" t="str">
        <f>IF(AND('Mapa final'!$AB$19="Muy Baja",'Mapa final'!$AD$19="Menor"),CONCATENATE("R5C",'Mapa final'!$R$19),"")</f>
        <v/>
      </c>
      <c r="N210" s="56" t="str">
        <f>IF(AND('Mapa final'!$AB$20="Muy Baja",'Mapa final'!$AD$20="Menor"),CONCATENATE("R5C",'Mapa final'!$R$20),"")</f>
        <v/>
      </c>
      <c r="O210" s="130" t="str">
        <f>IF(AND('Mapa final'!$AB$21="Muy Baja",'Mapa final'!$AD$21="Menor"),CONCATENATE("R5C",'Mapa final'!$R$21),"")</f>
        <v/>
      </c>
      <c r="P210" s="51" t="str">
        <f>IF(AND('Mapa final'!$AB$19="Muy Baja",'Mapa final'!$AD$19="Moderado"),CONCATENATE("R5C",'Mapa final'!$R$19),"")</f>
        <v/>
      </c>
      <c r="Q210" s="52" t="str">
        <f>IF(AND('Mapa final'!$AB$20="Muy Baja",'Mapa final'!$AD$20="Moderado"),CONCATENATE("R5C",'Mapa final'!$R$20),"")</f>
        <v/>
      </c>
      <c r="R210" s="125" t="str">
        <f>IF(AND('Mapa final'!$AB$21="Muy Baja",'Mapa final'!$AD$21="Moderado"),CONCATENATE("R5C",'Mapa final'!$R$21),"")</f>
        <v/>
      </c>
      <c r="S210" s="119" t="str">
        <f>IF(AND('Mapa final'!$AB$19="Muy Baja",'Mapa final'!$AD$19="Mayor"),CONCATENATE("R5C",'Mapa final'!$R$19),"")</f>
        <v/>
      </c>
      <c r="T210" s="44" t="str">
        <f>IF(AND('Mapa final'!$AB$20="Muy Baja",'Mapa final'!$AD$20="Mayor"),CONCATENATE("R5C",'Mapa final'!$R$20),"")</f>
        <v/>
      </c>
      <c r="U210" s="120" t="str">
        <f>IF(AND('Mapa final'!$AB$21="Muy Baja",'Mapa final'!$AD$21="Mayor"),CONCATENATE("R5C",'Mapa final'!$R$21),"")</f>
        <v/>
      </c>
      <c r="V210" s="45" t="str">
        <f>IF(AND('Mapa final'!$AB$19="Muy Baja",'Mapa final'!$AD$19="Catastrófico"),CONCATENATE("R5C",'Mapa final'!$R$19),"")</f>
        <v/>
      </c>
      <c r="W210" s="46" t="str">
        <f>IF(AND('Mapa final'!$AB$20="Muy Baja",'Mapa final'!$AD$20="Catastrófico"),CONCATENATE("R5C",'Mapa final'!$R$20),"")</f>
        <v/>
      </c>
      <c r="X210" s="114" t="str">
        <f>IF(AND('Mapa final'!$AB$21="Muy Baja",'Mapa final'!$AD$21="Catastrófico"),CONCATENATE("R5C",'Mapa final'!$R$21),"")</f>
        <v/>
      </c>
      <c r="Y210" s="58"/>
      <c r="Z210" s="58"/>
      <c r="AA210" s="58"/>
      <c r="AB210" s="58"/>
      <c r="AC210" s="58"/>
      <c r="AD210" s="58"/>
      <c r="AE210" s="58"/>
      <c r="AF210" s="58"/>
      <c r="AG210" s="58"/>
      <c r="AH210" s="58"/>
      <c r="AI210" s="58"/>
      <c r="AJ210" s="58"/>
      <c r="AK210" s="58"/>
      <c r="AL210" s="58"/>
      <c r="AM210" s="58"/>
      <c r="AN210" s="58"/>
      <c r="AO210" s="58"/>
      <c r="AP210" s="58"/>
      <c r="AQ210" s="58"/>
      <c r="AR210" s="58"/>
      <c r="AS210" s="58"/>
      <c r="AT210" s="58"/>
      <c r="AU210" s="58"/>
      <c r="AV210" s="58"/>
      <c r="AW210" s="58"/>
      <c r="AX210" s="58"/>
      <c r="AY210" s="58"/>
      <c r="AZ210" s="58"/>
      <c r="BA210" s="58"/>
      <c r="BB210" s="58"/>
      <c r="BC210" s="58"/>
      <c r="BD210" s="58"/>
      <c r="BE210" s="58"/>
      <c r="BF210" s="58"/>
      <c r="BG210" s="58"/>
      <c r="BH210" s="58"/>
      <c r="BI210" s="58"/>
      <c r="BJ210" s="58"/>
      <c r="BK210" s="58"/>
      <c r="BL210" s="58"/>
      <c r="BM210" s="58"/>
    </row>
    <row r="211" spans="1:65" ht="15.75" x14ac:dyDescent="0.25">
      <c r="A211" s="58"/>
      <c r="B211" s="356"/>
      <c r="C211" s="356"/>
      <c r="D211" s="357"/>
      <c r="E211" s="369"/>
      <c r="F211" s="370"/>
      <c r="G211" s="370"/>
      <c r="H211" s="370"/>
      <c r="I211" s="370"/>
      <c r="J211" s="129" t="str">
        <f>IF(AND('Mapa final'!$AB$22="Muy Baja",'Mapa final'!$AD$22="Leve"),CONCATENATE("R6C",'Mapa final'!$R$22),"")</f>
        <v/>
      </c>
      <c r="K211" s="56" t="str">
        <f>IF(AND('Mapa final'!$AB$23="Muy Baja",'Mapa final'!$AD$23="Leve"),CONCATENATE("R6C",'Mapa final'!$R$23),"")</f>
        <v>R6C2</v>
      </c>
      <c r="L211" s="130" t="str">
        <f>IF(AND('Mapa final'!$AB$24="Muy Baja",'Mapa final'!$AD$24="Leve"),CONCATENATE("R6C",'Mapa final'!$R$24),"")</f>
        <v>R6C3</v>
      </c>
      <c r="M211" s="129" t="str">
        <f>IF(AND('Mapa final'!$AB$22="Muy Baja",'Mapa final'!$AD$22="Menor"),CONCATENATE("R6C",'Mapa final'!$R$22),"")</f>
        <v/>
      </c>
      <c r="N211" s="56" t="str">
        <f>IF(AND('Mapa final'!$AB$23="Muy Baja",'Mapa final'!$AD$23="Menor"),CONCATENATE("R6C",'Mapa final'!$R$23),"")</f>
        <v/>
      </c>
      <c r="O211" s="130" t="str">
        <f>IF(AND('Mapa final'!$AB$24="Muy Baja",'Mapa final'!$AD$24="Menor"),CONCATENATE("R6C",'Mapa final'!$R$24),"")</f>
        <v/>
      </c>
      <c r="P211" s="51" t="str">
        <f>IF(AND('Mapa final'!$AB$22="Muy Baja",'Mapa final'!$AD$22="Moderado"),CONCATENATE("R6C",'Mapa final'!$R$22),"")</f>
        <v>R6C1</v>
      </c>
      <c r="Q211" s="52" t="str">
        <f>IF(AND('Mapa final'!$AB$23="Muy Baja",'Mapa final'!$AD$23="Moderado"),CONCATENATE("R6C",'Mapa final'!$R$23),"")</f>
        <v/>
      </c>
      <c r="R211" s="125" t="str">
        <f>IF(AND('Mapa final'!$AB$24="Muy Baja",'Mapa final'!$AD$24="Moderado"),CONCATENATE("R6C",'Mapa final'!$R$24),"")</f>
        <v/>
      </c>
      <c r="S211" s="119" t="str">
        <f>IF(AND('Mapa final'!$AB$22="Muy Baja",'Mapa final'!$AD$22="Mayor"),CONCATENATE("R6C",'Mapa final'!$R$22),"")</f>
        <v/>
      </c>
      <c r="T211" s="44" t="str">
        <f>IF(AND('Mapa final'!$AB$23="Muy Baja",'Mapa final'!$AD$23="Mayor"),CONCATENATE("R6C",'Mapa final'!$R$23),"")</f>
        <v/>
      </c>
      <c r="U211" s="120" t="str">
        <f>IF(AND('Mapa final'!$AB$24="Muy Baja",'Mapa final'!$AD$24="Mayor"),CONCATENATE("R6C",'Mapa final'!$R$24),"")</f>
        <v/>
      </c>
      <c r="V211" s="45" t="str">
        <f>IF(AND('Mapa final'!$AB$22="Muy Baja",'Mapa final'!$AD$22="Catastrófico"),CONCATENATE("R6C",'Mapa final'!$R$22),"")</f>
        <v/>
      </c>
      <c r="W211" s="46" t="str">
        <f>IF(AND('Mapa final'!$AB$23="Muy Baja",'Mapa final'!$AD$23="Catastrófico"),CONCATENATE("R6C",'Mapa final'!$R$23),"")</f>
        <v/>
      </c>
      <c r="X211" s="114" t="str">
        <f>IF(AND('Mapa final'!$AB$24="Muy Baja",'Mapa final'!$AD$24="Catastrófico"),CONCATENATE("R6C",'Mapa final'!$R$24),"")</f>
        <v/>
      </c>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8"/>
      <c r="AZ211" s="58"/>
      <c r="BA211" s="58"/>
      <c r="BB211" s="58"/>
      <c r="BC211" s="58"/>
      <c r="BD211" s="58"/>
      <c r="BE211" s="58"/>
      <c r="BF211" s="58"/>
      <c r="BG211" s="58"/>
      <c r="BH211" s="58"/>
      <c r="BI211" s="58"/>
      <c r="BJ211" s="58"/>
      <c r="BK211" s="58"/>
      <c r="BL211" s="58"/>
      <c r="BM211" s="58"/>
    </row>
    <row r="212" spans="1:65" ht="15.75" x14ac:dyDescent="0.25">
      <c r="A212" s="58"/>
      <c r="B212" s="356"/>
      <c r="C212" s="356"/>
      <c r="D212" s="357"/>
      <c r="E212" s="369"/>
      <c r="F212" s="370"/>
      <c r="G212" s="370"/>
      <c r="H212" s="370"/>
      <c r="I212" s="370"/>
      <c r="J212" s="129" t="str">
        <f>IF(AND('Mapa final'!$AB$25="Muy Baja",'Mapa final'!$AD$25="Leve"),CONCATENATE("R7C",'Mapa final'!$R$25),"")</f>
        <v/>
      </c>
      <c r="K212" s="56" t="str">
        <f>IF(AND('Mapa final'!$AB$26="Muy Baja",'Mapa final'!$AD$26="Leve"),CONCATENATE("R7C",'Mapa final'!$R$26),"")</f>
        <v>R7C2</v>
      </c>
      <c r="L212" s="130" t="str">
        <f>IF(AND('Mapa final'!$AB$27="Muy Baja",'Mapa final'!$AD$27="Leve"),CONCATENATE("R7C",'Mapa final'!$R$27),"")</f>
        <v>R7C3</v>
      </c>
      <c r="M212" s="129" t="str">
        <f>IF(AND('Mapa final'!$AB$25="Muy Baja",'Mapa final'!$AD$25="Menor"),CONCATENATE("R7C",'Mapa final'!$R$25),"")</f>
        <v/>
      </c>
      <c r="N212" s="56" t="str">
        <f>IF(AND('Mapa final'!$AB$26="Muy Baja",'Mapa final'!$AD$26="Menor"),CONCATENATE("R7C",'Mapa final'!$R$26),"")</f>
        <v/>
      </c>
      <c r="O212" s="130" t="str">
        <f>IF(AND('Mapa final'!$AB$27="Muy Baja",'Mapa final'!$AD$27="Menor"),CONCATENATE("R7C",'Mapa final'!$R$27),"")</f>
        <v/>
      </c>
      <c r="P212" s="51" t="str">
        <f>IF(AND('Mapa final'!$AB$25="Muy Baja",'Mapa final'!$AD$25="Moderado"),CONCATENATE("R7C",'Mapa final'!$R$25),"")</f>
        <v>R7C1</v>
      </c>
      <c r="Q212" s="52" t="str">
        <f>IF(AND('Mapa final'!$AB$26="Muy Baja",'Mapa final'!$AD$26="Moderado"),CONCATENATE("R7C",'Mapa final'!$R$26),"")</f>
        <v/>
      </c>
      <c r="R212" s="125" t="str">
        <f>IF(AND('Mapa final'!$AB$27="Muy Baja",'Mapa final'!$AD$27="Moderado"),CONCATENATE("R7C",'Mapa final'!$R$27),"")</f>
        <v/>
      </c>
      <c r="S212" s="119" t="str">
        <f>IF(AND('Mapa final'!$AB$25="Muy Baja",'Mapa final'!$AD$25="Mayor"),CONCATENATE("R7C",'Mapa final'!$R$25),"")</f>
        <v/>
      </c>
      <c r="T212" s="44" t="str">
        <f>IF(AND('Mapa final'!$AB$26="Muy Baja",'Mapa final'!$AD$26="Mayor"),CONCATENATE("R7C",'Mapa final'!$R$26),"")</f>
        <v/>
      </c>
      <c r="U212" s="120" t="str">
        <f>IF(AND('Mapa final'!$AB$27="Muy Baja",'Mapa final'!$AD$27="Mayor"),CONCATENATE("R7C",'Mapa final'!$R$27),"")</f>
        <v/>
      </c>
      <c r="V212" s="45" t="str">
        <f>IF(AND('Mapa final'!$AB$25="Muy Baja",'Mapa final'!$AD$25="Catastrófico"),CONCATENATE("R7C",'Mapa final'!$R$25),"")</f>
        <v/>
      </c>
      <c r="W212" s="46" t="str">
        <f>IF(AND('Mapa final'!$AB$26="Muy Baja",'Mapa final'!$AD$26="Catastrófico"),CONCATENATE("R7C",'Mapa final'!$R$26),"")</f>
        <v/>
      </c>
      <c r="X212" s="114" t="str">
        <f>IF(AND('Mapa final'!$AB$27="Muy Baja",'Mapa final'!$AD$27="Catastrófico"),CONCATENATE("R7C",'Mapa final'!$R$27),"")</f>
        <v/>
      </c>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8"/>
      <c r="AZ212" s="58"/>
      <c r="BA212" s="58"/>
      <c r="BB212" s="58"/>
      <c r="BC212" s="58"/>
      <c r="BD212" s="58"/>
      <c r="BE212" s="58"/>
      <c r="BF212" s="58"/>
      <c r="BG212" s="58"/>
      <c r="BH212" s="58"/>
      <c r="BI212" s="58"/>
      <c r="BJ212" s="58"/>
      <c r="BK212" s="58"/>
      <c r="BL212" s="58"/>
      <c r="BM212" s="58"/>
    </row>
    <row r="213" spans="1:65" ht="15.75" x14ac:dyDescent="0.25">
      <c r="A213" s="58"/>
      <c r="B213" s="356"/>
      <c r="C213" s="356"/>
      <c r="D213" s="357"/>
      <c r="E213" s="369"/>
      <c r="F213" s="370"/>
      <c r="G213" s="370"/>
      <c r="H213" s="370"/>
      <c r="I213" s="370"/>
      <c r="J213" s="129" t="str">
        <f>IF(AND('Mapa final'!$AB$28="Muy Baja",'Mapa final'!$AD$28="Leve"),CONCATENATE("R8C",'Mapa final'!$R$28),"")</f>
        <v/>
      </c>
      <c r="K213" s="56" t="str">
        <f>IF(AND('Mapa final'!$AB$29="Muy Baja",'Mapa final'!$AD$29="Leve"),CONCATENATE("R8C",'Mapa final'!$R$29),"")</f>
        <v>R8C2</v>
      </c>
      <c r="L213" s="130" t="str">
        <f>IF(AND('Mapa final'!$AB$30="Muy Baja",'Mapa final'!$AD$30="Leve"),CONCATENATE("R8C",'Mapa final'!$R$30),"")</f>
        <v>R8C3</v>
      </c>
      <c r="M213" s="129" t="str">
        <f>IF(AND('Mapa final'!$AB$28="Muy Baja",'Mapa final'!$AD$28="Menor"),CONCATENATE("R8C",'Mapa final'!$R$28),"")</f>
        <v/>
      </c>
      <c r="N213" s="56" t="str">
        <f>IF(AND('Mapa final'!$AB$29="Muy Baja",'Mapa final'!$AD$29="Menor"),CONCATENATE("R8C",'Mapa final'!$R$29),"")</f>
        <v/>
      </c>
      <c r="O213" s="130" t="str">
        <f>IF(AND('Mapa final'!$AB$30="Muy Baja",'Mapa final'!$AD$30="Menor"),CONCATENATE("R8C",'Mapa final'!$R$30),"")</f>
        <v/>
      </c>
      <c r="P213" s="51" t="str">
        <f>IF(AND('Mapa final'!$AB$28="Muy Baja",'Mapa final'!$AD$28="Moderado"),CONCATENATE("R8C",'Mapa final'!$R$28),"")</f>
        <v/>
      </c>
      <c r="Q213" s="52" t="str">
        <f>IF(AND('Mapa final'!$AB$29="Muy Baja",'Mapa final'!$AD$29="Moderado"),CONCATENATE("R8C",'Mapa final'!$R$29),"")</f>
        <v/>
      </c>
      <c r="R213" s="125" t="str">
        <f>IF(AND('Mapa final'!$AB$30="Muy Baja",'Mapa final'!$AD$30="Moderado"),CONCATENATE("R8C",'Mapa final'!$R$30),"")</f>
        <v/>
      </c>
      <c r="S213" s="119" t="str">
        <f>IF(AND('Mapa final'!$AB$28="Muy Baja",'Mapa final'!$AD$28="Mayor"),CONCATENATE("R8C",'Mapa final'!$R$28),"")</f>
        <v/>
      </c>
      <c r="T213" s="44" t="str">
        <f>IF(AND('Mapa final'!$AB$29="Muy Baja",'Mapa final'!$AD$29="Mayor"),CONCATENATE("R8C",'Mapa final'!$R$29),"")</f>
        <v/>
      </c>
      <c r="U213" s="120" t="str">
        <f>IF(AND('Mapa final'!$AB$30="Muy Baja",'Mapa final'!$AD$30="Mayor"),CONCATENATE("R8C",'Mapa final'!$R$30),"")</f>
        <v/>
      </c>
      <c r="V213" s="45" t="str">
        <f>IF(AND('Mapa final'!$AB$28="Muy Baja",'Mapa final'!$AD$28="Catastrófico"),CONCATENATE("R8C",'Mapa final'!$R$28),"")</f>
        <v/>
      </c>
      <c r="W213" s="46" t="str">
        <f>IF(AND('Mapa final'!$AB$29="Muy Baja",'Mapa final'!$AD$29="Catastrófico"),CONCATENATE("R8C",'Mapa final'!$R$29),"")</f>
        <v/>
      </c>
      <c r="X213" s="114" t="str">
        <f>IF(AND('Mapa final'!$AB$30="Muy Baja",'Mapa final'!$AD$30="Catastrófico"),CONCATENATE("R8C",'Mapa final'!$R$30),"")</f>
        <v/>
      </c>
      <c r="Y213" s="58"/>
      <c r="Z213" s="58"/>
      <c r="AA213" s="58"/>
      <c r="AB213" s="58"/>
      <c r="AC213" s="58"/>
      <c r="AD213" s="58"/>
      <c r="AE213" s="58"/>
      <c r="AF213" s="58"/>
      <c r="AG213" s="58"/>
      <c r="AH213" s="58"/>
      <c r="AI213" s="58"/>
      <c r="AJ213" s="58"/>
      <c r="AK213" s="58"/>
      <c r="AL213" s="58"/>
      <c r="AM213" s="58"/>
      <c r="AN213" s="58"/>
      <c r="AO213" s="58"/>
      <c r="AP213" s="58"/>
      <c r="AQ213" s="58"/>
      <c r="AR213" s="58"/>
      <c r="AS213" s="58"/>
      <c r="AT213" s="58"/>
      <c r="AU213" s="58"/>
      <c r="AV213" s="58"/>
      <c r="AW213" s="58"/>
      <c r="AX213" s="58"/>
      <c r="AY213" s="58"/>
      <c r="AZ213" s="58"/>
      <c r="BA213" s="58"/>
      <c r="BB213" s="58"/>
      <c r="BC213" s="58"/>
      <c r="BD213" s="58"/>
      <c r="BE213" s="58"/>
      <c r="BF213" s="58"/>
      <c r="BG213" s="58"/>
      <c r="BH213" s="58"/>
      <c r="BI213" s="58"/>
      <c r="BJ213" s="58"/>
      <c r="BK213" s="58"/>
      <c r="BL213" s="58"/>
      <c r="BM213" s="58"/>
    </row>
    <row r="214" spans="1:65" ht="15.75" x14ac:dyDescent="0.25">
      <c r="A214" s="58"/>
      <c r="B214" s="356"/>
      <c r="C214" s="356"/>
      <c r="D214" s="357"/>
      <c r="E214" s="369"/>
      <c r="F214" s="370"/>
      <c r="G214" s="370"/>
      <c r="H214" s="370"/>
      <c r="I214" s="370"/>
      <c r="J214" s="129" t="str">
        <f>IF(AND('Mapa final'!$AB$31="Muy Baja",'Mapa final'!$AD$31="Leve"),CONCATENATE("R9C",'Mapa final'!$R$31),"")</f>
        <v/>
      </c>
      <c r="K214" s="56" t="str">
        <f>IF(AND('Mapa final'!$AB$32="Muy Baja",'Mapa final'!$AD$32="Leve"),CONCATENATE("R9C",'Mapa final'!$R$32),"")</f>
        <v>R9C2</v>
      </c>
      <c r="L214" s="130" t="str">
        <f>IF(AND('Mapa final'!$AB$33="Muy Baja",'Mapa final'!$AD$33="Leve"),CONCATENATE("R9C",'Mapa final'!$R$33),"")</f>
        <v>R9C3</v>
      </c>
      <c r="M214" s="129" t="str">
        <f>IF(AND('Mapa final'!$AB$31="Muy Baja",'Mapa final'!$AD$31="Menor"),CONCATENATE("R9C",'Mapa final'!$R$31),"")</f>
        <v/>
      </c>
      <c r="N214" s="56" t="str">
        <f>IF(AND('Mapa final'!$AB$32="Muy Baja",'Mapa final'!$AD$32="Menor"),CONCATENATE("R9C",'Mapa final'!$R$32),"")</f>
        <v/>
      </c>
      <c r="O214" s="130" t="str">
        <f>IF(AND('Mapa final'!$AB$33="Muy Baja",'Mapa final'!$AD$33="Menor"),CONCATENATE("R9C",'Mapa final'!$R$33),"")</f>
        <v/>
      </c>
      <c r="P214" s="51" t="str">
        <f>IF(AND('Mapa final'!$AB$31="Muy Baja",'Mapa final'!$AD$31="Moderado"),CONCATENATE("R9C",'Mapa final'!$R$31),"")</f>
        <v/>
      </c>
      <c r="Q214" s="52" t="str">
        <f>IF(AND('Mapa final'!$AB$32="Muy Baja",'Mapa final'!$AD$32="Moderado"),CONCATENATE("R9C",'Mapa final'!$R$32),"")</f>
        <v/>
      </c>
      <c r="R214" s="125" t="str">
        <f>IF(AND('Mapa final'!$AB$33="Muy Baja",'Mapa final'!$AD$33="Moderado"),CONCATENATE("R9C",'Mapa final'!$R$33),"")</f>
        <v/>
      </c>
      <c r="S214" s="119" t="str">
        <f>IF(AND('Mapa final'!$AB$31="Muy Baja",'Mapa final'!$AD$31="Mayor"),CONCATENATE("R9C",'Mapa final'!$R$31),"")</f>
        <v/>
      </c>
      <c r="T214" s="44" t="str">
        <f>IF(AND('Mapa final'!$AB$32="Muy Baja",'Mapa final'!$AD$32="Mayor"),CONCATENATE("R9C",'Mapa final'!$R$32),"")</f>
        <v/>
      </c>
      <c r="U214" s="120" t="str">
        <f>IF(AND('Mapa final'!$AB$33="Muy Baja",'Mapa final'!$AD$33="Mayor"),CONCATENATE("R9C",'Mapa final'!$R$33),"")</f>
        <v/>
      </c>
      <c r="V214" s="45" t="str">
        <f>IF(AND('Mapa final'!$AB$31="Muy Baja",'Mapa final'!$AD$31="Catastrófico"),CONCATENATE("R9C",'Mapa final'!$R$31),"")</f>
        <v/>
      </c>
      <c r="W214" s="46" t="str">
        <f>IF(AND('Mapa final'!$AB$32="Muy Baja",'Mapa final'!$AD$32="Catastrófico"),CONCATENATE("R9C",'Mapa final'!$R$32),"")</f>
        <v/>
      </c>
      <c r="X214" s="114" t="str">
        <f>IF(AND('Mapa final'!$AB$33="Muy Baja",'Mapa final'!$AD$33="Catastrófico"),CONCATENATE("R9C",'Mapa final'!$R$33),"")</f>
        <v/>
      </c>
      <c r="Y214" s="58"/>
      <c r="Z214" s="58"/>
      <c r="AA214" s="58"/>
      <c r="AB214" s="58"/>
      <c r="AC214" s="58"/>
      <c r="AD214" s="58"/>
      <c r="AE214" s="58"/>
      <c r="AF214" s="58"/>
      <c r="AG214" s="58"/>
      <c r="AH214" s="58"/>
      <c r="AI214" s="58"/>
      <c r="AJ214" s="58"/>
      <c r="AK214" s="58"/>
      <c r="AL214" s="58"/>
      <c r="AM214" s="58"/>
      <c r="AN214" s="58"/>
      <c r="AO214" s="58"/>
      <c r="AP214" s="58"/>
      <c r="AQ214" s="58"/>
      <c r="AR214" s="58"/>
      <c r="AS214" s="58"/>
      <c r="AT214" s="58"/>
      <c r="AU214" s="58"/>
      <c r="AV214" s="58"/>
      <c r="AW214" s="58"/>
      <c r="AX214" s="58"/>
      <c r="AY214" s="58"/>
      <c r="AZ214" s="58"/>
      <c r="BA214" s="58"/>
      <c r="BB214" s="58"/>
      <c r="BC214" s="58"/>
      <c r="BD214" s="58"/>
      <c r="BE214" s="58"/>
      <c r="BF214" s="58"/>
      <c r="BG214" s="58"/>
      <c r="BH214" s="58"/>
      <c r="BI214" s="58"/>
      <c r="BJ214" s="58"/>
      <c r="BK214" s="58"/>
      <c r="BL214" s="58"/>
      <c r="BM214" s="58"/>
    </row>
    <row r="215" spans="1:65" ht="15.75" x14ac:dyDescent="0.25">
      <c r="A215" s="58"/>
      <c r="B215" s="356"/>
      <c r="C215" s="356"/>
      <c r="D215" s="357"/>
      <c r="E215" s="369"/>
      <c r="F215" s="370"/>
      <c r="G215" s="370"/>
      <c r="H215" s="370"/>
      <c r="I215" s="370"/>
      <c r="J215" s="129" t="str">
        <f>IF(AND('Mapa final'!$AB$34="Muy Baja",'Mapa final'!$AD$34="Leve"),CONCATENATE("R10C",'Mapa final'!$R$34),"")</f>
        <v/>
      </c>
      <c r="K215" s="56" t="str">
        <f>IF(AND('Mapa final'!$AB$35="Muy Baja",'Mapa final'!$AD$35="Leve"),CONCATENATE("R10C",'Mapa final'!$R$35),"")</f>
        <v>R10C2</v>
      </c>
      <c r="L215" s="130" t="str">
        <f>IF(AND('Mapa final'!$AB$36="Muy Baja",'Mapa final'!$AD$36="Leve"),CONCATENATE("R10C",'Mapa final'!$R$36),"")</f>
        <v>R10C3</v>
      </c>
      <c r="M215" s="129" t="str">
        <f>IF(AND('Mapa final'!$AB$34="Muy Baja",'Mapa final'!$AD$34="Menor"),CONCATENATE("R10C",'Mapa final'!$R$34),"")</f>
        <v/>
      </c>
      <c r="N215" s="56" t="str">
        <f>IF(AND('Mapa final'!$AB$35="Muy Baja",'Mapa final'!$AD$35="Menor"),CONCATENATE("R10C",'Mapa final'!$R$35),"")</f>
        <v/>
      </c>
      <c r="O215" s="130" t="str">
        <f>IF(AND('Mapa final'!$AB$36="Muy Baja",'Mapa final'!$AD$36="Menor"),CONCATENATE("R10C",'Mapa final'!$R$36),"")</f>
        <v/>
      </c>
      <c r="P215" s="51" t="str">
        <f>IF(AND('Mapa final'!$AB$34="Muy Baja",'Mapa final'!$AD$34="Moderado"),CONCATENATE("R10C",'Mapa final'!$R$34),"")</f>
        <v/>
      </c>
      <c r="Q215" s="52" t="str">
        <f>IF(AND('Mapa final'!$AB$35="Muy Baja",'Mapa final'!$AD$35="Moderado"),CONCATENATE("R10C",'Mapa final'!$R$35),"")</f>
        <v/>
      </c>
      <c r="R215" s="125" t="str">
        <f>IF(AND('Mapa final'!$AB$36="Muy Baja",'Mapa final'!$AD$36="Moderado"),CONCATENATE("R10C",'Mapa final'!$R$36),"")</f>
        <v/>
      </c>
      <c r="S215" s="119" t="str">
        <f>IF(AND('Mapa final'!$AB$34="Muy Baja",'Mapa final'!$AD$34="Mayor"),CONCATENATE("R10C",'Mapa final'!$R$34),"")</f>
        <v/>
      </c>
      <c r="T215" s="44" t="str">
        <f>IF(AND('Mapa final'!$AB$35="Muy Baja",'Mapa final'!$AD$35="Mayor"),CONCATENATE("R10C",'Mapa final'!$R$35),"")</f>
        <v/>
      </c>
      <c r="U215" s="120" t="str">
        <f>IF(AND('Mapa final'!$AB$36="Muy Baja",'Mapa final'!$AD$36="Mayor"),CONCATENATE("R10C",'Mapa final'!$R$36),"")</f>
        <v/>
      </c>
      <c r="V215" s="45" t="str">
        <f>IF(AND('Mapa final'!$AB$34="Muy Baja",'Mapa final'!$AD$34="Catastrófico"),CONCATENATE("R10C",'Mapa final'!$R$34),"")</f>
        <v/>
      </c>
      <c r="W215" s="46" t="str">
        <f>IF(AND('Mapa final'!$AB$35="Muy Baja",'Mapa final'!$AD$35="Catastrófico"),CONCATENATE("R10C",'Mapa final'!$R$35),"")</f>
        <v/>
      </c>
      <c r="X215" s="114" t="str">
        <f>IF(AND('Mapa final'!$AB$36="Muy Baja",'Mapa final'!$AD$36="Catastrófico"),CONCATENATE("R10C",'Mapa final'!$R$36),"")</f>
        <v/>
      </c>
      <c r="Y215" s="58"/>
      <c r="Z215" s="58"/>
      <c r="AA215" s="58"/>
      <c r="AB215" s="58"/>
      <c r="AC215" s="58"/>
      <c r="AD215" s="58"/>
      <c r="AE215" s="58"/>
      <c r="AF215" s="58"/>
      <c r="AG215" s="58"/>
      <c r="AH215" s="58"/>
      <c r="AI215" s="58"/>
      <c r="AJ215" s="58"/>
      <c r="AK215" s="58"/>
      <c r="AL215" s="58"/>
      <c r="AM215" s="58"/>
      <c r="AN215" s="58"/>
      <c r="AO215" s="58"/>
      <c r="AP215" s="58"/>
      <c r="AQ215" s="58"/>
      <c r="AR215" s="58"/>
      <c r="AS215" s="58"/>
      <c r="AT215" s="58"/>
      <c r="AU215" s="58"/>
      <c r="AV215" s="58"/>
      <c r="AW215" s="58"/>
      <c r="AX215" s="58"/>
      <c r="AY215" s="58"/>
      <c r="AZ215" s="58"/>
      <c r="BA215" s="58"/>
      <c r="BB215" s="58"/>
      <c r="BC215" s="58"/>
      <c r="BD215" s="58"/>
      <c r="BE215" s="58"/>
      <c r="BF215" s="58"/>
      <c r="BG215" s="58"/>
      <c r="BH215" s="58"/>
      <c r="BI215" s="58"/>
      <c r="BJ215" s="58"/>
      <c r="BK215" s="58"/>
      <c r="BL215" s="58"/>
      <c r="BM215" s="58"/>
    </row>
    <row r="216" spans="1:65" ht="15.75" x14ac:dyDescent="0.25">
      <c r="A216" s="58"/>
      <c r="B216" s="356"/>
      <c r="C216" s="356"/>
      <c r="D216" s="357"/>
      <c r="E216" s="369"/>
      <c r="F216" s="370"/>
      <c r="G216" s="370"/>
      <c r="H216" s="370"/>
      <c r="I216" s="370"/>
      <c r="J216" s="129" t="str">
        <f>IF(AND('Mapa final'!$AB$37="Muy Baja",'Mapa final'!$AD$37="Leve"),CONCATENATE("R11C",'Mapa final'!$R$37),"")</f>
        <v/>
      </c>
      <c r="K216" s="56" t="str">
        <f>IF(AND('Mapa final'!$AB$38="Muy Baja",'Mapa final'!$AD$38="Leve"),CONCATENATE("R11C",'Mapa final'!$R$38),"")</f>
        <v>R11C2</v>
      </c>
      <c r="L216" s="130" t="str">
        <f>IF(AND('Mapa final'!$AB$39="Muy Baja",'Mapa final'!$AD$39="Leve"),CONCATENATE("R11C",'Mapa final'!$R$39),"")</f>
        <v>R11C3</v>
      </c>
      <c r="M216" s="129" t="str">
        <f>IF(AND('Mapa final'!$AB$37="Muy Baja",'Mapa final'!$AD$37="Menor"),CONCATENATE("R11C",'Mapa final'!$R$37),"")</f>
        <v/>
      </c>
      <c r="N216" s="56" t="str">
        <f>IF(AND('Mapa final'!$AB$38="Muy Baja",'Mapa final'!$AD$38="Menor"),CONCATENATE("R11C",'Mapa final'!$R$38),"")</f>
        <v/>
      </c>
      <c r="O216" s="130" t="str">
        <f>IF(AND('Mapa final'!$AB$39="Muy Baja",'Mapa final'!$AD$39="Menor"),CONCATENATE("R11C",'Mapa final'!$R$39),"")</f>
        <v/>
      </c>
      <c r="P216" s="51" t="str">
        <f>IF(AND('Mapa final'!$AB$37="Muy Baja",'Mapa final'!$AD$37="Moderado"),CONCATENATE("R11C",'Mapa final'!$R$37),"")</f>
        <v/>
      </c>
      <c r="Q216" s="52" t="str">
        <f>IF(AND('Mapa final'!$AB$38="Muy Baja",'Mapa final'!$AD$38="Moderado"),CONCATENATE("R11C",'Mapa final'!$R$38),"")</f>
        <v/>
      </c>
      <c r="R216" s="125" t="str">
        <f>IF(AND('Mapa final'!$AB$39="Muy Baja",'Mapa final'!$AD$39="Moderado"),CONCATENATE("R11C",'Mapa final'!$R$39),"")</f>
        <v/>
      </c>
      <c r="S216" s="119" t="str">
        <f>IF(AND('Mapa final'!$AB$37="Muy Baja",'Mapa final'!$AD$37="Mayor"),CONCATENATE("R11C",'Mapa final'!$R$37),"")</f>
        <v/>
      </c>
      <c r="T216" s="44" t="str">
        <f>IF(AND('Mapa final'!$AB$38="Muy Baja",'Mapa final'!$AD$38="Mayor"),CONCATENATE("R11C",'Mapa final'!$R$38),"")</f>
        <v/>
      </c>
      <c r="U216" s="120" t="str">
        <f>IF(AND('Mapa final'!$AB$39="Muy Baja",'Mapa final'!$AD$39="Mayor"),CONCATENATE("R11C",'Mapa final'!$R$39),"")</f>
        <v/>
      </c>
      <c r="V216" s="45" t="str">
        <f>IF(AND('Mapa final'!$AB$37="Muy Baja",'Mapa final'!$AD$37="Catastrófico"),CONCATENATE("R11C",'Mapa final'!$R$37),"")</f>
        <v/>
      </c>
      <c r="W216" s="46" t="str">
        <f>IF(AND('Mapa final'!$AB$38="Muy Baja",'Mapa final'!$AD$38="Catastrófico"),CONCATENATE("R11C",'Mapa final'!$R$38),"")</f>
        <v/>
      </c>
      <c r="X216" s="114" t="str">
        <f>IF(AND('Mapa final'!$AB$39="Muy Baja",'Mapa final'!$AD$39="Catastrófico"),CONCATENATE("R11C",'Mapa final'!$R$39),"")</f>
        <v/>
      </c>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c r="AX216" s="58"/>
      <c r="AY216" s="58"/>
      <c r="AZ216" s="58"/>
      <c r="BA216" s="58"/>
      <c r="BB216" s="58"/>
      <c r="BC216" s="58"/>
      <c r="BD216" s="58"/>
      <c r="BE216" s="58"/>
      <c r="BF216" s="58"/>
      <c r="BG216" s="58"/>
      <c r="BH216" s="58"/>
      <c r="BI216" s="58"/>
      <c r="BJ216" s="58"/>
      <c r="BK216" s="58"/>
      <c r="BL216" s="58"/>
      <c r="BM216" s="58"/>
    </row>
    <row r="217" spans="1:65" ht="15.75" x14ac:dyDescent="0.25">
      <c r="A217" s="58"/>
      <c r="B217" s="356"/>
      <c r="C217" s="356"/>
      <c r="D217" s="357"/>
      <c r="E217" s="369"/>
      <c r="F217" s="370"/>
      <c r="G217" s="370"/>
      <c r="H217" s="370"/>
      <c r="I217" s="370"/>
      <c r="J217" s="129" t="str">
        <f>IF(AND('Mapa final'!$AB$40="Muy Baja",'Mapa final'!$AD$40="Leve"),CONCATENATE("R12C",'Mapa final'!$R$40),"")</f>
        <v/>
      </c>
      <c r="K217" s="56" t="str">
        <f>IF(AND('Mapa final'!$AB$41="Muy Baja",'Mapa final'!$AD$41="Leve"),CONCATENATE("R12C",'Mapa final'!$R$41),"")</f>
        <v>R12C2</v>
      </c>
      <c r="L217" s="130" t="str">
        <f>IF(AND('Mapa final'!$AB$42="Muy Baja",'Mapa final'!$AD$42="Leve"),CONCATENATE("R12C",'Mapa final'!$R$42),"")</f>
        <v>R12C3</v>
      </c>
      <c r="M217" s="129" t="str">
        <f>IF(AND('Mapa final'!$AB$40="Muy Baja",'Mapa final'!$AD$40="Menor"),CONCATENATE("R12C",'Mapa final'!$R$40),"")</f>
        <v/>
      </c>
      <c r="N217" s="56" t="str">
        <f>IF(AND('Mapa final'!$AB$41="Muy Baja",'Mapa final'!$AD$41="Menor"),CONCATENATE("R12C",'Mapa final'!$R$41),"")</f>
        <v/>
      </c>
      <c r="O217" s="130" t="str">
        <f>IF(AND('Mapa final'!$AB$42="Muy Baja",'Mapa final'!$AD$42="Menor"),CONCATENATE("R12C",'Mapa final'!$R$42),"")</f>
        <v/>
      </c>
      <c r="P217" s="51" t="str">
        <f>IF(AND('Mapa final'!$AB$40="Muy Baja",'Mapa final'!$AD$40="Moderado"),CONCATENATE("R12C",'Mapa final'!$R$40),"")</f>
        <v/>
      </c>
      <c r="Q217" s="52" t="str">
        <f>IF(AND('Mapa final'!$AB$41="Muy Baja",'Mapa final'!$AD$41="Moderado"),CONCATENATE("R12C",'Mapa final'!$R$41),"")</f>
        <v/>
      </c>
      <c r="R217" s="125" t="str">
        <f>IF(AND('Mapa final'!$AB$42="Muy Baja",'Mapa final'!$AD$42="Moderado"),CONCATENATE("R12C",'Mapa final'!$R$42),"")</f>
        <v/>
      </c>
      <c r="S217" s="119" t="str">
        <f>IF(AND('Mapa final'!$AB$40="Muy Baja",'Mapa final'!$AD$40="Mayor"),CONCATENATE("R12C",'Mapa final'!$R$40),"")</f>
        <v/>
      </c>
      <c r="T217" s="44" t="str">
        <f>IF(AND('Mapa final'!$AB$41="Muy Baja",'Mapa final'!$AD$41="Mayor"),CONCATENATE("R12C",'Mapa final'!$R$41),"")</f>
        <v/>
      </c>
      <c r="U217" s="120" t="str">
        <f>IF(AND('Mapa final'!$AB$42="Muy Baja",'Mapa final'!$AD$42="Mayor"),CONCATENATE("R12C",'Mapa final'!$R$42),"")</f>
        <v/>
      </c>
      <c r="V217" s="45" t="str">
        <f>IF(AND('Mapa final'!$AB$40="Muy Baja",'Mapa final'!$AD$40="Catastrófico"),CONCATENATE("R12C",'Mapa final'!$R$40),"")</f>
        <v/>
      </c>
      <c r="W217" s="46" t="str">
        <f>IF(AND('Mapa final'!$AB$41="Muy Baja",'Mapa final'!$AD$41="Catastrófico"),CONCATENATE("R12C",'Mapa final'!$R$41),"")</f>
        <v/>
      </c>
      <c r="X217" s="114" t="str">
        <f>IF(AND('Mapa final'!$AB$42="Muy Baja",'Mapa final'!$AD$42="Catastrófico"),CONCATENATE("R12C",'Mapa final'!$R$42),"")</f>
        <v/>
      </c>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8"/>
      <c r="BE217" s="58"/>
      <c r="BF217" s="58"/>
      <c r="BG217" s="58"/>
      <c r="BH217" s="58"/>
      <c r="BI217" s="58"/>
      <c r="BJ217" s="58"/>
      <c r="BK217" s="58"/>
      <c r="BL217" s="58"/>
      <c r="BM217" s="58"/>
    </row>
    <row r="218" spans="1:65" ht="15.75" x14ac:dyDescent="0.25">
      <c r="A218" s="58"/>
      <c r="B218" s="356"/>
      <c r="C218" s="356"/>
      <c r="D218" s="357"/>
      <c r="E218" s="369"/>
      <c r="F218" s="370"/>
      <c r="G218" s="370"/>
      <c r="H218" s="370"/>
      <c r="I218" s="370"/>
      <c r="J218" s="129" t="str">
        <f>IF(AND('Mapa final'!$AB$43="Muy Baja",'Mapa final'!$AD$43="Leve"),CONCATENATE("R13C",'Mapa final'!$R$43),"")</f>
        <v/>
      </c>
      <c r="K218" s="56" t="str">
        <f>IF(AND('Mapa final'!$AB$44="Muy Baja",'Mapa final'!$AD$44="Leve"),CONCATENATE("R13C",'Mapa final'!$R$44),"")</f>
        <v>R13C2</v>
      </c>
      <c r="L218" s="130" t="str">
        <f>IF(AND('Mapa final'!$AB$45="Muy Baja",'Mapa final'!$AD$45="Leve"),CONCATENATE("R13C",'Mapa final'!$R$45),"")</f>
        <v>R13C3</v>
      </c>
      <c r="M218" s="129" t="str">
        <f>IF(AND('Mapa final'!$AB$43="Muy Baja",'Mapa final'!$AD$43="Menor"),CONCATENATE("R13C",'Mapa final'!$R$43),"")</f>
        <v/>
      </c>
      <c r="N218" s="56" t="str">
        <f>IF(AND('Mapa final'!$AB$44="Muy Baja",'Mapa final'!$AD$44="Menor"),CONCATENATE("R13C",'Mapa final'!$R$44),"")</f>
        <v/>
      </c>
      <c r="O218" s="130" t="str">
        <f>IF(AND('Mapa final'!$AB$45="Muy Baja",'Mapa final'!$AD$45="Menor"),CONCATENATE("R13C",'Mapa final'!$R$45),"")</f>
        <v/>
      </c>
      <c r="P218" s="51" t="str">
        <f>IF(AND('Mapa final'!$AB$43="Muy Baja",'Mapa final'!$AD$43="Moderado"),CONCATENATE("R13C",'Mapa final'!$R$43),"")</f>
        <v>R13C1</v>
      </c>
      <c r="Q218" s="52" t="str">
        <f>IF(AND('Mapa final'!$AB$44="Muy Baja",'Mapa final'!$AD$44="Moderado"),CONCATENATE("R13C",'Mapa final'!$R$44),"")</f>
        <v/>
      </c>
      <c r="R218" s="125" t="str">
        <f>IF(AND('Mapa final'!$AB$45="Muy Baja",'Mapa final'!$AD$45="Moderado"),CONCATENATE("R13C",'Mapa final'!$R$45),"")</f>
        <v/>
      </c>
      <c r="S218" s="119" t="str">
        <f>IF(AND('Mapa final'!$AB$43="Muy Baja",'Mapa final'!$AD$43="Mayor"),CONCATENATE("R13C",'Mapa final'!$R$43),"")</f>
        <v/>
      </c>
      <c r="T218" s="44" t="str">
        <f>IF(AND('Mapa final'!$AB$44="Muy Baja",'Mapa final'!$AD$44="Mayor"),CONCATENATE("R13C",'Mapa final'!$R$44),"")</f>
        <v/>
      </c>
      <c r="U218" s="120" t="str">
        <f>IF(AND('Mapa final'!$AB$45="Muy Baja",'Mapa final'!$AD$45="Mayor"),CONCATENATE("R13C",'Mapa final'!$R$45),"")</f>
        <v/>
      </c>
      <c r="V218" s="45" t="str">
        <f>IF(AND('Mapa final'!$AB$43="Muy Baja",'Mapa final'!$AD$43="Catastrófico"),CONCATENATE("R13C",'Mapa final'!$R$43),"")</f>
        <v/>
      </c>
      <c r="W218" s="46" t="str">
        <f>IF(AND('Mapa final'!$AB$44="Muy Baja",'Mapa final'!$AD$44="Catastrófico"),CONCATENATE("R13C",'Mapa final'!$R$44),"")</f>
        <v/>
      </c>
      <c r="X218" s="114" t="str">
        <f>IF(AND('Mapa final'!$AB$45="Muy Baja",'Mapa final'!$AD$45="Catastrófico"),CONCATENATE("R13C",'Mapa final'!$R$45),"")</f>
        <v/>
      </c>
      <c r="Y218" s="58"/>
      <c r="Z218" s="58"/>
      <c r="AA218" s="58"/>
      <c r="AB218" s="58"/>
      <c r="AC218" s="58"/>
      <c r="AD218" s="58"/>
      <c r="AE218" s="58"/>
      <c r="AF218" s="58"/>
      <c r="AG218" s="58"/>
      <c r="AH218" s="58"/>
      <c r="AI218" s="58"/>
      <c r="AJ218" s="58"/>
      <c r="AK218" s="58"/>
      <c r="AL218" s="58"/>
      <c r="AM218" s="58"/>
      <c r="AN218" s="58"/>
      <c r="AO218" s="58"/>
      <c r="AP218" s="58"/>
      <c r="AQ218" s="58"/>
      <c r="AR218" s="58"/>
      <c r="AS218" s="58"/>
      <c r="AT218" s="58"/>
      <c r="AU218" s="58"/>
      <c r="AV218" s="58"/>
      <c r="AW218" s="58"/>
      <c r="AX218" s="58"/>
      <c r="AY218" s="58"/>
      <c r="AZ218" s="58"/>
      <c r="BA218" s="58"/>
      <c r="BB218" s="58"/>
      <c r="BC218" s="58"/>
      <c r="BD218" s="58"/>
      <c r="BE218" s="58"/>
      <c r="BF218" s="58"/>
      <c r="BG218" s="58"/>
      <c r="BH218" s="58"/>
      <c r="BI218" s="58"/>
      <c r="BJ218" s="58"/>
      <c r="BK218" s="58"/>
      <c r="BL218" s="58"/>
      <c r="BM218" s="58"/>
    </row>
    <row r="219" spans="1:65" ht="15.75" x14ac:dyDescent="0.25">
      <c r="A219" s="58"/>
      <c r="B219" s="356"/>
      <c r="C219" s="356"/>
      <c r="D219" s="357"/>
      <c r="E219" s="369"/>
      <c r="F219" s="370"/>
      <c r="G219" s="370"/>
      <c r="H219" s="370"/>
      <c r="I219" s="370"/>
      <c r="J219" s="129" t="e">
        <f>IF(AND('Mapa final'!#REF!="Muy Baja",'Mapa final'!#REF!="Leve"),CONCATENATE("R14C",'Mapa final'!#REF!),"")</f>
        <v>#REF!</v>
      </c>
      <c r="K219" s="56" t="e">
        <f>IF(AND('Mapa final'!#REF!="Muy Baja",'Mapa final'!#REF!="Leve"),CONCATENATE("R14C",'Mapa final'!#REF!),"")</f>
        <v>#REF!</v>
      </c>
      <c r="L219" s="130" t="e">
        <f>IF(AND('Mapa final'!#REF!="Muy Baja",'Mapa final'!#REF!="Leve"),CONCATENATE("R14C",'Mapa final'!#REF!),"")</f>
        <v>#REF!</v>
      </c>
      <c r="M219" s="129" t="e">
        <f>IF(AND('Mapa final'!#REF!="Muy Baja",'Mapa final'!#REF!="Menor"),CONCATENATE("R14C",'Mapa final'!#REF!),"")</f>
        <v>#REF!</v>
      </c>
      <c r="N219" s="56" t="e">
        <f>IF(AND('Mapa final'!#REF!="Muy Baja",'Mapa final'!#REF!="Menor"),CONCATENATE("R14C",'Mapa final'!#REF!),"")</f>
        <v>#REF!</v>
      </c>
      <c r="O219" s="130" t="e">
        <f>IF(AND('Mapa final'!#REF!="Muy Baja",'Mapa final'!#REF!="Menor"),CONCATENATE("R14C",'Mapa final'!#REF!),"")</f>
        <v>#REF!</v>
      </c>
      <c r="P219" s="51" t="e">
        <f>IF(AND('Mapa final'!#REF!="Muy Baja",'Mapa final'!#REF!="Moderado"),CONCATENATE("R14C",'Mapa final'!#REF!),"")</f>
        <v>#REF!</v>
      </c>
      <c r="Q219" s="52" t="e">
        <f>IF(AND('Mapa final'!#REF!="Muy Baja",'Mapa final'!#REF!="Moderado"),CONCATENATE("R14C",'Mapa final'!#REF!),"")</f>
        <v>#REF!</v>
      </c>
      <c r="R219" s="125" t="e">
        <f>IF(AND('Mapa final'!#REF!="Muy Baja",'Mapa final'!#REF!="Moderado"),CONCATENATE("R14C",'Mapa final'!#REF!),"")</f>
        <v>#REF!</v>
      </c>
      <c r="S219" s="119" t="e">
        <f>IF(AND('Mapa final'!#REF!="Muy Baja",'Mapa final'!#REF!="Mayor"),CONCATENATE("R14C",'Mapa final'!#REF!),"")</f>
        <v>#REF!</v>
      </c>
      <c r="T219" s="44" t="e">
        <f>IF(AND('Mapa final'!#REF!="Muy Baja",'Mapa final'!#REF!="Mayor"),CONCATENATE("R14C",'Mapa final'!#REF!),"")</f>
        <v>#REF!</v>
      </c>
      <c r="U219" s="120" t="e">
        <f>IF(AND('Mapa final'!#REF!="Muy Baja",'Mapa final'!#REF!="Mayor"),CONCATENATE("R14C",'Mapa final'!#REF!),"")</f>
        <v>#REF!</v>
      </c>
      <c r="V219" s="45" t="e">
        <f>IF(AND('Mapa final'!#REF!="Muy Baja",'Mapa final'!#REF!="Catastrófico"),CONCATENATE("R14C",'Mapa final'!#REF!),"")</f>
        <v>#REF!</v>
      </c>
      <c r="W219" s="46" t="e">
        <f>IF(AND('Mapa final'!#REF!="Muy Baja",'Mapa final'!#REF!="Catastrófico"),CONCATENATE("R14C",'Mapa final'!#REF!),"")</f>
        <v>#REF!</v>
      </c>
      <c r="X219" s="114" t="e">
        <f>IF(AND('Mapa final'!#REF!="Muy Baja",'Mapa final'!#REF!="Catastrófico"),CONCATENATE("R14C",'Mapa final'!#REF!),"")</f>
        <v>#REF!</v>
      </c>
      <c r="Y219" s="58"/>
      <c r="Z219" s="58"/>
      <c r="AA219" s="58"/>
      <c r="AB219" s="58"/>
      <c r="AC219" s="58"/>
      <c r="AD219" s="58"/>
      <c r="AE219" s="58"/>
      <c r="AF219" s="58"/>
      <c r="AG219" s="58"/>
      <c r="AH219" s="58"/>
      <c r="AI219" s="58"/>
      <c r="AJ219" s="58"/>
      <c r="AK219" s="58"/>
      <c r="AL219" s="58"/>
      <c r="AM219" s="58"/>
      <c r="AN219" s="58"/>
      <c r="AO219" s="58"/>
      <c r="AP219" s="58"/>
      <c r="AQ219" s="58"/>
      <c r="AR219" s="58"/>
      <c r="AS219" s="58"/>
      <c r="AT219" s="58"/>
      <c r="AU219" s="58"/>
      <c r="AV219" s="58"/>
      <c r="AW219" s="58"/>
      <c r="AX219" s="58"/>
      <c r="AY219" s="58"/>
      <c r="AZ219" s="58"/>
      <c r="BA219" s="58"/>
      <c r="BB219" s="58"/>
      <c r="BC219" s="58"/>
      <c r="BD219" s="58"/>
      <c r="BE219" s="58"/>
      <c r="BF219" s="58"/>
      <c r="BG219" s="58"/>
      <c r="BH219" s="58"/>
      <c r="BI219" s="58"/>
      <c r="BJ219" s="58"/>
      <c r="BK219" s="58"/>
      <c r="BL219" s="58"/>
      <c r="BM219" s="58"/>
    </row>
    <row r="220" spans="1:65" ht="15.75" x14ac:dyDescent="0.25">
      <c r="A220" s="58"/>
      <c r="B220" s="356"/>
      <c r="C220" s="356"/>
      <c r="D220" s="357"/>
      <c r="E220" s="369"/>
      <c r="F220" s="370"/>
      <c r="G220" s="370"/>
      <c r="H220" s="370"/>
      <c r="I220" s="370"/>
      <c r="J220" s="129" t="str">
        <f>IF(AND('Mapa final'!$AB$46="Muy Baja",'Mapa final'!$AD$46="Leve"),CONCATENATE("R15C",'Mapa final'!$R$46),"")</f>
        <v/>
      </c>
      <c r="K220" s="56" t="str">
        <f>IF(AND('Mapa final'!$AB$47="Muy Baja",'Mapa final'!$AD$47="Leve"),CONCATENATE("R15C",'Mapa final'!$R$47),"")</f>
        <v>R15C2</v>
      </c>
      <c r="L220" s="130" t="str">
        <f>IF(AND('Mapa final'!$AB$48="Muy Baja",'Mapa final'!$AD$48="Leve"),CONCATENATE("R15C",'Mapa final'!$R$48),"")</f>
        <v>R15C3</v>
      </c>
      <c r="M220" s="129" t="str">
        <f>IF(AND('Mapa final'!$AB$46="Muy Baja",'Mapa final'!$AD$46="Menor"),CONCATENATE("R15C",'Mapa final'!$R$46),"")</f>
        <v/>
      </c>
      <c r="N220" s="56" t="str">
        <f>IF(AND('Mapa final'!$AB$47="Muy Baja",'Mapa final'!$AD$47="Menor"),CONCATENATE("R15C",'Mapa final'!$R$47),"")</f>
        <v/>
      </c>
      <c r="O220" s="130" t="str">
        <f>IF(AND('Mapa final'!$AB$48="Muy Baja",'Mapa final'!$AD$48="Menor"),CONCATENATE("R15C",'Mapa final'!$R$48),"")</f>
        <v/>
      </c>
      <c r="P220" s="51" t="str">
        <f>IF(AND('Mapa final'!$AB$46="Muy Baja",'Mapa final'!$AD$46="Moderado"),CONCATENATE("R15C",'Mapa final'!$R$46),"")</f>
        <v/>
      </c>
      <c r="Q220" s="52" t="str">
        <f>IF(AND('Mapa final'!$AB$47="Muy Baja",'Mapa final'!$AD$47="Moderado"),CONCATENATE("R15C",'Mapa final'!$R$47),"")</f>
        <v/>
      </c>
      <c r="R220" s="125" t="str">
        <f>IF(AND('Mapa final'!$AB$48="Muy Baja",'Mapa final'!$AD$48="Moderado"),CONCATENATE("R15C",'Mapa final'!$R$48),"")</f>
        <v/>
      </c>
      <c r="S220" s="119" t="str">
        <f>IF(AND('Mapa final'!$AB$46="Muy Baja",'Mapa final'!$AD$46="Mayor"),CONCATENATE("R15C",'Mapa final'!$R$46),"")</f>
        <v/>
      </c>
      <c r="T220" s="44" t="str">
        <f>IF(AND('Mapa final'!$AB$47="Muy Baja",'Mapa final'!$AD$47="Mayor"),CONCATENATE("R15C",'Mapa final'!$R$47),"")</f>
        <v/>
      </c>
      <c r="U220" s="120" t="str">
        <f>IF(AND('Mapa final'!$AB$48="Muy Baja",'Mapa final'!$AD$48="Mayor"),CONCATENATE("R15C",'Mapa final'!$R$48),"")</f>
        <v/>
      </c>
      <c r="V220" s="45" t="str">
        <f>IF(AND('Mapa final'!$AB$46="Muy Baja",'Mapa final'!$AD$46="Catastrófico"),CONCATENATE("R15C",'Mapa final'!$R$46),"")</f>
        <v/>
      </c>
      <c r="W220" s="46" t="str">
        <f>IF(AND('Mapa final'!$AB$47="Muy Baja",'Mapa final'!$AD$47="Catastrófico"),CONCATENATE("R15C",'Mapa final'!$R$47),"")</f>
        <v/>
      </c>
      <c r="X220" s="114" t="str">
        <f>IF(AND('Mapa final'!$AB$48="Muy Baja",'Mapa final'!$AD$48="Catastrófico"),CONCATENATE("R15C",'Mapa final'!$R$48),"")</f>
        <v/>
      </c>
      <c r="Y220" s="58"/>
      <c r="Z220" s="58"/>
      <c r="AA220" s="58"/>
      <c r="AB220" s="58"/>
      <c r="AC220" s="58"/>
      <c r="AD220" s="58"/>
      <c r="AE220" s="58"/>
      <c r="AF220" s="58"/>
      <c r="AG220" s="58"/>
      <c r="AH220" s="58"/>
      <c r="AI220" s="58"/>
      <c r="AJ220" s="58"/>
      <c r="AK220" s="58"/>
      <c r="AL220" s="58"/>
      <c r="AM220" s="58"/>
      <c r="AN220" s="58"/>
      <c r="AO220" s="58"/>
      <c r="AP220" s="58"/>
      <c r="AQ220" s="58"/>
      <c r="AR220" s="58"/>
      <c r="AS220" s="58"/>
      <c r="AT220" s="58"/>
      <c r="AU220" s="58"/>
      <c r="AV220" s="58"/>
      <c r="AW220" s="58"/>
      <c r="AX220" s="58"/>
      <c r="AY220" s="58"/>
      <c r="AZ220" s="58"/>
      <c r="BA220" s="58"/>
      <c r="BB220" s="58"/>
      <c r="BC220" s="58"/>
      <c r="BD220" s="58"/>
      <c r="BE220" s="58"/>
      <c r="BF220" s="58"/>
      <c r="BG220" s="58"/>
      <c r="BH220" s="58"/>
      <c r="BI220" s="58"/>
      <c r="BJ220" s="58"/>
      <c r="BK220" s="58"/>
      <c r="BL220" s="58"/>
      <c r="BM220" s="58"/>
    </row>
    <row r="221" spans="1:65" ht="15.75" x14ac:dyDescent="0.25">
      <c r="A221" s="58"/>
      <c r="B221" s="356"/>
      <c r="C221" s="356"/>
      <c r="D221" s="357"/>
      <c r="E221" s="369"/>
      <c r="F221" s="370"/>
      <c r="G221" s="370"/>
      <c r="H221" s="370"/>
      <c r="I221" s="370"/>
      <c r="J221" s="129" t="str">
        <f>IF(AND('Mapa final'!$AB$49="Muy Baja",'Mapa final'!$AD$49="Leve"),CONCATENATE("R16C",'Mapa final'!$R$49),"")</f>
        <v/>
      </c>
      <c r="K221" s="56" t="str">
        <f>IF(AND('Mapa final'!$AB$50="Muy Baja",'Mapa final'!$AD$50="Leve"),CONCATENATE("R16C",'Mapa final'!$R$50),"")</f>
        <v>R16C2</v>
      </c>
      <c r="L221" s="130" t="str">
        <f>IF(AND('Mapa final'!$AB$51="Muy Baja",'Mapa final'!$AD$51="Leve"),CONCATENATE("R16C",'Mapa final'!$R$51),"")</f>
        <v>R16C3</v>
      </c>
      <c r="M221" s="129" t="str">
        <f>IF(AND('Mapa final'!$AB$49="Muy Baja",'Mapa final'!$AD$49="Menor"),CONCATENATE("R16C",'Mapa final'!$R$49),"")</f>
        <v/>
      </c>
      <c r="N221" s="56" t="str">
        <f>IF(AND('Mapa final'!$AB$50="Muy Baja",'Mapa final'!$AD$50="Menor"),CONCATENATE("R16C",'Mapa final'!$R$50),"")</f>
        <v/>
      </c>
      <c r="O221" s="130" t="str">
        <f>IF(AND('Mapa final'!$AB$51="Muy Baja",'Mapa final'!$AD$51="Menor"),CONCATENATE("R16C",'Mapa final'!$R$51),"")</f>
        <v/>
      </c>
      <c r="P221" s="51" t="str">
        <f>IF(AND('Mapa final'!$AB$49="Muy Baja",'Mapa final'!$AD$49="Moderado"),CONCATENATE("R16C",'Mapa final'!$R$49),"")</f>
        <v/>
      </c>
      <c r="Q221" s="52" t="str">
        <f>IF(AND('Mapa final'!$AB$50="Muy Baja",'Mapa final'!$AD$50="Moderado"),CONCATENATE("R16C",'Mapa final'!$R$50),"")</f>
        <v/>
      </c>
      <c r="R221" s="125" t="str">
        <f>IF(AND('Mapa final'!$AB$51="Muy Baja",'Mapa final'!$AD$51="Moderado"),CONCATENATE("R16C",'Mapa final'!$R$51),"")</f>
        <v/>
      </c>
      <c r="S221" s="119" t="str">
        <f>IF(AND('Mapa final'!$AB$49="Muy Baja",'Mapa final'!$AD$49="Mayor"),CONCATENATE("R16C",'Mapa final'!$R$49),"")</f>
        <v/>
      </c>
      <c r="T221" s="44" t="str">
        <f>IF(AND('Mapa final'!$AB$50="Muy Baja",'Mapa final'!$AD$50="Mayor"),CONCATENATE("R16C",'Mapa final'!$R$50),"")</f>
        <v/>
      </c>
      <c r="U221" s="120" t="str">
        <f>IF(AND('Mapa final'!$AB$51="Muy Baja",'Mapa final'!$AD$51="Mayor"),CONCATENATE("R16C",'Mapa final'!$R$51),"")</f>
        <v/>
      </c>
      <c r="V221" s="45" t="str">
        <f>IF(AND('Mapa final'!$AB$49="Muy Baja",'Mapa final'!$AD$49="Catastrófico"),CONCATENATE("R16C",'Mapa final'!$R$49),"")</f>
        <v/>
      </c>
      <c r="W221" s="46" t="str">
        <f>IF(AND('Mapa final'!$AB$50="Muy Baja",'Mapa final'!$AD$50="Catastrófico"),CONCATENATE("R16C",'Mapa final'!$R$50),"")</f>
        <v/>
      </c>
      <c r="X221" s="114" t="str">
        <f>IF(AND('Mapa final'!$AB$51="Muy Baja",'Mapa final'!$AD$51="Catastrófico"),CONCATENATE("R16C",'Mapa final'!$R$51),"")</f>
        <v/>
      </c>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58"/>
    </row>
    <row r="222" spans="1:65" ht="15.75" x14ac:dyDescent="0.25">
      <c r="A222" s="58"/>
      <c r="B222" s="356"/>
      <c r="C222" s="356"/>
      <c r="D222" s="357"/>
      <c r="E222" s="369"/>
      <c r="F222" s="370"/>
      <c r="G222" s="370"/>
      <c r="H222" s="370"/>
      <c r="I222" s="370"/>
      <c r="J222" s="129" t="str">
        <f>IF(AND('Mapa final'!$AB$52="Muy Baja",'Mapa final'!$AD$52="Leve"),CONCATENATE("R17C",'Mapa final'!$R$52),"")</f>
        <v/>
      </c>
      <c r="K222" s="56" t="str">
        <f>IF(AND('Mapa final'!$AB$53="Muy Baja",'Mapa final'!$AD$53="Leve"),CONCATENATE("R17C",'Mapa final'!$R$53),"")</f>
        <v>R17C2</v>
      </c>
      <c r="L222" s="130" t="str">
        <f>IF(AND('Mapa final'!$AB$54="Muy Baja",'Mapa final'!$AD$54="Leve"),CONCATENATE("R17C",'Mapa final'!$R$54),"")</f>
        <v>R17C3</v>
      </c>
      <c r="M222" s="129" t="str">
        <f>IF(AND('Mapa final'!$AB$52="Muy Baja",'Mapa final'!$AD$52="Menor"),CONCATENATE("R17C",'Mapa final'!$R$52),"")</f>
        <v/>
      </c>
      <c r="N222" s="56" t="str">
        <f>IF(AND('Mapa final'!$AB$53="Muy Baja",'Mapa final'!$AD$53="Menor"),CONCATENATE("R17C",'Mapa final'!$R$53),"")</f>
        <v/>
      </c>
      <c r="O222" s="130" t="str">
        <f>IF(AND('Mapa final'!$AB$54="Muy Baja",'Mapa final'!$AD$54="Menor"),CONCATENATE("R17C",'Mapa final'!$R$54),"")</f>
        <v/>
      </c>
      <c r="P222" s="51" t="str">
        <f>IF(AND('Mapa final'!$AB$52="Muy Baja",'Mapa final'!$AD$52="Moderado"),CONCATENATE("R17C",'Mapa final'!$R$52),"")</f>
        <v/>
      </c>
      <c r="Q222" s="52" t="str">
        <f>IF(AND('Mapa final'!$AB$53="Muy Baja",'Mapa final'!$AD$53="Moderado"),CONCATENATE("R17C",'Mapa final'!$R$53),"")</f>
        <v/>
      </c>
      <c r="R222" s="125" t="str">
        <f>IF(AND('Mapa final'!$AB$54="Muy Baja",'Mapa final'!$AD$54="Moderado"),CONCATENATE("R17C",'Mapa final'!$R$54),"")</f>
        <v/>
      </c>
      <c r="S222" s="119" t="str">
        <f>IF(AND('Mapa final'!$AB$52="Muy Baja",'Mapa final'!$AD$52="Mayor"),CONCATENATE("R17C",'Mapa final'!$R$52),"")</f>
        <v/>
      </c>
      <c r="T222" s="44" t="str">
        <f>IF(AND('Mapa final'!$AB$53="Muy Baja",'Mapa final'!$AD$53="Mayor"),CONCATENATE("R17C",'Mapa final'!$R$53),"")</f>
        <v/>
      </c>
      <c r="U222" s="120" t="str">
        <f>IF(AND('Mapa final'!$AB$54="Muy Baja",'Mapa final'!$AD$54="Mayor"),CONCATENATE("R17C",'Mapa final'!$R$54),"")</f>
        <v/>
      </c>
      <c r="V222" s="45" t="str">
        <f>IF(AND('Mapa final'!$AB$52="Muy Baja",'Mapa final'!$AD$52="Catastrófico"),CONCATENATE("R17C",'Mapa final'!$R$52),"")</f>
        <v/>
      </c>
      <c r="W222" s="46" t="str">
        <f>IF(AND('Mapa final'!$AB$53="Muy Baja",'Mapa final'!$AD$53="Catastrófico"),CONCATENATE("R17C",'Mapa final'!$R$53),"")</f>
        <v/>
      </c>
      <c r="X222" s="114" t="str">
        <f>IF(AND('Mapa final'!$AB$54="Muy Baja",'Mapa final'!$AD$54="Catastrófico"),CONCATENATE("R17C",'Mapa final'!$R$54),"")</f>
        <v/>
      </c>
      <c r="Y222" s="58"/>
      <c r="Z222" s="58"/>
      <c r="AA222" s="58"/>
      <c r="AB222" s="58"/>
      <c r="AC222" s="58"/>
      <c r="AD222" s="58"/>
      <c r="AE222" s="58"/>
      <c r="AF222" s="58"/>
      <c r="AG222" s="58"/>
      <c r="AH222" s="58"/>
      <c r="AI222" s="58"/>
      <c r="AJ222" s="58"/>
      <c r="AK222" s="58"/>
      <c r="AL222" s="58"/>
      <c r="AM222" s="58"/>
      <c r="AN222" s="58"/>
      <c r="AO222" s="58"/>
      <c r="AP222" s="58"/>
      <c r="AQ222" s="58"/>
      <c r="AR222" s="58"/>
      <c r="AS222" s="58"/>
      <c r="AT222" s="58"/>
      <c r="AU222" s="58"/>
      <c r="AV222" s="58"/>
      <c r="AW222" s="58"/>
      <c r="AX222" s="58"/>
      <c r="AY222" s="58"/>
      <c r="AZ222" s="58"/>
      <c r="BA222" s="58"/>
      <c r="BB222" s="58"/>
      <c r="BC222" s="58"/>
      <c r="BD222" s="58"/>
      <c r="BE222" s="58"/>
      <c r="BF222" s="58"/>
      <c r="BG222" s="58"/>
      <c r="BH222" s="58"/>
      <c r="BI222" s="58"/>
      <c r="BJ222" s="58"/>
      <c r="BK222" s="58"/>
      <c r="BL222" s="58"/>
      <c r="BM222" s="58"/>
    </row>
    <row r="223" spans="1:65" ht="15.75" x14ac:dyDescent="0.25">
      <c r="A223" s="58"/>
      <c r="B223" s="356"/>
      <c r="C223" s="356"/>
      <c r="D223" s="357"/>
      <c r="E223" s="369"/>
      <c r="F223" s="370"/>
      <c r="G223" s="370"/>
      <c r="H223" s="370"/>
      <c r="I223" s="370"/>
      <c r="J223" s="129" t="str">
        <f>IF(AND('Mapa final'!$AB$55="Muy Baja",'Mapa final'!$AD$55="Leve"),CONCATENATE("R18C",'Mapa final'!$R$55),"")</f>
        <v/>
      </c>
      <c r="K223" s="56" t="str">
        <f>IF(AND('Mapa final'!$AB$56="Muy Baja",'Mapa final'!$AD$56="Leve"),CONCATENATE("R18C",'Mapa final'!$R$56),"")</f>
        <v>R18C2</v>
      </c>
      <c r="L223" s="130" t="str">
        <f>IF(AND('Mapa final'!$AB$57="Muy Baja",'Mapa final'!$AD$57="Leve"),CONCATENATE("R18C",'Mapa final'!$R$57),"")</f>
        <v>R18C3</v>
      </c>
      <c r="M223" s="129" t="str">
        <f>IF(AND('Mapa final'!$AB$55="Muy Baja",'Mapa final'!$AD$55="Menor"),CONCATENATE("R18C",'Mapa final'!$R$55),"")</f>
        <v/>
      </c>
      <c r="N223" s="56" t="str">
        <f>IF(AND('Mapa final'!$AB$56="Muy Baja",'Mapa final'!$AD$56="Menor"),CONCATENATE("R18C",'Mapa final'!$R$56),"")</f>
        <v/>
      </c>
      <c r="O223" s="130" t="str">
        <f>IF(AND('Mapa final'!$AB$57="Muy Baja",'Mapa final'!$AD$57="Menor"),CONCATENATE("R18C",'Mapa final'!$R$57),"")</f>
        <v/>
      </c>
      <c r="P223" s="51" t="str">
        <f>IF(AND('Mapa final'!$AB$55="Muy Baja",'Mapa final'!$AD$55="Moderado"),CONCATENATE("R18C",'Mapa final'!$R$55),"")</f>
        <v/>
      </c>
      <c r="Q223" s="52" t="str">
        <f>IF(AND('Mapa final'!$AB$56="Muy Baja",'Mapa final'!$AD$56="Moderado"),CONCATENATE("R18C",'Mapa final'!$R$56),"")</f>
        <v/>
      </c>
      <c r="R223" s="125" t="str">
        <f>IF(AND('Mapa final'!$AB$57="Muy Baja",'Mapa final'!$AD$57="Moderado"),CONCATENATE("R18C",'Mapa final'!$R$57),"")</f>
        <v/>
      </c>
      <c r="S223" s="119" t="str">
        <f>IF(AND('Mapa final'!$AB$55="Muy Baja",'Mapa final'!$AD$55="Mayor"),CONCATENATE("R18C",'Mapa final'!$R$55),"")</f>
        <v/>
      </c>
      <c r="T223" s="44" t="str">
        <f>IF(AND('Mapa final'!$AB$56="Muy Baja",'Mapa final'!$AD$56="Mayor"),CONCATENATE("R18C",'Mapa final'!$R$56),"")</f>
        <v/>
      </c>
      <c r="U223" s="120" t="str">
        <f>IF(AND('Mapa final'!$AB$57="Muy Baja",'Mapa final'!$AD$57="Mayor"),CONCATENATE("R18C",'Mapa final'!$R$57),"")</f>
        <v/>
      </c>
      <c r="V223" s="45" t="str">
        <f>IF(AND('Mapa final'!$AB$55="Muy Baja",'Mapa final'!$AD$55="Catastrófico"),CONCATENATE("R18C",'Mapa final'!$R$55),"")</f>
        <v/>
      </c>
      <c r="W223" s="46" t="str">
        <f>IF(AND('Mapa final'!$AB$56="Muy Baja",'Mapa final'!$AD$56="Catastrófico"),CONCATENATE("R18C",'Mapa final'!$R$56),"")</f>
        <v/>
      </c>
      <c r="X223" s="114" t="str">
        <f>IF(AND('Mapa final'!$AB$57="Muy Baja",'Mapa final'!$AD$57="Catastrófico"),CONCATENATE("R18C",'Mapa final'!$R$57),"")</f>
        <v/>
      </c>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c r="AX223" s="58"/>
      <c r="AY223" s="58"/>
      <c r="AZ223" s="58"/>
      <c r="BA223" s="58"/>
      <c r="BB223" s="58"/>
      <c r="BC223" s="58"/>
      <c r="BD223" s="58"/>
      <c r="BE223" s="58"/>
      <c r="BF223" s="58"/>
      <c r="BG223" s="58"/>
      <c r="BH223" s="58"/>
      <c r="BI223" s="58"/>
      <c r="BJ223" s="58"/>
      <c r="BK223" s="58"/>
      <c r="BL223" s="58"/>
      <c r="BM223" s="58"/>
    </row>
    <row r="224" spans="1:65" ht="15.75" x14ac:dyDescent="0.25">
      <c r="A224" s="58"/>
      <c r="B224" s="356"/>
      <c r="C224" s="356"/>
      <c r="D224" s="357"/>
      <c r="E224" s="369"/>
      <c r="F224" s="370"/>
      <c r="G224" s="370"/>
      <c r="H224" s="370"/>
      <c r="I224" s="370"/>
      <c r="J224" s="129" t="str">
        <f>IF(AND('Mapa final'!$AB$58="Muy Baja",'Mapa final'!$AD$58="Leve"),CONCATENATE("R19C",'Mapa final'!$R$58),"")</f>
        <v/>
      </c>
      <c r="K224" s="56" t="str">
        <f>IF(AND('Mapa final'!$AB$59="Muy Baja",'Mapa final'!$AD$59="Leve"),CONCATENATE("R19C",'Mapa final'!$R$59),"")</f>
        <v>R19C2</v>
      </c>
      <c r="L224" s="130" t="str">
        <f>IF(AND('Mapa final'!$AB$60="Muy Baja",'Mapa final'!$AD$60="Leve"),CONCATENATE("R19C",'Mapa final'!$R$60),"")</f>
        <v>R19C3</v>
      </c>
      <c r="M224" s="129" t="str">
        <f>IF(AND('Mapa final'!$AB$58="Muy Baja",'Mapa final'!$AD$58="Menor"),CONCATENATE("R19C",'Mapa final'!$R$58),"")</f>
        <v/>
      </c>
      <c r="N224" s="56" t="str">
        <f>IF(AND('Mapa final'!$AB$59="Muy Baja",'Mapa final'!$AD$59="Menor"),CONCATENATE("R19C",'Mapa final'!$R$59),"")</f>
        <v/>
      </c>
      <c r="O224" s="130" t="str">
        <f>IF(AND('Mapa final'!$AB$60="Muy Baja",'Mapa final'!$AD$60="Menor"),CONCATENATE("R19C",'Mapa final'!$R$60),"")</f>
        <v/>
      </c>
      <c r="P224" s="51" t="str">
        <f>IF(AND('Mapa final'!$AB$58="Muy Baja",'Mapa final'!$AD$58="Moderado"),CONCATENATE("R19C",'Mapa final'!$R$58),"")</f>
        <v/>
      </c>
      <c r="Q224" s="52" t="str">
        <f>IF(AND('Mapa final'!$AB$59="Muy Baja",'Mapa final'!$AD$59="Moderado"),CONCATENATE("R19C",'Mapa final'!$R$59),"")</f>
        <v/>
      </c>
      <c r="R224" s="125" t="str">
        <f>IF(AND('Mapa final'!$AB$60="Muy Baja",'Mapa final'!$AD$60="Moderado"),CONCATENATE("R19C",'Mapa final'!$R$60),"")</f>
        <v/>
      </c>
      <c r="S224" s="119" t="str">
        <f>IF(AND('Mapa final'!$AB$58="Muy Baja",'Mapa final'!$AD$58="Mayor"),CONCATENATE("R19C",'Mapa final'!$R$58),"")</f>
        <v/>
      </c>
      <c r="T224" s="44" t="str">
        <f>IF(AND('Mapa final'!$AB$59="Muy Baja",'Mapa final'!$AD$59="Mayor"),CONCATENATE("R19C",'Mapa final'!$R$59),"")</f>
        <v/>
      </c>
      <c r="U224" s="120" t="str">
        <f>IF(AND('Mapa final'!$AB$60="Muy Baja",'Mapa final'!$AD$60="Mayor"),CONCATENATE("R19C",'Mapa final'!$R$60),"")</f>
        <v/>
      </c>
      <c r="V224" s="45" t="str">
        <f>IF(AND('Mapa final'!$AB$58="Muy Baja",'Mapa final'!$AD$58="Catastrófico"),CONCATENATE("R19C",'Mapa final'!$R$58),"")</f>
        <v/>
      </c>
      <c r="W224" s="46" t="str">
        <f>IF(AND('Mapa final'!$AB$59="Muy Baja",'Mapa final'!$AD$59="Catastrófico"),CONCATENATE("R19C",'Mapa final'!$R$59),"")</f>
        <v/>
      </c>
      <c r="X224" s="114" t="str">
        <f>IF(AND('Mapa final'!$AB$60="Muy Baja",'Mapa final'!$AD$60="Catastrófico"),CONCATENATE("R19C",'Mapa final'!$R$60),"")</f>
        <v/>
      </c>
      <c r="Y224" s="58"/>
      <c r="Z224" s="58"/>
      <c r="AA224" s="58"/>
      <c r="AB224" s="58"/>
      <c r="AC224" s="58"/>
      <c r="AD224" s="58"/>
      <c r="AE224" s="58"/>
      <c r="AF224" s="58"/>
      <c r="AG224" s="58"/>
      <c r="AH224" s="58"/>
      <c r="AI224" s="58"/>
      <c r="AJ224" s="58"/>
      <c r="AK224" s="58"/>
      <c r="AL224" s="58"/>
      <c r="AM224" s="58"/>
      <c r="AN224" s="58"/>
      <c r="AO224" s="58"/>
      <c r="AP224" s="58"/>
      <c r="AQ224" s="58"/>
      <c r="AR224" s="58"/>
      <c r="AS224" s="58"/>
      <c r="AT224" s="58"/>
      <c r="AU224" s="58"/>
      <c r="AV224" s="58"/>
      <c r="AW224" s="58"/>
      <c r="AX224" s="58"/>
      <c r="AY224" s="58"/>
      <c r="AZ224" s="58"/>
      <c r="BA224" s="58"/>
      <c r="BB224" s="58"/>
      <c r="BC224" s="58"/>
      <c r="BD224" s="58"/>
      <c r="BE224" s="58"/>
      <c r="BF224" s="58"/>
      <c r="BG224" s="58"/>
      <c r="BH224" s="58"/>
      <c r="BI224" s="58"/>
      <c r="BJ224" s="58"/>
      <c r="BK224" s="58"/>
      <c r="BL224" s="58"/>
      <c r="BM224" s="58"/>
    </row>
    <row r="225" spans="1:65" ht="15.75" x14ac:dyDescent="0.25">
      <c r="A225" s="58"/>
      <c r="B225" s="356"/>
      <c r="C225" s="356"/>
      <c r="D225" s="357"/>
      <c r="E225" s="369"/>
      <c r="F225" s="370"/>
      <c r="G225" s="370"/>
      <c r="H225" s="370"/>
      <c r="I225" s="370"/>
      <c r="J225" s="129" t="str">
        <f>IF(AND('Mapa final'!$AB$61="Muy Baja",'Mapa final'!$AD$61="Leve"),CONCATENATE("R20C",'Mapa final'!$R$61),"")</f>
        <v/>
      </c>
      <c r="K225" s="56" t="str">
        <f>IF(AND('Mapa final'!$AB$62="Muy Baja",'Mapa final'!$AD$62="Leve"),CONCATENATE("R20C",'Mapa final'!$R$62),"")</f>
        <v>R20C2</v>
      </c>
      <c r="L225" s="130" t="str">
        <f>IF(AND('Mapa final'!$AB$63="Muy Baja",'Mapa final'!$AD$63="Leve"),CONCATENATE("R20C",'Mapa final'!$R$63),"")</f>
        <v>R20C3</v>
      </c>
      <c r="M225" s="129" t="str">
        <f>IF(AND('Mapa final'!$AB$61="Muy Baja",'Mapa final'!$AD$61="Menor"),CONCATENATE("R20C",'Mapa final'!$R$61),"")</f>
        <v/>
      </c>
      <c r="N225" s="56" t="str">
        <f>IF(AND('Mapa final'!$AB$62="Muy Baja",'Mapa final'!$AD$62="Menor"),CONCATENATE("R20C",'Mapa final'!$R$62),"")</f>
        <v/>
      </c>
      <c r="O225" s="130" t="str">
        <f>IF(AND('Mapa final'!$AB$63="Muy Baja",'Mapa final'!$AD$63="Menor"),CONCATENATE("R20C",'Mapa final'!$R$63),"")</f>
        <v/>
      </c>
      <c r="P225" s="51" t="str">
        <f>IF(AND('Mapa final'!$AB$61="Muy Baja",'Mapa final'!$AD$61="Moderado"),CONCATENATE("R20C",'Mapa final'!$R$61),"")</f>
        <v/>
      </c>
      <c r="Q225" s="52" t="str">
        <f>IF(AND('Mapa final'!$AB$62="Muy Baja",'Mapa final'!$AD$62="Moderado"),CONCATENATE("R20C",'Mapa final'!$R$62),"")</f>
        <v/>
      </c>
      <c r="R225" s="125" t="str">
        <f>IF(AND('Mapa final'!$AB$63="Muy Baja",'Mapa final'!$AD$63="Moderado"),CONCATENATE("R20C",'Mapa final'!$R$63),"")</f>
        <v/>
      </c>
      <c r="S225" s="119" t="str">
        <f>IF(AND('Mapa final'!$AB$61="Muy Baja",'Mapa final'!$AD$61="Mayor"),CONCATENATE("R20C",'Mapa final'!$R$61),"")</f>
        <v/>
      </c>
      <c r="T225" s="44" t="str">
        <f>IF(AND('Mapa final'!$AB$62="Muy Baja",'Mapa final'!$AD$62="Mayor"),CONCATENATE("R20C",'Mapa final'!$R$62),"")</f>
        <v/>
      </c>
      <c r="U225" s="120" t="str">
        <f>IF(AND('Mapa final'!$AB$63="Muy Baja",'Mapa final'!$AD$63="Mayor"),CONCATENATE("R20C",'Mapa final'!$R$63),"")</f>
        <v/>
      </c>
      <c r="V225" s="45" t="str">
        <f>IF(AND('Mapa final'!$AB$61="Muy Baja",'Mapa final'!$AD$61="Catastrófico"),CONCATENATE("R20C",'Mapa final'!$R$61),"")</f>
        <v/>
      </c>
      <c r="W225" s="46" t="str">
        <f>IF(AND('Mapa final'!$AB$62="Muy Baja",'Mapa final'!$AD$62="Catastrófico"),CONCATENATE("R20C",'Mapa final'!$R$62),"")</f>
        <v/>
      </c>
      <c r="X225" s="114" t="str">
        <f>IF(AND('Mapa final'!$AB$63="Muy Baja",'Mapa final'!$AD$63="Catastrófico"),CONCATENATE("R20C",'Mapa final'!$R$63),"")</f>
        <v/>
      </c>
      <c r="Y225" s="58"/>
      <c r="Z225" s="58"/>
      <c r="AA225" s="58"/>
      <c r="AB225" s="58"/>
      <c r="AC225" s="58"/>
      <c r="AD225" s="58"/>
      <c r="AE225" s="58"/>
      <c r="AF225" s="58"/>
      <c r="AG225" s="58"/>
      <c r="AH225" s="58"/>
      <c r="AI225" s="58"/>
      <c r="AJ225" s="58"/>
      <c r="AK225" s="58"/>
      <c r="AL225" s="58"/>
      <c r="AM225" s="58"/>
      <c r="AN225" s="58"/>
      <c r="AO225" s="58"/>
      <c r="AP225" s="58"/>
      <c r="AQ225" s="58"/>
      <c r="AR225" s="58"/>
      <c r="AS225" s="58"/>
      <c r="AT225" s="58"/>
      <c r="AU225" s="58"/>
      <c r="AV225" s="58"/>
      <c r="AW225" s="58"/>
      <c r="AX225" s="58"/>
      <c r="AY225" s="58"/>
      <c r="AZ225" s="58"/>
      <c r="BA225" s="58"/>
      <c r="BB225" s="58"/>
      <c r="BC225" s="58"/>
      <c r="BD225" s="58"/>
      <c r="BE225" s="58"/>
      <c r="BF225" s="58"/>
      <c r="BG225" s="58"/>
      <c r="BH225" s="58"/>
      <c r="BI225" s="58"/>
      <c r="BJ225" s="58"/>
      <c r="BK225" s="58"/>
      <c r="BL225" s="58"/>
      <c r="BM225" s="58"/>
    </row>
    <row r="226" spans="1:65" ht="15.75" x14ac:dyDescent="0.25">
      <c r="A226" s="58"/>
      <c r="B226" s="356"/>
      <c r="C226" s="356"/>
      <c r="D226" s="357"/>
      <c r="E226" s="369"/>
      <c r="F226" s="370"/>
      <c r="G226" s="370"/>
      <c r="H226" s="370"/>
      <c r="I226" s="370"/>
      <c r="J226" s="129" t="str">
        <f>IF(AND('Mapa final'!$AB$64="Muy Baja",'Mapa final'!$AD$64="Leve"),CONCATENATE("R21C",'Mapa final'!$R$64),"")</f>
        <v/>
      </c>
      <c r="K226" s="56" t="str">
        <f>IF(AND('Mapa final'!$AB$65="Muy Baja",'Mapa final'!$AD$65="Leve"),CONCATENATE("R21C",'Mapa final'!$R$65),"")</f>
        <v>R21C2</v>
      </c>
      <c r="L226" s="130" t="str">
        <f>IF(AND('Mapa final'!$AB$66="Muy Baja",'Mapa final'!$AD$66="Leve"),CONCATENATE("R21C",'Mapa final'!$R$66),"")</f>
        <v>R21C3</v>
      </c>
      <c r="M226" s="129" t="str">
        <f>IF(AND('Mapa final'!$AB$64="Muy Baja",'Mapa final'!$AD$64="Menor"),CONCATENATE("R21C",'Mapa final'!$R$64),"")</f>
        <v/>
      </c>
      <c r="N226" s="56" t="str">
        <f>IF(AND('Mapa final'!$AB$65="Muy Baja",'Mapa final'!$AD$65="Menor"),CONCATENATE("R21C",'Mapa final'!$R$65),"")</f>
        <v/>
      </c>
      <c r="O226" s="130" t="str">
        <f>IF(AND('Mapa final'!$AB$66="Muy Baja",'Mapa final'!$AD$66="Menor"),CONCATENATE("R21C",'Mapa final'!$R$66),"")</f>
        <v/>
      </c>
      <c r="P226" s="51" t="str">
        <f>IF(AND('Mapa final'!$AB$64="Muy Baja",'Mapa final'!$AD$64="Moderado"),CONCATENATE("R21C",'Mapa final'!$R$64),"")</f>
        <v/>
      </c>
      <c r="Q226" s="52" t="str">
        <f>IF(AND('Mapa final'!$AB$65="Muy Baja",'Mapa final'!$AD$65="Moderado"),CONCATENATE("R21C",'Mapa final'!$R$65),"")</f>
        <v/>
      </c>
      <c r="R226" s="125" t="str">
        <f>IF(AND('Mapa final'!$AB$66="Muy Baja",'Mapa final'!$AD$66="Moderado"),CONCATENATE("R21C",'Mapa final'!$R$66),"")</f>
        <v/>
      </c>
      <c r="S226" s="119" t="str">
        <f>IF(AND('Mapa final'!$AB$64="Muy Baja",'Mapa final'!$AD$64="Mayor"),CONCATENATE("R21C",'Mapa final'!$R$64),"")</f>
        <v/>
      </c>
      <c r="T226" s="44" t="str">
        <f>IF(AND('Mapa final'!$AB$65="Muy Baja",'Mapa final'!$AD$65="Mayor"),CONCATENATE("R21C",'Mapa final'!$R$65),"")</f>
        <v/>
      </c>
      <c r="U226" s="120" t="str">
        <f>IF(AND('Mapa final'!$AB$66="Muy Baja",'Mapa final'!$AD$66="Mayor"),CONCATENATE("R21C",'Mapa final'!$R$66),"")</f>
        <v/>
      </c>
      <c r="V226" s="45" t="str">
        <f>IF(AND('Mapa final'!$AB$64="Muy Baja",'Mapa final'!$AD$64="Catastrófico"),CONCATENATE("R21C",'Mapa final'!$R$64),"")</f>
        <v/>
      </c>
      <c r="W226" s="46" t="str">
        <f>IF(AND('Mapa final'!$AB$65="Muy Baja",'Mapa final'!$AD$65="Catastrófico"),CONCATENATE("R21C",'Mapa final'!$R$65),"")</f>
        <v/>
      </c>
      <c r="X226" s="114" t="str">
        <f>IF(AND('Mapa final'!$AB$66="Muy Baja",'Mapa final'!$AD$66="Catastrófico"),CONCATENATE("R21C",'Mapa final'!$R$66),"")</f>
        <v/>
      </c>
      <c r="Y226" s="58"/>
      <c r="Z226" s="58"/>
      <c r="AA226" s="58"/>
      <c r="AB226" s="58"/>
      <c r="AC226" s="58"/>
      <c r="AD226" s="58"/>
      <c r="AE226" s="58"/>
      <c r="AF226" s="58"/>
      <c r="AG226" s="58"/>
      <c r="AH226" s="58"/>
      <c r="AI226" s="58"/>
      <c r="AJ226" s="58"/>
      <c r="AK226" s="58"/>
      <c r="AL226" s="58"/>
      <c r="AM226" s="58"/>
      <c r="AN226" s="58"/>
      <c r="AO226" s="58"/>
      <c r="AP226" s="58"/>
      <c r="AQ226" s="58"/>
      <c r="AR226" s="58"/>
      <c r="AS226" s="58"/>
      <c r="AT226" s="58"/>
      <c r="AU226" s="58"/>
      <c r="AV226" s="58"/>
      <c r="AW226" s="58"/>
      <c r="AX226" s="58"/>
      <c r="AY226" s="58"/>
      <c r="AZ226" s="58"/>
      <c r="BA226" s="58"/>
      <c r="BB226" s="58"/>
      <c r="BC226" s="58"/>
      <c r="BD226" s="58"/>
      <c r="BE226" s="58"/>
      <c r="BF226" s="58"/>
      <c r="BG226" s="58"/>
      <c r="BH226" s="58"/>
      <c r="BI226" s="58"/>
      <c r="BJ226" s="58"/>
      <c r="BK226" s="58"/>
      <c r="BL226" s="58"/>
      <c r="BM226" s="58"/>
    </row>
    <row r="227" spans="1:65" ht="15.75" x14ac:dyDescent="0.25">
      <c r="A227" s="58"/>
      <c r="B227" s="356"/>
      <c r="C227" s="356"/>
      <c r="D227" s="357"/>
      <c r="E227" s="369"/>
      <c r="F227" s="370"/>
      <c r="G227" s="370"/>
      <c r="H227" s="370"/>
      <c r="I227" s="370"/>
      <c r="J227" s="129" t="str">
        <f>IF(AND('Mapa final'!$AB$67="Muy Baja",'Mapa final'!$AD$67="Leve"),CONCATENATE("R22C",'Mapa final'!$R$67),"")</f>
        <v/>
      </c>
      <c r="K227" s="56" t="str">
        <f>IF(AND('Mapa final'!$AB$68="Muy Baja",'Mapa final'!$AD$68="Leve"),CONCATENATE("R22C",'Mapa final'!$R$68),"")</f>
        <v>R22C2</v>
      </c>
      <c r="L227" s="130" t="str">
        <f>IF(AND('Mapa final'!$AB$69="Muy Baja",'Mapa final'!$AD$69="Leve"),CONCATENATE("R22C",'Mapa final'!$R$69),"")</f>
        <v>R22C3</v>
      </c>
      <c r="M227" s="129" t="str">
        <f>IF(AND('Mapa final'!$AB$67="Muy Baja",'Mapa final'!$AD$67="Menor"),CONCATENATE("R22C",'Mapa final'!$R$67),"")</f>
        <v/>
      </c>
      <c r="N227" s="56" t="str">
        <f>IF(AND('Mapa final'!$AB$68="Muy Baja",'Mapa final'!$AD$68="Menor"),CONCATENATE("R22C",'Mapa final'!$R$68),"")</f>
        <v/>
      </c>
      <c r="O227" s="130" t="str">
        <f>IF(AND('Mapa final'!$AB$69="Muy Baja",'Mapa final'!$AD$69="Menor"),CONCATENATE("R22C",'Mapa final'!$R$69),"")</f>
        <v/>
      </c>
      <c r="P227" s="51" t="str">
        <f>IF(AND('Mapa final'!$AB$67="Muy Baja",'Mapa final'!$AD$67="Moderado"),CONCATENATE("R22C",'Mapa final'!$R$67),"")</f>
        <v/>
      </c>
      <c r="Q227" s="52" t="str">
        <f>IF(AND('Mapa final'!$AB$68="Muy Baja",'Mapa final'!$AD$68="Moderado"),CONCATENATE("R22C",'Mapa final'!$R$68),"")</f>
        <v/>
      </c>
      <c r="R227" s="125" t="str">
        <f>IF(AND('Mapa final'!$AB$69="Muy Baja",'Mapa final'!$AD$69="Moderado"),CONCATENATE("R22C",'Mapa final'!$R$69),"")</f>
        <v/>
      </c>
      <c r="S227" s="119" t="str">
        <f>IF(AND('Mapa final'!$AB$67="Muy Baja",'Mapa final'!$AD$67="Mayor"),CONCATENATE("R22C",'Mapa final'!$R$67),"")</f>
        <v/>
      </c>
      <c r="T227" s="44" t="str">
        <f>IF(AND('Mapa final'!$AB$68="Muy Baja",'Mapa final'!$AD$68="Mayor"),CONCATENATE("R22C",'Mapa final'!$R$68),"")</f>
        <v/>
      </c>
      <c r="U227" s="120" t="str">
        <f>IF(AND('Mapa final'!$AB$69="Muy Baja",'Mapa final'!$AD$69="Mayor"),CONCATENATE("R22C",'Mapa final'!$R$69),"")</f>
        <v/>
      </c>
      <c r="V227" s="45" t="str">
        <f>IF(AND('Mapa final'!$AB$67="Muy Baja",'Mapa final'!$AD$67="Catastrófico"),CONCATENATE("R22C",'Mapa final'!$R$67),"")</f>
        <v/>
      </c>
      <c r="W227" s="46" t="str">
        <f>IF(AND('Mapa final'!$AB$68="Muy Baja",'Mapa final'!$AD$68="Catastrófico"),CONCATENATE("R22C",'Mapa final'!$R$68),"")</f>
        <v/>
      </c>
      <c r="X227" s="114" t="str">
        <f>IF(AND('Mapa final'!$AB$69="Muy Baja",'Mapa final'!$AD$69="Catastrófico"),CONCATENATE("R22C",'Mapa final'!$R$69),"")</f>
        <v/>
      </c>
      <c r="Y227" s="58"/>
      <c r="Z227" s="58"/>
      <c r="AA227" s="58"/>
      <c r="AB227" s="58"/>
      <c r="AC227" s="58"/>
      <c r="AD227" s="58"/>
      <c r="AE227" s="58"/>
      <c r="AF227" s="58"/>
      <c r="AG227" s="58"/>
      <c r="AH227" s="58"/>
      <c r="AI227" s="58"/>
      <c r="AJ227" s="58"/>
      <c r="AK227" s="58"/>
      <c r="AL227" s="58"/>
      <c r="AM227" s="58"/>
      <c r="AN227" s="58"/>
      <c r="AO227" s="58"/>
      <c r="AP227" s="58"/>
      <c r="AQ227" s="58"/>
      <c r="AR227" s="58"/>
      <c r="AS227" s="58"/>
      <c r="AT227" s="58"/>
      <c r="AU227" s="58"/>
      <c r="AV227" s="58"/>
      <c r="AW227" s="58"/>
      <c r="AX227" s="58"/>
      <c r="AY227" s="58"/>
      <c r="AZ227" s="58"/>
      <c r="BA227" s="58"/>
      <c r="BB227" s="58"/>
      <c r="BC227" s="58"/>
      <c r="BD227" s="58"/>
      <c r="BE227" s="58"/>
      <c r="BF227" s="58"/>
      <c r="BG227" s="58"/>
      <c r="BH227" s="58"/>
      <c r="BI227" s="58"/>
      <c r="BJ227" s="58"/>
      <c r="BK227" s="58"/>
      <c r="BL227" s="58"/>
      <c r="BM227" s="58"/>
    </row>
    <row r="228" spans="1:65" ht="15.75" x14ac:dyDescent="0.25">
      <c r="A228" s="58"/>
      <c r="B228" s="356"/>
      <c r="C228" s="356"/>
      <c r="D228" s="357"/>
      <c r="E228" s="369"/>
      <c r="F228" s="370"/>
      <c r="G228" s="370"/>
      <c r="H228" s="370"/>
      <c r="I228" s="370"/>
      <c r="J228" s="129" t="str">
        <f>IF(AND('Mapa final'!$AB$70="Muy Baja",'Mapa final'!$AD$70="Leve"),CONCATENATE("R23C",'Mapa final'!$R$70),"")</f>
        <v/>
      </c>
      <c r="K228" s="56" t="str">
        <f>IF(AND('Mapa final'!$AB$71="Muy Baja",'Mapa final'!$AD$71="Leve"),CONCATENATE("R23C",'Mapa final'!$R$71),"")</f>
        <v>R23C2</v>
      </c>
      <c r="L228" s="130" t="str">
        <f>IF(AND('Mapa final'!$AB$72="Muy Baja",'Mapa final'!$AD$72="Leve"),CONCATENATE("R23C",'Mapa final'!$R$72),"")</f>
        <v>R23C3</v>
      </c>
      <c r="M228" s="129" t="str">
        <f>IF(AND('Mapa final'!$AB$70="Muy Baja",'Mapa final'!$AD$70="Menor"),CONCATENATE("R23C",'Mapa final'!$R$70),"")</f>
        <v/>
      </c>
      <c r="N228" s="56" t="str">
        <f>IF(AND('Mapa final'!$AB$71="Muy Baja",'Mapa final'!$AD$71="Menor"),CONCATENATE("R23C",'Mapa final'!$R$71),"")</f>
        <v/>
      </c>
      <c r="O228" s="130" t="str">
        <f>IF(AND('Mapa final'!$AB$72="Muy Baja",'Mapa final'!$AD$72="Menor"),CONCATENATE("R23C",'Mapa final'!$R$72),"")</f>
        <v/>
      </c>
      <c r="P228" s="51" t="str">
        <f>IF(AND('Mapa final'!$AB$70="Muy Baja",'Mapa final'!$AD$70="Moderado"),CONCATENATE("R23C",'Mapa final'!$R$70),"")</f>
        <v/>
      </c>
      <c r="Q228" s="52" t="str">
        <f>IF(AND('Mapa final'!$AB$71="Muy Baja",'Mapa final'!$AD$71="Moderado"),CONCATENATE("R23C",'Mapa final'!$R$71),"")</f>
        <v/>
      </c>
      <c r="R228" s="125" t="str">
        <f>IF(AND('Mapa final'!$AB$72="Muy Baja",'Mapa final'!$AD$72="Moderado"),CONCATENATE("R23C",'Mapa final'!$R$72),"")</f>
        <v/>
      </c>
      <c r="S228" s="119" t="str">
        <f>IF(AND('Mapa final'!$AB$70="Muy Baja",'Mapa final'!$AD$70="Mayor"),CONCATENATE("R23C",'Mapa final'!$R$70),"")</f>
        <v/>
      </c>
      <c r="T228" s="44" t="str">
        <f>IF(AND('Mapa final'!$AB$71="Muy Baja",'Mapa final'!$AD$71="Mayor"),CONCATENATE("R23C",'Mapa final'!$R$71),"")</f>
        <v/>
      </c>
      <c r="U228" s="120" t="str">
        <f>IF(AND('Mapa final'!$AB$72="Muy Baja",'Mapa final'!$AD$72="Mayor"),CONCATENATE("R23C",'Mapa final'!$R$72),"")</f>
        <v/>
      </c>
      <c r="V228" s="45" t="str">
        <f>IF(AND('Mapa final'!$AB$70="Muy Baja",'Mapa final'!$AD$70="Catastrófico"),CONCATENATE("R23C",'Mapa final'!$R$70),"")</f>
        <v/>
      </c>
      <c r="W228" s="46" t="str">
        <f>IF(AND('Mapa final'!$AB$71="Muy Baja",'Mapa final'!$AD$71="Catastrófico"),CONCATENATE("R23C",'Mapa final'!$R$71),"")</f>
        <v/>
      </c>
      <c r="X228" s="114" t="str">
        <f>IF(AND('Mapa final'!$AB$72="Muy Baja",'Mapa final'!$AD$72="Catastrófico"),CONCATENATE("R23C",'Mapa final'!$R$72),"")</f>
        <v/>
      </c>
      <c r="Y228" s="58"/>
      <c r="Z228" s="58"/>
      <c r="AA228" s="58"/>
      <c r="AB228" s="58"/>
      <c r="AC228" s="58"/>
      <c r="AD228" s="58"/>
      <c r="AE228" s="58"/>
      <c r="AF228" s="58"/>
      <c r="AG228" s="58"/>
      <c r="AH228" s="58"/>
      <c r="AI228" s="58"/>
      <c r="AJ228" s="58"/>
      <c r="AK228" s="58"/>
      <c r="AL228" s="58"/>
      <c r="AM228" s="58"/>
      <c r="AN228" s="58"/>
      <c r="AO228" s="58"/>
      <c r="AP228" s="58"/>
      <c r="AQ228" s="58"/>
      <c r="AR228" s="58"/>
      <c r="AS228" s="58"/>
      <c r="AT228" s="58"/>
      <c r="AU228" s="58"/>
      <c r="AV228" s="58"/>
      <c r="AW228" s="58"/>
      <c r="AX228" s="58"/>
      <c r="AY228" s="58"/>
      <c r="AZ228" s="58"/>
      <c r="BA228" s="58"/>
      <c r="BB228" s="58"/>
      <c r="BC228" s="58"/>
      <c r="BD228" s="58"/>
      <c r="BE228" s="58"/>
      <c r="BF228" s="58"/>
      <c r="BG228" s="58"/>
      <c r="BH228" s="58"/>
      <c r="BI228" s="58"/>
      <c r="BJ228" s="58"/>
      <c r="BK228" s="58"/>
      <c r="BL228" s="58"/>
      <c r="BM228" s="58"/>
    </row>
    <row r="229" spans="1:65" ht="15.75" x14ac:dyDescent="0.25">
      <c r="A229" s="58"/>
      <c r="B229" s="356"/>
      <c r="C229" s="356"/>
      <c r="D229" s="357"/>
      <c r="E229" s="369"/>
      <c r="F229" s="370"/>
      <c r="G229" s="370"/>
      <c r="H229" s="370"/>
      <c r="I229" s="370"/>
      <c r="J229" s="129" t="str">
        <f>IF(AND('Mapa final'!$AB$73="Muy Baja",'Mapa final'!$AD$73="Leve"),CONCATENATE("R24C",'Mapa final'!$R$73),"")</f>
        <v/>
      </c>
      <c r="K229" s="56" t="str">
        <f>IF(AND('Mapa final'!$AB$74="Muy Baja",'Mapa final'!$AD$74="Leve"),CONCATENATE("R24C",'Mapa final'!$R$74),"")</f>
        <v>R24C2</v>
      </c>
      <c r="L229" s="130" t="str">
        <f>IF(AND('Mapa final'!$AB$75="Muy Baja",'Mapa final'!$AD$75="Leve"),CONCATENATE("R24C",'Mapa final'!$R$75),"")</f>
        <v>R24C3</v>
      </c>
      <c r="M229" s="129" t="str">
        <f>IF(AND('Mapa final'!$AB$73="Muy Baja",'Mapa final'!$AD$73="Menor"),CONCATENATE("R24C",'Mapa final'!$R$73),"")</f>
        <v/>
      </c>
      <c r="N229" s="56" t="str">
        <f>IF(AND('Mapa final'!$AB$74="Muy Baja",'Mapa final'!$AD$74="Menor"),CONCATENATE("R24C",'Mapa final'!$R$74),"")</f>
        <v/>
      </c>
      <c r="O229" s="130" t="str">
        <f>IF(AND('Mapa final'!$AB$75="Muy Baja",'Mapa final'!$AD$75="Menor"),CONCATENATE("R24C",'Mapa final'!$R$75),"")</f>
        <v/>
      </c>
      <c r="P229" s="51" t="str">
        <f>IF(AND('Mapa final'!$AB$73="Muy Baja",'Mapa final'!$AD$73="Moderado"),CONCATENATE("R24C",'Mapa final'!$R$73),"")</f>
        <v/>
      </c>
      <c r="Q229" s="52" t="str">
        <f>IF(AND('Mapa final'!$AB$74="Muy Baja",'Mapa final'!$AD$74="Moderado"),CONCATENATE("R24C",'Mapa final'!$R$74),"")</f>
        <v/>
      </c>
      <c r="R229" s="125" t="str">
        <f>IF(AND('Mapa final'!$AB$75="Muy Baja",'Mapa final'!$AD$75="Moderado"),CONCATENATE("R24C",'Mapa final'!$R$75),"")</f>
        <v/>
      </c>
      <c r="S229" s="119" t="str">
        <f>IF(AND('Mapa final'!$AB$73="Muy Baja",'Mapa final'!$AD$73="Mayor"),CONCATENATE("R24C",'Mapa final'!$R$73),"")</f>
        <v/>
      </c>
      <c r="T229" s="44" t="str">
        <f>IF(AND('Mapa final'!$AB$74="Muy Baja",'Mapa final'!$AD$74="Mayor"),CONCATENATE("R24C",'Mapa final'!$R$74),"")</f>
        <v/>
      </c>
      <c r="U229" s="120" t="str">
        <f>IF(AND('Mapa final'!$AB$75="Muy Baja",'Mapa final'!$AD$75="Mayor"),CONCATENATE("R24C",'Mapa final'!$R$75),"")</f>
        <v/>
      </c>
      <c r="V229" s="45" t="str">
        <f>IF(AND('Mapa final'!$AB$73="Muy Baja",'Mapa final'!$AD$73="Catastrófico"),CONCATENATE("R24C",'Mapa final'!$R$73),"")</f>
        <v/>
      </c>
      <c r="W229" s="46" t="str">
        <f>IF(AND('Mapa final'!$AB$74="Muy Baja",'Mapa final'!$AD$74="Catastrófico"),CONCATENATE("R24C",'Mapa final'!$R$74),"")</f>
        <v/>
      </c>
      <c r="X229" s="114" t="str">
        <f>IF(AND('Mapa final'!$AB$75="Muy Baja",'Mapa final'!$AD$75="Catastrófico"),CONCATENATE("R24C",'Mapa final'!$R$75),"")</f>
        <v/>
      </c>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c r="AX229" s="58"/>
      <c r="AY229" s="58"/>
      <c r="AZ229" s="58"/>
      <c r="BA229" s="58"/>
      <c r="BB229" s="58"/>
      <c r="BC229" s="58"/>
      <c r="BD229" s="58"/>
      <c r="BE229" s="58"/>
      <c r="BF229" s="58"/>
      <c r="BG229" s="58"/>
      <c r="BH229" s="58"/>
      <c r="BI229" s="58"/>
      <c r="BJ229" s="58"/>
      <c r="BK229" s="58"/>
      <c r="BL229" s="58"/>
      <c r="BM229" s="58"/>
    </row>
    <row r="230" spans="1:65" ht="15.75" x14ac:dyDescent="0.25">
      <c r="A230" s="58"/>
      <c r="B230" s="356"/>
      <c r="C230" s="356"/>
      <c r="D230" s="357"/>
      <c r="E230" s="369"/>
      <c r="F230" s="370"/>
      <c r="G230" s="370"/>
      <c r="H230" s="370"/>
      <c r="I230" s="370"/>
      <c r="J230" s="129" t="str">
        <f>IF(AND('Mapa final'!$AB$76="Muy Baja",'Mapa final'!$AD$76="Leve"),CONCATENATE("R25C",'Mapa final'!$R$76),"")</f>
        <v/>
      </c>
      <c r="K230" s="56" t="str">
        <f>IF(AND('Mapa final'!$AB$77="Muy Baja",'Mapa final'!$AD$77="Leve"),CONCATENATE("R25C",'Mapa final'!$R$77),"")</f>
        <v>R25C2</v>
      </c>
      <c r="L230" s="130" t="str">
        <f>IF(AND('Mapa final'!$AB$78="Muy Baja",'Mapa final'!$AD$78="Leve"),CONCATENATE("R25C",'Mapa final'!$R$78),"")</f>
        <v>R25C3</v>
      </c>
      <c r="M230" s="129" t="str">
        <f>IF(AND('Mapa final'!$AB$76="Muy Baja",'Mapa final'!$AD$76="Menor"),CONCATENATE("R25C",'Mapa final'!$R$76),"")</f>
        <v/>
      </c>
      <c r="N230" s="56" t="str">
        <f>IF(AND('Mapa final'!$AB$77="Muy Baja",'Mapa final'!$AD$77="Menor"),CONCATENATE("R25C",'Mapa final'!$R$77),"")</f>
        <v/>
      </c>
      <c r="O230" s="130" t="str">
        <f>IF(AND('Mapa final'!$AB$78="Muy Baja",'Mapa final'!$AD$78="Menor"),CONCATENATE("R25C",'Mapa final'!$R$78),"")</f>
        <v/>
      </c>
      <c r="P230" s="51" t="str">
        <f>IF(AND('Mapa final'!$AB$76="Muy Baja",'Mapa final'!$AD$76="Moderado"),CONCATENATE("R25C",'Mapa final'!$R$76),"")</f>
        <v/>
      </c>
      <c r="Q230" s="52" t="str">
        <f>IF(AND('Mapa final'!$AB$77="Muy Baja",'Mapa final'!$AD$77="Moderado"),CONCATENATE("R25C",'Mapa final'!$R$77),"")</f>
        <v/>
      </c>
      <c r="R230" s="125" t="str">
        <f>IF(AND('Mapa final'!$AB$78="Muy Baja",'Mapa final'!$AD$78="Moderado"),CONCATENATE("R25C",'Mapa final'!$R$78),"")</f>
        <v/>
      </c>
      <c r="S230" s="119" t="str">
        <f>IF(AND('Mapa final'!$AB$76="Muy Baja",'Mapa final'!$AD$76="Mayor"),CONCATENATE("R25C",'Mapa final'!$R$76),"")</f>
        <v/>
      </c>
      <c r="T230" s="44" t="str">
        <f>IF(AND('Mapa final'!$AB$77="Muy Baja",'Mapa final'!$AD$77="Mayor"),CONCATENATE("R25C",'Mapa final'!$R$77),"")</f>
        <v/>
      </c>
      <c r="U230" s="120" t="str">
        <f>IF(AND('Mapa final'!$AB$78="Muy Baja",'Mapa final'!$AD$78="Mayor"),CONCATENATE("R25C",'Mapa final'!$R$78),"")</f>
        <v/>
      </c>
      <c r="V230" s="45" t="str">
        <f>IF(AND('Mapa final'!$AB$76="Muy Baja",'Mapa final'!$AD$76="Catastrófico"),CONCATENATE("R25C",'Mapa final'!$R$76),"")</f>
        <v/>
      </c>
      <c r="W230" s="46" t="str">
        <f>IF(AND('Mapa final'!$AB$77="Muy Baja",'Mapa final'!$AD$77="Catastrófico"),CONCATENATE("R25C",'Mapa final'!$R$77),"")</f>
        <v/>
      </c>
      <c r="X230" s="114" t="str">
        <f>IF(AND('Mapa final'!$AB$78="Muy Baja",'Mapa final'!$AD$78="Catastrófico"),CONCATENATE("R25C",'Mapa final'!$R$78),"")</f>
        <v/>
      </c>
      <c r="Y230" s="58"/>
      <c r="Z230" s="58"/>
      <c r="AA230" s="58"/>
      <c r="AB230" s="58"/>
      <c r="AC230" s="58"/>
      <c r="AD230" s="58"/>
      <c r="AE230" s="58"/>
      <c r="AF230" s="58"/>
      <c r="AG230" s="58"/>
      <c r="AH230" s="58"/>
      <c r="AI230" s="58"/>
      <c r="AJ230" s="58"/>
      <c r="AK230" s="58"/>
      <c r="AL230" s="58"/>
      <c r="AM230" s="58"/>
      <c r="AN230" s="58"/>
      <c r="AO230" s="58"/>
      <c r="AP230" s="58"/>
      <c r="AQ230" s="58"/>
      <c r="AR230" s="58"/>
      <c r="AS230" s="58"/>
      <c r="AT230" s="58"/>
      <c r="AU230" s="58"/>
      <c r="AV230" s="58"/>
      <c r="AW230" s="58"/>
      <c r="AX230" s="58"/>
      <c r="AY230" s="58"/>
      <c r="AZ230" s="58"/>
      <c r="BA230" s="58"/>
      <c r="BB230" s="58"/>
      <c r="BC230" s="58"/>
      <c r="BD230" s="58"/>
      <c r="BE230" s="58"/>
      <c r="BF230" s="58"/>
      <c r="BG230" s="58"/>
      <c r="BH230" s="58"/>
      <c r="BI230" s="58"/>
      <c r="BJ230" s="58"/>
      <c r="BK230" s="58"/>
      <c r="BL230" s="58"/>
      <c r="BM230" s="58"/>
    </row>
    <row r="231" spans="1:65" ht="15.75" x14ac:dyDescent="0.25">
      <c r="A231" s="58"/>
      <c r="B231" s="356"/>
      <c r="C231" s="356"/>
      <c r="D231" s="357"/>
      <c r="E231" s="369"/>
      <c r="F231" s="370"/>
      <c r="G231" s="370"/>
      <c r="H231" s="370"/>
      <c r="I231" s="370"/>
      <c r="J231" s="129" t="str">
        <f>IF(AND('Mapa final'!$AB$79="Muy Baja",'Mapa final'!$AD$79="Leve"),CONCATENATE("R26C",'Mapa final'!$R$79),"")</f>
        <v/>
      </c>
      <c r="K231" s="56" t="str">
        <f>IF(AND('Mapa final'!$AB$80="Muy Baja",'Mapa final'!$AD$80="Leve"),CONCATENATE("R26C",'Mapa final'!$R$80),"")</f>
        <v>R26C2</v>
      </c>
      <c r="L231" s="130" t="str">
        <f>IF(AND('Mapa final'!$AB$81="Muy Baja",'Mapa final'!$AD$81="Leve"),CONCATENATE("R26C",'Mapa final'!$R$81),"")</f>
        <v>R26C3</v>
      </c>
      <c r="M231" s="129" t="str">
        <f>IF(AND('Mapa final'!$AB$79="Muy Baja",'Mapa final'!$AD$79="Menor"),CONCATENATE("R26C",'Mapa final'!$R$79),"")</f>
        <v/>
      </c>
      <c r="N231" s="56" t="str">
        <f>IF(AND('Mapa final'!$AB$80="Muy Baja",'Mapa final'!$AD$80="Menor"),CONCATENATE("R26C",'Mapa final'!$R$80),"")</f>
        <v/>
      </c>
      <c r="O231" s="130" t="str">
        <f>IF(AND('Mapa final'!$AB$81="Muy Baja",'Mapa final'!$AD$81="Menor"),CONCATENATE("R26C",'Mapa final'!$R$81),"")</f>
        <v/>
      </c>
      <c r="P231" s="51" t="str">
        <f>IF(AND('Mapa final'!$AB$79="Muy Baja",'Mapa final'!$AD$79="Moderado"),CONCATENATE("R26C",'Mapa final'!$R$79),"")</f>
        <v/>
      </c>
      <c r="Q231" s="52" t="str">
        <f>IF(AND('Mapa final'!$AB$80="Muy Baja",'Mapa final'!$AD$80="Moderado"),CONCATENATE("R26C",'Mapa final'!$R$80),"")</f>
        <v/>
      </c>
      <c r="R231" s="125" t="str">
        <f>IF(AND('Mapa final'!$AB$81="Muy Baja",'Mapa final'!$AD$81="Moderado"),CONCATENATE("R26C",'Mapa final'!$R$81),"")</f>
        <v/>
      </c>
      <c r="S231" s="119" t="str">
        <f>IF(AND('Mapa final'!$AB$79="Muy Baja",'Mapa final'!$AD$79="Mayor"),CONCATENATE("R26C",'Mapa final'!$R$79),"")</f>
        <v/>
      </c>
      <c r="T231" s="44" t="str">
        <f>IF(AND('Mapa final'!$AB$80="Muy Baja",'Mapa final'!$AD$80="Mayor"),CONCATENATE("R26C",'Mapa final'!$R$80),"")</f>
        <v/>
      </c>
      <c r="U231" s="120" t="str">
        <f>IF(AND('Mapa final'!$AB$81="Muy Baja",'Mapa final'!$AD$81="Mayor"),CONCATENATE("R26C",'Mapa final'!$R$81),"")</f>
        <v/>
      </c>
      <c r="V231" s="45" t="str">
        <f>IF(AND('Mapa final'!$AB$79="Muy Baja",'Mapa final'!$AD$79="Catastrófico"),CONCATENATE("R26C",'Mapa final'!$R$79),"")</f>
        <v/>
      </c>
      <c r="W231" s="46" t="str">
        <f>IF(AND('Mapa final'!$AB$80="Muy Baja",'Mapa final'!$AD$80="Catastrófico"),CONCATENATE("R26C",'Mapa final'!$R$80),"")</f>
        <v/>
      </c>
      <c r="X231" s="114" t="str">
        <f>IF(AND('Mapa final'!$AB$81="Muy Baja",'Mapa final'!$AD$81="Catastrófico"),CONCATENATE("R26C",'Mapa final'!$R$81),"")</f>
        <v/>
      </c>
      <c r="Y231" s="58"/>
      <c r="Z231" s="58"/>
      <c r="AA231" s="58"/>
      <c r="AB231" s="58"/>
      <c r="AC231" s="58"/>
      <c r="AD231" s="58"/>
      <c r="AE231" s="58"/>
      <c r="AF231" s="58"/>
      <c r="AG231" s="58"/>
      <c r="AH231" s="58"/>
      <c r="AI231" s="58"/>
      <c r="AJ231" s="58"/>
      <c r="AK231" s="58"/>
      <c r="AL231" s="58"/>
      <c r="AM231" s="58"/>
      <c r="AN231" s="58"/>
      <c r="AO231" s="58"/>
      <c r="AP231" s="58"/>
      <c r="AQ231" s="58"/>
      <c r="AR231" s="58"/>
      <c r="AS231" s="58"/>
      <c r="AT231" s="58"/>
      <c r="AU231" s="58"/>
      <c r="AV231" s="58"/>
      <c r="AW231" s="58"/>
      <c r="AX231" s="58"/>
      <c r="AY231" s="58"/>
      <c r="AZ231" s="58"/>
      <c r="BA231" s="58"/>
      <c r="BB231" s="58"/>
      <c r="BC231" s="58"/>
      <c r="BD231" s="58"/>
      <c r="BE231" s="58"/>
      <c r="BF231" s="58"/>
      <c r="BG231" s="58"/>
      <c r="BH231" s="58"/>
      <c r="BI231" s="58"/>
      <c r="BJ231" s="58"/>
      <c r="BK231" s="58"/>
      <c r="BL231" s="58"/>
      <c r="BM231" s="58"/>
    </row>
    <row r="232" spans="1:65" ht="15.75" x14ac:dyDescent="0.25">
      <c r="A232" s="58"/>
      <c r="B232" s="356"/>
      <c r="C232" s="356"/>
      <c r="D232" s="357"/>
      <c r="E232" s="369"/>
      <c r="F232" s="370"/>
      <c r="G232" s="370"/>
      <c r="H232" s="370"/>
      <c r="I232" s="370"/>
      <c r="J232" s="129" t="str">
        <f>IF(AND('Mapa final'!$AB$82="Muy Baja",'Mapa final'!$AD$82="Leve"),CONCATENATE("R27C",'Mapa final'!$R$82),"")</f>
        <v/>
      </c>
      <c r="K232" s="56" t="str">
        <f>IF(AND('Mapa final'!$AB$83="Muy Baja",'Mapa final'!$AD$83="Leve"),CONCATENATE("R27C",'Mapa final'!$R$83),"")</f>
        <v>R27C2</v>
      </c>
      <c r="L232" s="130" t="str">
        <f>IF(AND('Mapa final'!$AB$84="Muy Baja",'Mapa final'!$AD$84="Leve"),CONCATENATE("R27C",'Mapa final'!$R$84),"")</f>
        <v>R27C3</v>
      </c>
      <c r="M232" s="129" t="str">
        <f>IF(AND('Mapa final'!$AB$82="Muy Baja",'Mapa final'!$AD$82="Menor"),CONCATENATE("R27C",'Mapa final'!$R$82),"")</f>
        <v/>
      </c>
      <c r="N232" s="56" t="str">
        <f>IF(AND('Mapa final'!$AB$83="Muy Baja",'Mapa final'!$AD$83="Menor"),CONCATENATE("R27C",'Mapa final'!$R$83),"")</f>
        <v/>
      </c>
      <c r="O232" s="130" t="str">
        <f>IF(AND('Mapa final'!$AB$84="Muy Baja",'Mapa final'!$AD$84="Menor"),CONCATENATE("R27C",'Mapa final'!$R$84),"")</f>
        <v/>
      </c>
      <c r="P232" s="51" t="str">
        <f>IF(AND('Mapa final'!$AB$82="Muy Baja",'Mapa final'!$AD$82="Moderado"),CONCATENATE("R27C",'Mapa final'!$R$82),"")</f>
        <v/>
      </c>
      <c r="Q232" s="52" t="str">
        <f>IF(AND('Mapa final'!$AB$83="Muy Baja",'Mapa final'!$AD$83="Moderado"),CONCATENATE("R27C",'Mapa final'!$R$83),"")</f>
        <v/>
      </c>
      <c r="R232" s="125" t="str">
        <f>IF(AND('Mapa final'!$AB$84="Muy Baja",'Mapa final'!$AD$84="Moderado"),CONCATENATE("R27C",'Mapa final'!$R$84),"")</f>
        <v/>
      </c>
      <c r="S232" s="119" t="str">
        <f>IF(AND('Mapa final'!$AB$82="Muy Baja",'Mapa final'!$AD$82="Mayor"),CONCATENATE("R27C",'Mapa final'!$R$82),"")</f>
        <v/>
      </c>
      <c r="T232" s="44" t="str">
        <f>IF(AND('Mapa final'!$AB$83="Muy Baja",'Mapa final'!$AD$83="Mayor"),CONCATENATE("R27C",'Mapa final'!$R$83),"")</f>
        <v/>
      </c>
      <c r="U232" s="120" t="str">
        <f>IF(AND('Mapa final'!$AB$84="Muy Baja",'Mapa final'!$AD$84="Mayor"),CONCATENATE("R27C",'Mapa final'!$R$84),"")</f>
        <v/>
      </c>
      <c r="V232" s="45" t="str">
        <f>IF(AND('Mapa final'!$AB$82="Muy Baja",'Mapa final'!$AD$82="Catastrófico"),CONCATENATE("R27C",'Mapa final'!$R$82),"")</f>
        <v/>
      </c>
      <c r="W232" s="46" t="str">
        <f>IF(AND('Mapa final'!$AB$83="Muy Baja",'Mapa final'!$AD$83="Catastrófico"),CONCATENATE("R27C",'Mapa final'!$R$83),"")</f>
        <v/>
      </c>
      <c r="X232" s="114" t="str">
        <f>IF(AND('Mapa final'!$AB$84="Muy Baja",'Mapa final'!$AD$84="Catastrófico"),CONCATENATE("R27C",'Mapa final'!$R$84),"")</f>
        <v/>
      </c>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c r="AX232" s="58"/>
      <c r="AY232" s="58"/>
      <c r="AZ232" s="58"/>
      <c r="BA232" s="58"/>
      <c r="BB232" s="58"/>
      <c r="BC232" s="58"/>
      <c r="BD232" s="58"/>
      <c r="BE232" s="58"/>
      <c r="BF232" s="58"/>
      <c r="BG232" s="58"/>
      <c r="BH232" s="58"/>
      <c r="BI232" s="58"/>
      <c r="BJ232" s="58"/>
      <c r="BK232" s="58"/>
      <c r="BL232" s="58"/>
      <c r="BM232" s="58"/>
    </row>
    <row r="233" spans="1:65" ht="15" customHeight="1" x14ac:dyDescent="0.25">
      <c r="A233" s="58"/>
      <c r="B233" s="356"/>
      <c r="C233" s="356"/>
      <c r="D233" s="357"/>
      <c r="E233" s="369"/>
      <c r="F233" s="370"/>
      <c r="G233" s="370"/>
      <c r="H233" s="370"/>
      <c r="I233" s="370"/>
      <c r="J233" s="129" t="str">
        <f>IF(AND('Mapa final'!$AB$85="Muy Baja",'Mapa final'!$AD$85="Leve"),CONCATENATE("R28C",'Mapa final'!$R$85),"")</f>
        <v/>
      </c>
      <c r="K233" s="56" t="str">
        <f>IF(AND('Mapa final'!$AB$86="Muy Baja",'Mapa final'!$AD$86="Leve"),CONCATENATE("R28C",'Mapa final'!$R$86),"")</f>
        <v>R28C2</v>
      </c>
      <c r="L233" s="130" t="str">
        <f>IF(AND('Mapa final'!$AB$87="Muy Baja",'Mapa final'!$AD$87="Leve"),CONCATENATE("R28C",'Mapa final'!$R$87),"")</f>
        <v>R28C3</v>
      </c>
      <c r="M233" s="129" t="str">
        <f>IF(AND('Mapa final'!$AB$85="Muy Baja",'Mapa final'!$AD$85="Menor"),CONCATENATE("R28C",'Mapa final'!$R$85),"")</f>
        <v/>
      </c>
      <c r="N233" s="56" t="str">
        <f>IF(AND('Mapa final'!$AB$86="Muy Baja",'Mapa final'!$AD$86="Menor"),CONCATENATE("R28C",'Mapa final'!$R$86),"")</f>
        <v/>
      </c>
      <c r="O233" s="130" t="str">
        <f>IF(AND('Mapa final'!$AB$87="Muy Baja",'Mapa final'!$AD$87="Menor"),CONCATENATE("R28C",'Mapa final'!$R$87),"")</f>
        <v/>
      </c>
      <c r="P233" s="51" t="str">
        <f>IF(AND('Mapa final'!$AB$85="Muy Baja",'Mapa final'!$AD$85="Moderado"),CONCATENATE("R28C",'Mapa final'!$R$85),"")</f>
        <v/>
      </c>
      <c r="Q233" s="52" t="str">
        <f>IF(AND('Mapa final'!$AB$86="Muy Baja",'Mapa final'!$AD$86="Moderado"),CONCATENATE("R28C",'Mapa final'!$R$86),"")</f>
        <v/>
      </c>
      <c r="R233" s="125" t="str">
        <f>IF(AND('Mapa final'!$AB$87="Muy Baja",'Mapa final'!$AD$87="Moderado"),CONCATENATE("R28C",'Mapa final'!$R$87),"")</f>
        <v/>
      </c>
      <c r="S233" s="119" t="str">
        <f>IF(AND('Mapa final'!$AB$85="Muy Baja",'Mapa final'!$AD$85="Mayor"),CONCATENATE("R28C",'Mapa final'!$R$85),"")</f>
        <v/>
      </c>
      <c r="T233" s="44" t="str">
        <f>IF(AND('Mapa final'!$AB$86="Muy Baja",'Mapa final'!$AD$86="Mayor"),CONCATENATE("R28C",'Mapa final'!$R$86),"")</f>
        <v/>
      </c>
      <c r="U233" s="120" t="str">
        <f>IF(AND('Mapa final'!$AB$87="Muy Baja",'Mapa final'!$AD$87="Mayor"),CONCATENATE("R28C",'Mapa final'!$R$87),"")</f>
        <v/>
      </c>
      <c r="V233" s="45" t="str">
        <f>IF(AND('Mapa final'!$AB$85="Muy Baja",'Mapa final'!$AD$85="Catastrófico"),CONCATENATE("R28C",'Mapa final'!$R$85),"")</f>
        <v/>
      </c>
      <c r="W233" s="46" t="str">
        <f>IF(AND('Mapa final'!$AB$86="Muy Baja",'Mapa final'!$AD$86="Catastrófico"),CONCATENATE("R28C",'Mapa final'!$R$86),"")</f>
        <v/>
      </c>
      <c r="X233" s="114" t="str">
        <f>IF(AND('Mapa final'!$AB$87="Muy Baja",'Mapa final'!$AD$87="Catastrófico"),CONCATENATE("R28C",'Mapa final'!$R$87),"")</f>
        <v/>
      </c>
      <c r="Y233" s="58"/>
      <c r="Z233" s="58"/>
      <c r="AA233" s="58"/>
      <c r="AB233" s="58"/>
      <c r="AC233" s="58"/>
      <c r="AD233" s="58"/>
      <c r="AE233" s="58"/>
      <c r="AF233" s="58"/>
      <c r="AG233" s="58"/>
      <c r="AH233" s="58"/>
      <c r="AI233" s="58"/>
      <c r="AJ233" s="58"/>
      <c r="AK233" s="58"/>
      <c r="AL233" s="58"/>
      <c r="AM233" s="58"/>
      <c r="AN233" s="58"/>
      <c r="AO233" s="58"/>
      <c r="AP233" s="58"/>
      <c r="AQ233" s="58"/>
      <c r="AR233" s="58"/>
      <c r="AS233" s="58"/>
      <c r="AT233" s="58"/>
      <c r="AU233" s="58"/>
      <c r="AV233" s="58"/>
      <c r="AW233" s="58"/>
      <c r="AX233" s="58"/>
      <c r="AY233" s="58"/>
      <c r="AZ233" s="58"/>
      <c r="BA233" s="58"/>
      <c r="BB233" s="58"/>
      <c r="BC233" s="58"/>
      <c r="BD233" s="58"/>
      <c r="BE233" s="58"/>
      <c r="BF233" s="58"/>
      <c r="BG233" s="58"/>
      <c r="BH233" s="58"/>
      <c r="BI233" s="58"/>
      <c r="BJ233" s="58"/>
      <c r="BK233" s="58"/>
      <c r="BL233" s="58"/>
      <c r="BM233" s="58"/>
    </row>
    <row r="234" spans="1:65" ht="15" customHeight="1" x14ac:dyDescent="0.25">
      <c r="A234" s="58"/>
      <c r="B234" s="356"/>
      <c r="C234" s="356"/>
      <c r="D234" s="357"/>
      <c r="E234" s="371"/>
      <c r="F234" s="372"/>
      <c r="G234" s="372"/>
      <c r="H234" s="372"/>
      <c r="I234" s="370"/>
      <c r="J234" s="129" t="str">
        <f>IF(AND('Mapa final'!$AB$88="Muy Baja",'Mapa final'!$AD$88="Leve"),CONCATENATE("R29C",'Mapa final'!$R$88),"")</f>
        <v/>
      </c>
      <c r="K234" s="56" t="str">
        <f>IF(AND('Mapa final'!$AB$89="Muy Baja",'Mapa final'!$AD$89="Leve"),CONCATENATE("R29C",'Mapa final'!$R$89),"")</f>
        <v/>
      </c>
      <c r="L234" s="130" t="str">
        <f>IF(AND('Mapa final'!$AB$90="Muy Baja",'Mapa final'!$AD$90="Leve"),CONCATENATE("R30C",'Mapa final'!$R$90),"")</f>
        <v>R30C3</v>
      </c>
      <c r="M234" s="129" t="str">
        <f>IF(AND('Mapa final'!$AB$88="Muy Baja",'Mapa final'!$AD$88="Menor"),CONCATENATE("R29C",'Mapa final'!$R$88),"")</f>
        <v/>
      </c>
      <c r="N234" s="56" t="str">
        <f>IF(AND('Mapa final'!$AB$89="Muy Baja",'Mapa final'!$AD$89="Menor"),CONCATENATE("R29C",'Mapa final'!$R$89),"")</f>
        <v/>
      </c>
      <c r="O234" s="130" t="str">
        <f>IF(AND('Mapa final'!$AB$90="Muy Baja",'Mapa final'!$AD$90="Menor"),CONCATENATE("R30C",'Mapa final'!$R$90),"")</f>
        <v/>
      </c>
      <c r="P234" s="51" t="str">
        <f>IF(AND('Mapa final'!$AB$88="Muy Baja",'Mapa final'!$AD$88="Moderado"),CONCATENATE("R29C",'Mapa final'!$R$88),"")</f>
        <v/>
      </c>
      <c r="Q234" s="52" t="str">
        <f>IF(AND('Mapa final'!$AB$89="Muy Baja",'Mapa final'!$AD$89="Moderado"),CONCATENATE("R29C",'Mapa final'!$R$89),"")</f>
        <v/>
      </c>
      <c r="R234" s="125" t="str">
        <f>IF(AND('Mapa final'!$AB$90="Muy Baja",'Mapa final'!$AD$90="Moderado"),CONCATENATE("R30C",'Mapa final'!$R$90),"")</f>
        <v/>
      </c>
      <c r="S234" s="119" t="str">
        <f>IF(AND('Mapa final'!$AB$88="Muy Baja",'Mapa final'!$AD$88="Mayor"),CONCATENATE("R29C",'Mapa final'!$R$88),"")</f>
        <v/>
      </c>
      <c r="T234" s="44" t="str">
        <f>IF(AND('Mapa final'!$AB$89="Muy Baja",'Mapa final'!$AD$89="Mayor"),CONCATENATE("R29C",'Mapa final'!$R$89),"")</f>
        <v/>
      </c>
      <c r="U234" s="120" t="str">
        <f>IF(AND('Mapa final'!$AB$90="Muy Baja",'Mapa final'!$AD$90="Mayor"),CONCATENATE("R30C",'Mapa final'!$R$90),"")</f>
        <v/>
      </c>
      <c r="V234" s="45" t="str">
        <f>IF(AND('Mapa final'!$AB$88="Muy Baja",'Mapa final'!$AD$88="Catastrófico"),CONCATENATE("R29C",'Mapa final'!$R$88),"")</f>
        <v/>
      </c>
      <c r="W234" s="46" t="str">
        <f>IF(AND('Mapa final'!$AB$89="Muy Baja",'Mapa final'!$AD$89="Catastrófico"),CONCATENATE("R29C",'Mapa final'!$R$89),"")</f>
        <v/>
      </c>
      <c r="X234" s="114" t="str">
        <f>IF(AND('Mapa final'!$AB$90="Muy Baja",'Mapa final'!$AD$90="Catastrófico"),CONCATENATE("R30C",'Mapa final'!$R$90),"")</f>
        <v/>
      </c>
      <c r="Y234" s="58"/>
      <c r="Z234" s="58"/>
      <c r="AA234" s="58"/>
      <c r="AB234" s="58"/>
      <c r="AC234" s="58"/>
      <c r="AD234" s="58"/>
      <c r="AE234" s="58"/>
      <c r="AF234" s="58"/>
      <c r="AG234" s="58"/>
      <c r="AH234" s="58"/>
      <c r="AI234" s="58"/>
      <c r="AJ234" s="58"/>
      <c r="AK234" s="58"/>
      <c r="AL234" s="58"/>
      <c r="AM234" s="58"/>
      <c r="AN234" s="58"/>
      <c r="AO234" s="58"/>
      <c r="AP234" s="58"/>
      <c r="AQ234" s="58"/>
      <c r="AR234" s="58"/>
      <c r="AS234" s="58"/>
      <c r="AT234" s="58"/>
      <c r="AU234" s="58"/>
      <c r="AV234" s="58"/>
      <c r="AW234" s="58"/>
      <c r="AX234" s="58"/>
      <c r="AY234" s="58"/>
      <c r="AZ234" s="58"/>
      <c r="BA234" s="58"/>
      <c r="BB234" s="58"/>
      <c r="BC234" s="58"/>
      <c r="BD234" s="58"/>
      <c r="BE234" s="58"/>
      <c r="BF234" s="58"/>
      <c r="BG234" s="58"/>
      <c r="BH234" s="58"/>
      <c r="BI234" s="58"/>
      <c r="BJ234" s="58"/>
      <c r="BK234" s="58"/>
      <c r="BL234" s="58"/>
      <c r="BM234" s="58"/>
    </row>
    <row r="235" spans="1:65" ht="15" customHeight="1" x14ac:dyDescent="0.25">
      <c r="A235" s="58"/>
      <c r="B235" s="356"/>
      <c r="C235" s="356"/>
      <c r="D235" s="357"/>
      <c r="E235" s="371"/>
      <c r="F235" s="372"/>
      <c r="G235" s="372"/>
      <c r="H235" s="372"/>
      <c r="I235" s="370"/>
      <c r="J235" s="129" t="str">
        <f>IF(AND('Mapa final'!$AB$91="Muy Baja",'Mapa final'!$AD$91="Leve"),CONCATENATE("R30C",'Mapa final'!$R$91),"")</f>
        <v/>
      </c>
      <c r="K235" s="56" t="str">
        <f>IF(AND('Mapa final'!$AB$92="Muy Baja",'Mapa final'!$AD$92="Leve"),CONCATENATE("R30C",'Mapa final'!$R$92),"")</f>
        <v>R30C2</v>
      </c>
      <c r="L235" s="130" t="str">
        <f>IF(AND('Mapa final'!$AB$93="Muy Baja",'Mapa final'!$AD$93="Leve"),CONCATENATE("R31C",'Mapa final'!$R$93),"")</f>
        <v>R31C3</v>
      </c>
      <c r="M235" s="129" t="str">
        <f>IF(AND('Mapa final'!$AB$91="Muy Baja",'Mapa final'!$AD$91="Menor"),CONCATENATE("R30C",'Mapa final'!$R$91),"")</f>
        <v/>
      </c>
      <c r="N235" s="56" t="str">
        <f>IF(AND('Mapa final'!$AB$92="Muy Baja",'Mapa final'!$AD$92="Menor"),CONCATENATE("R30C",'Mapa final'!$R$92),"")</f>
        <v/>
      </c>
      <c r="O235" s="130" t="str">
        <f>IF(AND('Mapa final'!$AB$93="Muy Baja",'Mapa final'!$AD$93="Menor"),CONCATENATE("R31C",'Mapa final'!$R$93),"")</f>
        <v/>
      </c>
      <c r="P235" s="51" t="str">
        <f>IF(AND('Mapa final'!$AB$91="Muy Baja",'Mapa final'!$AD$91="Moderado"),CONCATENATE("R30C",'Mapa final'!$R$91),"")</f>
        <v/>
      </c>
      <c r="Q235" s="52" t="str">
        <f>IF(AND('Mapa final'!$AB$92="Muy Baja",'Mapa final'!$AD$92="Moderado"),CONCATENATE("R30C",'Mapa final'!$R$92),"")</f>
        <v/>
      </c>
      <c r="R235" s="125" t="str">
        <f>IF(AND('Mapa final'!$AB$93="Muy Baja",'Mapa final'!$AD$93="Moderado"),CONCATENATE("R31C",'Mapa final'!$R$93),"")</f>
        <v/>
      </c>
      <c r="S235" s="119" t="str">
        <f>IF(AND('Mapa final'!$AB$91="Muy Baja",'Mapa final'!$AD$91="Mayor"),CONCATENATE("R30C",'Mapa final'!$R$91),"")</f>
        <v/>
      </c>
      <c r="T235" s="44" t="str">
        <f>IF(AND('Mapa final'!$AB$92="Muy Baja",'Mapa final'!$AD$92="Mayor"),CONCATENATE("R30C",'Mapa final'!$R$92),"")</f>
        <v/>
      </c>
      <c r="U235" s="120" t="str">
        <f>IF(AND('Mapa final'!$AB$93="Muy Baja",'Mapa final'!$AD$93="Mayor"),CONCATENATE("R31C",'Mapa final'!$R$93),"")</f>
        <v/>
      </c>
      <c r="V235" s="45" t="str">
        <f>IF(AND('Mapa final'!$AB$91="Muy Baja",'Mapa final'!$AD$91="Catastrófico"),CONCATENATE("R30C",'Mapa final'!$R$91),"")</f>
        <v/>
      </c>
      <c r="W235" s="46" t="str">
        <f>IF(AND('Mapa final'!$AB$92="Muy Baja",'Mapa final'!$AD$92="Catastrófico"),CONCATENATE("R30C",'Mapa final'!$R$92),"")</f>
        <v/>
      </c>
      <c r="X235" s="114" t="str">
        <f>IF(AND('Mapa final'!$AB$93="Muy Baja",'Mapa final'!$AD$93="Catastrófico"),CONCATENATE("R31C",'Mapa final'!$R$93),"")</f>
        <v/>
      </c>
      <c r="Y235" s="58"/>
      <c r="Z235" s="58"/>
      <c r="AA235" s="58"/>
      <c r="AB235" s="58"/>
      <c r="AC235" s="58"/>
      <c r="AD235" s="58"/>
      <c r="AE235" s="58"/>
      <c r="AF235" s="58"/>
      <c r="AG235" s="58"/>
      <c r="AH235" s="58"/>
      <c r="AI235" s="58"/>
      <c r="AJ235" s="58"/>
      <c r="AK235" s="58"/>
      <c r="AL235" s="58"/>
      <c r="AM235" s="58"/>
      <c r="AN235" s="58"/>
      <c r="AO235" s="58"/>
      <c r="AP235" s="58"/>
      <c r="AQ235" s="58"/>
      <c r="AR235" s="58"/>
      <c r="AS235" s="58"/>
      <c r="AT235" s="58"/>
      <c r="AU235" s="58"/>
      <c r="AV235" s="58"/>
      <c r="AW235" s="58"/>
      <c r="AX235" s="58"/>
      <c r="AY235" s="58"/>
      <c r="AZ235" s="58"/>
      <c r="BA235" s="58"/>
      <c r="BB235" s="58"/>
      <c r="BC235" s="58"/>
      <c r="BD235" s="58"/>
      <c r="BE235" s="58"/>
      <c r="BF235" s="58"/>
      <c r="BG235" s="58"/>
      <c r="BH235" s="58"/>
      <c r="BI235" s="58"/>
      <c r="BJ235" s="58"/>
      <c r="BK235" s="58"/>
      <c r="BL235" s="58"/>
      <c r="BM235" s="58"/>
    </row>
    <row r="236" spans="1:65" ht="15" customHeight="1" x14ac:dyDescent="0.25">
      <c r="A236" s="58"/>
      <c r="B236" s="356"/>
      <c r="C236" s="356"/>
      <c r="D236" s="357"/>
      <c r="E236" s="371"/>
      <c r="F236" s="372"/>
      <c r="G236" s="372"/>
      <c r="H236" s="372"/>
      <c r="I236" s="370"/>
      <c r="J236" s="129" t="str">
        <f>IF(AND('Mapa final'!$AB$94="Muy Baja",'Mapa final'!$AD$94="Leve"),CONCATENATE("R31C",'Mapa final'!$R$94),"")</f>
        <v/>
      </c>
      <c r="K236" s="56" t="str">
        <f>IF(AND('Mapa final'!$AB$95="Muy Baja",'Mapa final'!$AD$95="Leve"),CONCATENATE("R31C",'Mapa final'!$R$95),"")</f>
        <v>R31C2</v>
      </c>
      <c r="L236" s="130" t="str">
        <f>IF(AND('Mapa final'!$AB$96="Muy Baja",'Mapa final'!$AD$96="Leve"),CONCATENATE("R32C",'Mapa final'!$R$96),"")</f>
        <v>R32C3</v>
      </c>
      <c r="M236" s="129" t="str">
        <f>IF(AND('Mapa final'!$AB$94="Muy Baja",'Mapa final'!$AD$94="Menor"),CONCATENATE("R31C",'Mapa final'!$R$94),"")</f>
        <v/>
      </c>
      <c r="N236" s="56" t="str">
        <f>IF(AND('Mapa final'!$AB$95="Muy Baja",'Mapa final'!$AD$95="Menor"),CONCATENATE("R31C",'Mapa final'!$R$95),"")</f>
        <v/>
      </c>
      <c r="O236" s="130" t="str">
        <f>IF(AND('Mapa final'!$AB$96="Muy Baja",'Mapa final'!$AD$96="Menor"),CONCATENATE("R32C",'Mapa final'!$R$96),"")</f>
        <v/>
      </c>
      <c r="P236" s="51" t="str">
        <f>IF(AND('Mapa final'!$AB$94="Muy Baja",'Mapa final'!$AD$94="Moderado"),CONCATENATE("R31C",'Mapa final'!$R$94),"")</f>
        <v/>
      </c>
      <c r="Q236" s="52" t="str">
        <f>IF(AND('Mapa final'!$AB$95="Muy Baja",'Mapa final'!$AD$95="Moderado"),CONCATENATE("R31C",'Mapa final'!$R$95),"")</f>
        <v/>
      </c>
      <c r="R236" s="125" t="str">
        <f>IF(AND('Mapa final'!$AB$96="Muy Baja",'Mapa final'!$AD$96="Moderado"),CONCATENATE("R32C",'Mapa final'!$R$96),"")</f>
        <v/>
      </c>
      <c r="S236" s="119" t="str">
        <f>IF(AND('Mapa final'!$AB$94="Muy Baja",'Mapa final'!$AD$94="Mayor"),CONCATENATE("R31C",'Mapa final'!$R$94),"")</f>
        <v/>
      </c>
      <c r="T236" s="44" t="str">
        <f>IF(AND('Mapa final'!$AB$95="Muy Baja",'Mapa final'!$AD$95="Mayor"),CONCATENATE("R31C",'Mapa final'!$R$95),"")</f>
        <v/>
      </c>
      <c r="U236" s="120" t="str">
        <f>IF(AND('Mapa final'!$AB$96="Muy Baja",'Mapa final'!$AD$96="Mayor"),CONCATENATE("R32C",'Mapa final'!$R$96),"")</f>
        <v/>
      </c>
      <c r="V236" s="45" t="str">
        <f>IF(AND('Mapa final'!$AB$94="Muy Baja",'Mapa final'!$AD$94="Catastrófico"),CONCATENATE("R31C",'Mapa final'!$R$94),"")</f>
        <v/>
      </c>
      <c r="W236" s="46" t="str">
        <f>IF(AND('Mapa final'!$AB$95="Muy Baja",'Mapa final'!$AD$95="Catastrófico"),CONCATENATE("R31C",'Mapa final'!$R$95),"")</f>
        <v/>
      </c>
      <c r="X236" s="114" t="str">
        <f>IF(AND('Mapa final'!$AB$96="Muy Baja",'Mapa final'!$AD$96="Catastrófico"),CONCATENATE("R32C",'Mapa final'!$R$96),"")</f>
        <v/>
      </c>
      <c r="Y236" s="58"/>
      <c r="Z236" s="58"/>
      <c r="AA236" s="58"/>
      <c r="AB236" s="58"/>
      <c r="AC236" s="58"/>
      <c r="AD236" s="58"/>
      <c r="AE236" s="58"/>
      <c r="AF236" s="58"/>
      <c r="AG236" s="58"/>
      <c r="AH236" s="58"/>
      <c r="AI236" s="58"/>
      <c r="AJ236" s="58"/>
      <c r="AK236" s="58"/>
      <c r="AL236" s="58"/>
      <c r="AM236" s="58"/>
      <c r="AN236" s="58"/>
      <c r="AO236" s="58"/>
      <c r="AP236" s="58"/>
      <c r="AQ236" s="58"/>
      <c r="AR236" s="58"/>
      <c r="AS236" s="58"/>
      <c r="AT236" s="58"/>
      <c r="AU236" s="58"/>
      <c r="AV236" s="58"/>
      <c r="AW236" s="58"/>
      <c r="AX236" s="58"/>
      <c r="AY236" s="58"/>
      <c r="AZ236" s="58"/>
      <c r="BA236" s="58"/>
      <c r="BB236" s="58"/>
      <c r="BC236" s="58"/>
      <c r="BD236" s="58"/>
      <c r="BE236" s="58"/>
      <c r="BF236" s="58"/>
      <c r="BG236" s="58"/>
      <c r="BH236" s="58"/>
      <c r="BI236" s="58"/>
      <c r="BJ236" s="58"/>
      <c r="BK236" s="58"/>
      <c r="BL236" s="58"/>
      <c r="BM236" s="58"/>
    </row>
    <row r="237" spans="1:65" ht="15" customHeight="1" x14ac:dyDescent="0.25">
      <c r="A237" s="58"/>
      <c r="B237" s="356"/>
      <c r="C237" s="356"/>
      <c r="D237" s="357"/>
      <c r="E237" s="371"/>
      <c r="F237" s="372"/>
      <c r="G237" s="372"/>
      <c r="H237" s="372"/>
      <c r="I237" s="370"/>
      <c r="J237" s="129" t="str">
        <f>IF(AND('Mapa final'!$AB$97="Muy Baja",'Mapa final'!$AD$97="Leve"),CONCATENATE("R32C",'Mapa final'!$R$97),"")</f>
        <v/>
      </c>
      <c r="K237" s="56" t="str">
        <f>IF(AND('Mapa final'!$AB$98="Muy Baja",'Mapa final'!$AD$98="Leve"),CONCATENATE("R32C",'Mapa final'!$R$98),"")</f>
        <v>R32C2</v>
      </c>
      <c r="L237" s="130" t="str">
        <f>IF(AND('Mapa final'!$AB$99="Muy Baja",'Mapa final'!$AD$99="Leve"),CONCATENATE("R33C",'Mapa final'!$R$99),"")</f>
        <v>R33C3</v>
      </c>
      <c r="M237" s="129" t="str">
        <f>IF(AND('Mapa final'!$AB$97="Muy Baja",'Mapa final'!$AD$97="Menor"),CONCATENATE("R32C",'Mapa final'!$R$97),"")</f>
        <v/>
      </c>
      <c r="N237" s="56" t="str">
        <f>IF(AND('Mapa final'!$AB$98="Muy Baja",'Mapa final'!$AD$98="Menor"),CONCATENATE("R32C",'Mapa final'!$R$98),"")</f>
        <v/>
      </c>
      <c r="O237" s="130" t="str">
        <f>IF(AND('Mapa final'!$AB$99="Muy Baja",'Mapa final'!$AD$99="Menor"),CONCATENATE("R33C",'Mapa final'!$R$99),"")</f>
        <v/>
      </c>
      <c r="P237" s="51" t="str">
        <f>IF(AND('Mapa final'!$AB$97="Muy Baja",'Mapa final'!$AD$97="Moderado"),CONCATENATE("R32C",'Mapa final'!$R$97),"")</f>
        <v/>
      </c>
      <c r="Q237" s="52" t="str">
        <f>IF(AND('Mapa final'!$AB$98="Muy Baja",'Mapa final'!$AD$98="Moderado"),CONCATENATE("R32C",'Mapa final'!$R$98),"")</f>
        <v/>
      </c>
      <c r="R237" s="125" t="str">
        <f>IF(AND('Mapa final'!$AB$99="Muy Baja",'Mapa final'!$AD$99="Moderado"),CONCATENATE("R33C",'Mapa final'!$R$99),"")</f>
        <v/>
      </c>
      <c r="S237" s="119" t="str">
        <f>IF(AND('Mapa final'!$AB$97="Muy Baja",'Mapa final'!$AD$97="Mayor"),CONCATENATE("R32C",'Mapa final'!$R$97),"")</f>
        <v/>
      </c>
      <c r="T237" s="44" t="str">
        <f>IF(AND('Mapa final'!$AB$98="Muy Baja",'Mapa final'!$AD$98="Mayor"),CONCATENATE("R32C",'Mapa final'!$R$98),"")</f>
        <v/>
      </c>
      <c r="U237" s="120" t="str">
        <f>IF(AND('Mapa final'!$AB$99="Muy Baja",'Mapa final'!$AD$99="Mayor"),CONCATENATE("R33C",'Mapa final'!$R$99),"")</f>
        <v/>
      </c>
      <c r="V237" s="45" t="str">
        <f>IF(AND('Mapa final'!$AB$97="Muy Baja",'Mapa final'!$AD$97="Catastrófico"),CONCATENATE("R32C",'Mapa final'!$R$97),"")</f>
        <v/>
      </c>
      <c r="W237" s="46" t="str">
        <f>IF(AND('Mapa final'!$AB$98="Muy Baja",'Mapa final'!$AD$98="Catastrófico"),CONCATENATE("R32C",'Mapa final'!$R$98),"")</f>
        <v/>
      </c>
      <c r="X237" s="114" t="str">
        <f>IF(AND('Mapa final'!$AB$99="Muy Baja",'Mapa final'!$AD$99="Catastrófico"),CONCATENATE("R33C",'Mapa final'!$R$99),"")</f>
        <v/>
      </c>
      <c r="Y237" s="58"/>
      <c r="Z237" s="58"/>
      <c r="AA237" s="58"/>
      <c r="AB237" s="58"/>
      <c r="AC237" s="58"/>
      <c r="AD237" s="58"/>
      <c r="AE237" s="58"/>
      <c r="AF237" s="58"/>
      <c r="AG237" s="58"/>
      <c r="AH237" s="58"/>
      <c r="AI237" s="58"/>
      <c r="AJ237" s="58"/>
      <c r="AK237" s="58"/>
      <c r="AL237" s="58"/>
      <c r="AM237" s="58"/>
      <c r="AN237" s="58"/>
      <c r="AO237" s="58"/>
      <c r="AP237" s="58"/>
      <c r="AQ237" s="58"/>
      <c r="AR237" s="58"/>
      <c r="AS237" s="58"/>
      <c r="AT237" s="58"/>
      <c r="AU237" s="58"/>
      <c r="AV237" s="58"/>
      <c r="AW237" s="58"/>
      <c r="AX237" s="58"/>
      <c r="AY237" s="58"/>
      <c r="AZ237" s="58"/>
      <c r="BA237" s="58"/>
      <c r="BB237" s="58"/>
      <c r="BC237" s="58"/>
      <c r="BD237" s="58"/>
      <c r="BE237" s="58"/>
      <c r="BF237" s="58"/>
      <c r="BG237" s="58"/>
      <c r="BH237" s="58"/>
      <c r="BI237" s="58"/>
      <c r="BJ237" s="58"/>
      <c r="BK237" s="58"/>
      <c r="BL237" s="58"/>
      <c r="BM237" s="58"/>
    </row>
    <row r="238" spans="1:65" ht="15" customHeight="1" x14ac:dyDescent="0.25">
      <c r="A238" s="58"/>
      <c r="B238" s="356"/>
      <c r="C238" s="356"/>
      <c r="D238" s="357"/>
      <c r="E238" s="371"/>
      <c r="F238" s="372"/>
      <c r="G238" s="372"/>
      <c r="H238" s="372"/>
      <c r="I238" s="370"/>
      <c r="J238" s="129" t="str">
        <f>IF(AND('Mapa final'!$AB$100="Muy Baja",'Mapa final'!$AD$100="Leve"),CONCATENATE("R33C",'Mapa final'!$R$100),"")</f>
        <v/>
      </c>
      <c r="K238" s="56" t="str">
        <f>IF(AND('Mapa final'!$AB$101="Muy Baja",'Mapa final'!$AD$101="Leve"),CONCATENATE("R33C",'Mapa final'!$R$101),"")</f>
        <v>R33C2</v>
      </c>
      <c r="L238" s="130" t="str">
        <f>IF(AND('Mapa final'!$AB$102="Muy Baja",'Mapa final'!$AD$102="Leve"),CONCATENATE("R34C",'Mapa final'!$R$102),"")</f>
        <v>R34C3</v>
      </c>
      <c r="M238" s="129" t="str">
        <f>IF(AND('Mapa final'!$AB$100="Muy Baja",'Mapa final'!$AD$100="Menor"),CONCATENATE("R33C",'Mapa final'!$R$100),"")</f>
        <v/>
      </c>
      <c r="N238" s="56" t="str">
        <f>IF(AND('Mapa final'!$AB$101="Muy Baja",'Mapa final'!$AD$101="Menor"),CONCATENATE("R33C",'Mapa final'!$R$101),"")</f>
        <v/>
      </c>
      <c r="O238" s="130" t="str">
        <f>IF(AND('Mapa final'!$AB$102="Muy Baja",'Mapa final'!$AD$102="Menor"),CONCATENATE("R34C",'Mapa final'!$R$102),"")</f>
        <v/>
      </c>
      <c r="P238" s="51" t="str">
        <f>IF(AND('Mapa final'!$AB$100="Muy Baja",'Mapa final'!$AD$100="Moderado"),CONCATENATE("R33C",'Mapa final'!$R$100),"")</f>
        <v/>
      </c>
      <c r="Q238" s="52" t="str">
        <f>IF(AND('Mapa final'!$AB$101="Muy Baja",'Mapa final'!$AD$101="Moderado"),CONCATENATE("R33C",'Mapa final'!$R$101),"")</f>
        <v/>
      </c>
      <c r="R238" s="125" t="str">
        <f>IF(AND('Mapa final'!$AB$102="Muy Baja",'Mapa final'!$AD$102="Moderado"),CONCATENATE("R34C",'Mapa final'!$R$102),"")</f>
        <v/>
      </c>
      <c r="S238" s="119" t="str">
        <f>IF(AND('Mapa final'!$AB$100="Muy Baja",'Mapa final'!$AD$100="Mayor"),CONCATENATE("R33C",'Mapa final'!$R$100),"")</f>
        <v/>
      </c>
      <c r="T238" s="44" t="str">
        <f>IF(AND('Mapa final'!$AB$101="Muy Baja",'Mapa final'!$AD$101="Mayor"),CONCATENATE("R33C",'Mapa final'!$R$101),"")</f>
        <v/>
      </c>
      <c r="U238" s="120" t="str">
        <f>IF(AND('Mapa final'!$AB$102="Muy Baja",'Mapa final'!$AD$102="Mayor"),CONCATENATE("R34C",'Mapa final'!$R$102),"")</f>
        <v/>
      </c>
      <c r="V238" s="45" t="str">
        <f>IF(AND('Mapa final'!$AB$100="Muy Baja",'Mapa final'!$AD$100="Catastrófico"),CONCATENATE("R33C",'Mapa final'!$R$100),"")</f>
        <v/>
      </c>
      <c r="W238" s="46" t="str">
        <f>IF(AND('Mapa final'!$AB$101="Muy Baja",'Mapa final'!$AD$101="Catastrófico"),CONCATENATE("R33C",'Mapa final'!$R$101),"")</f>
        <v/>
      </c>
      <c r="X238" s="114" t="str">
        <f>IF(AND('Mapa final'!$AB$102="Muy Baja",'Mapa final'!$AD$102="Catastrófico"),CONCATENATE("R34C",'Mapa final'!$R$102),"")</f>
        <v/>
      </c>
      <c r="Y238" s="58"/>
      <c r="Z238" s="58"/>
      <c r="AA238" s="58"/>
      <c r="AB238" s="58"/>
      <c r="AC238" s="58"/>
      <c r="AD238" s="58"/>
      <c r="AE238" s="58"/>
      <c r="AF238" s="58"/>
      <c r="AG238" s="58"/>
      <c r="AH238" s="58"/>
      <c r="AI238" s="58"/>
      <c r="AJ238" s="58"/>
      <c r="AK238" s="58"/>
      <c r="AL238" s="58"/>
      <c r="AM238" s="58"/>
      <c r="AN238" s="58"/>
      <c r="AO238" s="58"/>
      <c r="AP238" s="58"/>
      <c r="AQ238" s="58"/>
      <c r="AR238" s="58"/>
      <c r="AS238" s="58"/>
      <c r="AT238" s="58"/>
      <c r="AU238" s="58"/>
      <c r="AV238" s="58"/>
      <c r="AW238" s="58"/>
      <c r="AX238" s="58"/>
      <c r="AY238" s="58"/>
      <c r="AZ238" s="58"/>
      <c r="BA238" s="58"/>
      <c r="BB238" s="58"/>
      <c r="BC238" s="58"/>
      <c r="BD238" s="58"/>
      <c r="BE238" s="58"/>
      <c r="BF238" s="58"/>
      <c r="BG238" s="58"/>
      <c r="BH238" s="58"/>
      <c r="BI238" s="58"/>
      <c r="BJ238" s="58"/>
      <c r="BK238" s="58"/>
      <c r="BL238" s="58"/>
      <c r="BM238" s="58"/>
    </row>
    <row r="239" spans="1:65" ht="15" customHeight="1" x14ac:dyDescent="0.25">
      <c r="A239" s="58"/>
      <c r="B239" s="356"/>
      <c r="C239" s="356"/>
      <c r="D239" s="357"/>
      <c r="E239" s="371"/>
      <c r="F239" s="372"/>
      <c r="G239" s="372"/>
      <c r="H239" s="372"/>
      <c r="I239" s="370"/>
      <c r="J239" s="129" t="str">
        <f>IF(AND('Mapa final'!$AB$103="Muy Baja",'Mapa final'!$AD$103="Leve"),CONCATENATE("R34C",'Mapa final'!$R$103),"")</f>
        <v/>
      </c>
      <c r="K239" s="56" t="str">
        <f>IF(AND('Mapa final'!$AB$104="Muy Baja",'Mapa final'!$AD$104="Leve"),CONCATENATE("R34C",'Mapa final'!$R$104),"")</f>
        <v>R34C2</v>
      </c>
      <c r="L239" s="130" t="str">
        <f>IF(AND('Mapa final'!$AB$105="Muy Baja",'Mapa final'!$AD$105="Leve"),CONCATENATE("R35C",'Mapa final'!$R$105),"")</f>
        <v>R35C3</v>
      </c>
      <c r="M239" s="129" t="str">
        <f>IF(AND('Mapa final'!$AB$103="Muy Baja",'Mapa final'!$AD$103="Menor"),CONCATENATE("R34C",'Mapa final'!$R$103),"")</f>
        <v/>
      </c>
      <c r="N239" s="56" t="str">
        <f>IF(AND('Mapa final'!$AB$104="Muy Baja",'Mapa final'!$AD$104="Menor"),CONCATENATE("R34C",'Mapa final'!$R$104),"")</f>
        <v/>
      </c>
      <c r="O239" s="130" t="str">
        <f>IF(AND('Mapa final'!$AB$105="Muy Baja",'Mapa final'!$AD$105="Menor"),CONCATENATE("R35C",'Mapa final'!$R$105),"")</f>
        <v/>
      </c>
      <c r="P239" s="51" t="str">
        <f>IF(AND('Mapa final'!$AB$103="Muy Baja",'Mapa final'!$AD$103="Moderado"),CONCATENATE("R34C",'Mapa final'!$R$103),"")</f>
        <v/>
      </c>
      <c r="Q239" s="52" t="str">
        <f>IF(AND('Mapa final'!$AB$104="Muy Baja",'Mapa final'!$AD$104="Moderado"),CONCATENATE("R34C",'Mapa final'!$R$104),"")</f>
        <v/>
      </c>
      <c r="R239" s="125" t="str">
        <f>IF(AND('Mapa final'!$AB$105="Muy Baja",'Mapa final'!$AD$105="Moderado"),CONCATENATE("R35C",'Mapa final'!$R$105),"")</f>
        <v/>
      </c>
      <c r="S239" s="119" t="str">
        <f>IF(AND('Mapa final'!$AB$103="Muy Baja",'Mapa final'!$AD$103="Mayor"),CONCATENATE("R34C",'Mapa final'!$R$103),"")</f>
        <v/>
      </c>
      <c r="T239" s="44" t="str">
        <f>IF(AND('Mapa final'!$AB$104="Muy Baja",'Mapa final'!$AD$104="Mayor"),CONCATENATE("R34C",'Mapa final'!$R$104),"")</f>
        <v/>
      </c>
      <c r="U239" s="120" t="str">
        <f>IF(AND('Mapa final'!$AB$105="Muy Baja",'Mapa final'!$AD$105="Mayor"),CONCATENATE("R35C",'Mapa final'!$R$105),"")</f>
        <v/>
      </c>
      <c r="V239" s="45" t="str">
        <f>IF(AND('Mapa final'!$AB$103="Muy Baja",'Mapa final'!$AD$103="Catastrófico"),CONCATENATE("R34C",'Mapa final'!$R$103),"")</f>
        <v/>
      </c>
      <c r="W239" s="46" t="str">
        <f>IF(AND('Mapa final'!$AB$104="Muy Baja",'Mapa final'!$AD$104="Catastrófico"),CONCATENATE("R34C",'Mapa final'!$R$104),"")</f>
        <v/>
      </c>
      <c r="X239" s="114" t="str">
        <f>IF(AND('Mapa final'!$AB$105="Muy Baja",'Mapa final'!$AD$105="Catastrófico"),CONCATENATE("R35C",'Mapa final'!$R$105),"")</f>
        <v/>
      </c>
      <c r="Y239" s="58"/>
      <c r="Z239" s="58"/>
      <c r="AA239" s="58"/>
      <c r="AB239" s="58"/>
      <c r="AC239" s="58"/>
      <c r="AD239" s="58"/>
      <c r="AE239" s="58"/>
      <c r="AF239" s="58"/>
      <c r="AG239" s="58"/>
      <c r="AH239" s="58"/>
      <c r="AI239" s="58"/>
      <c r="AJ239" s="58"/>
      <c r="AK239" s="58"/>
      <c r="AL239" s="58"/>
      <c r="AM239" s="58"/>
      <c r="AN239" s="58"/>
      <c r="AO239" s="58"/>
      <c r="AP239" s="58"/>
      <c r="AQ239" s="58"/>
      <c r="AR239" s="58"/>
      <c r="AS239" s="58"/>
      <c r="AT239" s="58"/>
      <c r="AU239" s="58"/>
      <c r="AV239" s="58"/>
      <c r="AW239" s="58"/>
      <c r="AX239" s="58"/>
      <c r="AY239" s="58"/>
      <c r="AZ239" s="58"/>
      <c r="BA239" s="58"/>
      <c r="BB239" s="58"/>
      <c r="BC239" s="58"/>
      <c r="BD239" s="58"/>
      <c r="BE239" s="58"/>
      <c r="BF239" s="58"/>
      <c r="BG239" s="58"/>
      <c r="BH239" s="58"/>
      <c r="BI239" s="58"/>
      <c r="BJ239" s="58"/>
      <c r="BK239" s="58"/>
      <c r="BL239" s="58"/>
      <c r="BM239" s="58"/>
    </row>
    <row r="240" spans="1:65" ht="15" customHeight="1" x14ac:dyDescent="0.25">
      <c r="A240" s="58"/>
      <c r="B240" s="356"/>
      <c r="C240" s="356"/>
      <c r="D240" s="357"/>
      <c r="E240" s="371"/>
      <c r="F240" s="372"/>
      <c r="G240" s="372"/>
      <c r="H240" s="372"/>
      <c r="I240" s="370"/>
      <c r="J240" s="129" t="str">
        <f>IF(AND('Mapa final'!$AB$106="Muy Baja",'Mapa final'!$AD$106="Leve"),CONCATENATE("R35C",'Mapa final'!$R$106),"")</f>
        <v/>
      </c>
      <c r="K240" s="56" t="str">
        <f>IF(AND('Mapa final'!$AB$107="Muy Baja",'Mapa final'!$AD$107="Leve"),CONCATENATE("R35C",'Mapa final'!$R$107),"")</f>
        <v>R35C2</v>
      </c>
      <c r="L240" s="130" t="str">
        <f>IF(AND('Mapa final'!$AB$108="Muy Baja",'Mapa final'!$AD$108="Leve"),CONCATENATE("R36C",'Mapa final'!$R$108),"")</f>
        <v>R36C3</v>
      </c>
      <c r="M240" s="129" t="str">
        <f>IF(AND('Mapa final'!$AB$106="Muy Baja",'Mapa final'!$AD$106="Menor"),CONCATENATE("R35C",'Mapa final'!$R$106),"")</f>
        <v/>
      </c>
      <c r="N240" s="56" t="str">
        <f>IF(AND('Mapa final'!$AB$107="Muy Baja",'Mapa final'!$AD$107="Menor"),CONCATENATE("R35C",'Mapa final'!$R$107),"")</f>
        <v/>
      </c>
      <c r="O240" s="130" t="str">
        <f>IF(AND('Mapa final'!$AB$108="Muy Baja",'Mapa final'!$AD$108="Menor"),CONCATENATE("R36C",'Mapa final'!$R$108),"")</f>
        <v/>
      </c>
      <c r="P240" s="51" t="str">
        <f>IF(AND('Mapa final'!$AB$106="Muy Baja",'Mapa final'!$AD$106="Moderado"),CONCATENATE("R35C",'Mapa final'!$R$106),"")</f>
        <v/>
      </c>
      <c r="Q240" s="52" t="str">
        <f>IF(AND('Mapa final'!$AB$107="Muy Baja",'Mapa final'!$AD$107="Moderado"),CONCATENATE("R35C",'Mapa final'!$R$107),"")</f>
        <v/>
      </c>
      <c r="R240" s="125" t="str">
        <f>IF(AND('Mapa final'!$AB$108="Muy Baja",'Mapa final'!$AD$108="Moderado"),CONCATENATE("R36C",'Mapa final'!$R$108),"")</f>
        <v/>
      </c>
      <c r="S240" s="119" t="str">
        <f>IF(AND('Mapa final'!$AB$106="Muy Baja",'Mapa final'!$AD$106="Mayor"),CONCATENATE("R35C",'Mapa final'!$R$106),"")</f>
        <v/>
      </c>
      <c r="T240" s="44" t="str">
        <f>IF(AND('Mapa final'!$AB$107="Muy Baja",'Mapa final'!$AD$107="Mayor"),CONCATENATE("R35C",'Mapa final'!$R$107),"")</f>
        <v/>
      </c>
      <c r="U240" s="120" t="str">
        <f>IF(AND('Mapa final'!$AB$108="Muy Baja",'Mapa final'!$AD$108="Mayor"),CONCATENATE("R36C",'Mapa final'!$R$108),"")</f>
        <v/>
      </c>
      <c r="V240" s="45" t="str">
        <f>IF(AND('Mapa final'!$AB$106="Muy Baja",'Mapa final'!$AD$106="Catastrófico"),CONCATENATE("R35C",'Mapa final'!$R$106),"")</f>
        <v/>
      </c>
      <c r="W240" s="46" t="str">
        <f>IF(AND('Mapa final'!$AB$107="Muy Baja",'Mapa final'!$AD$107="Catastrófico"),CONCATENATE("R35C",'Mapa final'!$R$107),"")</f>
        <v/>
      </c>
      <c r="X240" s="114" t="str">
        <f>IF(AND('Mapa final'!$AB$108="Muy Baja",'Mapa final'!$AD$108="Catastrófico"),CONCATENATE("R36C",'Mapa final'!$R$108),"")</f>
        <v/>
      </c>
      <c r="Y240" s="58"/>
      <c r="Z240" s="58"/>
      <c r="AA240" s="58"/>
      <c r="AB240" s="58"/>
      <c r="AC240" s="58"/>
      <c r="AD240" s="58"/>
      <c r="AE240" s="58"/>
      <c r="AF240" s="58"/>
      <c r="AG240" s="58"/>
      <c r="AH240" s="58"/>
      <c r="AI240" s="58"/>
      <c r="AJ240" s="58"/>
      <c r="AK240" s="58"/>
      <c r="AL240" s="58"/>
      <c r="AM240" s="58"/>
      <c r="AN240" s="58"/>
      <c r="AO240" s="58"/>
      <c r="AP240" s="58"/>
      <c r="AQ240" s="58"/>
      <c r="AR240" s="58"/>
      <c r="AS240" s="58"/>
      <c r="AT240" s="58"/>
      <c r="AU240" s="58"/>
      <c r="AV240" s="58"/>
      <c r="AW240" s="58"/>
      <c r="AX240" s="58"/>
      <c r="AY240" s="58"/>
      <c r="AZ240" s="58"/>
      <c r="BA240" s="58"/>
      <c r="BB240" s="58"/>
      <c r="BC240" s="58"/>
      <c r="BD240" s="58"/>
      <c r="BE240" s="58"/>
      <c r="BF240" s="58"/>
      <c r="BG240" s="58"/>
      <c r="BH240" s="58"/>
      <c r="BI240" s="58"/>
      <c r="BJ240" s="58"/>
      <c r="BK240" s="58"/>
      <c r="BL240" s="58"/>
      <c r="BM240" s="58"/>
    </row>
    <row r="241" spans="1:65" ht="15" customHeight="1" x14ac:dyDescent="0.25">
      <c r="A241" s="58"/>
      <c r="B241" s="356"/>
      <c r="C241" s="356"/>
      <c r="D241" s="357"/>
      <c r="E241" s="371"/>
      <c r="F241" s="372"/>
      <c r="G241" s="372"/>
      <c r="H241" s="372"/>
      <c r="I241" s="370"/>
      <c r="J241" s="129" t="str">
        <f>IF(AND('Mapa final'!$AB$109="Muy Baja",'Mapa final'!$AD$109="Leve"),CONCATENATE("R36C",'Mapa final'!$R$109),"")</f>
        <v/>
      </c>
      <c r="K241" s="56" t="str">
        <f>IF(AND('Mapa final'!$AB$110="Muy Baja",'Mapa final'!$AD$110="Leve"),CONCATENATE("R36C",'Mapa final'!$R$110),"")</f>
        <v>R36C2</v>
      </c>
      <c r="L241" s="130" t="str">
        <f>IF(AND('Mapa final'!$AB$111="Muy Baja",'Mapa final'!$AD$111="Leve"),CONCATENATE("R37C",'Mapa final'!$R$111),"")</f>
        <v>R37C3</v>
      </c>
      <c r="M241" s="129" t="str">
        <f>IF(AND('Mapa final'!$AB$109="Muy Baja",'Mapa final'!$AD$109="Menor"),CONCATENATE("R36C",'Mapa final'!$R$109),"")</f>
        <v/>
      </c>
      <c r="N241" s="56" t="str">
        <f>IF(AND('Mapa final'!$AB$110="Muy Baja",'Mapa final'!$AD$110="Menor"),CONCATENATE("R36C",'Mapa final'!$R$110),"")</f>
        <v/>
      </c>
      <c r="O241" s="130" t="str">
        <f>IF(AND('Mapa final'!$AB$111="Muy Baja",'Mapa final'!$AD$111="Menor"),CONCATENATE("R37C",'Mapa final'!$R$111),"")</f>
        <v/>
      </c>
      <c r="P241" s="51" t="str">
        <f>IF(AND('Mapa final'!$AB$109="Muy Baja",'Mapa final'!$AD$109="Moderado"),CONCATENATE("R36C",'Mapa final'!$R$109),"")</f>
        <v/>
      </c>
      <c r="Q241" s="52" t="str">
        <f>IF(AND('Mapa final'!$AB$110="Muy Baja",'Mapa final'!$AD$110="Moderado"),CONCATENATE("R36C",'Mapa final'!$R$110),"")</f>
        <v/>
      </c>
      <c r="R241" s="125" t="str">
        <f>IF(AND('Mapa final'!$AB$111="Muy Baja",'Mapa final'!$AD$111="Moderado"),CONCATENATE("R37C",'Mapa final'!$R$111),"")</f>
        <v/>
      </c>
      <c r="S241" s="119" t="str">
        <f>IF(AND('Mapa final'!$AB$109="Muy Baja",'Mapa final'!$AD$109="Mayor"),CONCATENATE("R36C",'Mapa final'!$R$109),"")</f>
        <v/>
      </c>
      <c r="T241" s="44" t="str">
        <f>IF(AND('Mapa final'!$AB$110="Muy Baja",'Mapa final'!$AD$110="Mayor"),CONCATENATE("R36C",'Mapa final'!$R$110),"")</f>
        <v/>
      </c>
      <c r="U241" s="120" t="str">
        <f>IF(AND('Mapa final'!$AB$111="Muy Baja",'Mapa final'!$AD$111="Mayor"),CONCATENATE("R37C",'Mapa final'!$R$111),"")</f>
        <v/>
      </c>
      <c r="V241" s="45" t="str">
        <f>IF(AND('Mapa final'!$AB$109="Muy Baja",'Mapa final'!$AD$109="Catastrófico"),CONCATENATE("R36C",'Mapa final'!$R$109),"")</f>
        <v/>
      </c>
      <c r="W241" s="46" t="str">
        <f>IF(AND('Mapa final'!$AB$110="Muy Baja",'Mapa final'!$AD$110="Catastrófico"),CONCATENATE("R36C",'Mapa final'!$R$110),"")</f>
        <v/>
      </c>
      <c r="X241" s="114" t="str">
        <f>IF(AND('Mapa final'!$AB$111="Muy Baja",'Mapa final'!$AD$111="Catastrófico"),CONCATENATE("R37C",'Mapa final'!$R$111),"")</f>
        <v/>
      </c>
      <c r="Y241" s="58"/>
      <c r="Z241" s="58"/>
      <c r="AA241" s="58"/>
      <c r="AB241" s="58"/>
      <c r="AC241" s="58"/>
      <c r="AD241" s="58"/>
      <c r="AE241" s="58"/>
      <c r="AF241" s="58"/>
      <c r="AG241" s="58"/>
      <c r="AH241" s="58"/>
      <c r="AI241" s="58"/>
      <c r="AJ241" s="58"/>
      <c r="AK241" s="58"/>
      <c r="AL241" s="58"/>
      <c r="AM241" s="58"/>
      <c r="AN241" s="58"/>
      <c r="AO241" s="58"/>
      <c r="AP241" s="58"/>
      <c r="AQ241" s="58"/>
      <c r="AR241" s="58"/>
      <c r="AS241" s="58"/>
      <c r="AT241" s="58"/>
      <c r="AU241" s="58"/>
      <c r="AV241" s="58"/>
      <c r="AW241" s="58"/>
      <c r="AX241" s="58"/>
      <c r="AY241" s="58"/>
      <c r="AZ241" s="58"/>
      <c r="BA241" s="58"/>
      <c r="BB241" s="58"/>
      <c r="BC241" s="58"/>
      <c r="BD241" s="58"/>
      <c r="BE241" s="58"/>
      <c r="BF241" s="58"/>
      <c r="BG241" s="58"/>
      <c r="BH241" s="58"/>
      <c r="BI241" s="58"/>
      <c r="BJ241" s="58"/>
      <c r="BK241" s="58"/>
      <c r="BL241" s="58"/>
      <c r="BM241" s="58"/>
    </row>
    <row r="242" spans="1:65" ht="15" customHeight="1" x14ac:dyDescent="0.25">
      <c r="A242" s="58"/>
      <c r="B242" s="356"/>
      <c r="C242" s="356"/>
      <c r="D242" s="357"/>
      <c r="E242" s="371"/>
      <c r="F242" s="372"/>
      <c r="G242" s="372"/>
      <c r="H242" s="372"/>
      <c r="I242" s="370"/>
      <c r="J242" s="129" t="str">
        <f>IF(AND('Mapa final'!$AB$112="Muy Baja",'Mapa final'!$AD$112="Leve"),CONCATENATE("R37C",'Mapa final'!$R$112),"")</f>
        <v/>
      </c>
      <c r="K242" s="56" t="str">
        <f>IF(AND('Mapa final'!$AB$113="Muy Baja",'Mapa final'!$AD$113="Leve"),CONCATENATE("R37C",'Mapa final'!$R$113),"")</f>
        <v>R37C2</v>
      </c>
      <c r="L242" s="130" t="str">
        <f>IF(AND('Mapa final'!$AB$114="Muy Baja",'Mapa final'!$AD$114="Leve"),CONCATENATE("R38C",'Mapa final'!$R$114),"")</f>
        <v>R38C3</v>
      </c>
      <c r="M242" s="129" t="str">
        <f>IF(AND('Mapa final'!$AB$112="Muy Baja",'Mapa final'!$AD$112="Menor"),CONCATENATE("R37C",'Mapa final'!$R$112),"")</f>
        <v/>
      </c>
      <c r="N242" s="56" t="str">
        <f>IF(AND('Mapa final'!$AB$113="Muy Baja",'Mapa final'!$AD$113="Menor"),CONCATENATE("R37C",'Mapa final'!$R$113),"")</f>
        <v/>
      </c>
      <c r="O242" s="130" t="str">
        <f>IF(AND('Mapa final'!$AB$114="Muy Baja",'Mapa final'!$AD$114="Menor"),CONCATENATE("R38C",'Mapa final'!$R$114),"")</f>
        <v/>
      </c>
      <c r="P242" s="51" t="str">
        <f>IF(AND('Mapa final'!$AB$112="Muy Baja",'Mapa final'!$AD$112="Moderado"),CONCATENATE("R37C",'Mapa final'!$R$112),"")</f>
        <v/>
      </c>
      <c r="Q242" s="52" t="str">
        <f>IF(AND('Mapa final'!$AB$113="Muy Baja",'Mapa final'!$AD$113="Moderado"),CONCATENATE("R37C",'Mapa final'!$R$113),"")</f>
        <v/>
      </c>
      <c r="R242" s="125" t="str">
        <f>IF(AND('Mapa final'!$AB$114="Muy Baja",'Mapa final'!$AD$114="Moderado"),CONCATENATE("R38C",'Mapa final'!$R$114),"")</f>
        <v/>
      </c>
      <c r="S242" s="119" t="str">
        <f>IF(AND('Mapa final'!$AB$112="Muy Baja",'Mapa final'!$AD$112="Mayor"),CONCATENATE("R37C",'Mapa final'!$R$112),"")</f>
        <v/>
      </c>
      <c r="T242" s="44" t="str">
        <f>IF(AND('Mapa final'!$AB$113="Muy Baja",'Mapa final'!$AD$113="Mayor"),CONCATENATE("R37C",'Mapa final'!$R$113),"")</f>
        <v/>
      </c>
      <c r="U242" s="120" t="str">
        <f>IF(AND('Mapa final'!$AB$114="Muy Baja",'Mapa final'!$AD$114="Mayor"),CONCATENATE("R38C",'Mapa final'!$R$114),"")</f>
        <v/>
      </c>
      <c r="V242" s="45" t="str">
        <f>IF(AND('Mapa final'!$AB$112="Muy Baja",'Mapa final'!$AD$112="Catastrófico"),CONCATENATE("R37C",'Mapa final'!$R$112),"")</f>
        <v/>
      </c>
      <c r="W242" s="46" t="str">
        <f>IF(AND('Mapa final'!$AB$113="Muy Baja",'Mapa final'!$AD$113="Catastrófico"),CONCATENATE("R37C",'Mapa final'!$R$113),"")</f>
        <v/>
      </c>
      <c r="X242" s="114" t="str">
        <f>IF(AND('Mapa final'!$AB$114="Muy Baja",'Mapa final'!$AD$114="Catastrófico"),CONCATENATE("R38C",'Mapa final'!$R$114),"")</f>
        <v/>
      </c>
      <c r="Y242" s="58"/>
      <c r="Z242" s="58"/>
      <c r="AA242" s="58"/>
      <c r="AB242" s="58"/>
      <c r="AC242" s="58"/>
      <c r="AD242" s="58"/>
      <c r="AE242" s="58"/>
      <c r="AF242" s="58"/>
      <c r="AG242" s="58"/>
      <c r="AH242" s="58"/>
      <c r="AI242" s="58"/>
      <c r="AJ242" s="58"/>
      <c r="AK242" s="58"/>
      <c r="AL242" s="58"/>
      <c r="AM242" s="58"/>
      <c r="AN242" s="58"/>
      <c r="AO242" s="58"/>
      <c r="AP242" s="58"/>
      <c r="AQ242" s="58"/>
      <c r="AR242" s="58"/>
      <c r="AS242" s="58"/>
      <c r="AT242" s="58"/>
      <c r="AU242" s="58"/>
      <c r="AV242" s="58"/>
      <c r="AW242" s="58"/>
      <c r="AX242" s="58"/>
      <c r="AY242" s="58"/>
      <c r="AZ242" s="58"/>
      <c r="BA242" s="58"/>
      <c r="BB242" s="58"/>
      <c r="BC242" s="58"/>
      <c r="BD242" s="58"/>
      <c r="BE242" s="58"/>
      <c r="BF242" s="58"/>
      <c r="BG242" s="58"/>
      <c r="BH242" s="58"/>
      <c r="BI242" s="58"/>
      <c r="BJ242" s="58"/>
      <c r="BK242" s="58"/>
      <c r="BL242" s="58"/>
      <c r="BM242" s="58"/>
    </row>
    <row r="243" spans="1:65" ht="15" customHeight="1" x14ac:dyDescent="0.25">
      <c r="A243" s="58"/>
      <c r="B243" s="356"/>
      <c r="C243" s="356"/>
      <c r="D243" s="357"/>
      <c r="E243" s="371"/>
      <c r="F243" s="372"/>
      <c r="G243" s="372"/>
      <c r="H243" s="372"/>
      <c r="I243" s="370"/>
      <c r="J243" s="129" t="str">
        <f>IF(AND('Mapa final'!$AB$115="Muy Baja",'Mapa final'!$AD$115="Leve"),CONCATENATE("R38C",'Mapa final'!$R$115),"")</f>
        <v/>
      </c>
      <c r="K243" s="56" t="str">
        <f>IF(AND('Mapa final'!$AB$116="Muy Baja",'Mapa final'!$AD$116="Leve"),CONCATENATE("R38C",'Mapa final'!$R$116),"")</f>
        <v>R38C2</v>
      </c>
      <c r="L243" s="130" t="str">
        <f>IF(AND('Mapa final'!$AB$117="Muy Baja",'Mapa final'!$AD$117="Leve"),CONCATENATE("R39C",'Mapa final'!$R$117),"")</f>
        <v>R39C3</v>
      </c>
      <c r="M243" s="129" t="str">
        <f>IF(AND('Mapa final'!$AB$115="Muy Baja",'Mapa final'!$AD$115="Menor"),CONCATENATE("R38C",'Mapa final'!$R$115),"")</f>
        <v/>
      </c>
      <c r="N243" s="56" t="str">
        <f>IF(AND('Mapa final'!$AB$116="Muy Baja",'Mapa final'!$AD$116="Menor"),CONCATENATE("R38C",'Mapa final'!$R$116),"")</f>
        <v/>
      </c>
      <c r="O243" s="130" t="str">
        <f>IF(AND('Mapa final'!$AB$117="Muy Baja",'Mapa final'!$AD$117="Menor"),CONCATENATE("R39C",'Mapa final'!$R$117),"")</f>
        <v/>
      </c>
      <c r="P243" s="51" t="str">
        <f>IF(AND('Mapa final'!$AB$115="Muy Baja",'Mapa final'!$AD$115="Moderado"),CONCATENATE("R38C",'Mapa final'!$R$115),"")</f>
        <v/>
      </c>
      <c r="Q243" s="52" t="str">
        <f>IF(AND('Mapa final'!$AB$116="Muy Baja",'Mapa final'!$AD$116="Moderado"),CONCATENATE("R38C",'Mapa final'!$R$116),"")</f>
        <v/>
      </c>
      <c r="R243" s="125" t="str">
        <f>IF(AND('Mapa final'!$AB$117="Muy Baja",'Mapa final'!$AD$117="Moderado"),CONCATENATE("R39C",'Mapa final'!$R$117),"")</f>
        <v/>
      </c>
      <c r="S243" s="119" t="str">
        <f>IF(AND('Mapa final'!$AB$115="Muy Baja",'Mapa final'!$AD$115="Mayor"),CONCATENATE("R38C",'Mapa final'!$R$115),"")</f>
        <v/>
      </c>
      <c r="T243" s="44" t="str">
        <f>IF(AND('Mapa final'!$AB$116="Muy Baja",'Mapa final'!$AD$116="Mayor"),CONCATENATE("R38C",'Mapa final'!$R$116),"")</f>
        <v/>
      </c>
      <c r="U243" s="120" t="str">
        <f>IF(AND('Mapa final'!$AB$117="Muy Baja",'Mapa final'!$AD$117="Mayor"),CONCATENATE("R39C",'Mapa final'!$R$117),"")</f>
        <v/>
      </c>
      <c r="V243" s="45" t="str">
        <f>IF(AND('Mapa final'!$AB$115="Muy Baja",'Mapa final'!$AD$115="Catastrófico"),CONCATENATE("R38C",'Mapa final'!$R$115),"")</f>
        <v/>
      </c>
      <c r="W243" s="46" t="str">
        <f>IF(AND('Mapa final'!$AB$116="Muy Baja",'Mapa final'!$AD$116="Catastrófico"),CONCATENATE("R38C",'Mapa final'!$R$116),"")</f>
        <v/>
      </c>
      <c r="X243" s="114" t="str">
        <f>IF(AND('Mapa final'!$AB$117="Muy Baja",'Mapa final'!$AD$117="Catastrófico"),CONCATENATE("R39C",'Mapa final'!$R$117),"")</f>
        <v/>
      </c>
      <c r="Y243" s="58"/>
      <c r="Z243" s="58"/>
      <c r="AA243" s="58"/>
      <c r="AB243" s="58"/>
      <c r="AC243" s="58"/>
      <c r="AD243" s="58"/>
      <c r="AE243" s="58"/>
      <c r="AF243" s="58"/>
      <c r="AG243" s="58"/>
      <c r="AH243" s="58"/>
      <c r="AI243" s="58"/>
      <c r="AJ243" s="58"/>
      <c r="AK243" s="58"/>
      <c r="AL243" s="58"/>
      <c r="AM243" s="58"/>
      <c r="AN243" s="58"/>
      <c r="AO243" s="58"/>
      <c r="AP243" s="58"/>
      <c r="AQ243" s="58"/>
      <c r="AR243" s="58"/>
      <c r="AS243" s="58"/>
      <c r="AT243" s="58"/>
      <c r="AU243" s="58"/>
      <c r="AV243" s="58"/>
      <c r="AW243" s="58"/>
      <c r="AX243" s="58"/>
      <c r="AY243" s="58"/>
      <c r="AZ243" s="58"/>
      <c r="BA243" s="58"/>
      <c r="BB243" s="58"/>
      <c r="BC243" s="58"/>
      <c r="BD243" s="58"/>
      <c r="BE243" s="58"/>
      <c r="BF243" s="58"/>
      <c r="BG243" s="58"/>
      <c r="BH243" s="58"/>
      <c r="BI243" s="58"/>
      <c r="BJ243" s="58"/>
      <c r="BK243" s="58"/>
      <c r="BL243" s="58"/>
      <c r="BM243" s="58"/>
    </row>
    <row r="244" spans="1:65" ht="15" customHeight="1" x14ac:dyDescent="0.25">
      <c r="A244" s="58"/>
      <c r="B244" s="356"/>
      <c r="C244" s="356"/>
      <c r="D244" s="357"/>
      <c r="E244" s="371"/>
      <c r="F244" s="372"/>
      <c r="G244" s="372"/>
      <c r="H244" s="372"/>
      <c r="I244" s="370"/>
      <c r="J244" s="129" t="str">
        <f>IF(AND('Mapa final'!$AB$118="Muy Baja",'Mapa final'!$AD$118="Leve"),CONCATENATE("R39C",'Mapa final'!$R$118),"")</f>
        <v/>
      </c>
      <c r="K244" s="56" t="str">
        <f>IF(AND('Mapa final'!$AB$119="Muy Baja",'Mapa final'!$AD$119="Leve"),CONCATENATE("R39C",'Mapa final'!$R$119),"")</f>
        <v>R39C2</v>
      </c>
      <c r="L244" s="130" t="str">
        <f>IF(AND('Mapa final'!$AB$120="Muy Baja",'Mapa final'!$AD$120="Leve"),CONCATENATE("R40C",'Mapa final'!$R$120),"")</f>
        <v>R40C3</v>
      </c>
      <c r="M244" s="129" t="str">
        <f>IF(AND('Mapa final'!$AB$118="Muy Baja",'Mapa final'!$AD$118="Menor"),CONCATENATE("R39C",'Mapa final'!$R$118),"")</f>
        <v/>
      </c>
      <c r="N244" s="56" t="str">
        <f>IF(AND('Mapa final'!$AB$119="Muy Baja",'Mapa final'!$AD$119="Menor"),CONCATENATE("R39C",'Mapa final'!$R$119),"")</f>
        <v/>
      </c>
      <c r="O244" s="130" t="str">
        <f>IF(AND('Mapa final'!$AB$120="Muy Baja",'Mapa final'!$AD$120="Menor"),CONCATENATE("R40C",'Mapa final'!$R$120),"")</f>
        <v/>
      </c>
      <c r="P244" s="51" t="str">
        <f>IF(AND('Mapa final'!$AB$118="Muy Baja",'Mapa final'!$AD$118="Moderado"),CONCATENATE("R39C",'Mapa final'!$R$118),"")</f>
        <v/>
      </c>
      <c r="Q244" s="52" t="str">
        <f>IF(AND('Mapa final'!$AB$119="Muy Baja",'Mapa final'!$AD$119="Moderado"),CONCATENATE("R39C",'Mapa final'!$R$119),"")</f>
        <v/>
      </c>
      <c r="R244" s="125" t="str">
        <f>IF(AND('Mapa final'!$AB$120="Muy Baja",'Mapa final'!$AD$120="Moderado"),CONCATENATE("R40C",'Mapa final'!$R$120),"")</f>
        <v/>
      </c>
      <c r="S244" s="119" t="str">
        <f>IF(AND('Mapa final'!$AB$118="Muy Baja",'Mapa final'!$AD$118="Mayor"),CONCATENATE("R39C",'Mapa final'!$R$118),"")</f>
        <v/>
      </c>
      <c r="T244" s="44" t="str">
        <f>IF(AND('Mapa final'!$AB$119="Muy Baja",'Mapa final'!$AD$119="Mayor"),CONCATENATE("R39C",'Mapa final'!$R$119),"")</f>
        <v/>
      </c>
      <c r="U244" s="120" t="str">
        <f>IF(AND('Mapa final'!$AB$120="Muy Baja",'Mapa final'!$AD$120="Mayor"),CONCATENATE("R40C",'Mapa final'!$R$120),"")</f>
        <v/>
      </c>
      <c r="V244" s="45" t="str">
        <f>IF(AND('Mapa final'!$AB$118="Muy Baja",'Mapa final'!$AD$118="Catastrófico"),CONCATENATE("R39C",'Mapa final'!$R$118),"")</f>
        <v/>
      </c>
      <c r="W244" s="46" t="str">
        <f>IF(AND('Mapa final'!$AB$119="Muy Baja",'Mapa final'!$AD$119="Catastrófico"),CONCATENATE("R39C",'Mapa final'!$R$119),"")</f>
        <v/>
      </c>
      <c r="X244" s="114" t="str">
        <f>IF(AND('Mapa final'!$AB$120="Muy Baja",'Mapa final'!$AD$120="Catastrófico"),CONCATENATE("R40C",'Mapa final'!$R$120),"")</f>
        <v/>
      </c>
      <c r="Y244" s="58"/>
      <c r="Z244" s="58"/>
      <c r="AA244" s="58"/>
      <c r="AB244" s="58"/>
      <c r="AC244" s="58"/>
      <c r="AD244" s="58"/>
      <c r="AE244" s="58"/>
      <c r="AF244" s="58"/>
      <c r="AG244" s="58"/>
      <c r="AH244" s="58"/>
      <c r="AI244" s="58"/>
      <c r="AJ244" s="58"/>
      <c r="AK244" s="58"/>
      <c r="AL244" s="58"/>
      <c r="AM244" s="58"/>
      <c r="AN244" s="58"/>
      <c r="AO244" s="58"/>
      <c r="AP244" s="58"/>
      <c r="AQ244" s="58"/>
      <c r="AR244" s="58"/>
      <c r="AS244" s="58"/>
      <c r="AT244" s="58"/>
      <c r="AU244" s="58"/>
      <c r="AV244" s="58"/>
      <c r="AW244" s="58"/>
      <c r="AX244" s="58"/>
      <c r="AY244" s="58"/>
      <c r="AZ244" s="58"/>
      <c r="BA244" s="58"/>
      <c r="BB244" s="58"/>
      <c r="BC244" s="58"/>
      <c r="BD244" s="58"/>
      <c r="BE244" s="58"/>
      <c r="BF244" s="58"/>
      <c r="BG244" s="58"/>
      <c r="BH244" s="58"/>
      <c r="BI244" s="58"/>
      <c r="BJ244" s="58"/>
      <c r="BK244" s="58"/>
      <c r="BL244" s="58"/>
      <c r="BM244" s="58"/>
    </row>
    <row r="245" spans="1:65" ht="15" customHeight="1" x14ac:dyDescent="0.25">
      <c r="A245" s="58"/>
      <c r="B245" s="356"/>
      <c r="C245" s="356"/>
      <c r="D245" s="357"/>
      <c r="E245" s="371"/>
      <c r="F245" s="372"/>
      <c r="G245" s="372"/>
      <c r="H245" s="372"/>
      <c r="I245" s="370"/>
      <c r="J245" s="129" t="str">
        <f>IF(AND('Mapa final'!$AB$121="Muy Baja",'Mapa final'!$AD$121="Leve"),CONCATENATE("R40C",'Mapa final'!$R$121),"")</f>
        <v/>
      </c>
      <c r="K245" s="56" t="str">
        <f>IF(AND('Mapa final'!$AB$122="Muy Baja",'Mapa final'!$AD$122="Leve"),CONCATENATE("R40C",'Mapa final'!$R$122),"")</f>
        <v>R40C2</v>
      </c>
      <c r="L245" s="130" t="str">
        <f>IF(AND('Mapa final'!$AB$123="Muy Baja",'Mapa final'!$AD$123="Leve"),CONCATENATE("R40C",'Mapa final'!$R$123),"")</f>
        <v>R40C3</v>
      </c>
      <c r="M245" s="129" t="str">
        <f>IF(AND('Mapa final'!$AB$121="Muy Baja",'Mapa final'!$AD$121="Menor"),CONCATENATE("R40C",'Mapa final'!$R$121),"")</f>
        <v/>
      </c>
      <c r="N245" s="56" t="str">
        <f>IF(AND('Mapa final'!$AB$122="Muy Baja",'Mapa final'!$AD$122="Menor"),CONCATENATE("R40C",'Mapa final'!$R$122),"")</f>
        <v/>
      </c>
      <c r="O245" s="130" t="str">
        <f>IF(AND('Mapa final'!$AB$123="Muy Baja",'Mapa final'!$AD$123="Menor"),CONCATENATE("R40C",'Mapa final'!$R$123),"")</f>
        <v/>
      </c>
      <c r="P245" s="51" t="str">
        <f>IF(AND('Mapa final'!$AB$121="Muy Baja",'Mapa final'!$AD$121="Moderado"),CONCATENATE("R40C",'Mapa final'!$R$121),"")</f>
        <v/>
      </c>
      <c r="Q245" s="52" t="str">
        <f>IF(AND('Mapa final'!$AB$122="Muy Baja",'Mapa final'!$AD$122="Moderado"),CONCATENATE("R40C",'Mapa final'!$R$122),"")</f>
        <v/>
      </c>
      <c r="R245" s="125" t="str">
        <f>IF(AND('Mapa final'!$AB$123="Muy Baja",'Mapa final'!$AD$123="Moderado"),CONCATENATE("R40C",'Mapa final'!$R$123),"")</f>
        <v/>
      </c>
      <c r="S245" s="119" t="str">
        <f>IF(AND('Mapa final'!$AB$121="Muy Baja",'Mapa final'!$AD$121="Mayor"),CONCATENATE("R40C",'Mapa final'!$R$121),"")</f>
        <v/>
      </c>
      <c r="T245" s="44" t="str">
        <f>IF(AND('Mapa final'!$AB$122="Muy Baja",'Mapa final'!$AD$122="Mayor"),CONCATENATE("R40C",'Mapa final'!$R$122),"")</f>
        <v/>
      </c>
      <c r="U245" s="120" t="str">
        <f>IF(AND('Mapa final'!$AB$123="Muy Baja",'Mapa final'!$AD$123="Mayor"),CONCATENATE("R40C",'Mapa final'!$R$123),"")</f>
        <v/>
      </c>
      <c r="V245" s="45" t="str">
        <f>IF(AND('Mapa final'!$AB$121="Muy Baja",'Mapa final'!$AD$121="Catastrófico"),CONCATENATE("R40C",'Mapa final'!$R$121),"")</f>
        <v/>
      </c>
      <c r="W245" s="46" t="str">
        <f>IF(AND('Mapa final'!$AB$122="Muy Baja",'Mapa final'!$AD$122="Catastrófico"),CONCATENATE("R40C",'Mapa final'!$R$122),"")</f>
        <v/>
      </c>
      <c r="X245" s="114" t="str">
        <f>IF(AND('Mapa final'!$AB$123="Muy Baja",'Mapa final'!$AD$123="Catastrófico"),CONCATENATE("R40C",'Mapa final'!$R$123),"")</f>
        <v/>
      </c>
      <c r="Y245" s="58"/>
      <c r="Z245" s="58"/>
      <c r="AA245" s="58"/>
      <c r="AB245" s="58"/>
      <c r="AC245" s="58"/>
      <c r="AD245" s="58"/>
      <c r="AE245" s="58"/>
      <c r="AF245" s="58"/>
      <c r="AG245" s="58"/>
      <c r="AH245" s="58"/>
      <c r="AI245" s="58"/>
      <c r="AJ245" s="58"/>
      <c r="AK245" s="58"/>
      <c r="AL245" s="58"/>
      <c r="AM245" s="58"/>
      <c r="AN245" s="58"/>
      <c r="AO245" s="58"/>
      <c r="AP245" s="58"/>
      <c r="AQ245" s="58"/>
      <c r="AR245" s="58"/>
      <c r="AS245" s="58"/>
      <c r="AT245" s="58"/>
      <c r="AU245" s="58"/>
      <c r="AV245" s="58"/>
      <c r="AW245" s="58"/>
      <c r="AX245" s="58"/>
      <c r="AY245" s="58"/>
      <c r="AZ245" s="58"/>
      <c r="BA245" s="58"/>
      <c r="BB245" s="58"/>
      <c r="BC245" s="58"/>
      <c r="BD245" s="58"/>
      <c r="BE245" s="58"/>
      <c r="BF245" s="58"/>
      <c r="BG245" s="58"/>
      <c r="BH245" s="58"/>
      <c r="BI245" s="58"/>
      <c r="BJ245" s="58"/>
      <c r="BK245" s="58"/>
      <c r="BL245" s="58"/>
      <c r="BM245" s="58"/>
    </row>
    <row r="246" spans="1:65" ht="15" customHeight="1" x14ac:dyDescent="0.25">
      <c r="A246" s="58"/>
      <c r="B246" s="356"/>
      <c r="C246" s="356"/>
      <c r="D246" s="357"/>
      <c r="E246" s="371"/>
      <c r="F246" s="372"/>
      <c r="G246" s="372"/>
      <c r="H246" s="372"/>
      <c r="I246" s="370"/>
      <c r="J246" s="129" t="str">
        <f>IF(AND('Mapa final'!$AB$124="Muy Baja",'Mapa final'!$AD$124="Leve"),CONCATENATE("R41C",'Mapa final'!$R$124),"")</f>
        <v/>
      </c>
      <c r="K246" s="56" t="str">
        <f>IF(AND('Mapa final'!$AB$125="Muy Baja",'Mapa final'!$AD$125="Leve"),CONCATENATE("R41C",'Mapa final'!$R$125),"")</f>
        <v>R41C2</v>
      </c>
      <c r="L246" s="130" t="str">
        <f>IF(AND('Mapa final'!$AB$126="Muy Baja",'Mapa final'!$AD$126="Leve"),CONCATENATE("R41C",'Mapa final'!$R$126),"")</f>
        <v>R41C3</v>
      </c>
      <c r="M246" s="129" t="str">
        <f>IF(AND('Mapa final'!$AB$124="Muy Baja",'Mapa final'!$AD$124="Menor"),CONCATENATE("R41C",'Mapa final'!$R$124),"")</f>
        <v/>
      </c>
      <c r="N246" s="56" t="str">
        <f>IF(AND('Mapa final'!$AB$125="Muy Baja",'Mapa final'!$AD$125="Menor"),CONCATENATE("R41C",'Mapa final'!$R$125),"")</f>
        <v/>
      </c>
      <c r="O246" s="130" t="str">
        <f>IF(AND('Mapa final'!$AB$126="Muy Baja",'Mapa final'!$AD$126="Menor"),CONCATENATE("R41C",'Mapa final'!$R$126),"")</f>
        <v/>
      </c>
      <c r="P246" s="51" t="str">
        <f>IF(AND('Mapa final'!$AB$124="Muy Baja",'Mapa final'!$AD$124="Moderado"),CONCATENATE("R41C",'Mapa final'!$R$124),"")</f>
        <v/>
      </c>
      <c r="Q246" s="52" t="str">
        <f>IF(AND('Mapa final'!$AB$125="Muy Baja",'Mapa final'!$AD$125="Moderado"),CONCATENATE("R41C",'Mapa final'!$R$125),"")</f>
        <v/>
      </c>
      <c r="R246" s="125" t="str">
        <f>IF(AND('Mapa final'!$AB$126="Muy Baja",'Mapa final'!$AD$126="Moderado"),CONCATENATE("R41C",'Mapa final'!$R$126),"")</f>
        <v/>
      </c>
      <c r="S246" s="119" t="str">
        <f>IF(AND('Mapa final'!$AB$124="Muy Baja",'Mapa final'!$AD$124="Mayor"),CONCATENATE("R41C",'Mapa final'!$R$124),"")</f>
        <v/>
      </c>
      <c r="T246" s="44" t="str">
        <f>IF(AND('Mapa final'!$AB$125="Muy Baja",'Mapa final'!$AD$125="Mayor"),CONCATENATE("R41C",'Mapa final'!$R$125),"")</f>
        <v/>
      </c>
      <c r="U246" s="120" t="str">
        <f>IF(AND('Mapa final'!$AB$126="Muy Baja",'Mapa final'!$AD$126="Mayor"),CONCATENATE("R41C",'Mapa final'!$R$126),"")</f>
        <v/>
      </c>
      <c r="V246" s="45" t="str">
        <f>IF(AND('Mapa final'!$AB$124="Muy Baja",'Mapa final'!$AD$124="Catastrófico"),CONCATENATE("R41C",'Mapa final'!$R$124),"")</f>
        <v/>
      </c>
      <c r="W246" s="46" t="str">
        <f>IF(AND('Mapa final'!$AB$125="Muy Baja",'Mapa final'!$AD$125="Catastrófico"),CONCATENATE("R41C",'Mapa final'!$R$125),"")</f>
        <v/>
      </c>
      <c r="X246" s="114" t="str">
        <f>IF(AND('Mapa final'!$AB$126="Muy Baja",'Mapa final'!$AD$126="Catastrófico"),CONCATENATE("R41C",'Mapa final'!$R$126),"")</f>
        <v/>
      </c>
      <c r="Y246" s="58"/>
      <c r="Z246" s="58"/>
      <c r="AA246" s="58"/>
      <c r="AB246" s="58"/>
      <c r="AC246" s="58"/>
      <c r="AD246" s="58"/>
      <c r="AE246" s="58"/>
      <c r="AF246" s="58"/>
      <c r="AG246" s="58"/>
      <c r="AH246" s="58"/>
      <c r="AI246" s="58"/>
      <c r="AJ246" s="58"/>
      <c r="AK246" s="58"/>
      <c r="AL246" s="58"/>
      <c r="AM246" s="58"/>
      <c r="AN246" s="58"/>
      <c r="AO246" s="58"/>
      <c r="AP246" s="58"/>
      <c r="AQ246" s="58"/>
      <c r="AR246" s="58"/>
      <c r="AS246" s="58"/>
      <c r="AT246" s="58"/>
      <c r="AU246" s="58"/>
      <c r="AV246" s="58"/>
      <c r="AW246" s="58"/>
      <c r="AX246" s="58"/>
      <c r="AY246" s="58"/>
      <c r="AZ246" s="58"/>
      <c r="BA246" s="58"/>
      <c r="BB246" s="58"/>
      <c r="BC246" s="58"/>
      <c r="BD246" s="58"/>
      <c r="BE246" s="58"/>
      <c r="BF246" s="58"/>
      <c r="BG246" s="58"/>
      <c r="BH246" s="58"/>
      <c r="BI246" s="58"/>
      <c r="BJ246" s="58"/>
      <c r="BK246" s="58"/>
      <c r="BL246" s="58"/>
      <c r="BM246" s="58"/>
    </row>
    <row r="247" spans="1:65" ht="15" customHeight="1" x14ac:dyDescent="0.25">
      <c r="A247" s="58"/>
      <c r="B247" s="356"/>
      <c r="C247" s="356"/>
      <c r="D247" s="357"/>
      <c r="E247" s="371"/>
      <c r="F247" s="372"/>
      <c r="G247" s="372"/>
      <c r="H247" s="372"/>
      <c r="I247" s="370"/>
      <c r="J247" s="129" t="str">
        <f>IF(AND('Mapa final'!$AB$127="Muy Baja",'Mapa final'!$AD$127="Leve"),CONCATENATE("R42C",'Mapa final'!$R$127),"")</f>
        <v/>
      </c>
      <c r="K247" s="56" t="str">
        <f>IF(AND('Mapa final'!$AB$128="Muy Baja",'Mapa final'!$AD$128="Leve"),CONCATENATE("R42C",'Mapa final'!$R$128),"")</f>
        <v>R42C2</v>
      </c>
      <c r="L247" s="130" t="str">
        <f>IF(AND('Mapa final'!$AB$129="Muy Baja",'Mapa final'!$AD$129="Leve"),CONCATENATE("R2C",'Mapa final'!$R$129),"")</f>
        <v>R2C3</v>
      </c>
      <c r="M247" s="129" t="str">
        <f>IF(AND('Mapa final'!$AB$127="Muy Baja",'Mapa final'!$AD$127="Menor"),CONCATENATE("R42C",'Mapa final'!$R$127),"")</f>
        <v/>
      </c>
      <c r="N247" s="56" t="str">
        <f>IF(AND('Mapa final'!$AB$128="Muy Baja",'Mapa final'!$AD$128="Menor"),CONCATENATE("R42C",'Mapa final'!$R$128),"")</f>
        <v/>
      </c>
      <c r="O247" s="130" t="str">
        <f>IF(AND('Mapa final'!$AB$129="Muy Baja",'Mapa final'!$AD$129="Menor"),CONCATENATE("R2C",'Mapa final'!$R$129),"")</f>
        <v/>
      </c>
      <c r="P247" s="51" t="str">
        <f>IF(AND('Mapa final'!$AB$127="Muy Baja",'Mapa final'!$AD$127="Moderado"),CONCATENATE("R42C",'Mapa final'!$R$127),"")</f>
        <v/>
      </c>
      <c r="Q247" s="52" t="str">
        <f>IF(AND('Mapa final'!$AB$128="Muy Baja",'Mapa final'!$AD$128="Moderado"),CONCATENATE("R42C",'Mapa final'!$R$128),"")</f>
        <v/>
      </c>
      <c r="R247" s="125" t="str">
        <f>IF(AND('Mapa final'!$AB$129="Muy Baja",'Mapa final'!$AD$129="Moderado"),CONCATENATE("R2C",'Mapa final'!$R$129),"")</f>
        <v/>
      </c>
      <c r="S247" s="119" t="str">
        <f>IF(AND('Mapa final'!$AB$127="Muy Baja",'Mapa final'!$AD$127="Mayor"),CONCATENATE("R42C",'Mapa final'!$R$127),"")</f>
        <v/>
      </c>
      <c r="T247" s="44" t="str">
        <f>IF(AND('Mapa final'!$AB$128="Muy Baja",'Mapa final'!$AD$128="Mayor"),CONCATENATE("R42C",'Mapa final'!$R$128),"")</f>
        <v/>
      </c>
      <c r="U247" s="120" t="str">
        <f>IF(AND('Mapa final'!$AB$129="Muy Baja",'Mapa final'!$AD$129="Mayor"),CONCATENATE("R2C",'Mapa final'!$R$129),"")</f>
        <v/>
      </c>
      <c r="V247" s="45" t="str">
        <f>IF(AND('Mapa final'!$AB$127="Muy Baja",'Mapa final'!$AD$127="Catastrófico"),CONCATENATE("R42C",'Mapa final'!$R$127),"")</f>
        <v/>
      </c>
      <c r="W247" s="46" t="str">
        <f>IF(AND('Mapa final'!$AB$128="Muy Baja",'Mapa final'!$AD$128="Catastrófico"),CONCATENATE("R42C",'Mapa final'!$R$128),"")</f>
        <v/>
      </c>
      <c r="X247" s="114" t="str">
        <f>IF(AND('Mapa final'!$AB$129="Muy Baja",'Mapa final'!$AD$129="Catastrófico"),CONCATENATE("R2C",'Mapa final'!$R$129),"")</f>
        <v/>
      </c>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8"/>
      <c r="AZ247" s="58"/>
      <c r="BA247" s="58"/>
      <c r="BB247" s="58"/>
      <c r="BC247" s="58"/>
      <c r="BD247" s="58"/>
      <c r="BE247" s="58"/>
      <c r="BF247" s="58"/>
      <c r="BG247" s="58"/>
      <c r="BH247" s="58"/>
      <c r="BI247" s="58"/>
      <c r="BJ247" s="58"/>
      <c r="BK247" s="58"/>
      <c r="BL247" s="58"/>
      <c r="BM247" s="58"/>
    </row>
    <row r="248" spans="1:65" ht="15" customHeight="1" x14ac:dyDescent="0.25">
      <c r="A248" s="58"/>
      <c r="B248" s="356"/>
      <c r="C248" s="356"/>
      <c r="D248" s="357"/>
      <c r="E248" s="371"/>
      <c r="F248" s="372"/>
      <c r="G248" s="372"/>
      <c r="H248" s="372"/>
      <c r="I248" s="370"/>
      <c r="J248" s="129" t="str">
        <f>IF(AND('Mapa final'!$AB$130="Muy Baja",'Mapa final'!$AD$130="Leve"),CONCATENATE("R43C",'Mapa final'!$R$130),"")</f>
        <v/>
      </c>
      <c r="K248" s="56" t="str">
        <f>IF(AND('Mapa final'!$AB$131="Muy Baja",'Mapa final'!$AD$131="Leve"),CONCATENATE("R43C",'Mapa final'!$R$131),"")</f>
        <v>R43C2</v>
      </c>
      <c r="L248" s="130" t="str">
        <f>IF(AND('Mapa final'!$AB$132="Muy Baja",'Mapa final'!$AD$132="Leve"),CONCATENATE("R43C",'Mapa final'!$R$132),"")</f>
        <v>R43C3</v>
      </c>
      <c r="M248" s="129" t="str">
        <f>IF(AND('Mapa final'!$AB$130="Muy Baja",'Mapa final'!$AD$130="Menor"),CONCATENATE("R43C",'Mapa final'!$R$130),"")</f>
        <v/>
      </c>
      <c r="N248" s="56" t="str">
        <f>IF(AND('Mapa final'!$AB$131="Muy Baja",'Mapa final'!$AD$131="Menor"),CONCATENATE("R43C",'Mapa final'!$R$131),"")</f>
        <v/>
      </c>
      <c r="O248" s="130" t="str">
        <f>IF(AND('Mapa final'!$AB$132="Muy Baja",'Mapa final'!$AD$132="Menor"),CONCATENATE("R43C",'Mapa final'!$R$132),"")</f>
        <v/>
      </c>
      <c r="P248" s="51" t="str">
        <f>IF(AND('Mapa final'!$AB$130="Muy Baja",'Mapa final'!$AD$130="Moderado"),CONCATENATE("R43C",'Mapa final'!$R$130),"")</f>
        <v/>
      </c>
      <c r="Q248" s="52" t="str">
        <f>IF(AND('Mapa final'!$AB$131="Muy Baja",'Mapa final'!$AD$131="Moderado"),CONCATENATE("R43C",'Mapa final'!$R$131),"")</f>
        <v/>
      </c>
      <c r="R248" s="125" t="str">
        <f>IF(AND('Mapa final'!$AB$132="Muy Baja",'Mapa final'!$AD$132="Moderado"),CONCATENATE("R43C",'Mapa final'!$R$132),"")</f>
        <v/>
      </c>
      <c r="S248" s="119" t="str">
        <f>IF(AND('Mapa final'!$AB$130="Muy Baja",'Mapa final'!$AD$130="Mayor"),CONCATENATE("R43C",'Mapa final'!$R$130),"")</f>
        <v/>
      </c>
      <c r="T248" s="44" t="str">
        <f>IF(AND('Mapa final'!$AB$131="Muy Baja",'Mapa final'!$AD$131="Mayor"),CONCATENATE("R43C",'Mapa final'!$R$131),"")</f>
        <v/>
      </c>
      <c r="U248" s="120" t="str">
        <f>IF(AND('Mapa final'!$AB$132="Muy Baja",'Mapa final'!$AD$132="Mayor"),CONCATENATE("R43C",'Mapa final'!$R$132),"")</f>
        <v/>
      </c>
      <c r="V248" s="45" t="str">
        <f>IF(AND('Mapa final'!$AB$130="Muy Baja",'Mapa final'!$AD$130="Catastrófico"),CONCATENATE("R43C",'Mapa final'!$R$130),"")</f>
        <v/>
      </c>
      <c r="W248" s="46" t="str">
        <f>IF(AND('Mapa final'!$AB$131="Muy Baja",'Mapa final'!$AD$131="Catastrófico"),CONCATENATE("R43C",'Mapa final'!$R$131),"")</f>
        <v/>
      </c>
      <c r="X248" s="114" t="str">
        <f>IF(AND('Mapa final'!$AB$132="Muy Baja",'Mapa final'!$AD$132="Catastrófico"),CONCATENATE("R43C",'Mapa final'!$R$132),"")</f>
        <v/>
      </c>
      <c r="Y248" s="58"/>
      <c r="Z248" s="58"/>
      <c r="AA248" s="58"/>
      <c r="AB248" s="58"/>
      <c r="AC248" s="58"/>
      <c r="AD248" s="58"/>
      <c r="AE248" s="58"/>
      <c r="AF248" s="58"/>
      <c r="AG248" s="58"/>
      <c r="AH248" s="58"/>
      <c r="AI248" s="58"/>
      <c r="AJ248" s="58"/>
      <c r="AK248" s="58"/>
      <c r="AL248" s="58"/>
      <c r="AM248" s="58"/>
      <c r="AN248" s="58"/>
      <c r="AO248" s="58"/>
      <c r="AP248" s="58"/>
      <c r="AQ248" s="58"/>
      <c r="AR248" s="58"/>
      <c r="AS248" s="58"/>
      <c r="AT248" s="58"/>
      <c r="AU248" s="58"/>
      <c r="AV248" s="58"/>
      <c r="AW248" s="58"/>
      <c r="AX248" s="58"/>
      <c r="AY248" s="58"/>
      <c r="AZ248" s="58"/>
      <c r="BA248" s="58"/>
      <c r="BB248" s="58"/>
      <c r="BC248" s="58"/>
      <c r="BD248" s="58"/>
      <c r="BE248" s="58"/>
      <c r="BF248" s="58"/>
      <c r="BG248" s="58"/>
      <c r="BH248" s="58"/>
      <c r="BI248" s="58"/>
      <c r="BJ248" s="58"/>
      <c r="BK248" s="58"/>
      <c r="BL248" s="58"/>
      <c r="BM248" s="58"/>
    </row>
    <row r="249" spans="1:65" ht="15" customHeight="1" x14ac:dyDescent="0.25">
      <c r="A249" s="58"/>
      <c r="B249" s="356"/>
      <c r="C249" s="356"/>
      <c r="D249" s="357"/>
      <c r="E249" s="371"/>
      <c r="F249" s="372"/>
      <c r="G249" s="372"/>
      <c r="H249" s="372"/>
      <c r="I249" s="370"/>
      <c r="J249" s="129" t="str">
        <f>IF(AND('Mapa final'!$AB$133="Muy Baja",'Mapa final'!$AD$133="Leve"),CONCATENATE("R44C",'Mapa final'!$R$133),"")</f>
        <v/>
      </c>
      <c r="K249" s="56" t="str">
        <f>IF(AND('Mapa final'!$AB$134="Muy Baja",'Mapa final'!$AD$134="Leve"),CONCATENATE("R44C",'Mapa final'!$R$134),"")</f>
        <v>R44C2</v>
      </c>
      <c r="L249" s="130" t="str">
        <f>IF(AND('Mapa final'!$AB$135="Muy Baja",'Mapa final'!$AD$135="Leve"),CONCATENATE("R44C",'Mapa final'!$R$135),"")</f>
        <v>R44C3</v>
      </c>
      <c r="M249" s="129" t="str">
        <f>IF(AND('Mapa final'!$AB$133="Muy Baja",'Mapa final'!$AD$133="Menor"),CONCATENATE("R44C",'Mapa final'!$R$133),"")</f>
        <v/>
      </c>
      <c r="N249" s="56" t="str">
        <f>IF(AND('Mapa final'!$AB$134="Muy Baja",'Mapa final'!$AD$134="Menor"),CONCATENATE("R44C",'Mapa final'!$R$134),"")</f>
        <v/>
      </c>
      <c r="O249" s="130" t="str">
        <f>IF(AND('Mapa final'!$AB$135="Muy Baja",'Mapa final'!$AD$135="Menor"),CONCATENATE("R44C",'Mapa final'!$R$135),"")</f>
        <v/>
      </c>
      <c r="P249" s="51" t="str">
        <f>IF(AND('Mapa final'!$AB$133="Muy Baja",'Mapa final'!$AD$133="Moderado"),CONCATENATE("R44C",'Mapa final'!$R$133),"")</f>
        <v/>
      </c>
      <c r="Q249" s="52" t="str">
        <f>IF(AND('Mapa final'!$AB$134="Muy Baja",'Mapa final'!$AD$134="Moderado"),CONCATENATE("R44C",'Mapa final'!$R$134),"")</f>
        <v/>
      </c>
      <c r="R249" s="125" t="str">
        <f>IF(AND('Mapa final'!$AB$135="Muy Baja",'Mapa final'!$AD$135="Moderado"),CONCATENATE("R44C",'Mapa final'!$R$135),"")</f>
        <v/>
      </c>
      <c r="S249" s="119" t="str">
        <f>IF(AND('Mapa final'!$AB$133="Muy Baja",'Mapa final'!$AD$133="Mayor"),CONCATENATE("R44C",'Mapa final'!$R$133),"")</f>
        <v/>
      </c>
      <c r="T249" s="44" t="str">
        <f>IF(AND('Mapa final'!$AB$134="Muy Baja",'Mapa final'!$AD$134="Mayor"),CONCATENATE("R44C",'Mapa final'!$R$134),"")</f>
        <v/>
      </c>
      <c r="U249" s="120" t="str">
        <f>IF(AND('Mapa final'!$AB$135="Muy Baja",'Mapa final'!$AD$135="Mayor"),CONCATENATE("R44C",'Mapa final'!$R$135),"")</f>
        <v/>
      </c>
      <c r="V249" s="45" t="str">
        <f>IF(AND('Mapa final'!$AB$133="Muy Baja",'Mapa final'!$AD$133="Catastrófico"),CONCATENATE("R44C",'Mapa final'!$R$133),"")</f>
        <v/>
      </c>
      <c r="W249" s="46" t="str">
        <f>IF(AND('Mapa final'!$AB$134="Muy Baja",'Mapa final'!$AD$134="Catastrófico"),CONCATENATE("R44C",'Mapa final'!$R$134),"")</f>
        <v/>
      </c>
      <c r="X249" s="114" t="str">
        <f>IF(AND('Mapa final'!$AB$135="Muy Baja",'Mapa final'!$AD$135="Catastrófico"),CONCATENATE("R44C",'Mapa final'!$R$135),"")</f>
        <v/>
      </c>
      <c r="Y249" s="58"/>
      <c r="Z249" s="58"/>
      <c r="AA249" s="58"/>
      <c r="AB249" s="58"/>
      <c r="AC249" s="58"/>
      <c r="AD249" s="58"/>
      <c r="AE249" s="58"/>
      <c r="AF249" s="58"/>
      <c r="AG249" s="58"/>
      <c r="AH249" s="58"/>
      <c r="AI249" s="58"/>
      <c r="AJ249" s="58"/>
      <c r="AK249" s="58"/>
      <c r="AL249" s="58"/>
      <c r="AM249" s="58"/>
      <c r="AN249" s="58"/>
      <c r="AO249" s="58"/>
      <c r="AP249" s="58"/>
      <c r="AQ249" s="58"/>
      <c r="AR249" s="58"/>
      <c r="AS249" s="58"/>
      <c r="AT249" s="58"/>
      <c r="AU249" s="58"/>
      <c r="AV249" s="58"/>
      <c r="AW249" s="58"/>
      <c r="AX249" s="58"/>
      <c r="AY249" s="58"/>
      <c r="AZ249" s="58"/>
      <c r="BA249" s="58"/>
      <c r="BB249" s="58"/>
      <c r="BC249" s="58"/>
      <c r="BD249" s="58"/>
      <c r="BE249" s="58"/>
      <c r="BF249" s="58"/>
      <c r="BG249" s="58"/>
      <c r="BH249" s="58"/>
      <c r="BI249" s="58"/>
      <c r="BJ249" s="58"/>
      <c r="BK249" s="58"/>
      <c r="BL249" s="58"/>
      <c r="BM249" s="58"/>
    </row>
    <row r="250" spans="1:65" ht="15" customHeight="1" x14ac:dyDescent="0.25">
      <c r="A250" s="58"/>
      <c r="B250" s="356"/>
      <c r="C250" s="356"/>
      <c r="D250" s="357"/>
      <c r="E250" s="371"/>
      <c r="F250" s="372"/>
      <c r="G250" s="372"/>
      <c r="H250" s="372"/>
      <c r="I250" s="370"/>
      <c r="J250" s="129" t="str">
        <f>IF(AND('Mapa final'!$AB$136="Muy Baja",'Mapa final'!$AD$136="Leve"),CONCATENATE("R45C",'Mapa final'!$R$136),"")</f>
        <v/>
      </c>
      <c r="K250" s="56" t="str">
        <f>IF(AND('Mapa final'!$AB$137="Muy Baja",'Mapa final'!$AD$137="Leve"),CONCATENATE("R45C",'Mapa final'!$R$137),"")</f>
        <v/>
      </c>
      <c r="L250" s="130" t="str">
        <f>IF(AND('Mapa final'!$AB$138="Muy Baja",'Mapa final'!$AD$138="Leve"),CONCATENATE("R45C",'Mapa final'!$R$138),"")</f>
        <v/>
      </c>
      <c r="M250" s="129" t="str">
        <f>IF(AND('Mapa final'!$AB$136="Muy Baja",'Mapa final'!$AD$136="Menor"),CONCATENATE("R45C",'Mapa final'!$R$136),"")</f>
        <v/>
      </c>
      <c r="N250" s="56" t="str">
        <f>IF(AND('Mapa final'!$AB$137="Muy Baja",'Mapa final'!$AD$137="Menor"),CONCATENATE("R45C",'Mapa final'!$R$137),"")</f>
        <v/>
      </c>
      <c r="O250" s="130" t="str">
        <f>IF(AND('Mapa final'!$AB$138="Muy Baja",'Mapa final'!$AD$138="Menor"),CONCATENATE("R45C",'Mapa final'!$R$138),"")</f>
        <v/>
      </c>
      <c r="P250" s="51" t="str">
        <f>IF(AND('Mapa final'!$AB$136="Muy Baja",'Mapa final'!$AD$136="Moderado"),CONCATENATE("R45C",'Mapa final'!$R$136),"")</f>
        <v/>
      </c>
      <c r="Q250" s="52" t="str">
        <f>IF(AND('Mapa final'!$AB$137="Muy Baja",'Mapa final'!$AD$137="Moderado"),CONCATENATE("R45C",'Mapa final'!$R$137),"")</f>
        <v/>
      </c>
      <c r="R250" s="125" t="str">
        <f>IF(AND('Mapa final'!$AB$138="Muy Baja",'Mapa final'!$AD$138="Moderado"),CONCATENATE("R45C",'Mapa final'!$R$138),"")</f>
        <v/>
      </c>
      <c r="S250" s="119" t="str">
        <f>IF(AND('Mapa final'!$AB$136="Muy Baja",'Mapa final'!$AD$136="Mayor"),CONCATENATE("R45C",'Mapa final'!$R$136),"")</f>
        <v/>
      </c>
      <c r="T250" s="44" t="str">
        <f>IF(AND('Mapa final'!$AB$137="Muy Baja",'Mapa final'!$AD$137="Mayor"),CONCATENATE("R45C",'Mapa final'!$R$137),"")</f>
        <v/>
      </c>
      <c r="U250" s="120" t="str">
        <f>IF(AND('Mapa final'!$AB$138="Muy Baja",'Mapa final'!$AD$138="Mayor"),CONCATENATE("R45C",'Mapa final'!$R$138),"")</f>
        <v/>
      </c>
      <c r="V250" s="45" t="str">
        <f>IF(AND('Mapa final'!$AB$136="Muy Baja",'Mapa final'!$AD$136="Catastrófico"),CONCATENATE("R45C",'Mapa final'!$R$136),"")</f>
        <v/>
      </c>
      <c r="W250" s="46" t="str">
        <f>IF(AND('Mapa final'!$AB$137="Muy Baja",'Mapa final'!$AD$137="Catastrófico"),CONCATENATE("R45C",'Mapa final'!$R$137),"")</f>
        <v/>
      </c>
      <c r="X250" s="114" t="str">
        <f>IF(AND('Mapa final'!$AB$138="Muy Baja",'Mapa final'!$AD$138="Catastrófico"),CONCATENATE("R45C",'Mapa final'!$R$138),"")</f>
        <v/>
      </c>
      <c r="Y250" s="58"/>
      <c r="Z250" s="58"/>
      <c r="AA250" s="58"/>
      <c r="AB250" s="58"/>
      <c r="AC250" s="58"/>
      <c r="AD250" s="58"/>
      <c r="AE250" s="58"/>
      <c r="AF250" s="58"/>
      <c r="AG250" s="58"/>
      <c r="AH250" s="58"/>
      <c r="AI250" s="58"/>
      <c r="AJ250" s="58"/>
      <c r="AK250" s="58"/>
      <c r="AL250" s="58"/>
      <c r="AM250" s="58"/>
      <c r="AN250" s="58"/>
      <c r="AO250" s="58"/>
      <c r="AP250" s="58"/>
      <c r="AQ250" s="58"/>
      <c r="AR250" s="58"/>
      <c r="AS250" s="58"/>
      <c r="AT250" s="58"/>
      <c r="AU250" s="58"/>
      <c r="AV250" s="58"/>
      <c r="AW250" s="58"/>
      <c r="AX250" s="58"/>
      <c r="AY250" s="58"/>
      <c r="AZ250" s="58"/>
      <c r="BA250" s="58"/>
      <c r="BB250" s="58"/>
      <c r="BC250" s="58"/>
      <c r="BD250" s="58"/>
      <c r="BE250" s="58"/>
      <c r="BF250" s="58"/>
      <c r="BG250" s="58"/>
      <c r="BH250" s="58"/>
      <c r="BI250" s="58"/>
      <c r="BJ250" s="58"/>
      <c r="BK250" s="58"/>
      <c r="BL250" s="58"/>
      <c r="BM250" s="58"/>
    </row>
    <row r="251" spans="1:65" ht="15" customHeight="1" x14ac:dyDescent="0.25">
      <c r="A251" s="58"/>
      <c r="B251" s="356"/>
      <c r="C251" s="356"/>
      <c r="D251" s="357"/>
      <c r="E251" s="371"/>
      <c r="F251" s="372"/>
      <c r="G251" s="372"/>
      <c r="H251" s="372"/>
      <c r="I251" s="370"/>
      <c r="J251" s="129" t="str">
        <f>IF(AND('Mapa final'!$AB$139="Muy Baja",'Mapa final'!$AD$139="Leve"),CONCATENATE("R46C",'Mapa final'!$R$139),"")</f>
        <v/>
      </c>
      <c r="K251" s="56" t="str">
        <f>IF(AND('Mapa final'!$AB$140="Muy Baja",'Mapa final'!$AD$140="Leve"),CONCATENATE("R46C",'Mapa final'!$R$140),"")</f>
        <v/>
      </c>
      <c r="L251" s="130" t="str">
        <f>IF(AND('Mapa final'!$AB$141="Muy Baja",'Mapa final'!$AD$141="Leve"),CONCATENATE("R46C",'Mapa final'!$R$141),"")</f>
        <v/>
      </c>
      <c r="M251" s="129" t="str">
        <f>IF(AND('Mapa final'!$AB$139="Muy Baja",'Mapa final'!$AD$139="Menor"),CONCATENATE("R46C",'Mapa final'!$R$139),"")</f>
        <v/>
      </c>
      <c r="N251" s="56" t="str">
        <f>IF(AND('Mapa final'!$AB$140="Muy Baja",'Mapa final'!$AD$140="Menor"),CONCATENATE("R46C",'Mapa final'!$R$140),"")</f>
        <v/>
      </c>
      <c r="O251" s="130" t="str">
        <f>IF(AND('Mapa final'!$AB$141="Muy Baja",'Mapa final'!$AD$141="Menor"),CONCATENATE("R46C",'Mapa final'!$R$141),"")</f>
        <v/>
      </c>
      <c r="P251" s="51" t="str">
        <f>IF(AND('Mapa final'!$AB$139="Muy Baja",'Mapa final'!$AD$139="Moderado"),CONCATENATE("R46C",'Mapa final'!$R$139),"")</f>
        <v/>
      </c>
      <c r="Q251" s="52" t="str">
        <f>IF(AND('Mapa final'!$AB$140="Muy Baja",'Mapa final'!$AD$140="Moderado"),CONCATENATE("R46C",'Mapa final'!$R$140),"")</f>
        <v/>
      </c>
      <c r="R251" s="125" t="str">
        <f>IF(AND('Mapa final'!$AB$141="Muy Baja",'Mapa final'!$AD$141="Moderado"),CONCATENATE("R46C",'Mapa final'!$R$141),"")</f>
        <v/>
      </c>
      <c r="S251" s="119" t="str">
        <f>IF(AND('Mapa final'!$AB$139="Muy Baja",'Mapa final'!$AD$139="Mayor"),CONCATENATE("R46C",'Mapa final'!$R$139),"")</f>
        <v/>
      </c>
      <c r="T251" s="44" t="str">
        <f>IF(AND('Mapa final'!$AB$140="Muy Baja",'Mapa final'!$AD$140="Mayor"),CONCATENATE("R46C",'Mapa final'!$R$140),"")</f>
        <v/>
      </c>
      <c r="U251" s="120" t="str">
        <f>IF(AND('Mapa final'!$AB$141="Muy Baja",'Mapa final'!$AD$141="Mayor"),CONCATENATE("R46C",'Mapa final'!$R$141),"")</f>
        <v/>
      </c>
      <c r="V251" s="45" t="str">
        <f>IF(AND('Mapa final'!$AB$139="Muy Baja",'Mapa final'!$AD$139="Catastrófico"),CONCATENATE("R46C",'Mapa final'!$R$139),"")</f>
        <v/>
      </c>
      <c r="W251" s="46" t="str">
        <f>IF(AND('Mapa final'!$AB$140="Muy Baja",'Mapa final'!$AD$140="Catastrófico"),CONCATENATE("R46C",'Mapa final'!$R$140),"")</f>
        <v/>
      </c>
      <c r="X251" s="114" t="str">
        <f>IF(AND('Mapa final'!$AB$141="Muy Baja",'Mapa final'!$AD$141="Catastrófico"),CONCATENATE("R46C",'Mapa final'!$R$141),"")</f>
        <v/>
      </c>
      <c r="Y251" s="58"/>
      <c r="Z251" s="58"/>
      <c r="AA251" s="58"/>
      <c r="AB251" s="58"/>
      <c r="AC251" s="58"/>
      <c r="AD251" s="58"/>
      <c r="AE251" s="58"/>
      <c r="AF251" s="58"/>
      <c r="AG251" s="58"/>
      <c r="AH251" s="58"/>
      <c r="AI251" s="58"/>
      <c r="AJ251" s="58"/>
      <c r="AK251" s="58"/>
      <c r="AL251" s="58"/>
      <c r="AM251" s="58"/>
      <c r="AN251" s="58"/>
      <c r="AO251" s="58"/>
      <c r="AP251" s="58"/>
      <c r="AQ251" s="58"/>
      <c r="AR251" s="58"/>
      <c r="AS251" s="58"/>
      <c r="AT251" s="58"/>
      <c r="AU251" s="58"/>
      <c r="AV251" s="58"/>
      <c r="AW251" s="58"/>
      <c r="AX251" s="58"/>
      <c r="AY251" s="58"/>
      <c r="AZ251" s="58"/>
      <c r="BA251" s="58"/>
      <c r="BB251" s="58"/>
      <c r="BC251" s="58"/>
      <c r="BD251" s="58"/>
      <c r="BE251" s="58"/>
      <c r="BF251" s="58"/>
      <c r="BG251" s="58"/>
      <c r="BH251" s="58"/>
      <c r="BI251" s="58"/>
      <c r="BJ251" s="58"/>
      <c r="BK251" s="58"/>
      <c r="BL251" s="58"/>
      <c r="BM251" s="58"/>
    </row>
    <row r="252" spans="1:65" ht="15" customHeight="1" x14ac:dyDescent="0.25">
      <c r="A252" s="58"/>
      <c r="B252" s="356"/>
      <c r="C252" s="356"/>
      <c r="D252" s="357"/>
      <c r="E252" s="371"/>
      <c r="F252" s="372"/>
      <c r="G252" s="372"/>
      <c r="H252" s="372"/>
      <c r="I252" s="370"/>
      <c r="J252" s="129" t="str">
        <f>IF(AND('Mapa final'!$AB$142="Muy Baja",'Mapa final'!$AD$142="Leve"),CONCATENATE("R47C",'Mapa final'!$R$142),"")</f>
        <v/>
      </c>
      <c r="K252" s="56" t="str">
        <f>IF(AND('Mapa final'!$AB$143="Muy Baja",'Mapa final'!$AD$143="Leve"),CONCATENATE("R47C",'Mapa final'!$R$143),"")</f>
        <v/>
      </c>
      <c r="L252" s="130" t="str">
        <f>IF(AND('Mapa final'!$AB$144="Muy Baja",'Mapa final'!$AD$144="Leve"),CONCATENATE("R47C",'Mapa final'!$R$144),"")</f>
        <v/>
      </c>
      <c r="M252" s="129" t="str">
        <f>IF(AND('Mapa final'!$AB$142="Muy Baja",'Mapa final'!$AD$142="Menor"),CONCATENATE("R47C",'Mapa final'!$R$142),"")</f>
        <v/>
      </c>
      <c r="N252" s="56" t="str">
        <f>IF(AND('Mapa final'!$AB$143="Muy Baja",'Mapa final'!$AD$143="Menor"),CONCATENATE("R47C",'Mapa final'!$R$143),"")</f>
        <v/>
      </c>
      <c r="O252" s="130" t="str">
        <f>IF(AND('Mapa final'!$AB$144="Muy Baja",'Mapa final'!$AD$144="Menor"),CONCATENATE("R47C",'Mapa final'!$R$144),"")</f>
        <v/>
      </c>
      <c r="P252" s="51" t="str">
        <f>IF(AND('Mapa final'!$AB$142="Muy Baja",'Mapa final'!$AD$142="Moderado"),CONCATENATE("R47C",'Mapa final'!$R$142),"")</f>
        <v/>
      </c>
      <c r="Q252" s="52" t="str">
        <f>IF(AND('Mapa final'!$AB$143="Muy Baja",'Mapa final'!$AD$143="Moderado"),CONCATENATE("R47C",'Mapa final'!$R$143),"")</f>
        <v/>
      </c>
      <c r="R252" s="125" t="str">
        <f>IF(AND('Mapa final'!$AB$144="Muy Baja",'Mapa final'!$AD$144="Moderado"),CONCATENATE("R47C",'Mapa final'!$R$144),"")</f>
        <v/>
      </c>
      <c r="S252" s="119" t="str">
        <f>IF(AND('Mapa final'!$AB$142="Muy Baja",'Mapa final'!$AD$142="Mayor"),CONCATENATE("R47C",'Mapa final'!$R$142),"")</f>
        <v/>
      </c>
      <c r="T252" s="44" t="str">
        <f>IF(AND('Mapa final'!$AB$143="Muy Baja",'Mapa final'!$AD$143="Mayor"),CONCATENATE("R47C",'Mapa final'!$R$143),"")</f>
        <v/>
      </c>
      <c r="U252" s="120" t="str">
        <f>IF(AND('Mapa final'!$AB$144="Muy Baja",'Mapa final'!$AD$144="Mayor"),CONCATENATE("R47C",'Mapa final'!$R$144),"")</f>
        <v/>
      </c>
      <c r="V252" s="45" t="str">
        <f>IF(AND('Mapa final'!$AB$142="Muy Baja",'Mapa final'!$AD$142="Catastrófico"),CONCATENATE("R47C",'Mapa final'!$R$142),"")</f>
        <v/>
      </c>
      <c r="W252" s="46" t="str">
        <f>IF(AND('Mapa final'!$AB$143="Muy Baja",'Mapa final'!$AD$143="Catastrófico"),CONCATENATE("R47C",'Mapa final'!$R$143),"")</f>
        <v/>
      </c>
      <c r="X252" s="114" t="str">
        <f>IF(AND('Mapa final'!$AB$144="Muy Baja",'Mapa final'!$AD$144="Catastrófico"),CONCATENATE("R47C",'Mapa final'!$R$144),"")</f>
        <v/>
      </c>
      <c r="Y252" s="58"/>
      <c r="Z252" s="58"/>
      <c r="AA252" s="58"/>
      <c r="AB252" s="58"/>
      <c r="AC252" s="58"/>
      <c r="AD252" s="58"/>
      <c r="AE252" s="58"/>
      <c r="AF252" s="58"/>
      <c r="AG252" s="58"/>
      <c r="AH252" s="58"/>
      <c r="AI252" s="58"/>
      <c r="AJ252" s="58"/>
      <c r="AK252" s="58"/>
      <c r="AL252" s="58"/>
      <c r="AM252" s="58"/>
      <c r="AN252" s="58"/>
      <c r="AO252" s="58"/>
      <c r="AP252" s="58"/>
      <c r="AQ252" s="58"/>
      <c r="AR252" s="58"/>
      <c r="AS252" s="58"/>
      <c r="AT252" s="58"/>
      <c r="AU252" s="58"/>
      <c r="AV252" s="58"/>
      <c r="AW252" s="58"/>
      <c r="AX252" s="58"/>
      <c r="AY252" s="58"/>
      <c r="AZ252" s="58"/>
      <c r="BA252" s="58"/>
      <c r="BB252" s="58"/>
      <c r="BC252" s="58"/>
      <c r="BD252" s="58"/>
      <c r="BE252" s="58"/>
      <c r="BF252" s="58"/>
      <c r="BG252" s="58"/>
      <c r="BH252" s="58"/>
      <c r="BI252" s="58"/>
      <c r="BJ252" s="58"/>
      <c r="BK252" s="58"/>
      <c r="BL252" s="58"/>
      <c r="BM252" s="58"/>
    </row>
    <row r="253" spans="1:65" ht="15" customHeight="1" x14ac:dyDescent="0.25">
      <c r="A253" s="58"/>
      <c r="B253" s="356"/>
      <c r="C253" s="356"/>
      <c r="D253" s="357"/>
      <c r="E253" s="371"/>
      <c r="F253" s="372"/>
      <c r="G253" s="372"/>
      <c r="H253" s="372"/>
      <c r="I253" s="370"/>
      <c r="J253" s="129" t="str">
        <f>IF(AND('Mapa final'!$AB$145="Muy Baja",'Mapa final'!$AD$145="Leve"),CONCATENATE("R48C",'Mapa final'!$R$145),"")</f>
        <v/>
      </c>
      <c r="K253" s="56" t="str">
        <f>IF(AND('Mapa final'!$AB$146="Muy Baja",'Mapa final'!$AD$146="Leve"),CONCATENATE("R48C",'Mapa final'!$R$146),"")</f>
        <v/>
      </c>
      <c r="L253" s="130" t="str">
        <f>IF(AND('Mapa final'!$AB$147="Muy Baja",'Mapa final'!$AD$147="Leve"),CONCATENATE("R48C",'Mapa final'!$R$147),"")</f>
        <v/>
      </c>
      <c r="M253" s="129" t="str">
        <f>IF(AND('Mapa final'!$AB$145="Muy Baja",'Mapa final'!$AD$145="Menor"),CONCATENATE("R48C",'Mapa final'!$R$145),"")</f>
        <v/>
      </c>
      <c r="N253" s="56" t="str">
        <f>IF(AND('Mapa final'!$AB$146="Muy Baja",'Mapa final'!$AD$146="Menor"),CONCATENATE("R48C",'Mapa final'!$R$146),"")</f>
        <v/>
      </c>
      <c r="O253" s="130" t="str">
        <f>IF(AND('Mapa final'!$AB$147="Muy Baja",'Mapa final'!$AD$147="Menor"),CONCATENATE("R48C",'Mapa final'!$R$147),"")</f>
        <v/>
      </c>
      <c r="P253" s="51" t="str">
        <f>IF(AND('Mapa final'!$AB$145="Muy Baja",'Mapa final'!$AD$145="Moderado"),CONCATENATE("R48C",'Mapa final'!$R$145),"")</f>
        <v/>
      </c>
      <c r="Q253" s="52" t="str">
        <f>IF(AND('Mapa final'!$AB$146="Muy Baja",'Mapa final'!$AD$146="Moderado"),CONCATENATE("R48C",'Mapa final'!$R$146),"")</f>
        <v/>
      </c>
      <c r="R253" s="125" t="str">
        <f>IF(AND('Mapa final'!$AB$147="Muy Baja",'Mapa final'!$AD$147="Moderado"),CONCATENATE("R48C",'Mapa final'!$R$147),"")</f>
        <v/>
      </c>
      <c r="S253" s="119" t="str">
        <f>IF(AND('Mapa final'!$AB$145="Muy Baja",'Mapa final'!$AD$145="Mayor"),CONCATENATE("R48C",'Mapa final'!$R$145),"")</f>
        <v/>
      </c>
      <c r="T253" s="44" t="str">
        <f>IF(AND('Mapa final'!$AB$146="Muy Baja",'Mapa final'!$AD$146="Mayor"),CONCATENATE("R48C",'Mapa final'!$R$146),"")</f>
        <v/>
      </c>
      <c r="U253" s="120" t="str">
        <f>IF(AND('Mapa final'!$AB$147="Muy Baja",'Mapa final'!$AD$147="Mayor"),CONCATENATE("R48C",'Mapa final'!$R$147),"")</f>
        <v/>
      </c>
      <c r="V253" s="45" t="str">
        <f>IF(AND('Mapa final'!$AB$145="Muy Baja",'Mapa final'!$AD$145="Catastrófico"),CONCATENATE("R48C",'Mapa final'!$R$145),"")</f>
        <v/>
      </c>
      <c r="W253" s="46" t="str">
        <f>IF(AND('Mapa final'!$AB$146="Muy Baja",'Mapa final'!$AD$146="Catastrófico"),CONCATENATE("R48C",'Mapa final'!$R$146),"")</f>
        <v/>
      </c>
      <c r="X253" s="114" t="str">
        <f>IF(AND('Mapa final'!$AB$147="Muy Baja",'Mapa final'!$AD$147="Catastrófico"),CONCATENATE("R48C",'Mapa final'!$R$147),"")</f>
        <v/>
      </c>
      <c r="Y253" s="58"/>
      <c r="Z253" s="58"/>
      <c r="AA253" s="58"/>
      <c r="AB253" s="58"/>
      <c r="AC253" s="58"/>
      <c r="AD253" s="58"/>
      <c r="AE253" s="58"/>
      <c r="AF253" s="58"/>
      <c r="AG253" s="58"/>
      <c r="AH253" s="58"/>
      <c r="AI253" s="58"/>
      <c r="AJ253" s="58"/>
      <c r="AK253" s="58"/>
      <c r="AL253" s="58"/>
      <c r="AM253" s="58"/>
      <c r="AN253" s="58"/>
      <c r="AO253" s="58"/>
      <c r="AP253" s="58"/>
      <c r="AQ253" s="58"/>
      <c r="AR253" s="58"/>
      <c r="AS253" s="58"/>
      <c r="AT253" s="58"/>
      <c r="AU253" s="58"/>
      <c r="AV253" s="58"/>
      <c r="AW253" s="58"/>
      <c r="AX253" s="58"/>
      <c r="AY253" s="58"/>
      <c r="AZ253" s="58"/>
      <c r="BA253" s="58"/>
      <c r="BB253" s="58"/>
      <c r="BC253" s="58"/>
      <c r="BD253" s="58"/>
      <c r="BE253" s="58"/>
      <c r="BF253" s="58"/>
      <c r="BG253" s="58"/>
      <c r="BH253" s="58"/>
      <c r="BI253" s="58"/>
      <c r="BJ253" s="58"/>
      <c r="BK253" s="58"/>
      <c r="BL253" s="58"/>
      <c r="BM253" s="58"/>
    </row>
    <row r="254" spans="1:65" ht="15" customHeight="1" x14ac:dyDescent="0.25">
      <c r="A254" s="58"/>
      <c r="B254" s="356"/>
      <c r="C254" s="356"/>
      <c r="D254" s="357"/>
      <c r="E254" s="371"/>
      <c r="F254" s="372"/>
      <c r="G254" s="372"/>
      <c r="H254" s="372"/>
      <c r="I254" s="370"/>
      <c r="J254" s="129" t="str">
        <f>IF(AND('Mapa final'!$AB$148="Muy Baja",'Mapa final'!$AD$148="Leve"),CONCATENATE("R49C",'Mapa final'!$R$148),"")</f>
        <v/>
      </c>
      <c r="K254" s="56" t="str">
        <f>IF(AND('Mapa final'!$AB$149="Muy Baja",'Mapa final'!$AD$149="Leve"),CONCATENATE("R49C",'Mapa final'!$R$149),"")</f>
        <v/>
      </c>
      <c r="L254" s="130" t="str">
        <f>IF(AND('Mapa final'!$AB$150="Muy Baja",'Mapa final'!$AD$150="Leve"),CONCATENATE("R49C",'Mapa final'!$R$150),"")</f>
        <v/>
      </c>
      <c r="M254" s="129" t="str">
        <f>IF(AND('Mapa final'!$AB$148="Muy Baja",'Mapa final'!$AD$148="Menor"),CONCATENATE("R49C",'Mapa final'!$R$148),"")</f>
        <v/>
      </c>
      <c r="N254" s="56" t="str">
        <f>IF(AND('Mapa final'!$AB$149="Muy Baja",'Mapa final'!$AD$149="Menor"),CONCATENATE("R49C",'Mapa final'!$R$149),"")</f>
        <v/>
      </c>
      <c r="O254" s="130" t="str">
        <f>IF(AND('Mapa final'!$AB$150="Muy Baja",'Mapa final'!$AD$150="Menor"),CONCATENATE("R49C",'Mapa final'!$R$150),"")</f>
        <v/>
      </c>
      <c r="P254" s="51" t="str">
        <f>IF(AND('Mapa final'!$AB$148="Muy Baja",'Mapa final'!$AD$148="Moderado"),CONCATENATE("R49C",'Mapa final'!$R$148),"")</f>
        <v/>
      </c>
      <c r="Q254" s="52" t="str">
        <f>IF(AND('Mapa final'!$AB$149="Muy Baja",'Mapa final'!$AD$149="Moderado"),CONCATENATE("R49C",'Mapa final'!$R$149),"")</f>
        <v/>
      </c>
      <c r="R254" s="125" t="str">
        <f>IF(AND('Mapa final'!$AB$150="Muy Baja",'Mapa final'!$AD$150="Moderado"),CONCATENATE("R49C",'Mapa final'!$R$150),"")</f>
        <v/>
      </c>
      <c r="S254" s="119" t="str">
        <f>IF(AND('Mapa final'!$AB$148="Muy Baja",'Mapa final'!$AD$148="Mayor"),CONCATENATE("R49C",'Mapa final'!$R$148),"")</f>
        <v/>
      </c>
      <c r="T254" s="44" t="str">
        <f>IF(AND('Mapa final'!$AB$149="Muy Baja",'Mapa final'!$AD$149="Mayor"),CONCATENATE("R49C",'Mapa final'!$R$149),"")</f>
        <v/>
      </c>
      <c r="U254" s="120" t="str">
        <f>IF(AND('Mapa final'!$AB$150="Muy Baja",'Mapa final'!$AD$150="Mayor"),CONCATENATE("R49C",'Mapa final'!$R$150),"")</f>
        <v/>
      </c>
      <c r="V254" s="45" t="str">
        <f>IF(AND('Mapa final'!$AB$148="Muy Baja",'Mapa final'!$AD$148="Catastrófico"),CONCATENATE("R49C",'Mapa final'!$R$148),"")</f>
        <v/>
      </c>
      <c r="W254" s="46" t="str">
        <f>IF(AND('Mapa final'!$AB$149="Muy Baja",'Mapa final'!$AD$149="Catastrófico"),CONCATENATE("R49C",'Mapa final'!$R$149),"")</f>
        <v/>
      </c>
      <c r="X254" s="114" t="str">
        <f>IF(AND('Mapa final'!$AB$150="Muy Baja",'Mapa final'!$AD$150="Catastrófico"),CONCATENATE("R49C",'Mapa final'!$R$150),"")</f>
        <v/>
      </c>
      <c r="Y254" s="58"/>
      <c r="Z254" s="58"/>
      <c r="AA254" s="58"/>
      <c r="AB254" s="58"/>
      <c r="AC254" s="58"/>
      <c r="AD254" s="58"/>
      <c r="AE254" s="58"/>
      <c r="AF254" s="58"/>
      <c r="AG254" s="58"/>
      <c r="AH254" s="58"/>
      <c r="AI254" s="58"/>
      <c r="AJ254" s="58"/>
      <c r="AK254" s="58"/>
      <c r="AL254" s="58"/>
      <c r="AM254" s="58"/>
      <c r="AN254" s="58"/>
      <c r="AO254" s="58"/>
      <c r="AP254" s="58"/>
      <c r="AQ254" s="58"/>
      <c r="AR254" s="58"/>
      <c r="AS254" s="58"/>
      <c r="AT254" s="58"/>
      <c r="AU254" s="58"/>
      <c r="AV254" s="58"/>
      <c r="AW254" s="58"/>
      <c r="AX254" s="58"/>
      <c r="AY254" s="58"/>
      <c r="AZ254" s="58"/>
      <c r="BA254" s="58"/>
      <c r="BB254" s="58"/>
      <c r="BC254" s="58"/>
      <c r="BD254" s="58"/>
      <c r="BE254" s="58"/>
      <c r="BF254" s="58"/>
      <c r="BG254" s="58"/>
      <c r="BH254" s="58"/>
      <c r="BI254" s="58"/>
      <c r="BJ254" s="58"/>
      <c r="BK254" s="58"/>
      <c r="BL254" s="58"/>
      <c r="BM254" s="58"/>
    </row>
    <row r="255" spans="1:65" ht="15.75" customHeight="1" thickBot="1" x14ac:dyDescent="0.3">
      <c r="A255" s="58"/>
      <c r="B255" s="356"/>
      <c r="C255" s="356"/>
      <c r="D255" s="357"/>
      <c r="E255" s="373"/>
      <c r="F255" s="374"/>
      <c r="G255" s="374"/>
      <c r="H255" s="374"/>
      <c r="I255" s="374"/>
      <c r="J255" s="131" t="str">
        <f>IF(AND('Mapa final'!$AB$151="Muy Baja",'Mapa final'!$AD$151="Leve"),CONCATENATE("R50C",'Mapa final'!$R$151),"")</f>
        <v/>
      </c>
      <c r="K255" s="57" t="str">
        <f>IF(AND('Mapa final'!$AB$152="Muy Baja",'Mapa final'!$AD$152="Leve"),CONCATENATE("R50C",'Mapa final'!$R$152),"")</f>
        <v/>
      </c>
      <c r="L255" s="132" t="str">
        <f>IF(AND('Mapa final'!$AB$153="Muy Baja",'Mapa final'!$AD$153="Leve"),CONCATENATE("R50C",'Mapa final'!$R$153),"")</f>
        <v/>
      </c>
      <c r="M255" s="131" t="str">
        <f>IF(AND('Mapa final'!$AB$151="Muy Baja",'Mapa final'!$AD$151="Menor"),CONCATENATE("R50C",'Mapa final'!$R$151),"")</f>
        <v/>
      </c>
      <c r="N255" s="57" t="str">
        <f>IF(AND('Mapa final'!$AB$152="Muy Baja",'Mapa final'!$AD$152="Menor"),CONCATENATE("R50C",'Mapa final'!$R$152),"")</f>
        <v/>
      </c>
      <c r="O255" s="132" t="str">
        <f>IF(AND('Mapa final'!$AB$153="Muy Baja",'Mapa final'!$AD$153="Menor"),CONCATENATE("R50C",'Mapa final'!$R$153),"")</f>
        <v/>
      </c>
      <c r="P255" s="53" t="str">
        <f>IF(AND('Mapa final'!$AB$151="Muy Baja",'Mapa final'!$AD$151="Moderado"),CONCATENATE("R50C",'Mapa final'!$R$151),"")</f>
        <v/>
      </c>
      <c r="Q255" s="54" t="str">
        <f>IF(AND('Mapa final'!$AB$152="Muy Baja",'Mapa final'!$AD$152="Moderado"),CONCATENATE("R50C",'Mapa final'!$R$152),"")</f>
        <v/>
      </c>
      <c r="R255" s="126" t="str">
        <f>IF(AND('Mapa final'!$AB$153="Muy Baja",'Mapa final'!$AD$153="Moderado"),CONCATENATE("R50C",'Mapa final'!$R$153),"")</f>
        <v/>
      </c>
      <c r="S255" s="121" t="str">
        <f>IF(AND('Mapa final'!$AB$151="Muy Baja",'Mapa final'!$AD$151="Mayor"),CONCATENATE("R50C",'Mapa final'!$R$151),"")</f>
        <v/>
      </c>
      <c r="T255" s="122" t="str">
        <f>IF(AND('Mapa final'!$AB$152="Muy Baja",'Mapa final'!$AD$152="Mayor"),CONCATENATE("R50C",'Mapa final'!$R$152),"")</f>
        <v/>
      </c>
      <c r="U255" s="123" t="str">
        <f>IF(AND('Mapa final'!$AB$153="Muy Baja",'Mapa final'!$AD$153="Mayor"),CONCATENATE("R50C",'Mapa final'!$R$153),"")</f>
        <v/>
      </c>
      <c r="V255" s="45" t="str">
        <f>IF(AND('Mapa final'!$AB$151="Muy Baja",'Mapa final'!$AD$151="Catastrófico"),CONCATENATE("R50C",'Mapa final'!$R$151),"")</f>
        <v/>
      </c>
      <c r="W255" s="46" t="str">
        <f>IF(AND('Mapa final'!$AB$152="Muy Baja",'Mapa final'!$AD$152="Catastrófico"),CONCATENATE("R50C",'Mapa final'!$R$152),"")</f>
        <v/>
      </c>
      <c r="X255" s="114" t="str">
        <f>IF(AND('Mapa final'!$AB$153="Muy Baja",'Mapa final'!$AD$153="Catastrófico"),CONCATENATE("R50C",'Mapa final'!$R$153),"")</f>
        <v/>
      </c>
      <c r="Y255" s="58"/>
      <c r="Z255" s="58"/>
      <c r="AA255" s="58"/>
      <c r="AB255" s="58"/>
      <c r="AC255" s="58"/>
      <c r="AD255" s="58"/>
      <c r="AE255" s="58"/>
      <c r="AF255" s="58"/>
      <c r="AG255" s="58"/>
      <c r="AH255" s="58"/>
      <c r="AI255" s="58"/>
      <c r="AJ255" s="58"/>
      <c r="AK255" s="58"/>
      <c r="AL255" s="58"/>
      <c r="AM255" s="58"/>
      <c r="AN255" s="58"/>
      <c r="AO255" s="58"/>
      <c r="AP255" s="58"/>
      <c r="AQ255" s="58"/>
      <c r="AR255" s="58"/>
      <c r="AS255" s="58"/>
      <c r="AT255" s="58"/>
      <c r="AU255" s="58"/>
      <c r="AV255" s="58"/>
      <c r="AW255" s="58"/>
      <c r="AX255" s="58"/>
      <c r="AY255" s="58"/>
      <c r="AZ255" s="58"/>
      <c r="BA255" s="58"/>
      <c r="BB255" s="58"/>
      <c r="BC255" s="58"/>
      <c r="BD255" s="58"/>
      <c r="BE255" s="58"/>
      <c r="BF255" s="58"/>
      <c r="BG255" s="58"/>
      <c r="BH255" s="58"/>
      <c r="BI255" s="58"/>
      <c r="BJ255" s="58"/>
      <c r="BK255" s="58"/>
      <c r="BL255" s="58"/>
      <c r="BM255" s="58"/>
    </row>
    <row r="256" spans="1:65" x14ac:dyDescent="0.25">
      <c r="A256" s="58"/>
      <c r="B256" s="58"/>
      <c r="C256" s="58"/>
      <c r="D256" s="58"/>
      <c r="E256" s="58"/>
      <c r="F256" s="58"/>
      <c r="G256" s="58"/>
      <c r="H256" s="58"/>
      <c r="I256" s="58"/>
      <c r="J256" s="404" t="s">
        <v>106</v>
      </c>
      <c r="K256" s="370"/>
      <c r="L256" s="370"/>
      <c r="M256" s="369" t="s">
        <v>105</v>
      </c>
      <c r="N256" s="370"/>
      <c r="O256" s="370"/>
      <c r="P256" s="369" t="s">
        <v>104</v>
      </c>
      <c r="Q256" s="370"/>
      <c r="R256" s="370"/>
      <c r="S256" s="369" t="s">
        <v>103</v>
      </c>
      <c r="T256" s="409"/>
      <c r="U256" s="370"/>
      <c r="V256" s="369" t="s">
        <v>102</v>
      </c>
      <c r="W256" s="370"/>
      <c r="X256" s="410"/>
      <c r="Y256" s="58"/>
      <c r="Z256" s="58"/>
      <c r="AA256" s="58"/>
      <c r="AB256" s="58"/>
      <c r="AC256" s="58"/>
      <c r="AD256" s="58"/>
      <c r="AE256" s="58"/>
      <c r="AF256" s="58"/>
      <c r="AG256" s="58"/>
      <c r="AH256" s="58"/>
      <c r="AI256" s="58"/>
      <c r="AJ256" s="58"/>
      <c r="AK256" s="58"/>
      <c r="AL256" s="58"/>
      <c r="AM256" s="58"/>
      <c r="AN256" s="58"/>
      <c r="AO256" s="58"/>
      <c r="AP256" s="58"/>
      <c r="AQ256" s="58"/>
      <c r="AR256" s="58"/>
      <c r="AS256" s="58"/>
      <c r="AT256" s="58"/>
      <c r="AU256" s="58"/>
      <c r="AV256" s="58"/>
      <c r="AW256" s="58"/>
      <c r="AX256" s="58"/>
      <c r="AY256" s="58"/>
      <c r="AZ256" s="58"/>
      <c r="BA256" s="58"/>
      <c r="BB256" s="58"/>
      <c r="BC256" s="58"/>
      <c r="BD256" s="58"/>
      <c r="BE256" s="58"/>
      <c r="BF256" s="58"/>
      <c r="BG256" s="58"/>
      <c r="BH256" s="58"/>
      <c r="BI256" s="58"/>
      <c r="BJ256" s="58"/>
      <c r="BK256" s="58"/>
      <c r="BL256" s="58"/>
      <c r="BM256" s="58"/>
    </row>
    <row r="257" spans="1:65" x14ac:dyDescent="0.25">
      <c r="A257" s="58"/>
      <c r="B257" s="58"/>
      <c r="C257" s="58"/>
      <c r="D257" s="58"/>
      <c r="E257" s="58"/>
      <c r="F257" s="58"/>
      <c r="G257" s="58"/>
      <c r="H257" s="58"/>
      <c r="I257" s="58"/>
      <c r="J257" s="405"/>
      <c r="K257" s="370"/>
      <c r="L257" s="370"/>
      <c r="M257" s="371"/>
      <c r="N257" s="370"/>
      <c r="O257" s="370"/>
      <c r="P257" s="371"/>
      <c r="Q257" s="370"/>
      <c r="R257" s="370"/>
      <c r="S257" s="371"/>
      <c r="T257" s="370"/>
      <c r="U257" s="370"/>
      <c r="V257" s="371"/>
      <c r="W257" s="370"/>
      <c r="X257" s="410"/>
      <c r="Y257" s="58"/>
      <c r="Z257" s="58"/>
      <c r="AA257" s="58"/>
      <c r="AB257" s="58"/>
      <c r="AC257" s="58"/>
      <c r="AD257" s="58"/>
      <c r="AE257" s="58"/>
      <c r="AF257" s="58"/>
      <c r="AG257" s="58"/>
      <c r="AH257" s="58"/>
      <c r="AI257" s="58"/>
      <c r="AJ257" s="58"/>
      <c r="AK257" s="58"/>
      <c r="AL257" s="58"/>
      <c r="AM257" s="58"/>
      <c r="AN257" s="58"/>
      <c r="AO257" s="58"/>
      <c r="AP257" s="58"/>
      <c r="AQ257" s="58"/>
      <c r="AR257" s="58"/>
      <c r="AS257" s="58"/>
      <c r="AT257" s="58"/>
      <c r="AU257" s="58"/>
      <c r="AV257" s="58"/>
      <c r="AW257" s="58"/>
      <c r="AX257" s="58"/>
      <c r="AY257" s="58"/>
      <c r="AZ257" s="58"/>
      <c r="BA257" s="58"/>
      <c r="BB257" s="58"/>
      <c r="BC257" s="58"/>
      <c r="BD257" s="58"/>
      <c r="BE257" s="58"/>
      <c r="BF257" s="58"/>
      <c r="BG257" s="58"/>
      <c r="BH257" s="58"/>
      <c r="BI257" s="58"/>
      <c r="BJ257" s="58"/>
      <c r="BK257" s="58"/>
      <c r="BL257" s="58"/>
      <c r="BM257" s="58"/>
    </row>
    <row r="258" spans="1:65" x14ac:dyDescent="0.25">
      <c r="A258" s="58"/>
      <c r="B258" s="58"/>
      <c r="C258" s="58"/>
      <c r="D258" s="58"/>
      <c r="E258" s="58"/>
      <c r="F258" s="58"/>
      <c r="G258" s="58"/>
      <c r="H258" s="58"/>
      <c r="I258" s="58"/>
      <c r="J258" s="405"/>
      <c r="K258" s="370"/>
      <c r="L258" s="370"/>
      <c r="M258" s="371"/>
      <c r="N258" s="370"/>
      <c r="O258" s="370"/>
      <c r="P258" s="371"/>
      <c r="Q258" s="370"/>
      <c r="R258" s="370"/>
      <c r="S258" s="371"/>
      <c r="T258" s="370"/>
      <c r="U258" s="370"/>
      <c r="V258" s="371"/>
      <c r="W258" s="370"/>
      <c r="X258" s="410"/>
      <c r="Y258" s="58"/>
      <c r="Z258" s="58"/>
      <c r="AA258" s="58"/>
      <c r="AB258" s="58"/>
      <c r="AC258" s="58"/>
      <c r="AD258" s="58"/>
      <c r="AE258" s="58"/>
      <c r="AF258" s="58"/>
      <c r="AG258" s="58"/>
      <c r="AH258" s="58"/>
      <c r="AI258" s="58"/>
      <c r="AJ258" s="58"/>
      <c r="AK258" s="58"/>
      <c r="AL258" s="58"/>
      <c r="AM258" s="58"/>
      <c r="AN258" s="58"/>
      <c r="AO258" s="58"/>
      <c r="AP258" s="58"/>
      <c r="AQ258" s="58"/>
      <c r="AR258" s="58"/>
      <c r="AS258" s="58"/>
      <c r="AT258" s="58"/>
      <c r="AU258" s="58"/>
      <c r="AV258" s="58"/>
      <c r="AW258" s="58"/>
      <c r="AX258" s="58"/>
      <c r="AY258" s="58"/>
      <c r="AZ258" s="58"/>
      <c r="BA258" s="58"/>
      <c r="BB258" s="58"/>
      <c r="BC258" s="58"/>
      <c r="BD258" s="58"/>
      <c r="BE258" s="58"/>
      <c r="BF258" s="58"/>
      <c r="BG258" s="58"/>
      <c r="BH258" s="58"/>
      <c r="BI258" s="58"/>
      <c r="BJ258" s="58"/>
      <c r="BK258" s="58"/>
      <c r="BL258" s="58"/>
      <c r="BM258" s="58"/>
    </row>
    <row r="259" spans="1:65" x14ac:dyDescent="0.25">
      <c r="A259" s="58"/>
      <c r="B259" s="58"/>
      <c r="C259" s="58"/>
      <c r="D259" s="58"/>
      <c r="E259" s="58"/>
      <c r="F259" s="58"/>
      <c r="G259" s="58"/>
      <c r="H259" s="58"/>
      <c r="I259" s="58"/>
      <c r="J259" s="405"/>
      <c r="K259" s="370"/>
      <c r="L259" s="370"/>
      <c r="M259" s="371"/>
      <c r="N259" s="370"/>
      <c r="O259" s="370"/>
      <c r="P259" s="371"/>
      <c r="Q259" s="370"/>
      <c r="R259" s="370"/>
      <c r="S259" s="371"/>
      <c r="T259" s="370"/>
      <c r="U259" s="370"/>
      <c r="V259" s="371"/>
      <c r="W259" s="370"/>
      <c r="X259" s="410"/>
      <c r="Y259" s="58"/>
      <c r="Z259" s="58"/>
      <c r="AA259" s="58"/>
      <c r="AB259" s="58"/>
      <c r="AC259" s="58"/>
      <c r="AD259" s="58"/>
      <c r="AE259" s="58"/>
      <c r="AF259" s="58"/>
      <c r="AG259" s="58"/>
      <c r="AH259" s="58"/>
      <c r="AI259" s="58"/>
      <c r="AJ259" s="58"/>
      <c r="AK259" s="58"/>
      <c r="AL259" s="58"/>
      <c r="AM259" s="58"/>
      <c r="AN259" s="58"/>
      <c r="AO259" s="58"/>
      <c r="AP259" s="58"/>
      <c r="AQ259" s="58"/>
      <c r="AR259" s="58"/>
      <c r="AS259" s="58"/>
      <c r="AT259" s="58"/>
      <c r="AU259" s="58"/>
      <c r="AV259" s="58"/>
      <c r="AW259" s="58"/>
      <c r="AX259" s="58"/>
      <c r="AY259" s="58"/>
      <c r="AZ259" s="58"/>
      <c r="BA259" s="58"/>
      <c r="BB259" s="58"/>
      <c r="BC259" s="58"/>
      <c r="BD259" s="58"/>
      <c r="BE259" s="58"/>
      <c r="BF259" s="58"/>
      <c r="BG259" s="58"/>
      <c r="BH259" s="58"/>
      <c r="BI259" s="58"/>
      <c r="BJ259" s="58"/>
      <c r="BK259" s="58"/>
      <c r="BL259" s="58"/>
      <c r="BM259" s="58"/>
    </row>
    <row r="260" spans="1:65" x14ac:dyDescent="0.25">
      <c r="A260" s="58"/>
      <c r="B260" s="58"/>
      <c r="C260" s="58"/>
      <c r="D260" s="58"/>
      <c r="E260" s="58"/>
      <c r="F260" s="58"/>
      <c r="G260" s="58"/>
      <c r="H260" s="58"/>
      <c r="I260" s="58"/>
      <c r="J260" s="405"/>
      <c r="K260" s="370"/>
      <c r="L260" s="370"/>
      <c r="M260" s="371"/>
      <c r="N260" s="370"/>
      <c r="O260" s="370"/>
      <c r="P260" s="371"/>
      <c r="Q260" s="370"/>
      <c r="R260" s="370"/>
      <c r="S260" s="371"/>
      <c r="T260" s="370"/>
      <c r="U260" s="370"/>
      <c r="V260" s="371"/>
      <c r="W260" s="370"/>
      <c r="X260" s="410"/>
      <c r="Y260" s="58"/>
      <c r="Z260" s="58"/>
      <c r="AA260" s="58"/>
      <c r="AB260" s="58"/>
      <c r="AC260" s="58"/>
      <c r="AD260" s="58"/>
      <c r="AE260" s="58"/>
      <c r="AF260" s="58"/>
      <c r="AG260" s="58"/>
      <c r="AH260" s="58"/>
      <c r="AI260" s="58"/>
      <c r="AJ260" s="58"/>
      <c r="AK260" s="58"/>
      <c r="AL260" s="58"/>
      <c r="AM260" s="58"/>
      <c r="AN260" s="58"/>
      <c r="AO260" s="58"/>
      <c r="AP260" s="58"/>
      <c r="AQ260" s="58"/>
      <c r="AR260" s="58"/>
      <c r="AS260" s="58"/>
      <c r="AT260" s="58"/>
      <c r="AU260" s="58"/>
      <c r="AV260" s="58"/>
      <c r="AW260" s="58"/>
      <c r="AX260" s="58"/>
      <c r="AY260" s="58"/>
      <c r="AZ260" s="58"/>
      <c r="BA260" s="58"/>
      <c r="BB260" s="58"/>
      <c r="BC260" s="58"/>
      <c r="BD260" s="58"/>
      <c r="BE260" s="58"/>
      <c r="BF260" s="58"/>
      <c r="BG260" s="58"/>
      <c r="BH260" s="58"/>
      <c r="BI260" s="58"/>
      <c r="BJ260" s="58"/>
      <c r="BK260" s="58"/>
      <c r="BL260" s="58"/>
      <c r="BM260" s="58"/>
    </row>
    <row r="261" spans="1:65" ht="15.75" thickBot="1" x14ac:dyDescent="0.3">
      <c r="A261" s="58"/>
      <c r="B261" s="58"/>
      <c r="C261" s="58"/>
      <c r="D261" s="58"/>
      <c r="E261" s="58"/>
      <c r="F261" s="58"/>
      <c r="G261" s="58"/>
      <c r="H261" s="58"/>
      <c r="I261" s="58"/>
      <c r="J261" s="406"/>
      <c r="K261" s="407"/>
      <c r="L261" s="407"/>
      <c r="M261" s="408"/>
      <c r="N261" s="407"/>
      <c r="O261" s="407"/>
      <c r="P261" s="408"/>
      <c r="Q261" s="407"/>
      <c r="R261" s="407"/>
      <c r="S261" s="408"/>
      <c r="T261" s="407"/>
      <c r="U261" s="407"/>
      <c r="V261" s="408"/>
      <c r="W261" s="407"/>
      <c r="X261" s="411"/>
      <c r="Y261" s="58"/>
      <c r="Z261" s="58"/>
      <c r="AA261" s="58"/>
      <c r="AB261" s="58"/>
      <c r="AC261" s="58"/>
      <c r="AD261" s="58"/>
      <c r="AE261" s="58"/>
      <c r="AF261" s="58"/>
      <c r="AG261" s="58"/>
      <c r="AH261" s="58"/>
      <c r="AI261" s="58"/>
      <c r="AJ261" s="58"/>
      <c r="AK261" s="58"/>
      <c r="AL261" s="58"/>
      <c r="AM261" s="58"/>
      <c r="AN261" s="58"/>
      <c r="AO261" s="58"/>
      <c r="AP261" s="58"/>
      <c r="AQ261" s="58"/>
      <c r="AR261" s="58"/>
      <c r="AS261" s="58"/>
      <c r="AT261" s="58"/>
      <c r="AU261" s="58"/>
      <c r="AV261" s="58"/>
      <c r="AW261" s="58"/>
      <c r="AX261" s="58"/>
      <c r="AY261" s="58"/>
      <c r="AZ261" s="58"/>
      <c r="BA261" s="58"/>
      <c r="BB261" s="58"/>
      <c r="BC261" s="58"/>
      <c r="BD261" s="58"/>
      <c r="BE261" s="58"/>
      <c r="BF261" s="58"/>
      <c r="BG261" s="58"/>
      <c r="BH261" s="58"/>
      <c r="BI261" s="58"/>
      <c r="BJ261" s="58"/>
      <c r="BK261" s="58"/>
      <c r="BL261" s="58"/>
      <c r="BM261" s="58"/>
    </row>
    <row r="262" spans="1:65" x14ac:dyDescent="0.25">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Q262" s="58"/>
      <c r="AR262" s="58"/>
      <c r="AS262" s="58"/>
    </row>
    <row r="263" spans="1:65" ht="15" customHeight="1" x14ac:dyDescent="0.25">
      <c r="A263" s="58"/>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58"/>
      <c r="AG263" s="58"/>
      <c r="AH263" s="58"/>
      <c r="AI263" s="58"/>
      <c r="AJ263" s="58"/>
      <c r="AK263" s="58"/>
      <c r="AL263" s="58"/>
      <c r="AM263" s="58"/>
      <c r="AN263" s="58"/>
      <c r="AO263" s="58"/>
      <c r="AP263" s="58"/>
      <c r="AQ263" s="58"/>
      <c r="AR263" s="58"/>
      <c r="AS263" s="58"/>
    </row>
    <row r="264" spans="1:65" ht="15" customHeight="1" x14ac:dyDescent="0.25">
      <c r="A264" s="58"/>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58"/>
      <c r="AG264" s="58"/>
      <c r="AH264" s="58"/>
      <c r="AI264" s="58"/>
      <c r="AJ264" s="58"/>
      <c r="AK264" s="58"/>
      <c r="AL264" s="58"/>
      <c r="AM264" s="58"/>
      <c r="AN264" s="58"/>
      <c r="AO264" s="58"/>
      <c r="AP264" s="58"/>
      <c r="AQ264" s="58"/>
      <c r="AR264" s="58"/>
      <c r="AS264" s="58"/>
    </row>
    <row r="265" spans="1:65" x14ac:dyDescent="0.25">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c r="AR265" s="58"/>
      <c r="AS265" s="58"/>
    </row>
    <row r="266" spans="1:65" x14ac:dyDescent="0.25">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c r="AS266" s="58"/>
    </row>
    <row r="267" spans="1:65" x14ac:dyDescent="0.25">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Q267" s="58"/>
      <c r="AR267" s="58"/>
      <c r="AS267" s="58"/>
    </row>
    <row r="268" spans="1:65" x14ac:dyDescent="0.25">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Q268" s="58"/>
      <c r="AR268" s="58"/>
      <c r="AS268" s="58"/>
    </row>
    <row r="269" spans="1:65" x14ac:dyDescent="0.25">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Q269" s="58"/>
      <c r="AR269" s="58"/>
      <c r="AS269" s="58"/>
    </row>
    <row r="270" spans="1:65" x14ac:dyDescent="0.25">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c r="AS270" s="58"/>
    </row>
    <row r="271" spans="1:65" x14ac:dyDescent="0.25">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c r="AO271" s="58"/>
      <c r="AP271" s="58"/>
      <c r="AQ271" s="58"/>
      <c r="AR271" s="58"/>
      <c r="AS271" s="58"/>
    </row>
    <row r="272" spans="1:65" x14ac:dyDescent="0.25">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Q272" s="58"/>
      <c r="AR272" s="58"/>
      <c r="AS272" s="58"/>
    </row>
    <row r="273" spans="1:45" x14ac:dyDescent="0.25">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8"/>
      <c r="AQ273" s="58"/>
      <c r="AR273" s="58"/>
      <c r="AS273" s="58"/>
    </row>
    <row r="274" spans="1:45" x14ac:dyDescent="0.25">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c r="AO274" s="58"/>
      <c r="AP274" s="58"/>
      <c r="AQ274" s="58"/>
      <c r="AR274" s="58"/>
      <c r="AS274" s="58"/>
    </row>
    <row r="275" spans="1:45" x14ac:dyDescent="0.25">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c r="AQ275" s="58"/>
      <c r="AR275" s="58"/>
      <c r="AS275" s="58"/>
    </row>
    <row r="276" spans="1:45" x14ac:dyDescent="0.25">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c r="AQ276" s="58"/>
      <c r="AR276" s="58"/>
      <c r="AS276" s="58"/>
    </row>
    <row r="277" spans="1:45" x14ac:dyDescent="0.25">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c r="AO277" s="58"/>
      <c r="AP277" s="58"/>
      <c r="AQ277" s="58"/>
      <c r="AR277" s="58"/>
      <c r="AS277" s="58"/>
    </row>
    <row r="278" spans="1:45" x14ac:dyDescent="0.25">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c r="AQ278" s="58"/>
      <c r="AR278" s="58"/>
      <c r="AS278" s="58"/>
    </row>
    <row r="279" spans="1:45" x14ac:dyDescent="0.25">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c r="AQ279" s="58"/>
      <c r="AR279" s="58"/>
      <c r="AS279" s="58"/>
    </row>
    <row r="280" spans="1:45" x14ac:dyDescent="0.25">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c r="AQ280" s="58"/>
      <c r="AR280" s="58"/>
      <c r="AS280" s="58"/>
    </row>
    <row r="281" spans="1:45" x14ac:dyDescent="0.25">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8"/>
      <c r="AL281" s="58"/>
      <c r="AM281" s="58"/>
      <c r="AN281" s="58"/>
      <c r="AO281" s="58"/>
      <c r="AP281" s="58"/>
      <c r="AQ281" s="58"/>
      <c r="AR281" s="58"/>
      <c r="AS281" s="58"/>
    </row>
    <row r="282" spans="1:45" x14ac:dyDescent="0.25">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8"/>
      <c r="AM282" s="58"/>
      <c r="AN282" s="58"/>
      <c r="AO282" s="58"/>
      <c r="AP282" s="58"/>
      <c r="AQ282" s="58"/>
      <c r="AR282" s="58"/>
      <c r="AS282" s="58"/>
    </row>
    <row r="283" spans="1:45" x14ac:dyDescent="0.25">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c r="AO283" s="58"/>
      <c r="AP283" s="58"/>
      <c r="AQ283" s="58"/>
      <c r="AR283" s="58"/>
      <c r="AS283" s="58"/>
    </row>
    <row r="284" spans="1:45" x14ac:dyDescent="0.25">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c r="AQ284" s="58"/>
      <c r="AR284" s="58"/>
      <c r="AS284" s="58"/>
    </row>
    <row r="285" spans="1:45" x14ac:dyDescent="0.25">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c r="AM285" s="58"/>
      <c r="AN285" s="58"/>
      <c r="AO285" s="58"/>
      <c r="AP285" s="58"/>
      <c r="AQ285" s="58"/>
      <c r="AR285" s="58"/>
      <c r="AS285" s="58"/>
    </row>
    <row r="286" spans="1:45" x14ac:dyDescent="0.25">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c r="AO286" s="58"/>
      <c r="AP286" s="58"/>
      <c r="AQ286" s="58"/>
      <c r="AR286" s="58"/>
      <c r="AS286" s="58"/>
    </row>
    <row r="287" spans="1:45" x14ac:dyDescent="0.25">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c r="AO287" s="58"/>
      <c r="AP287" s="58"/>
      <c r="AQ287" s="58"/>
      <c r="AR287" s="58"/>
      <c r="AS287" s="58"/>
    </row>
    <row r="288" spans="1:45" x14ac:dyDescent="0.25">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c r="AO288" s="58"/>
      <c r="AP288" s="58"/>
      <c r="AQ288" s="58"/>
      <c r="AR288" s="58"/>
      <c r="AS288" s="58"/>
    </row>
    <row r="289" spans="1:45" x14ac:dyDescent="0.25">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c r="AM289" s="58"/>
      <c r="AN289" s="58"/>
      <c r="AO289" s="58"/>
      <c r="AP289" s="58"/>
      <c r="AQ289" s="58"/>
      <c r="AR289" s="58"/>
      <c r="AS289" s="58"/>
    </row>
    <row r="290" spans="1:45" x14ac:dyDescent="0.25">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c r="AQ290" s="58"/>
      <c r="AR290" s="58"/>
      <c r="AS290" s="58"/>
    </row>
    <row r="291" spans="1:45" x14ac:dyDescent="0.25">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c r="AO291" s="58"/>
      <c r="AP291" s="58"/>
      <c r="AQ291" s="58"/>
      <c r="AR291" s="58"/>
      <c r="AS291" s="58"/>
    </row>
    <row r="292" spans="1:45" x14ac:dyDescent="0.25">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c r="AS292" s="58"/>
    </row>
    <row r="293" spans="1:45" x14ac:dyDescent="0.25">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c r="AM293" s="58"/>
      <c r="AN293" s="58"/>
      <c r="AO293" s="58"/>
      <c r="AP293" s="58"/>
      <c r="AQ293" s="58"/>
      <c r="AR293" s="58"/>
      <c r="AS293" s="58"/>
    </row>
    <row r="294" spans="1:45" x14ac:dyDescent="0.25">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c r="AS294" s="58"/>
    </row>
    <row r="295" spans="1:45" x14ac:dyDescent="0.25">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c r="AC295" s="58"/>
      <c r="AD295" s="58"/>
      <c r="AE295" s="58"/>
      <c r="AF295" s="58"/>
      <c r="AG295" s="58"/>
      <c r="AH295" s="58"/>
      <c r="AI295" s="58"/>
      <c r="AJ295" s="58"/>
      <c r="AK295" s="58"/>
      <c r="AL295" s="58"/>
      <c r="AM295" s="58"/>
      <c r="AN295" s="58"/>
      <c r="AO295" s="58"/>
      <c r="AP295" s="58"/>
      <c r="AQ295" s="58"/>
      <c r="AR295" s="58"/>
      <c r="AS295" s="58"/>
    </row>
    <row r="296" spans="1:45" x14ac:dyDescent="0.25">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c r="AM296" s="58"/>
      <c r="AN296" s="58"/>
      <c r="AO296" s="58"/>
      <c r="AP296" s="58"/>
      <c r="AQ296" s="58"/>
      <c r="AR296" s="58"/>
      <c r="AS296" s="58"/>
    </row>
    <row r="297" spans="1:45" x14ac:dyDescent="0.25">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c r="AB297" s="58"/>
      <c r="AC297" s="58"/>
      <c r="AD297" s="58"/>
      <c r="AE297" s="58"/>
      <c r="AF297" s="58"/>
      <c r="AG297" s="58"/>
      <c r="AH297" s="58"/>
      <c r="AI297" s="58"/>
      <c r="AJ297" s="58"/>
      <c r="AK297" s="58"/>
      <c r="AL297" s="58"/>
      <c r="AM297" s="58"/>
      <c r="AN297" s="58"/>
      <c r="AO297" s="58"/>
      <c r="AP297" s="58"/>
      <c r="AQ297" s="58"/>
      <c r="AR297" s="58"/>
      <c r="AS297" s="58"/>
    </row>
    <row r="298" spans="1:45" x14ac:dyDescent="0.25">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c r="AB298" s="58"/>
      <c r="AC298" s="58"/>
      <c r="AD298" s="58"/>
      <c r="AE298" s="58"/>
      <c r="AF298" s="58"/>
      <c r="AG298" s="58"/>
      <c r="AH298" s="58"/>
      <c r="AI298" s="58"/>
      <c r="AJ298" s="58"/>
      <c r="AK298" s="58"/>
      <c r="AL298" s="58"/>
      <c r="AM298" s="58"/>
      <c r="AN298" s="58"/>
      <c r="AO298" s="58"/>
      <c r="AP298" s="58"/>
      <c r="AQ298" s="58"/>
      <c r="AR298" s="58"/>
      <c r="AS298" s="58"/>
    </row>
    <row r="299" spans="1:45" x14ac:dyDescent="0.25">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c r="AM299" s="58"/>
      <c r="AN299" s="58"/>
      <c r="AO299" s="58"/>
      <c r="AP299" s="58"/>
      <c r="AQ299" s="58"/>
      <c r="AR299" s="58"/>
      <c r="AS299" s="58"/>
    </row>
    <row r="300" spans="1:45" x14ac:dyDescent="0.25">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c r="AB300" s="58"/>
      <c r="AC300" s="58"/>
      <c r="AD300" s="58"/>
      <c r="AE300" s="58"/>
      <c r="AF300" s="58"/>
      <c r="AG300" s="58"/>
      <c r="AH300" s="58"/>
      <c r="AI300" s="58"/>
      <c r="AJ300" s="58"/>
      <c r="AK300" s="58"/>
      <c r="AL300" s="58"/>
      <c r="AM300" s="58"/>
      <c r="AN300" s="58"/>
      <c r="AO300" s="58"/>
      <c r="AP300" s="58"/>
      <c r="AQ300" s="58"/>
      <c r="AR300" s="58"/>
      <c r="AS300" s="58"/>
    </row>
    <row r="301" spans="1:45" x14ac:dyDescent="0.25">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c r="AB301" s="58"/>
      <c r="AC301" s="58"/>
      <c r="AD301" s="58"/>
      <c r="AE301" s="58"/>
      <c r="AF301" s="58"/>
      <c r="AG301" s="58"/>
      <c r="AH301" s="58"/>
      <c r="AI301" s="58"/>
      <c r="AJ301" s="58"/>
      <c r="AK301" s="58"/>
      <c r="AL301" s="58"/>
      <c r="AM301" s="58"/>
      <c r="AN301" s="58"/>
      <c r="AO301" s="58"/>
      <c r="AP301" s="58"/>
      <c r="AQ301" s="58"/>
      <c r="AR301" s="58"/>
      <c r="AS301" s="58"/>
    </row>
    <row r="302" spans="1:45" x14ac:dyDescent="0.25">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c r="AB302" s="58"/>
      <c r="AC302" s="58"/>
      <c r="AD302" s="58"/>
      <c r="AE302" s="58"/>
      <c r="AF302" s="58"/>
      <c r="AG302" s="58"/>
      <c r="AH302" s="58"/>
      <c r="AI302" s="58"/>
      <c r="AJ302" s="58"/>
      <c r="AK302" s="58"/>
      <c r="AL302" s="58"/>
      <c r="AM302" s="58"/>
      <c r="AN302" s="58"/>
      <c r="AO302" s="58"/>
      <c r="AP302" s="58"/>
      <c r="AQ302" s="58"/>
      <c r="AR302" s="58"/>
      <c r="AS302" s="58"/>
    </row>
    <row r="303" spans="1:45" x14ac:dyDescent="0.25">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c r="AB303" s="58"/>
      <c r="AC303" s="58"/>
      <c r="AD303" s="58"/>
      <c r="AE303" s="58"/>
      <c r="AF303" s="58"/>
      <c r="AG303" s="58"/>
      <c r="AH303" s="58"/>
      <c r="AI303" s="58"/>
      <c r="AJ303" s="58"/>
      <c r="AK303" s="58"/>
      <c r="AL303" s="58"/>
      <c r="AM303" s="58"/>
      <c r="AN303" s="58"/>
      <c r="AO303" s="58"/>
      <c r="AP303" s="58"/>
      <c r="AQ303" s="58"/>
      <c r="AR303" s="58"/>
      <c r="AS303" s="58"/>
    </row>
    <row r="304" spans="1:45" x14ac:dyDescent="0.25">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c r="AB304" s="58"/>
      <c r="AC304" s="58"/>
      <c r="AD304" s="58"/>
      <c r="AE304" s="58"/>
      <c r="AF304" s="58"/>
      <c r="AG304" s="58"/>
      <c r="AH304" s="58"/>
      <c r="AI304" s="58"/>
      <c r="AJ304" s="58"/>
      <c r="AK304" s="58"/>
      <c r="AL304" s="58"/>
      <c r="AM304" s="58"/>
      <c r="AN304" s="58"/>
      <c r="AO304" s="58"/>
      <c r="AP304" s="58"/>
      <c r="AQ304" s="58"/>
      <c r="AR304" s="58"/>
      <c r="AS304" s="58"/>
    </row>
    <row r="305" spans="1:45" x14ac:dyDescent="0.25">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c r="AH305" s="58"/>
      <c r="AI305" s="58"/>
      <c r="AJ305" s="58"/>
      <c r="AK305" s="58"/>
      <c r="AL305" s="58"/>
      <c r="AM305" s="58"/>
      <c r="AN305" s="58"/>
      <c r="AO305" s="58"/>
      <c r="AP305" s="58"/>
      <c r="AQ305" s="58"/>
      <c r="AR305" s="58"/>
      <c r="AS305" s="58"/>
    </row>
    <row r="306" spans="1:45" x14ac:dyDescent="0.25">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c r="AH306" s="58"/>
      <c r="AI306" s="58"/>
      <c r="AJ306" s="58"/>
      <c r="AK306" s="58"/>
      <c r="AL306" s="58"/>
      <c r="AM306" s="58"/>
      <c r="AN306" s="58"/>
      <c r="AO306" s="58"/>
      <c r="AP306" s="58"/>
      <c r="AQ306" s="58"/>
      <c r="AR306" s="58"/>
      <c r="AS306" s="58"/>
    </row>
    <row r="307" spans="1:45" x14ac:dyDescent="0.25">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c r="AB307" s="58"/>
      <c r="AC307" s="58"/>
      <c r="AD307" s="58"/>
      <c r="AE307" s="58"/>
      <c r="AF307" s="58"/>
      <c r="AG307" s="58"/>
      <c r="AH307" s="58"/>
      <c r="AI307" s="58"/>
      <c r="AJ307" s="58"/>
      <c r="AK307" s="58"/>
      <c r="AL307" s="58"/>
      <c r="AM307" s="58"/>
      <c r="AN307" s="58"/>
      <c r="AO307" s="58"/>
      <c r="AP307" s="58"/>
      <c r="AQ307" s="58"/>
      <c r="AR307" s="58"/>
      <c r="AS307" s="58"/>
    </row>
    <row r="308" spans="1:45" x14ac:dyDescent="0.25">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c r="AM308" s="58"/>
      <c r="AN308" s="58"/>
      <c r="AO308" s="58"/>
      <c r="AP308" s="58"/>
      <c r="AQ308" s="58"/>
      <c r="AR308" s="58"/>
      <c r="AS308" s="58"/>
    </row>
    <row r="309" spans="1:45" x14ac:dyDescent="0.25">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c r="AB309" s="58"/>
      <c r="AC309" s="58"/>
      <c r="AD309" s="58"/>
      <c r="AE309" s="58"/>
      <c r="AF309" s="58"/>
      <c r="AG309" s="58"/>
      <c r="AH309" s="58"/>
      <c r="AI309" s="58"/>
      <c r="AJ309" s="58"/>
      <c r="AK309" s="58"/>
      <c r="AL309" s="58"/>
      <c r="AM309" s="58"/>
      <c r="AN309" s="58"/>
      <c r="AO309" s="58"/>
      <c r="AP309" s="58"/>
      <c r="AQ309" s="58"/>
      <c r="AR309" s="58"/>
      <c r="AS309" s="58"/>
    </row>
    <row r="310" spans="1:45" x14ac:dyDescent="0.25">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c r="AB310" s="58"/>
      <c r="AC310" s="58"/>
      <c r="AD310" s="58"/>
      <c r="AE310" s="58"/>
      <c r="AF310" s="58"/>
      <c r="AG310" s="58"/>
      <c r="AH310" s="58"/>
      <c r="AI310" s="58"/>
      <c r="AJ310" s="58"/>
      <c r="AK310" s="58"/>
      <c r="AL310" s="58"/>
      <c r="AM310" s="58"/>
      <c r="AN310" s="58"/>
      <c r="AO310" s="58"/>
      <c r="AP310" s="58"/>
      <c r="AQ310" s="58"/>
      <c r="AR310" s="58"/>
      <c r="AS310" s="58"/>
    </row>
    <row r="311" spans="1:45" x14ac:dyDescent="0.25">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c r="AB311" s="58"/>
      <c r="AC311" s="58"/>
      <c r="AD311" s="58"/>
      <c r="AE311" s="58"/>
      <c r="AF311" s="58"/>
      <c r="AG311" s="58"/>
      <c r="AH311" s="58"/>
      <c r="AI311" s="58"/>
      <c r="AJ311" s="58"/>
      <c r="AK311" s="58"/>
      <c r="AL311" s="58"/>
      <c r="AM311" s="58"/>
      <c r="AN311" s="58"/>
      <c r="AO311" s="58"/>
      <c r="AP311" s="58"/>
      <c r="AQ311" s="58"/>
      <c r="AR311" s="58"/>
      <c r="AS311" s="58"/>
    </row>
    <row r="312" spans="1:45" x14ac:dyDescent="0.25">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c r="AB312" s="58"/>
      <c r="AC312" s="58"/>
      <c r="AD312" s="58"/>
      <c r="AE312" s="58"/>
      <c r="AF312" s="58"/>
      <c r="AG312" s="58"/>
      <c r="AH312" s="58"/>
      <c r="AI312" s="58"/>
      <c r="AJ312" s="58"/>
      <c r="AK312" s="58"/>
      <c r="AL312" s="58"/>
      <c r="AM312" s="58"/>
      <c r="AN312" s="58"/>
      <c r="AO312" s="58"/>
      <c r="AP312" s="58"/>
      <c r="AQ312" s="58"/>
      <c r="AR312" s="58"/>
      <c r="AS312" s="58"/>
    </row>
    <row r="313" spans="1:45" x14ac:dyDescent="0.25">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c r="AB313" s="58"/>
      <c r="AC313" s="58"/>
      <c r="AD313" s="58"/>
      <c r="AE313" s="58"/>
      <c r="AF313" s="58"/>
      <c r="AG313" s="58"/>
      <c r="AH313" s="58"/>
      <c r="AI313" s="58"/>
      <c r="AJ313" s="58"/>
      <c r="AK313" s="58"/>
      <c r="AL313" s="58"/>
      <c r="AM313" s="58"/>
      <c r="AN313" s="58"/>
      <c r="AO313" s="58"/>
      <c r="AP313" s="58"/>
      <c r="AQ313" s="58"/>
      <c r="AR313" s="58"/>
      <c r="AS313" s="58"/>
    </row>
    <row r="314" spans="1:45" x14ac:dyDescent="0.25">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c r="AB314" s="58"/>
      <c r="AC314" s="58"/>
      <c r="AD314" s="58"/>
      <c r="AE314" s="58"/>
      <c r="AF314" s="58"/>
      <c r="AG314" s="58"/>
      <c r="AH314" s="58"/>
      <c r="AI314" s="58"/>
      <c r="AJ314" s="58"/>
      <c r="AK314" s="58"/>
      <c r="AL314" s="58"/>
      <c r="AM314" s="58"/>
      <c r="AN314" s="58"/>
      <c r="AO314" s="58"/>
      <c r="AP314" s="58"/>
      <c r="AQ314" s="58"/>
      <c r="AR314" s="58"/>
      <c r="AS314" s="58"/>
    </row>
    <row r="315" spans="1:45" x14ac:dyDescent="0.25">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c r="AB315" s="58"/>
      <c r="AC315" s="58"/>
      <c r="AD315" s="58"/>
      <c r="AE315" s="58"/>
      <c r="AF315" s="58"/>
      <c r="AG315" s="58"/>
      <c r="AH315" s="58"/>
      <c r="AI315" s="58"/>
      <c r="AJ315" s="58"/>
      <c r="AK315" s="58"/>
      <c r="AL315" s="58"/>
      <c r="AM315" s="58"/>
      <c r="AN315" s="58"/>
      <c r="AO315" s="58"/>
      <c r="AP315" s="58"/>
      <c r="AQ315" s="58"/>
      <c r="AR315" s="58"/>
      <c r="AS315" s="58"/>
    </row>
    <row r="316" spans="1:45" x14ac:dyDescent="0.25">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8"/>
      <c r="AG316" s="58"/>
      <c r="AH316" s="58"/>
      <c r="AI316" s="58"/>
      <c r="AJ316" s="58"/>
      <c r="AK316" s="58"/>
      <c r="AL316" s="58"/>
      <c r="AM316" s="58"/>
      <c r="AN316" s="58"/>
      <c r="AO316" s="58"/>
      <c r="AP316" s="58"/>
      <c r="AQ316" s="58"/>
      <c r="AR316" s="58"/>
      <c r="AS316" s="58"/>
    </row>
    <row r="317" spans="1:45" x14ac:dyDescent="0.25">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c r="AB317" s="58"/>
      <c r="AC317" s="58"/>
      <c r="AD317" s="58"/>
      <c r="AE317" s="58"/>
      <c r="AF317" s="58"/>
      <c r="AG317" s="58"/>
      <c r="AH317" s="58"/>
      <c r="AI317" s="58"/>
      <c r="AJ317" s="58"/>
      <c r="AK317" s="58"/>
      <c r="AL317" s="58"/>
      <c r="AM317" s="58"/>
      <c r="AN317" s="58"/>
      <c r="AO317" s="58"/>
      <c r="AP317" s="58"/>
      <c r="AQ317" s="58"/>
      <c r="AR317" s="58"/>
      <c r="AS317" s="58"/>
    </row>
    <row r="318" spans="1:45" x14ac:dyDescent="0.25">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c r="AO318" s="58"/>
      <c r="AP318" s="58"/>
      <c r="AQ318" s="58"/>
      <c r="AR318" s="58"/>
      <c r="AS318" s="58"/>
    </row>
    <row r="319" spans="1:45" x14ac:dyDescent="0.25">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c r="AC319" s="58"/>
      <c r="AD319" s="58"/>
      <c r="AE319" s="58"/>
      <c r="AF319" s="58"/>
      <c r="AG319" s="58"/>
      <c r="AH319" s="58"/>
      <c r="AI319" s="58"/>
      <c r="AJ319" s="58"/>
      <c r="AK319" s="58"/>
      <c r="AL319" s="58"/>
      <c r="AM319" s="58"/>
      <c r="AN319" s="58"/>
      <c r="AO319" s="58"/>
      <c r="AP319" s="58"/>
      <c r="AQ319" s="58"/>
      <c r="AR319" s="58"/>
      <c r="AS319" s="58"/>
    </row>
    <row r="320" spans="1:45" x14ac:dyDescent="0.25">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c r="AO320" s="58"/>
      <c r="AP320" s="58"/>
      <c r="AQ320" s="58"/>
      <c r="AR320" s="58"/>
      <c r="AS320" s="58"/>
    </row>
    <row r="321" spans="1:45" x14ac:dyDescent="0.25">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58"/>
      <c r="AQ321" s="58"/>
      <c r="AR321" s="58"/>
      <c r="AS321" s="58"/>
    </row>
    <row r="322" spans="1:45" x14ac:dyDescent="0.25">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c r="AB322" s="58"/>
      <c r="AC322" s="58"/>
      <c r="AD322" s="58"/>
      <c r="AE322" s="58"/>
      <c r="AF322" s="58"/>
      <c r="AG322" s="58"/>
      <c r="AH322" s="58"/>
      <c r="AI322" s="58"/>
      <c r="AJ322" s="58"/>
      <c r="AK322" s="58"/>
      <c r="AL322" s="58"/>
      <c r="AM322" s="58"/>
      <c r="AN322" s="58"/>
      <c r="AO322" s="58"/>
      <c r="AP322" s="58"/>
      <c r="AQ322" s="58"/>
      <c r="AR322" s="58"/>
      <c r="AS322" s="58"/>
    </row>
    <row r="323" spans="1:45" x14ac:dyDescent="0.25">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c r="AB323" s="58"/>
      <c r="AC323" s="58"/>
      <c r="AD323" s="58"/>
      <c r="AE323" s="58"/>
      <c r="AF323" s="58"/>
      <c r="AG323" s="58"/>
      <c r="AH323" s="58"/>
      <c r="AI323" s="58"/>
      <c r="AJ323" s="58"/>
      <c r="AK323" s="58"/>
      <c r="AL323" s="58"/>
      <c r="AM323" s="58"/>
      <c r="AN323" s="58"/>
      <c r="AO323" s="58"/>
      <c r="AP323" s="58"/>
      <c r="AQ323" s="58"/>
      <c r="AR323" s="58"/>
      <c r="AS323" s="58"/>
    </row>
    <row r="324" spans="1:45" x14ac:dyDescent="0.25">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c r="AA324" s="58"/>
      <c r="AB324" s="58"/>
      <c r="AC324" s="58"/>
      <c r="AD324" s="58"/>
      <c r="AE324" s="58"/>
      <c r="AF324" s="58"/>
      <c r="AG324" s="58"/>
      <c r="AH324" s="58"/>
      <c r="AI324" s="58"/>
      <c r="AJ324" s="58"/>
      <c r="AK324" s="58"/>
      <c r="AL324" s="58"/>
      <c r="AM324" s="58"/>
      <c r="AN324" s="58"/>
      <c r="AO324" s="58"/>
      <c r="AP324" s="58"/>
      <c r="AQ324" s="58"/>
      <c r="AR324" s="58"/>
      <c r="AS324" s="58"/>
    </row>
    <row r="325" spans="1:45" x14ac:dyDescent="0.25">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c r="AO325" s="58"/>
      <c r="AP325" s="58"/>
      <c r="AQ325" s="58"/>
      <c r="AR325" s="58"/>
      <c r="AS325" s="58"/>
    </row>
    <row r="326" spans="1:45" x14ac:dyDescent="0.25">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c r="AA326" s="58"/>
      <c r="AB326" s="58"/>
      <c r="AC326" s="58"/>
      <c r="AD326" s="58"/>
      <c r="AE326" s="58"/>
      <c r="AF326" s="58"/>
      <c r="AG326" s="58"/>
      <c r="AH326" s="58"/>
      <c r="AI326" s="58"/>
      <c r="AJ326" s="58"/>
      <c r="AK326" s="58"/>
      <c r="AL326" s="58"/>
      <c r="AM326" s="58"/>
      <c r="AN326" s="58"/>
      <c r="AO326" s="58"/>
      <c r="AP326" s="58"/>
      <c r="AQ326" s="58"/>
      <c r="AR326" s="58"/>
      <c r="AS326" s="58"/>
    </row>
    <row r="327" spans="1:45" x14ac:dyDescent="0.25">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c r="AA327" s="58"/>
      <c r="AB327" s="58"/>
      <c r="AC327" s="58"/>
      <c r="AD327" s="58"/>
      <c r="AE327" s="58"/>
      <c r="AF327" s="58"/>
      <c r="AG327" s="58"/>
      <c r="AH327" s="58"/>
      <c r="AI327" s="58"/>
      <c r="AJ327" s="58"/>
      <c r="AK327" s="58"/>
      <c r="AL327" s="58"/>
      <c r="AM327" s="58"/>
      <c r="AN327" s="58"/>
      <c r="AO327" s="58"/>
      <c r="AP327" s="58"/>
      <c r="AQ327" s="58"/>
      <c r="AR327" s="58"/>
      <c r="AS327" s="58"/>
    </row>
    <row r="328" spans="1:45" x14ac:dyDescent="0.25">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c r="AA328" s="58"/>
      <c r="AB328" s="58"/>
      <c r="AC328" s="58"/>
      <c r="AD328" s="58"/>
      <c r="AE328" s="58"/>
      <c r="AF328" s="58"/>
      <c r="AG328" s="58"/>
      <c r="AH328" s="58"/>
      <c r="AI328" s="58"/>
      <c r="AJ328" s="58"/>
      <c r="AK328" s="58"/>
      <c r="AL328" s="58"/>
      <c r="AM328" s="58"/>
      <c r="AN328" s="58"/>
      <c r="AO328" s="58"/>
      <c r="AP328" s="58"/>
      <c r="AQ328" s="58"/>
      <c r="AR328" s="58"/>
      <c r="AS328" s="58"/>
    </row>
    <row r="329" spans="1:45" x14ac:dyDescent="0.25">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8"/>
      <c r="AB329" s="58"/>
      <c r="AC329" s="58"/>
      <c r="AD329" s="58"/>
      <c r="AE329" s="58"/>
      <c r="AF329" s="58"/>
      <c r="AG329" s="58"/>
      <c r="AH329" s="58"/>
      <c r="AI329" s="58"/>
      <c r="AJ329" s="58"/>
      <c r="AK329" s="58"/>
      <c r="AL329" s="58"/>
      <c r="AM329" s="58"/>
      <c r="AN329" s="58"/>
      <c r="AO329" s="58"/>
      <c r="AP329" s="58"/>
      <c r="AQ329" s="58"/>
      <c r="AR329" s="58"/>
      <c r="AS329" s="58"/>
    </row>
    <row r="330" spans="1:45" x14ac:dyDescent="0.25">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c r="AA330" s="58"/>
      <c r="AB330" s="58"/>
      <c r="AC330" s="58"/>
      <c r="AD330" s="58"/>
      <c r="AE330" s="58"/>
      <c r="AF330" s="58"/>
      <c r="AG330" s="58"/>
      <c r="AH330" s="58"/>
      <c r="AI330" s="58"/>
      <c r="AJ330" s="58"/>
      <c r="AK330" s="58"/>
      <c r="AL330" s="58"/>
      <c r="AM330" s="58"/>
      <c r="AN330" s="58"/>
      <c r="AO330" s="58"/>
      <c r="AP330" s="58"/>
      <c r="AQ330" s="58"/>
      <c r="AR330" s="58"/>
      <c r="AS330" s="58"/>
    </row>
    <row r="331" spans="1:45" x14ac:dyDescent="0.25">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c r="AA331" s="58"/>
      <c r="AB331" s="58"/>
      <c r="AC331" s="58"/>
      <c r="AD331" s="58"/>
      <c r="AE331" s="58"/>
      <c r="AF331" s="58"/>
      <c r="AG331" s="58"/>
      <c r="AH331" s="58"/>
      <c r="AI331" s="58"/>
      <c r="AJ331" s="58"/>
      <c r="AK331" s="58"/>
      <c r="AL331" s="58"/>
      <c r="AM331" s="58"/>
      <c r="AN331" s="58"/>
      <c r="AO331" s="58"/>
      <c r="AP331" s="58"/>
      <c r="AQ331" s="58"/>
      <c r="AR331" s="58"/>
      <c r="AS331" s="58"/>
    </row>
    <row r="332" spans="1:45" x14ac:dyDescent="0.25">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c r="AA332" s="58"/>
      <c r="AB332" s="58"/>
      <c r="AC332" s="58"/>
      <c r="AD332" s="58"/>
      <c r="AE332" s="58"/>
      <c r="AF332" s="58"/>
      <c r="AG332" s="58"/>
      <c r="AH332" s="58"/>
      <c r="AI332" s="58"/>
      <c r="AJ332" s="58"/>
      <c r="AK332" s="58"/>
      <c r="AL332" s="58"/>
      <c r="AM332" s="58"/>
      <c r="AN332" s="58"/>
      <c r="AO332" s="58"/>
      <c r="AP332" s="58"/>
      <c r="AQ332" s="58"/>
      <c r="AR332" s="58"/>
      <c r="AS332" s="58"/>
    </row>
    <row r="333" spans="1:45" x14ac:dyDescent="0.25">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c r="AA333" s="58"/>
      <c r="AB333" s="58"/>
      <c r="AC333" s="58"/>
      <c r="AD333" s="58"/>
      <c r="AE333" s="58"/>
      <c r="AF333" s="58"/>
      <c r="AG333" s="58"/>
      <c r="AH333" s="58"/>
      <c r="AI333" s="58"/>
      <c r="AJ333" s="58"/>
      <c r="AK333" s="58"/>
      <c r="AL333" s="58"/>
      <c r="AM333" s="58"/>
      <c r="AN333" s="58"/>
      <c r="AO333" s="58"/>
      <c r="AP333" s="58"/>
      <c r="AQ333" s="58"/>
      <c r="AR333" s="58"/>
      <c r="AS333" s="58"/>
    </row>
    <row r="334" spans="1:45" x14ac:dyDescent="0.25">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c r="AA334" s="58"/>
      <c r="AB334" s="58"/>
      <c r="AC334" s="58"/>
      <c r="AD334" s="58"/>
      <c r="AE334" s="58"/>
      <c r="AF334" s="58"/>
      <c r="AG334" s="58"/>
      <c r="AH334" s="58"/>
      <c r="AI334" s="58"/>
      <c r="AJ334" s="58"/>
      <c r="AK334" s="58"/>
      <c r="AL334" s="58"/>
      <c r="AM334" s="58"/>
      <c r="AN334" s="58"/>
      <c r="AO334" s="58"/>
      <c r="AP334" s="58"/>
      <c r="AQ334" s="58"/>
      <c r="AR334" s="58"/>
      <c r="AS334" s="58"/>
    </row>
    <row r="335" spans="1:45" x14ac:dyDescent="0.25">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c r="AA335" s="58"/>
      <c r="AB335" s="58"/>
      <c r="AC335" s="58"/>
      <c r="AD335" s="58"/>
      <c r="AE335" s="58"/>
      <c r="AF335" s="58"/>
      <c r="AG335" s="58"/>
      <c r="AH335" s="58"/>
      <c r="AI335" s="58"/>
      <c r="AJ335" s="58"/>
      <c r="AK335" s="58"/>
      <c r="AL335" s="58"/>
      <c r="AM335" s="58"/>
      <c r="AN335" s="58"/>
      <c r="AO335" s="58"/>
      <c r="AP335" s="58"/>
      <c r="AQ335" s="58"/>
      <c r="AR335" s="58"/>
      <c r="AS335" s="58"/>
    </row>
    <row r="336" spans="1:45" x14ac:dyDescent="0.25">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c r="AA336" s="58"/>
      <c r="AB336" s="58"/>
      <c r="AC336" s="58"/>
      <c r="AD336" s="58"/>
      <c r="AE336" s="58"/>
      <c r="AF336" s="58"/>
      <c r="AG336" s="58"/>
      <c r="AH336" s="58"/>
      <c r="AI336" s="58"/>
      <c r="AJ336" s="58"/>
      <c r="AK336" s="58"/>
      <c r="AL336" s="58"/>
      <c r="AM336" s="58"/>
      <c r="AN336" s="58"/>
      <c r="AO336" s="58"/>
      <c r="AP336" s="58"/>
      <c r="AQ336" s="58"/>
      <c r="AR336" s="58"/>
      <c r="AS336" s="58"/>
    </row>
    <row r="337" spans="1:45" x14ac:dyDescent="0.25">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c r="AA337" s="58"/>
      <c r="AB337" s="58"/>
      <c r="AC337" s="58"/>
      <c r="AD337" s="58"/>
      <c r="AE337" s="58"/>
      <c r="AF337" s="58"/>
      <c r="AG337" s="58"/>
      <c r="AH337" s="58"/>
      <c r="AI337" s="58"/>
      <c r="AJ337" s="58"/>
      <c r="AK337" s="58"/>
      <c r="AL337" s="58"/>
      <c r="AM337" s="58"/>
      <c r="AN337" s="58"/>
      <c r="AO337" s="58"/>
      <c r="AP337" s="58"/>
      <c r="AQ337" s="58"/>
      <c r="AR337" s="58"/>
      <c r="AS337" s="58"/>
    </row>
    <row r="338" spans="1:45" x14ac:dyDescent="0.25">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c r="AA338" s="58"/>
      <c r="AB338" s="58"/>
      <c r="AC338" s="58"/>
      <c r="AD338" s="58"/>
      <c r="AE338" s="58"/>
      <c r="AF338" s="58"/>
      <c r="AG338" s="58"/>
      <c r="AH338" s="58"/>
      <c r="AI338" s="58"/>
      <c r="AJ338" s="58"/>
      <c r="AK338" s="58"/>
      <c r="AL338" s="58"/>
      <c r="AM338" s="58"/>
      <c r="AN338" s="58"/>
      <c r="AO338" s="58"/>
      <c r="AP338" s="58"/>
      <c r="AQ338" s="58"/>
      <c r="AR338" s="58"/>
      <c r="AS338" s="58"/>
    </row>
    <row r="339" spans="1:45" x14ac:dyDescent="0.25">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c r="AA339" s="58"/>
      <c r="AB339" s="58"/>
      <c r="AC339" s="58"/>
      <c r="AD339" s="58"/>
      <c r="AE339" s="58"/>
      <c r="AF339" s="58"/>
      <c r="AG339" s="58"/>
      <c r="AH339" s="58"/>
      <c r="AI339" s="58"/>
      <c r="AJ339" s="58"/>
      <c r="AK339" s="58"/>
      <c r="AL339" s="58"/>
      <c r="AM339" s="58"/>
      <c r="AN339" s="58"/>
      <c r="AO339" s="58"/>
      <c r="AP339" s="58"/>
      <c r="AQ339" s="58"/>
      <c r="AR339" s="58"/>
      <c r="AS339" s="58"/>
    </row>
    <row r="340" spans="1:45" x14ac:dyDescent="0.25">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c r="AA340" s="58"/>
      <c r="AB340" s="58"/>
      <c r="AC340" s="58"/>
      <c r="AD340" s="58"/>
      <c r="AE340" s="58"/>
      <c r="AF340" s="58"/>
      <c r="AG340" s="58"/>
      <c r="AH340" s="58"/>
      <c r="AI340" s="58"/>
      <c r="AJ340" s="58"/>
      <c r="AK340" s="58"/>
      <c r="AL340" s="58"/>
      <c r="AM340" s="58"/>
      <c r="AN340" s="58"/>
      <c r="AO340" s="58"/>
      <c r="AP340" s="58"/>
      <c r="AQ340" s="58"/>
      <c r="AR340" s="58"/>
      <c r="AS340" s="58"/>
    </row>
    <row r="341" spans="1:45" x14ac:dyDescent="0.25">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c r="AA341" s="58"/>
      <c r="AB341" s="58"/>
      <c r="AC341" s="58"/>
      <c r="AD341" s="58"/>
      <c r="AE341" s="58"/>
      <c r="AF341" s="58"/>
      <c r="AG341" s="58"/>
      <c r="AH341" s="58"/>
      <c r="AI341" s="58"/>
      <c r="AJ341" s="58"/>
      <c r="AK341" s="58"/>
      <c r="AL341" s="58"/>
      <c r="AM341" s="58"/>
      <c r="AN341" s="58"/>
      <c r="AO341" s="58"/>
      <c r="AP341" s="58"/>
      <c r="AQ341" s="58"/>
      <c r="AR341" s="58"/>
      <c r="AS341" s="58"/>
    </row>
    <row r="342" spans="1:45" x14ac:dyDescent="0.25">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c r="AA342" s="58"/>
      <c r="AB342" s="58"/>
      <c r="AC342" s="58"/>
      <c r="AD342" s="58"/>
      <c r="AE342" s="58"/>
      <c r="AF342" s="58"/>
      <c r="AG342" s="58"/>
      <c r="AH342" s="58"/>
      <c r="AI342" s="58"/>
      <c r="AJ342" s="58"/>
      <c r="AK342" s="58"/>
      <c r="AL342" s="58"/>
      <c r="AM342" s="58"/>
      <c r="AN342" s="58"/>
      <c r="AO342" s="58"/>
      <c r="AP342" s="58"/>
      <c r="AQ342" s="58"/>
      <c r="AR342" s="58"/>
      <c r="AS342" s="58"/>
    </row>
    <row r="343" spans="1:45" x14ac:dyDescent="0.25">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c r="AA343" s="58"/>
      <c r="AB343" s="58"/>
      <c r="AC343" s="58"/>
      <c r="AD343" s="58"/>
      <c r="AE343" s="58"/>
      <c r="AF343" s="58"/>
      <c r="AG343" s="58"/>
      <c r="AH343" s="58"/>
      <c r="AI343" s="58"/>
      <c r="AJ343" s="58"/>
      <c r="AK343" s="58"/>
      <c r="AL343" s="58"/>
      <c r="AM343" s="58"/>
      <c r="AN343" s="58"/>
      <c r="AO343" s="58"/>
      <c r="AP343" s="58"/>
      <c r="AQ343" s="58"/>
      <c r="AR343" s="58"/>
      <c r="AS343" s="58"/>
    </row>
    <row r="344" spans="1:45" x14ac:dyDescent="0.25">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c r="AB344" s="58"/>
      <c r="AC344" s="58"/>
      <c r="AD344" s="58"/>
      <c r="AE344" s="58"/>
      <c r="AF344" s="58"/>
      <c r="AG344" s="58"/>
      <c r="AH344" s="58"/>
      <c r="AI344" s="58"/>
      <c r="AJ344" s="58"/>
      <c r="AK344" s="58"/>
      <c r="AL344" s="58"/>
      <c r="AM344" s="58"/>
      <c r="AN344" s="58"/>
      <c r="AO344" s="58"/>
      <c r="AP344" s="58"/>
      <c r="AQ344" s="58"/>
      <c r="AR344" s="58"/>
      <c r="AS344" s="58"/>
    </row>
    <row r="345" spans="1:45" x14ac:dyDescent="0.25">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c r="AB345" s="58"/>
      <c r="AC345" s="58"/>
      <c r="AD345" s="58"/>
      <c r="AE345" s="58"/>
      <c r="AF345" s="58"/>
      <c r="AG345" s="58"/>
      <c r="AH345" s="58"/>
      <c r="AI345" s="58"/>
      <c r="AJ345" s="58"/>
      <c r="AK345" s="58"/>
      <c r="AL345" s="58"/>
      <c r="AM345" s="58"/>
      <c r="AN345" s="58"/>
      <c r="AO345" s="58"/>
      <c r="AP345" s="58"/>
      <c r="AQ345" s="58"/>
      <c r="AR345" s="58"/>
      <c r="AS345" s="58"/>
    </row>
    <row r="346" spans="1:45" x14ac:dyDescent="0.25">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c r="AB346" s="58"/>
      <c r="AC346" s="58"/>
      <c r="AD346" s="58"/>
      <c r="AE346" s="58"/>
      <c r="AF346" s="58"/>
      <c r="AG346" s="58"/>
      <c r="AH346" s="58"/>
      <c r="AI346" s="58"/>
      <c r="AJ346" s="58"/>
      <c r="AK346" s="58"/>
      <c r="AL346" s="58"/>
      <c r="AM346" s="58"/>
      <c r="AN346" s="58"/>
      <c r="AO346" s="58"/>
      <c r="AP346" s="58"/>
      <c r="AQ346" s="58"/>
      <c r="AR346" s="58"/>
      <c r="AS346" s="58"/>
    </row>
    <row r="347" spans="1:45" x14ac:dyDescent="0.25">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c r="AA347" s="58"/>
      <c r="AB347" s="58"/>
      <c r="AC347" s="58"/>
      <c r="AD347" s="58"/>
      <c r="AE347" s="58"/>
      <c r="AF347" s="58"/>
      <c r="AG347" s="58"/>
      <c r="AH347" s="58"/>
      <c r="AI347" s="58"/>
      <c r="AJ347" s="58"/>
      <c r="AK347" s="58"/>
      <c r="AL347" s="58"/>
      <c r="AM347" s="58"/>
      <c r="AN347" s="58"/>
      <c r="AO347" s="58"/>
      <c r="AP347" s="58"/>
      <c r="AQ347" s="58"/>
      <c r="AR347" s="58"/>
      <c r="AS347" s="58"/>
    </row>
    <row r="348" spans="1:45" x14ac:dyDescent="0.25">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c r="AA348" s="58"/>
      <c r="AB348" s="58"/>
      <c r="AC348" s="58"/>
      <c r="AD348" s="58"/>
      <c r="AE348" s="58"/>
      <c r="AF348" s="58"/>
      <c r="AG348" s="58"/>
      <c r="AH348" s="58"/>
      <c r="AI348" s="58"/>
      <c r="AJ348" s="58"/>
      <c r="AK348" s="58"/>
      <c r="AL348" s="58"/>
      <c r="AM348" s="58"/>
      <c r="AN348" s="58"/>
      <c r="AO348" s="58"/>
      <c r="AP348" s="58"/>
      <c r="AQ348" s="58"/>
      <c r="AR348" s="58"/>
      <c r="AS348" s="58"/>
    </row>
    <row r="349" spans="1:45" x14ac:dyDescent="0.25">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c r="AA349" s="58"/>
      <c r="AB349" s="58"/>
      <c r="AC349" s="58"/>
      <c r="AD349" s="58"/>
      <c r="AE349" s="58"/>
      <c r="AF349" s="58"/>
      <c r="AG349" s="58"/>
      <c r="AH349" s="58"/>
      <c r="AI349" s="58"/>
      <c r="AJ349" s="58"/>
      <c r="AK349" s="58"/>
      <c r="AL349" s="58"/>
      <c r="AM349" s="58"/>
      <c r="AN349" s="58"/>
      <c r="AO349" s="58"/>
      <c r="AP349" s="58"/>
      <c r="AQ349" s="58"/>
      <c r="AR349" s="58"/>
      <c r="AS349" s="58"/>
    </row>
    <row r="350" spans="1:45" x14ac:dyDescent="0.25">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c r="AB350" s="58"/>
      <c r="AC350" s="58"/>
      <c r="AD350" s="58"/>
      <c r="AE350" s="58"/>
      <c r="AF350" s="58"/>
      <c r="AG350" s="58"/>
      <c r="AH350" s="58"/>
      <c r="AI350" s="58"/>
      <c r="AJ350" s="58"/>
      <c r="AK350" s="58"/>
      <c r="AL350" s="58"/>
      <c r="AM350" s="58"/>
      <c r="AN350" s="58"/>
      <c r="AO350" s="58"/>
      <c r="AP350" s="58"/>
      <c r="AQ350" s="58"/>
      <c r="AR350" s="58"/>
      <c r="AS350" s="58"/>
    </row>
    <row r="351" spans="1:45" x14ac:dyDescent="0.25">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c r="AA351" s="58"/>
      <c r="AB351" s="58"/>
      <c r="AC351" s="58"/>
      <c r="AD351" s="58"/>
      <c r="AE351" s="58"/>
      <c r="AF351" s="58"/>
      <c r="AG351" s="58"/>
      <c r="AH351" s="58"/>
      <c r="AI351" s="58"/>
      <c r="AJ351" s="58"/>
      <c r="AK351" s="58"/>
      <c r="AL351" s="58"/>
      <c r="AM351" s="58"/>
      <c r="AN351" s="58"/>
      <c r="AO351" s="58"/>
      <c r="AP351" s="58"/>
      <c r="AQ351" s="58"/>
      <c r="AR351" s="58"/>
      <c r="AS351" s="58"/>
    </row>
    <row r="352" spans="1:45" x14ac:dyDescent="0.25">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c r="AA352" s="58"/>
      <c r="AB352" s="58"/>
      <c r="AC352" s="58"/>
      <c r="AD352" s="58"/>
      <c r="AE352" s="58"/>
      <c r="AF352" s="58"/>
      <c r="AG352" s="58"/>
      <c r="AH352" s="58"/>
      <c r="AI352" s="58"/>
      <c r="AJ352" s="58"/>
      <c r="AK352" s="58"/>
      <c r="AL352" s="58"/>
      <c r="AM352" s="58"/>
      <c r="AN352" s="58"/>
      <c r="AO352" s="58"/>
      <c r="AP352" s="58"/>
      <c r="AQ352" s="58"/>
      <c r="AR352" s="58"/>
      <c r="AS352" s="58"/>
    </row>
    <row r="353" spans="1:45" x14ac:dyDescent="0.25">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c r="AA353" s="58"/>
      <c r="AB353" s="58"/>
      <c r="AC353" s="58"/>
      <c r="AD353" s="58"/>
      <c r="AE353" s="58"/>
      <c r="AF353" s="58"/>
      <c r="AG353" s="58"/>
      <c r="AH353" s="58"/>
      <c r="AI353" s="58"/>
      <c r="AJ353" s="58"/>
      <c r="AK353" s="58"/>
      <c r="AL353" s="58"/>
      <c r="AM353" s="58"/>
      <c r="AN353" s="58"/>
      <c r="AO353" s="58"/>
      <c r="AP353" s="58"/>
      <c r="AQ353" s="58"/>
      <c r="AR353" s="58"/>
      <c r="AS353" s="58"/>
    </row>
    <row r="354" spans="1:45" x14ac:dyDescent="0.25">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c r="AA354" s="58"/>
      <c r="AB354" s="58"/>
      <c r="AC354" s="58"/>
      <c r="AD354" s="58"/>
      <c r="AE354" s="58"/>
      <c r="AF354" s="58"/>
      <c r="AG354" s="58"/>
      <c r="AH354" s="58"/>
      <c r="AI354" s="58"/>
      <c r="AJ354" s="58"/>
      <c r="AK354" s="58"/>
      <c r="AL354" s="58"/>
      <c r="AM354" s="58"/>
      <c r="AN354" s="58"/>
      <c r="AO354" s="58"/>
      <c r="AP354" s="58"/>
      <c r="AQ354" s="58"/>
      <c r="AR354" s="58"/>
      <c r="AS354" s="58"/>
    </row>
    <row r="355" spans="1:45" x14ac:dyDescent="0.25">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c r="AA355" s="58"/>
      <c r="AB355" s="58"/>
      <c r="AC355" s="58"/>
      <c r="AD355" s="58"/>
      <c r="AE355" s="58"/>
      <c r="AF355" s="58"/>
      <c r="AG355" s="58"/>
      <c r="AH355" s="58"/>
      <c r="AI355" s="58"/>
      <c r="AJ355" s="58"/>
      <c r="AK355" s="58"/>
      <c r="AL355" s="58"/>
      <c r="AM355" s="58"/>
      <c r="AN355" s="58"/>
      <c r="AO355" s="58"/>
      <c r="AP355" s="58"/>
      <c r="AQ355" s="58"/>
      <c r="AR355" s="58"/>
      <c r="AS355" s="58"/>
    </row>
    <row r="356" spans="1:45" x14ac:dyDescent="0.25">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c r="AO356" s="58"/>
      <c r="AP356" s="58"/>
      <c r="AQ356" s="58"/>
      <c r="AR356" s="58"/>
      <c r="AS356" s="58"/>
    </row>
    <row r="357" spans="1:45" x14ac:dyDescent="0.25">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c r="AA357" s="58"/>
      <c r="AB357" s="58"/>
      <c r="AC357" s="58"/>
      <c r="AD357" s="58"/>
      <c r="AE357" s="58"/>
      <c r="AF357" s="58"/>
      <c r="AG357" s="58"/>
      <c r="AH357" s="58"/>
      <c r="AI357" s="58"/>
      <c r="AJ357" s="58"/>
      <c r="AK357" s="58"/>
      <c r="AL357" s="58"/>
      <c r="AM357" s="58"/>
      <c r="AN357" s="58"/>
      <c r="AO357" s="58"/>
      <c r="AP357" s="58"/>
      <c r="AQ357" s="58"/>
      <c r="AR357" s="58"/>
      <c r="AS357" s="58"/>
    </row>
    <row r="358" spans="1:45" x14ac:dyDescent="0.25">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c r="AB358" s="58"/>
      <c r="AC358" s="58"/>
      <c r="AD358" s="58"/>
      <c r="AE358" s="58"/>
      <c r="AF358" s="58"/>
      <c r="AG358" s="58"/>
      <c r="AH358" s="58"/>
      <c r="AI358" s="58"/>
      <c r="AJ358" s="58"/>
      <c r="AK358" s="58"/>
      <c r="AL358" s="58"/>
      <c r="AM358" s="58"/>
      <c r="AN358" s="58"/>
      <c r="AO358" s="58"/>
      <c r="AP358" s="58"/>
      <c r="AQ358" s="58"/>
      <c r="AR358" s="58"/>
      <c r="AS358" s="58"/>
    </row>
    <row r="359" spans="1:45" x14ac:dyDescent="0.25">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c r="AA359" s="58"/>
      <c r="AB359" s="58"/>
      <c r="AC359" s="58"/>
      <c r="AD359" s="58"/>
      <c r="AE359" s="58"/>
      <c r="AF359" s="58"/>
      <c r="AG359" s="58"/>
      <c r="AH359" s="58"/>
      <c r="AI359" s="58"/>
      <c r="AJ359" s="58"/>
      <c r="AK359" s="58"/>
      <c r="AL359" s="58"/>
      <c r="AM359" s="58"/>
      <c r="AN359" s="58"/>
      <c r="AO359" s="58"/>
      <c r="AP359" s="58"/>
      <c r="AQ359" s="58"/>
      <c r="AR359" s="58"/>
      <c r="AS359" s="58"/>
    </row>
    <row r="360" spans="1:45" x14ac:dyDescent="0.25">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c r="AA360" s="58"/>
      <c r="AB360" s="58"/>
      <c r="AC360" s="58"/>
      <c r="AD360" s="58"/>
      <c r="AE360" s="58"/>
      <c r="AF360" s="58"/>
      <c r="AG360" s="58"/>
      <c r="AH360" s="58"/>
      <c r="AI360" s="58"/>
      <c r="AJ360" s="58"/>
      <c r="AK360" s="58"/>
      <c r="AL360" s="58"/>
      <c r="AM360" s="58"/>
      <c r="AN360" s="58"/>
      <c r="AO360" s="58"/>
      <c r="AP360" s="58"/>
      <c r="AQ360" s="58"/>
      <c r="AR360" s="58"/>
      <c r="AS360" s="58"/>
    </row>
    <row r="361" spans="1:45" x14ac:dyDescent="0.25">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c r="AA361" s="58"/>
      <c r="AB361" s="58"/>
      <c r="AC361" s="58"/>
      <c r="AD361" s="58"/>
      <c r="AE361" s="58"/>
      <c r="AF361" s="58"/>
      <c r="AG361" s="58"/>
      <c r="AH361" s="58"/>
      <c r="AI361" s="58"/>
      <c r="AJ361" s="58"/>
      <c r="AK361" s="58"/>
      <c r="AL361" s="58"/>
      <c r="AM361" s="58"/>
      <c r="AN361" s="58"/>
      <c r="AO361" s="58"/>
      <c r="AP361" s="58"/>
      <c r="AQ361" s="58"/>
      <c r="AR361" s="58"/>
      <c r="AS361" s="58"/>
    </row>
    <row r="362" spans="1:45" x14ac:dyDescent="0.25">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c r="AA362" s="58"/>
      <c r="AB362" s="58"/>
      <c r="AC362" s="58"/>
      <c r="AD362" s="58"/>
      <c r="AE362" s="58"/>
      <c r="AF362" s="58"/>
      <c r="AG362" s="58"/>
      <c r="AH362" s="58"/>
      <c r="AI362" s="58"/>
      <c r="AJ362" s="58"/>
      <c r="AK362" s="58"/>
      <c r="AL362" s="58"/>
      <c r="AM362" s="58"/>
      <c r="AN362" s="58"/>
      <c r="AO362" s="58"/>
      <c r="AP362" s="58"/>
      <c r="AQ362" s="58"/>
      <c r="AR362" s="58"/>
      <c r="AS362" s="58"/>
    </row>
    <row r="363" spans="1:45" x14ac:dyDescent="0.25">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c r="AA363" s="58"/>
      <c r="AB363" s="58"/>
      <c r="AC363" s="58"/>
      <c r="AD363" s="58"/>
      <c r="AE363" s="58"/>
      <c r="AF363" s="58"/>
      <c r="AG363" s="58"/>
      <c r="AH363" s="58"/>
      <c r="AI363" s="58"/>
      <c r="AJ363" s="58"/>
      <c r="AK363" s="58"/>
      <c r="AL363" s="58"/>
      <c r="AM363" s="58"/>
      <c r="AN363" s="58"/>
      <c r="AO363" s="58"/>
      <c r="AP363" s="58"/>
      <c r="AQ363" s="58"/>
      <c r="AR363" s="58"/>
      <c r="AS363" s="58"/>
    </row>
    <row r="364" spans="1:45" x14ac:dyDescent="0.25">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c r="AA364" s="58"/>
      <c r="AB364" s="58"/>
      <c r="AC364" s="58"/>
      <c r="AD364" s="58"/>
      <c r="AE364" s="58"/>
      <c r="AF364" s="58"/>
      <c r="AG364" s="58"/>
      <c r="AH364" s="58"/>
      <c r="AI364" s="58"/>
      <c r="AJ364" s="58"/>
      <c r="AK364" s="58"/>
      <c r="AL364" s="58"/>
      <c r="AM364" s="58"/>
      <c r="AN364" s="58"/>
      <c r="AO364" s="58"/>
      <c r="AP364" s="58"/>
      <c r="AQ364" s="58"/>
      <c r="AR364" s="58"/>
      <c r="AS364" s="58"/>
    </row>
    <row r="365" spans="1:45" x14ac:dyDescent="0.25">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c r="AA365" s="58"/>
      <c r="AB365" s="58"/>
      <c r="AC365" s="58"/>
      <c r="AD365" s="58"/>
      <c r="AE365" s="58"/>
      <c r="AF365" s="58"/>
      <c r="AG365" s="58"/>
      <c r="AH365" s="58"/>
      <c r="AI365" s="58"/>
      <c r="AJ365" s="58"/>
      <c r="AK365" s="58"/>
      <c r="AL365" s="58"/>
      <c r="AM365" s="58"/>
      <c r="AN365" s="58"/>
      <c r="AO365" s="58"/>
      <c r="AP365" s="58"/>
      <c r="AQ365" s="58"/>
      <c r="AR365" s="58"/>
      <c r="AS365" s="58"/>
    </row>
    <row r="366" spans="1:45" x14ac:dyDescent="0.25">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58"/>
      <c r="AH366" s="58"/>
      <c r="AI366" s="58"/>
      <c r="AJ366" s="58"/>
      <c r="AK366" s="58"/>
      <c r="AL366" s="58"/>
      <c r="AM366" s="58"/>
      <c r="AN366" s="58"/>
      <c r="AO366" s="58"/>
      <c r="AP366" s="58"/>
      <c r="AQ366" s="58"/>
      <c r="AR366" s="58"/>
      <c r="AS366" s="58"/>
    </row>
    <row r="367" spans="1:45" x14ac:dyDescent="0.25">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c r="AB367" s="58"/>
      <c r="AC367" s="58"/>
      <c r="AD367" s="58"/>
      <c r="AE367" s="58"/>
      <c r="AF367" s="58"/>
      <c r="AG367" s="58"/>
      <c r="AH367" s="58"/>
      <c r="AI367" s="58"/>
      <c r="AJ367" s="58"/>
      <c r="AK367" s="58"/>
      <c r="AL367" s="58"/>
      <c r="AM367" s="58"/>
      <c r="AN367" s="58"/>
      <c r="AO367" s="58"/>
      <c r="AP367" s="58"/>
      <c r="AQ367" s="58"/>
      <c r="AR367" s="58"/>
      <c r="AS367" s="58"/>
    </row>
    <row r="368" spans="1:45" x14ac:dyDescent="0.25">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c r="AA368" s="58"/>
      <c r="AB368" s="58"/>
      <c r="AC368" s="58"/>
      <c r="AD368" s="58"/>
      <c r="AE368" s="58"/>
      <c r="AF368" s="58"/>
      <c r="AG368" s="58"/>
      <c r="AH368" s="58"/>
      <c r="AI368" s="58"/>
      <c r="AJ368" s="58"/>
      <c r="AK368" s="58"/>
      <c r="AL368" s="58"/>
      <c r="AM368" s="58"/>
      <c r="AN368" s="58"/>
      <c r="AO368" s="58"/>
      <c r="AP368" s="58"/>
      <c r="AQ368" s="58"/>
      <c r="AR368" s="58"/>
      <c r="AS368" s="58"/>
    </row>
    <row r="369" spans="1:45" x14ac:dyDescent="0.25">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c r="AA369" s="58"/>
      <c r="AB369" s="58"/>
      <c r="AC369" s="58"/>
      <c r="AD369" s="58"/>
      <c r="AE369" s="58"/>
      <c r="AF369" s="58"/>
      <c r="AG369" s="58"/>
      <c r="AH369" s="58"/>
      <c r="AI369" s="58"/>
      <c r="AJ369" s="58"/>
      <c r="AK369" s="58"/>
      <c r="AL369" s="58"/>
      <c r="AM369" s="58"/>
      <c r="AN369" s="58"/>
      <c r="AO369" s="58"/>
      <c r="AP369" s="58"/>
      <c r="AQ369" s="58"/>
      <c r="AR369" s="58"/>
      <c r="AS369" s="58"/>
    </row>
    <row r="370" spans="1:45" x14ac:dyDescent="0.25">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c r="AA370" s="58"/>
      <c r="AB370" s="58"/>
      <c r="AC370" s="58"/>
      <c r="AD370" s="58"/>
      <c r="AE370" s="58"/>
      <c r="AF370" s="58"/>
      <c r="AG370" s="58"/>
      <c r="AH370" s="58"/>
      <c r="AI370" s="58"/>
      <c r="AJ370" s="58"/>
      <c r="AK370" s="58"/>
      <c r="AL370" s="58"/>
      <c r="AM370" s="58"/>
      <c r="AN370" s="58"/>
      <c r="AO370" s="58"/>
      <c r="AP370" s="58"/>
      <c r="AQ370" s="58"/>
      <c r="AR370" s="58"/>
      <c r="AS370" s="58"/>
    </row>
    <row r="371" spans="1:45" x14ac:dyDescent="0.25">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c r="AA371" s="58"/>
      <c r="AB371" s="58"/>
      <c r="AC371" s="58"/>
      <c r="AD371" s="58"/>
      <c r="AE371" s="58"/>
      <c r="AF371" s="58"/>
      <c r="AG371" s="58"/>
      <c r="AH371" s="58"/>
      <c r="AI371" s="58"/>
      <c r="AJ371" s="58"/>
      <c r="AK371" s="58"/>
      <c r="AL371" s="58"/>
      <c r="AM371" s="58"/>
      <c r="AN371" s="58"/>
      <c r="AO371" s="58"/>
      <c r="AP371" s="58"/>
      <c r="AQ371" s="58"/>
      <c r="AR371" s="58"/>
      <c r="AS371" s="58"/>
    </row>
    <row r="372" spans="1:45" x14ac:dyDescent="0.25">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c r="AB372" s="58"/>
      <c r="AC372" s="58"/>
      <c r="AD372" s="58"/>
      <c r="AE372" s="58"/>
      <c r="AF372" s="58"/>
      <c r="AG372" s="58"/>
      <c r="AH372" s="58"/>
      <c r="AI372" s="58"/>
      <c r="AJ372" s="58"/>
      <c r="AK372" s="58"/>
      <c r="AL372" s="58"/>
      <c r="AM372" s="58"/>
      <c r="AN372" s="58"/>
      <c r="AO372" s="58"/>
      <c r="AP372" s="58"/>
      <c r="AQ372" s="58"/>
      <c r="AR372" s="58"/>
      <c r="AS372" s="58"/>
    </row>
    <row r="373" spans="1:45" x14ac:dyDescent="0.25">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c r="AA373" s="58"/>
      <c r="AB373" s="58"/>
      <c r="AC373" s="58"/>
      <c r="AD373" s="58"/>
      <c r="AE373" s="58"/>
      <c r="AF373" s="58"/>
      <c r="AG373" s="58"/>
      <c r="AH373" s="58"/>
      <c r="AI373" s="58"/>
      <c r="AJ373" s="58"/>
      <c r="AK373" s="58"/>
      <c r="AL373" s="58"/>
      <c r="AM373" s="58"/>
      <c r="AN373" s="58"/>
      <c r="AO373" s="58"/>
      <c r="AP373" s="58"/>
      <c r="AQ373" s="58"/>
      <c r="AR373" s="58"/>
      <c r="AS373" s="58"/>
    </row>
    <row r="374" spans="1:45" x14ac:dyDescent="0.25">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c r="AA374" s="58"/>
      <c r="AB374" s="58"/>
      <c r="AC374" s="58"/>
      <c r="AD374" s="58"/>
      <c r="AE374" s="58"/>
      <c r="AF374" s="58"/>
      <c r="AG374" s="58"/>
      <c r="AH374" s="58"/>
      <c r="AI374" s="58"/>
      <c r="AJ374" s="58"/>
      <c r="AK374" s="58"/>
      <c r="AL374" s="58"/>
      <c r="AM374" s="58"/>
      <c r="AN374" s="58"/>
      <c r="AO374" s="58"/>
      <c r="AP374" s="58"/>
      <c r="AQ374" s="58"/>
      <c r="AR374" s="58"/>
      <c r="AS374" s="58"/>
    </row>
    <row r="375" spans="1:45" x14ac:dyDescent="0.25">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c r="AA375" s="58"/>
      <c r="AB375" s="58"/>
      <c r="AC375" s="58"/>
      <c r="AD375" s="58"/>
      <c r="AE375" s="58"/>
      <c r="AF375" s="58"/>
      <c r="AG375" s="58"/>
      <c r="AH375" s="58"/>
      <c r="AI375" s="58"/>
      <c r="AJ375" s="58"/>
      <c r="AK375" s="58"/>
      <c r="AL375" s="58"/>
      <c r="AM375" s="58"/>
      <c r="AN375" s="58"/>
      <c r="AO375" s="58"/>
      <c r="AP375" s="58"/>
      <c r="AQ375" s="58"/>
      <c r="AR375" s="58"/>
      <c r="AS375" s="58"/>
    </row>
    <row r="376" spans="1:45" x14ac:dyDescent="0.25">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c r="AB376" s="58"/>
      <c r="AC376" s="58"/>
      <c r="AD376" s="58"/>
      <c r="AE376" s="58"/>
      <c r="AF376" s="58"/>
      <c r="AG376" s="58"/>
      <c r="AH376" s="58"/>
      <c r="AI376" s="58"/>
      <c r="AJ376" s="58"/>
      <c r="AK376" s="58"/>
      <c r="AL376" s="58"/>
      <c r="AM376" s="58"/>
      <c r="AN376" s="58"/>
      <c r="AO376" s="58"/>
      <c r="AP376" s="58"/>
      <c r="AQ376" s="58"/>
      <c r="AR376" s="58"/>
      <c r="AS376" s="58"/>
    </row>
    <row r="377" spans="1:45" x14ac:dyDescent="0.25">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c r="AA377" s="58"/>
      <c r="AB377" s="58"/>
      <c r="AC377" s="58"/>
      <c r="AD377" s="58"/>
      <c r="AE377" s="58"/>
      <c r="AF377" s="58"/>
      <c r="AG377" s="58"/>
      <c r="AH377" s="58"/>
      <c r="AI377" s="58"/>
      <c r="AJ377" s="58"/>
      <c r="AK377" s="58"/>
      <c r="AL377" s="58"/>
      <c r="AM377" s="58"/>
      <c r="AN377" s="58"/>
      <c r="AO377" s="58"/>
      <c r="AP377" s="58"/>
      <c r="AQ377" s="58"/>
      <c r="AR377" s="58"/>
      <c r="AS377" s="58"/>
    </row>
    <row r="378" spans="1:45" x14ac:dyDescent="0.25">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c r="AA378" s="58"/>
      <c r="AB378" s="58"/>
      <c r="AC378" s="58"/>
      <c r="AD378" s="58"/>
      <c r="AE378" s="58"/>
      <c r="AF378" s="58"/>
      <c r="AG378" s="58"/>
      <c r="AH378" s="58"/>
      <c r="AI378" s="58"/>
      <c r="AJ378" s="58"/>
      <c r="AK378" s="58"/>
      <c r="AL378" s="58"/>
      <c r="AM378" s="58"/>
      <c r="AN378" s="58"/>
      <c r="AO378" s="58"/>
      <c r="AP378" s="58"/>
      <c r="AQ378" s="58"/>
      <c r="AR378" s="58"/>
      <c r="AS378" s="58"/>
    </row>
    <row r="379" spans="1:45" x14ac:dyDescent="0.25">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c r="AA379" s="58"/>
      <c r="AB379" s="58"/>
      <c r="AC379" s="58"/>
      <c r="AD379" s="58"/>
      <c r="AE379" s="58"/>
      <c r="AF379" s="58"/>
      <c r="AG379" s="58"/>
      <c r="AH379" s="58"/>
      <c r="AI379" s="58"/>
      <c r="AJ379" s="58"/>
      <c r="AK379" s="58"/>
      <c r="AL379" s="58"/>
      <c r="AM379" s="58"/>
      <c r="AN379" s="58"/>
      <c r="AO379" s="58"/>
      <c r="AP379" s="58"/>
      <c r="AQ379" s="58"/>
      <c r="AR379" s="58"/>
      <c r="AS379" s="58"/>
    </row>
    <row r="380" spans="1:45" x14ac:dyDescent="0.25">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c r="AA380" s="58"/>
      <c r="AB380" s="58"/>
      <c r="AC380" s="58"/>
      <c r="AD380" s="58"/>
      <c r="AE380" s="58"/>
      <c r="AF380" s="58"/>
      <c r="AG380" s="58"/>
      <c r="AH380" s="58"/>
      <c r="AI380" s="58"/>
      <c r="AJ380" s="58"/>
      <c r="AK380" s="58"/>
      <c r="AL380" s="58"/>
      <c r="AM380" s="58"/>
      <c r="AN380" s="58"/>
      <c r="AO380" s="58"/>
      <c r="AP380" s="58"/>
      <c r="AQ380" s="58"/>
      <c r="AR380" s="58"/>
      <c r="AS380" s="58"/>
    </row>
    <row r="381" spans="1:45" x14ac:dyDescent="0.25">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c r="AA381" s="58"/>
      <c r="AB381" s="58"/>
      <c r="AC381" s="58"/>
      <c r="AD381" s="58"/>
      <c r="AE381" s="58"/>
      <c r="AF381" s="58"/>
      <c r="AG381" s="58"/>
      <c r="AH381" s="58"/>
      <c r="AI381" s="58"/>
      <c r="AJ381" s="58"/>
      <c r="AK381" s="58"/>
      <c r="AL381" s="58"/>
      <c r="AM381" s="58"/>
      <c r="AN381" s="58"/>
      <c r="AO381" s="58"/>
      <c r="AP381" s="58"/>
      <c r="AQ381" s="58"/>
      <c r="AR381" s="58"/>
      <c r="AS381" s="58"/>
    </row>
    <row r="382" spans="1:45" x14ac:dyDescent="0.25">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c r="AA382" s="58"/>
      <c r="AB382" s="58"/>
      <c r="AC382" s="58"/>
      <c r="AD382" s="58"/>
      <c r="AE382" s="58"/>
      <c r="AF382" s="58"/>
      <c r="AG382" s="58"/>
      <c r="AH382" s="58"/>
      <c r="AI382" s="58"/>
      <c r="AJ382" s="58"/>
      <c r="AK382" s="58"/>
      <c r="AL382" s="58"/>
      <c r="AM382" s="58"/>
      <c r="AN382" s="58"/>
      <c r="AO382" s="58"/>
      <c r="AP382" s="58"/>
      <c r="AQ382" s="58"/>
      <c r="AR382" s="58"/>
      <c r="AS382" s="58"/>
    </row>
    <row r="383" spans="1:45" x14ac:dyDescent="0.25">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c r="AA383" s="58"/>
      <c r="AB383" s="58"/>
      <c r="AC383" s="58"/>
      <c r="AD383" s="58"/>
      <c r="AE383" s="58"/>
      <c r="AF383" s="58"/>
      <c r="AG383" s="58"/>
      <c r="AH383" s="58"/>
      <c r="AI383" s="58"/>
      <c r="AJ383" s="58"/>
      <c r="AK383" s="58"/>
      <c r="AL383" s="58"/>
      <c r="AM383" s="58"/>
      <c r="AN383" s="58"/>
      <c r="AO383" s="58"/>
      <c r="AP383" s="58"/>
      <c r="AQ383" s="58"/>
      <c r="AR383" s="58"/>
      <c r="AS383" s="58"/>
    </row>
    <row r="384" spans="1:45" x14ac:dyDescent="0.25">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c r="AA384" s="58"/>
      <c r="AB384" s="58"/>
      <c r="AC384" s="58"/>
      <c r="AD384" s="58"/>
      <c r="AE384" s="58"/>
      <c r="AF384" s="58"/>
      <c r="AG384" s="58"/>
      <c r="AH384" s="58"/>
      <c r="AI384" s="58"/>
      <c r="AJ384" s="58"/>
      <c r="AK384" s="58"/>
      <c r="AL384" s="58"/>
      <c r="AM384" s="58"/>
      <c r="AN384" s="58"/>
      <c r="AO384" s="58"/>
      <c r="AP384" s="58"/>
      <c r="AQ384" s="58"/>
      <c r="AR384" s="58"/>
      <c r="AS384" s="58"/>
    </row>
    <row r="385" spans="1:45" x14ac:dyDescent="0.25">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c r="AA385" s="58"/>
      <c r="AB385" s="58"/>
      <c r="AC385" s="58"/>
      <c r="AD385" s="58"/>
      <c r="AE385" s="58"/>
      <c r="AF385" s="58"/>
      <c r="AG385" s="58"/>
      <c r="AH385" s="58"/>
      <c r="AI385" s="58"/>
      <c r="AJ385" s="58"/>
      <c r="AK385" s="58"/>
      <c r="AL385" s="58"/>
      <c r="AM385" s="58"/>
      <c r="AN385" s="58"/>
      <c r="AO385" s="58"/>
      <c r="AP385" s="58"/>
      <c r="AQ385" s="58"/>
      <c r="AR385" s="58"/>
      <c r="AS385" s="58"/>
    </row>
    <row r="386" spans="1:45" x14ac:dyDescent="0.25">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c r="AA386" s="58"/>
      <c r="AB386" s="58"/>
      <c r="AC386" s="58"/>
      <c r="AD386" s="58"/>
      <c r="AE386" s="58"/>
      <c r="AF386" s="58"/>
      <c r="AG386" s="58"/>
      <c r="AH386" s="58"/>
      <c r="AI386" s="58"/>
      <c r="AJ386" s="58"/>
      <c r="AK386" s="58"/>
      <c r="AL386" s="58"/>
      <c r="AM386" s="58"/>
      <c r="AN386" s="58"/>
      <c r="AO386" s="58"/>
      <c r="AP386" s="58"/>
      <c r="AQ386" s="58"/>
      <c r="AR386" s="58"/>
      <c r="AS386" s="58"/>
    </row>
    <row r="387" spans="1:45" x14ac:dyDescent="0.25">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c r="AA387" s="58"/>
      <c r="AB387" s="58"/>
      <c r="AC387" s="58"/>
      <c r="AD387" s="58"/>
      <c r="AE387" s="58"/>
      <c r="AF387" s="58"/>
      <c r="AG387" s="58"/>
      <c r="AH387" s="58"/>
      <c r="AI387" s="58"/>
      <c r="AJ387" s="58"/>
      <c r="AK387" s="58"/>
      <c r="AL387" s="58"/>
      <c r="AM387" s="58"/>
      <c r="AN387" s="58"/>
      <c r="AO387" s="58"/>
      <c r="AP387" s="58"/>
      <c r="AQ387" s="58"/>
      <c r="AR387" s="58"/>
      <c r="AS387" s="58"/>
    </row>
    <row r="388" spans="1:45" x14ac:dyDescent="0.25">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c r="AA388" s="58"/>
      <c r="AB388" s="58"/>
      <c r="AC388" s="58"/>
      <c r="AD388" s="58"/>
      <c r="AE388" s="58"/>
      <c r="AF388" s="58"/>
      <c r="AG388" s="58"/>
      <c r="AH388" s="58"/>
      <c r="AI388" s="58"/>
      <c r="AJ388" s="58"/>
      <c r="AK388" s="58"/>
      <c r="AL388" s="58"/>
      <c r="AM388" s="58"/>
      <c r="AN388" s="58"/>
      <c r="AO388" s="58"/>
      <c r="AP388" s="58"/>
      <c r="AQ388" s="58"/>
      <c r="AR388" s="58"/>
      <c r="AS388" s="58"/>
    </row>
    <row r="389" spans="1:45" x14ac:dyDescent="0.25">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c r="AA389" s="58"/>
      <c r="AB389" s="58"/>
      <c r="AC389" s="58"/>
      <c r="AD389" s="58"/>
      <c r="AE389" s="58"/>
      <c r="AF389" s="58"/>
      <c r="AG389" s="58"/>
      <c r="AH389" s="58"/>
      <c r="AI389" s="58"/>
      <c r="AJ389" s="58"/>
      <c r="AK389" s="58"/>
      <c r="AL389" s="58"/>
      <c r="AM389" s="58"/>
      <c r="AN389" s="58"/>
      <c r="AO389" s="58"/>
      <c r="AP389" s="58"/>
      <c r="AQ389" s="58"/>
      <c r="AR389" s="58"/>
      <c r="AS389" s="58"/>
    </row>
    <row r="390" spans="1:45" x14ac:dyDescent="0.25">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c r="AA390" s="58"/>
      <c r="AB390" s="58"/>
      <c r="AC390" s="58"/>
      <c r="AD390" s="58"/>
      <c r="AE390" s="58"/>
      <c r="AF390" s="58"/>
      <c r="AG390" s="58"/>
      <c r="AH390" s="58"/>
      <c r="AI390" s="58"/>
      <c r="AJ390" s="58"/>
      <c r="AK390" s="58"/>
      <c r="AL390" s="58"/>
      <c r="AM390" s="58"/>
      <c r="AN390" s="58"/>
      <c r="AO390" s="58"/>
      <c r="AP390" s="58"/>
      <c r="AQ390" s="58"/>
      <c r="AR390" s="58"/>
      <c r="AS390" s="58"/>
    </row>
    <row r="391" spans="1:45" x14ac:dyDescent="0.25">
      <c r="A391" s="58"/>
      <c r="J391" s="58"/>
      <c r="K391" s="58"/>
      <c r="L391" s="58"/>
      <c r="M391" s="58"/>
      <c r="N391" s="58"/>
      <c r="O391" s="58"/>
      <c r="P391" s="58"/>
      <c r="Q391" s="58"/>
      <c r="R391" s="58"/>
      <c r="S391" s="58"/>
      <c r="T391" s="58"/>
      <c r="U391" s="58"/>
      <c r="V391" s="58"/>
      <c r="W391" s="58"/>
      <c r="X391" s="58"/>
      <c r="Y391" s="58"/>
      <c r="Z391" s="58"/>
      <c r="AA391" s="58"/>
      <c r="AB391" s="58"/>
      <c r="AC391" s="58"/>
      <c r="AD391" s="58"/>
      <c r="AE391" s="58"/>
      <c r="AF391" s="58"/>
      <c r="AG391" s="58"/>
      <c r="AH391" s="58"/>
      <c r="AI391" s="58"/>
      <c r="AJ391" s="58"/>
      <c r="AK391" s="58"/>
      <c r="AL391" s="58"/>
      <c r="AM391" s="58"/>
      <c r="AN391" s="58"/>
      <c r="AO391" s="58"/>
      <c r="AP391" s="58"/>
      <c r="AQ391" s="58"/>
      <c r="AR391" s="58"/>
      <c r="AS391" s="58"/>
    </row>
    <row r="392" spans="1:45" x14ac:dyDescent="0.25">
      <c r="A392" s="58"/>
      <c r="J392" s="58"/>
      <c r="K392" s="58"/>
      <c r="L392" s="58"/>
      <c r="M392" s="58"/>
      <c r="N392" s="58"/>
      <c r="O392" s="58"/>
      <c r="P392" s="58"/>
      <c r="Q392" s="58"/>
      <c r="R392" s="58"/>
      <c r="S392" s="58"/>
      <c r="T392" s="58"/>
      <c r="U392" s="58"/>
      <c r="V392" s="58"/>
      <c r="W392" s="58"/>
      <c r="X392" s="58"/>
      <c r="Y392" s="58"/>
      <c r="Z392" s="58"/>
      <c r="AA392" s="58"/>
      <c r="AB392" s="58"/>
      <c r="AC392" s="58"/>
      <c r="AD392" s="58"/>
      <c r="AE392" s="58"/>
      <c r="AF392" s="58"/>
      <c r="AG392" s="58"/>
      <c r="AH392" s="58"/>
      <c r="AI392" s="58"/>
      <c r="AJ392" s="58"/>
      <c r="AK392" s="58"/>
      <c r="AL392" s="58"/>
      <c r="AM392" s="58"/>
      <c r="AN392" s="58"/>
      <c r="AO392" s="58"/>
      <c r="AP392" s="58"/>
      <c r="AQ392" s="58"/>
      <c r="AR392" s="58"/>
      <c r="AS392" s="58"/>
    </row>
    <row r="393" spans="1:45" x14ac:dyDescent="0.25">
      <c r="A393" s="58"/>
      <c r="J393" s="58"/>
      <c r="K393" s="58"/>
      <c r="L393" s="58"/>
      <c r="M393" s="58"/>
      <c r="N393" s="58"/>
      <c r="O393" s="58"/>
      <c r="P393" s="58"/>
      <c r="Q393" s="58"/>
      <c r="R393" s="58"/>
      <c r="S393" s="58"/>
      <c r="T393" s="58"/>
      <c r="U393" s="58"/>
      <c r="V393" s="58"/>
      <c r="W393" s="58"/>
      <c r="X393" s="58"/>
      <c r="Y393" s="58"/>
      <c r="Z393" s="58"/>
      <c r="AA393" s="58"/>
      <c r="AB393" s="58"/>
      <c r="AC393" s="58"/>
      <c r="AD393" s="58"/>
      <c r="AE393" s="58"/>
      <c r="AF393" s="58"/>
      <c r="AG393" s="58"/>
      <c r="AH393" s="58"/>
      <c r="AI393" s="58"/>
      <c r="AJ393" s="58"/>
      <c r="AK393" s="58"/>
      <c r="AL393" s="58"/>
      <c r="AM393" s="58"/>
      <c r="AN393" s="58"/>
      <c r="AO393" s="58"/>
      <c r="AP393" s="58"/>
      <c r="AQ393" s="58"/>
      <c r="AR393" s="58"/>
      <c r="AS393" s="58"/>
    </row>
    <row r="394" spans="1:45" x14ac:dyDescent="0.25">
      <c r="A394" s="58"/>
      <c r="J394" s="58"/>
      <c r="K394" s="58"/>
      <c r="L394" s="58"/>
      <c r="M394" s="58"/>
      <c r="N394" s="58"/>
      <c r="O394" s="58"/>
      <c r="P394" s="58"/>
      <c r="Q394" s="58"/>
      <c r="R394" s="58"/>
      <c r="S394" s="58"/>
      <c r="T394" s="58"/>
      <c r="U394" s="58"/>
      <c r="V394" s="58"/>
      <c r="W394" s="58"/>
      <c r="X394" s="58"/>
      <c r="Y394" s="58"/>
      <c r="Z394" s="58"/>
      <c r="AA394" s="58"/>
      <c r="AB394" s="58"/>
      <c r="AC394" s="58"/>
      <c r="AD394" s="58"/>
      <c r="AE394" s="58"/>
      <c r="AF394" s="58"/>
      <c r="AG394" s="58"/>
      <c r="AH394" s="58"/>
      <c r="AI394" s="58"/>
      <c r="AJ394" s="58"/>
      <c r="AK394" s="58"/>
      <c r="AL394" s="58"/>
      <c r="AM394" s="58"/>
      <c r="AN394" s="58"/>
      <c r="AO394" s="58"/>
      <c r="AP394" s="58"/>
      <c r="AQ394" s="58"/>
      <c r="AR394" s="58"/>
      <c r="AS394" s="58"/>
    </row>
    <row r="395" spans="1:45" x14ac:dyDescent="0.25">
      <c r="A395" s="58"/>
      <c r="J395" s="58"/>
      <c r="K395" s="58"/>
      <c r="L395" s="58"/>
      <c r="M395" s="58"/>
      <c r="N395" s="58"/>
      <c r="O395" s="58"/>
      <c r="P395" s="58"/>
      <c r="Q395" s="58"/>
      <c r="R395" s="58"/>
      <c r="S395" s="58"/>
      <c r="T395" s="58"/>
      <c r="U395" s="58"/>
      <c r="V395" s="58"/>
      <c r="W395" s="58"/>
      <c r="X395" s="58"/>
      <c r="Y395" s="58"/>
      <c r="Z395" s="58"/>
      <c r="AA395" s="58"/>
      <c r="AB395" s="58"/>
      <c r="AC395" s="58"/>
      <c r="AD395" s="58"/>
      <c r="AE395" s="58"/>
      <c r="AF395" s="58"/>
      <c r="AG395" s="58"/>
      <c r="AH395" s="58"/>
      <c r="AI395" s="58"/>
      <c r="AJ395" s="58"/>
      <c r="AK395" s="58"/>
      <c r="AL395" s="58"/>
      <c r="AM395" s="58"/>
      <c r="AN395" s="58"/>
      <c r="AO395" s="58"/>
      <c r="AP395" s="58"/>
      <c r="AQ395" s="58"/>
      <c r="AR395" s="58"/>
      <c r="AS395" s="58"/>
    </row>
    <row r="396" spans="1:45" x14ac:dyDescent="0.25">
      <c r="A396" s="58"/>
      <c r="J396" s="58"/>
      <c r="K396" s="58"/>
      <c r="L396" s="58"/>
      <c r="M396" s="58"/>
      <c r="N396" s="58"/>
      <c r="O396" s="58"/>
      <c r="P396" s="58"/>
      <c r="Q396" s="58"/>
      <c r="R396" s="58"/>
      <c r="S396" s="58"/>
      <c r="T396" s="58"/>
      <c r="U396" s="58"/>
      <c r="V396" s="58"/>
      <c r="W396" s="58"/>
      <c r="X396" s="58"/>
      <c r="Y396" s="58"/>
      <c r="Z396" s="58"/>
      <c r="AA396" s="58"/>
      <c r="AB396" s="58"/>
      <c r="AC396" s="58"/>
      <c r="AD396" s="58"/>
      <c r="AE396" s="58"/>
      <c r="AF396" s="58"/>
      <c r="AG396" s="58"/>
      <c r="AH396" s="58"/>
      <c r="AI396" s="58"/>
      <c r="AJ396" s="58"/>
      <c r="AK396" s="58"/>
      <c r="AL396" s="58"/>
      <c r="AM396" s="58"/>
      <c r="AN396" s="58"/>
      <c r="AO396" s="58"/>
      <c r="AP396" s="58"/>
      <c r="AQ396" s="58"/>
      <c r="AR396" s="58"/>
      <c r="AS396" s="58"/>
    </row>
    <row r="397" spans="1:45" x14ac:dyDescent="0.25">
      <c r="A397" s="58"/>
      <c r="J397" s="58"/>
      <c r="K397" s="58"/>
      <c r="L397" s="58"/>
      <c r="M397" s="58"/>
      <c r="N397" s="58"/>
      <c r="O397" s="58"/>
      <c r="P397" s="58"/>
      <c r="Q397" s="58"/>
      <c r="R397" s="58"/>
      <c r="S397" s="58"/>
      <c r="T397" s="58"/>
      <c r="U397" s="58"/>
      <c r="V397" s="58"/>
      <c r="W397" s="58"/>
      <c r="X397" s="58"/>
      <c r="Y397" s="58"/>
      <c r="Z397" s="58"/>
      <c r="AA397" s="58"/>
      <c r="AB397" s="58"/>
      <c r="AC397" s="58"/>
      <c r="AD397" s="58"/>
      <c r="AE397" s="58"/>
      <c r="AF397" s="58"/>
      <c r="AG397" s="58"/>
      <c r="AH397" s="58"/>
      <c r="AI397" s="58"/>
      <c r="AJ397" s="58"/>
      <c r="AK397" s="58"/>
      <c r="AL397" s="58"/>
      <c r="AM397" s="58"/>
      <c r="AN397" s="58"/>
      <c r="AO397" s="58"/>
      <c r="AP397" s="58"/>
      <c r="AQ397" s="58"/>
      <c r="AR397" s="58"/>
      <c r="AS397" s="58"/>
    </row>
    <row r="398" spans="1:45" x14ac:dyDescent="0.25">
      <c r="A398" s="58"/>
      <c r="J398" s="58"/>
      <c r="K398" s="58"/>
      <c r="L398" s="58"/>
      <c r="M398" s="58"/>
      <c r="N398" s="58"/>
      <c r="O398" s="58"/>
      <c r="P398" s="58"/>
      <c r="Q398" s="58"/>
      <c r="R398" s="58"/>
      <c r="S398" s="58"/>
      <c r="T398" s="58"/>
      <c r="U398" s="58"/>
      <c r="V398" s="58"/>
      <c r="W398" s="58"/>
      <c r="X398" s="58"/>
      <c r="Y398" s="58"/>
      <c r="Z398" s="58"/>
      <c r="AA398" s="58"/>
      <c r="AB398" s="58"/>
      <c r="AC398" s="58"/>
      <c r="AD398" s="58"/>
      <c r="AE398" s="58"/>
      <c r="AF398" s="58"/>
      <c r="AG398" s="58"/>
      <c r="AH398" s="58"/>
      <c r="AI398" s="58"/>
      <c r="AJ398" s="58"/>
      <c r="AK398" s="58"/>
      <c r="AL398" s="58"/>
      <c r="AM398" s="58"/>
      <c r="AN398" s="58"/>
      <c r="AO398" s="58"/>
      <c r="AP398" s="58"/>
      <c r="AQ398" s="58"/>
      <c r="AR398" s="58"/>
      <c r="AS398" s="58"/>
    </row>
    <row r="399" spans="1:45" x14ac:dyDescent="0.25">
      <c r="A399" s="58"/>
      <c r="J399" s="58"/>
      <c r="K399" s="58"/>
      <c r="L399" s="58"/>
      <c r="M399" s="58"/>
      <c r="N399" s="58"/>
      <c r="O399" s="58"/>
      <c r="P399" s="58"/>
      <c r="Q399" s="58"/>
      <c r="R399" s="58"/>
      <c r="S399" s="58"/>
      <c r="T399" s="58"/>
      <c r="U399" s="58"/>
      <c r="V399" s="58"/>
      <c r="W399" s="58"/>
      <c r="X399" s="58"/>
      <c r="Y399" s="58"/>
      <c r="Z399" s="58"/>
      <c r="AA399" s="58"/>
      <c r="AB399" s="58"/>
      <c r="AC399" s="58"/>
      <c r="AD399" s="58"/>
      <c r="AE399" s="58"/>
      <c r="AF399" s="58"/>
      <c r="AG399" s="58"/>
      <c r="AH399" s="58"/>
      <c r="AI399" s="58"/>
      <c r="AJ399" s="58"/>
      <c r="AK399" s="58"/>
      <c r="AL399" s="58"/>
      <c r="AM399" s="58"/>
      <c r="AN399" s="58"/>
      <c r="AO399" s="58"/>
      <c r="AP399" s="58"/>
      <c r="AQ399" s="58"/>
      <c r="AR399" s="58"/>
      <c r="AS399" s="58"/>
    </row>
    <row r="400" spans="1:45" x14ac:dyDescent="0.25">
      <c r="A400" s="58"/>
      <c r="J400" s="58"/>
      <c r="K400" s="58"/>
      <c r="L400" s="58"/>
      <c r="M400" s="58"/>
      <c r="N400" s="58"/>
      <c r="O400" s="58"/>
      <c r="P400" s="58"/>
      <c r="Q400" s="58"/>
      <c r="R400" s="58"/>
      <c r="S400" s="58"/>
      <c r="T400" s="58"/>
      <c r="U400" s="58"/>
      <c r="V400" s="58"/>
      <c r="W400" s="58"/>
      <c r="X400" s="58"/>
      <c r="Y400" s="58"/>
      <c r="Z400" s="58"/>
      <c r="AA400" s="58"/>
      <c r="AB400" s="58"/>
      <c r="AC400" s="58"/>
      <c r="AD400" s="58"/>
      <c r="AE400" s="58"/>
      <c r="AF400" s="58"/>
      <c r="AG400" s="58"/>
      <c r="AH400" s="58"/>
      <c r="AI400" s="58"/>
      <c r="AJ400" s="58"/>
      <c r="AK400" s="58"/>
      <c r="AL400" s="58"/>
      <c r="AM400" s="58"/>
      <c r="AN400" s="58"/>
      <c r="AO400" s="58"/>
      <c r="AP400" s="58"/>
      <c r="AQ400" s="58"/>
      <c r="AR400" s="58"/>
      <c r="AS400" s="58"/>
    </row>
    <row r="401" spans="1:45" x14ac:dyDescent="0.25">
      <c r="A401" s="58"/>
      <c r="J401" s="58"/>
      <c r="K401" s="58"/>
      <c r="L401" s="58"/>
      <c r="M401" s="58"/>
      <c r="N401" s="58"/>
      <c r="O401" s="58"/>
      <c r="P401" s="58"/>
      <c r="Q401" s="58"/>
      <c r="R401" s="58"/>
      <c r="S401" s="58"/>
      <c r="T401" s="58"/>
      <c r="U401" s="58"/>
      <c r="V401" s="58"/>
      <c r="W401" s="58"/>
      <c r="X401" s="58"/>
      <c r="Y401" s="58"/>
      <c r="Z401" s="58"/>
      <c r="AA401" s="58"/>
      <c r="AB401" s="58"/>
      <c r="AC401" s="58"/>
      <c r="AD401" s="58"/>
      <c r="AE401" s="58"/>
      <c r="AF401" s="58"/>
      <c r="AG401" s="58"/>
      <c r="AH401" s="58"/>
      <c r="AI401" s="58"/>
      <c r="AJ401" s="58"/>
      <c r="AK401" s="58"/>
      <c r="AL401" s="58"/>
      <c r="AM401" s="58"/>
      <c r="AN401" s="58"/>
      <c r="AO401" s="58"/>
      <c r="AP401" s="58"/>
      <c r="AQ401" s="58"/>
      <c r="AR401" s="58"/>
      <c r="AS401" s="58"/>
    </row>
    <row r="402" spans="1:45" x14ac:dyDescent="0.25">
      <c r="A402" s="58"/>
      <c r="J402" s="58"/>
      <c r="K402" s="58"/>
      <c r="L402" s="58"/>
      <c r="M402" s="58"/>
      <c r="N402" s="58"/>
      <c r="O402" s="58"/>
      <c r="P402" s="58"/>
      <c r="Q402" s="58"/>
      <c r="R402" s="58"/>
      <c r="S402" s="58"/>
      <c r="T402" s="58"/>
      <c r="U402" s="58"/>
      <c r="V402" s="58"/>
      <c r="W402" s="58"/>
      <c r="X402" s="58"/>
      <c r="Y402" s="58"/>
      <c r="Z402" s="58"/>
      <c r="AA402" s="58"/>
      <c r="AB402" s="58"/>
      <c r="AC402" s="58"/>
      <c r="AD402" s="58"/>
      <c r="AE402" s="58"/>
      <c r="AF402" s="58"/>
      <c r="AG402" s="58"/>
      <c r="AH402" s="58"/>
      <c r="AI402" s="58"/>
      <c r="AJ402" s="58"/>
      <c r="AK402" s="58"/>
      <c r="AL402" s="58"/>
      <c r="AM402" s="58"/>
      <c r="AN402" s="58"/>
      <c r="AO402" s="58"/>
      <c r="AP402" s="58"/>
      <c r="AQ402" s="58"/>
      <c r="AR402" s="58"/>
      <c r="AS402" s="58"/>
    </row>
    <row r="403" spans="1:45" x14ac:dyDescent="0.25">
      <c r="A403" s="58"/>
      <c r="J403" s="58"/>
      <c r="K403" s="58"/>
      <c r="L403" s="58"/>
      <c r="M403" s="58"/>
      <c r="N403" s="58"/>
      <c r="O403" s="58"/>
      <c r="P403" s="58"/>
      <c r="Q403" s="58"/>
      <c r="R403" s="58"/>
      <c r="S403" s="58"/>
      <c r="T403" s="58"/>
      <c r="U403" s="58"/>
      <c r="V403" s="58"/>
      <c r="W403" s="58"/>
      <c r="X403" s="58"/>
      <c r="Y403" s="58"/>
      <c r="Z403" s="58"/>
      <c r="AA403" s="58"/>
      <c r="AB403" s="58"/>
      <c r="AC403" s="58"/>
      <c r="AD403" s="58"/>
      <c r="AE403" s="58"/>
      <c r="AF403" s="58"/>
      <c r="AG403" s="58"/>
      <c r="AH403" s="58"/>
      <c r="AI403" s="58"/>
      <c r="AJ403" s="58"/>
      <c r="AK403" s="58"/>
      <c r="AL403" s="58"/>
      <c r="AM403" s="58"/>
      <c r="AN403" s="58"/>
      <c r="AO403" s="58"/>
      <c r="AP403" s="58"/>
      <c r="AQ403" s="58"/>
      <c r="AR403" s="58"/>
      <c r="AS403" s="58"/>
    </row>
    <row r="404" spans="1:45" x14ac:dyDescent="0.25">
      <c r="A404" s="58"/>
      <c r="J404" s="58"/>
      <c r="K404" s="58"/>
      <c r="L404" s="58"/>
      <c r="M404" s="58"/>
      <c r="N404" s="58"/>
      <c r="O404" s="58"/>
      <c r="P404" s="58"/>
      <c r="Q404" s="58"/>
      <c r="R404" s="58"/>
      <c r="S404" s="58"/>
      <c r="T404" s="58"/>
      <c r="U404" s="58"/>
      <c r="V404" s="58"/>
      <c r="W404" s="58"/>
      <c r="X404" s="58"/>
      <c r="Y404" s="58"/>
      <c r="Z404" s="58"/>
      <c r="AA404" s="58"/>
      <c r="AB404" s="58"/>
      <c r="AC404" s="58"/>
      <c r="AD404" s="58"/>
      <c r="AE404" s="58"/>
      <c r="AF404" s="58"/>
      <c r="AG404" s="58"/>
      <c r="AH404" s="58"/>
      <c r="AI404" s="58"/>
      <c r="AJ404" s="58"/>
      <c r="AK404" s="58"/>
      <c r="AL404" s="58"/>
      <c r="AM404" s="58"/>
      <c r="AN404" s="58"/>
      <c r="AO404" s="58"/>
      <c r="AP404" s="58"/>
      <c r="AQ404" s="58"/>
      <c r="AR404" s="58"/>
      <c r="AS404" s="58"/>
    </row>
    <row r="405" spans="1:45" x14ac:dyDescent="0.25">
      <c r="A405" s="58"/>
      <c r="J405" s="58"/>
      <c r="K405" s="58"/>
      <c r="L405" s="58"/>
      <c r="M405" s="58"/>
      <c r="N405" s="58"/>
      <c r="O405" s="58"/>
      <c r="P405" s="58"/>
      <c r="Q405" s="58"/>
      <c r="R405" s="58"/>
      <c r="S405" s="58"/>
      <c r="T405" s="58"/>
      <c r="U405" s="58"/>
      <c r="V405" s="58"/>
      <c r="W405" s="58"/>
      <c r="X405" s="58"/>
      <c r="Y405" s="58"/>
      <c r="Z405" s="58"/>
      <c r="AA405" s="58"/>
      <c r="AB405" s="58"/>
      <c r="AC405" s="58"/>
      <c r="AD405" s="58"/>
      <c r="AE405" s="58"/>
      <c r="AF405" s="58"/>
      <c r="AG405" s="58"/>
      <c r="AH405" s="58"/>
      <c r="AI405" s="58"/>
      <c r="AJ405" s="58"/>
      <c r="AK405" s="58"/>
      <c r="AL405" s="58"/>
      <c r="AM405" s="58"/>
      <c r="AN405" s="58"/>
      <c r="AO405" s="58"/>
      <c r="AP405" s="58"/>
      <c r="AQ405" s="58"/>
      <c r="AR405" s="58"/>
      <c r="AS405" s="58"/>
    </row>
    <row r="406" spans="1:45" x14ac:dyDescent="0.25">
      <c r="A406" s="58"/>
      <c r="J406" s="58"/>
      <c r="K406" s="58"/>
      <c r="L406" s="58"/>
      <c r="M406" s="58"/>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8"/>
      <c r="AK406" s="58"/>
      <c r="AL406" s="58"/>
      <c r="AM406" s="58"/>
      <c r="AN406" s="58"/>
      <c r="AO406" s="58"/>
      <c r="AP406" s="58"/>
      <c r="AQ406" s="58"/>
      <c r="AR406" s="58"/>
      <c r="AS406" s="58"/>
    </row>
    <row r="407" spans="1:45" x14ac:dyDescent="0.25">
      <c r="A407" s="58"/>
      <c r="J407" s="58"/>
      <c r="K407" s="58"/>
      <c r="L407" s="58"/>
      <c r="M407" s="58"/>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8"/>
      <c r="AK407" s="58"/>
      <c r="AL407" s="58"/>
      <c r="AM407" s="58"/>
      <c r="AN407" s="58"/>
      <c r="AO407" s="58"/>
      <c r="AP407" s="58"/>
      <c r="AQ407" s="58"/>
      <c r="AR407" s="58"/>
      <c r="AS407" s="58"/>
    </row>
    <row r="408" spans="1:45" x14ac:dyDescent="0.25">
      <c r="A408" s="58"/>
      <c r="J408" s="58"/>
      <c r="K408" s="58"/>
      <c r="L408" s="58"/>
      <c r="M408" s="58"/>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8"/>
      <c r="AK408" s="58"/>
      <c r="AL408" s="58"/>
      <c r="AM408" s="58"/>
      <c r="AN408" s="58"/>
      <c r="AO408" s="58"/>
      <c r="AP408" s="58"/>
      <c r="AQ408" s="58"/>
      <c r="AR408" s="58"/>
      <c r="AS408" s="58"/>
    </row>
    <row r="409" spans="1:45" x14ac:dyDescent="0.25">
      <c r="A409" s="58"/>
      <c r="J409" s="58"/>
      <c r="K409" s="58"/>
      <c r="L409" s="58"/>
      <c r="M409" s="58"/>
      <c r="N409" s="58"/>
      <c r="O409" s="58"/>
      <c r="P409" s="58"/>
      <c r="Q409" s="58"/>
      <c r="R409" s="58"/>
      <c r="S409" s="58"/>
      <c r="T409" s="58"/>
      <c r="U409" s="58"/>
      <c r="V409" s="58"/>
      <c r="W409" s="58"/>
      <c r="X409" s="58"/>
      <c r="Y409" s="58"/>
      <c r="Z409" s="58"/>
      <c r="AA409" s="58"/>
      <c r="AB409" s="58"/>
      <c r="AC409" s="58"/>
      <c r="AD409" s="58"/>
      <c r="AE409" s="58"/>
      <c r="AF409" s="58"/>
      <c r="AG409" s="58"/>
      <c r="AH409" s="58"/>
      <c r="AI409" s="58"/>
      <c r="AJ409" s="58"/>
      <c r="AK409" s="58"/>
      <c r="AL409" s="58"/>
      <c r="AM409" s="58"/>
      <c r="AN409" s="58"/>
      <c r="AO409" s="58"/>
      <c r="AP409" s="58"/>
      <c r="AQ409" s="58"/>
      <c r="AR409" s="58"/>
      <c r="AS409" s="58"/>
    </row>
    <row r="410" spans="1:45" x14ac:dyDescent="0.25">
      <c r="A410" s="58"/>
      <c r="J410" s="58"/>
      <c r="K410" s="58"/>
      <c r="L410" s="58"/>
      <c r="M410" s="58"/>
      <c r="N410" s="58"/>
      <c r="O410" s="58"/>
      <c r="P410" s="58"/>
      <c r="Q410" s="58"/>
      <c r="R410" s="58"/>
      <c r="S410" s="58"/>
      <c r="T410" s="58"/>
      <c r="U410" s="58"/>
      <c r="V410" s="58"/>
      <c r="W410" s="58"/>
      <c r="X410" s="58"/>
      <c r="Y410" s="58"/>
      <c r="Z410" s="58"/>
      <c r="AA410" s="58"/>
      <c r="AB410" s="58"/>
      <c r="AC410" s="58"/>
      <c r="AD410" s="58"/>
      <c r="AE410" s="58"/>
      <c r="AF410" s="58"/>
      <c r="AG410" s="58"/>
      <c r="AH410" s="58"/>
      <c r="AI410" s="58"/>
      <c r="AJ410" s="58"/>
      <c r="AK410" s="58"/>
      <c r="AL410" s="58"/>
      <c r="AM410" s="58"/>
      <c r="AN410" s="58"/>
      <c r="AO410" s="58"/>
      <c r="AP410" s="58"/>
      <c r="AQ410" s="58"/>
      <c r="AR410" s="58"/>
      <c r="AS410" s="58"/>
    </row>
    <row r="411" spans="1:45" x14ac:dyDescent="0.25">
      <c r="A411" s="58"/>
      <c r="J411" s="58"/>
      <c r="K411" s="58"/>
      <c r="L411" s="58"/>
      <c r="M411" s="58"/>
      <c r="N411" s="58"/>
      <c r="O411" s="58"/>
      <c r="P411" s="58"/>
      <c r="Q411" s="58"/>
      <c r="R411" s="58"/>
      <c r="S411" s="58"/>
      <c r="T411" s="58"/>
      <c r="U411" s="58"/>
      <c r="V411" s="58"/>
      <c r="W411" s="58"/>
      <c r="X411" s="58"/>
      <c r="Y411" s="58"/>
      <c r="Z411" s="58"/>
      <c r="AA411" s="58"/>
      <c r="AB411" s="58"/>
      <c r="AC411" s="58"/>
      <c r="AD411" s="58"/>
      <c r="AE411" s="58"/>
      <c r="AF411" s="58"/>
      <c r="AG411" s="58"/>
      <c r="AH411" s="58"/>
      <c r="AI411" s="58"/>
      <c r="AJ411" s="58"/>
      <c r="AK411" s="58"/>
      <c r="AL411" s="58"/>
      <c r="AM411" s="58"/>
      <c r="AN411" s="58"/>
      <c r="AO411" s="58"/>
      <c r="AP411" s="58"/>
      <c r="AQ411" s="58"/>
      <c r="AR411" s="58"/>
      <c r="AS411" s="58"/>
    </row>
    <row r="412" spans="1:45" x14ac:dyDescent="0.25">
      <c r="A412" s="58"/>
      <c r="J412" s="58"/>
      <c r="K412" s="58"/>
      <c r="L412" s="58"/>
      <c r="M412" s="58"/>
      <c r="N412" s="58"/>
      <c r="O412" s="58"/>
      <c r="P412" s="58"/>
      <c r="Q412" s="58"/>
      <c r="R412" s="58"/>
      <c r="S412" s="58"/>
      <c r="T412" s="58"/>
      <c r="U412" s="58"/>
      <c r="V412" s="58"/>
      <c r="W412" s="58"/>
      <c r="X412" s="58"/>
      <c r="Y412" s="58"/>
      <c r="Z412" s="58"/>
      <c r="AA412" s="58"/>
      <c r="AB412" s="58"/>
      <c r="AC412" s="58"/>
      <c r="AD412" s="58"/>
      <c r="AE412" s="58"/>
      <c r="AF412" s="58"/>
      <c r="AG412" s="58"/>
      <c r="AH412" s="58"/>
      <c r="AI412" s="58"/>
      <c r="AJ412" s="58"/>
      <c r="AK412" s="58"/>
      <c r="AL412" s="58"/>
      <c r="AM412" s="58"/>
      <c r="AN412" s="58"/>
      <c r="AO412" s="58"/>
      <c r="AP412" s="58"/>
      <c r="AQ412" s="58"/>
      <c r="AR412" s="58"/>
      <c r="AS412" s="58"/>
    </row>
    <row r="413" spans="1:45" x14ac:dyDescent="0.25">
      <c r="A413" s="58"/>
      <c r="J413" s="58"/>
      <c r="K413" s="58"/>
      <c r="L413" s="58"/>
      <c r="M413" s="58"/>
      <c r="N413" s="58"/>
      <c r="O413" s="58"/>
      <c r="P413" s="58"/>
      <c r="Q413" s="58"/>
      <c r="R413" s="58"/>
      <c r="S413" s="58"/>
      <c r="T413" s="58"/>
      <c r="U413" s="58"/>
      <c r="V413" s="58"/>
      <c r="W413" s="58"/>
      <c r="X413" s="58"/>
      <c r="Y413" s="58"/>
      <c r="Z413" s="58"/>
      <c r="AA413" s="58"/>
      <c r="AB413" s="58"/>
      <c r="AC413" s="58"/>
      <c r="AD413" s="58"/>
      <c r="AE413" s="58"/>
      <c r="AF413" s="58"/>
      <c r="AG413" s="58"/>
      <c r="AH413" s="58"/>
      <c r="AI413" s="58"/>
      <c r="AJ413" s="58"/>
      <c r="AK413" s="58"/>
      <c r="AL413" s="58"/>
      <c r="AM413" s="58"/>
      <c r="AN413" s="58"/>
      <c r="AO413" s="58"/>
      <c r="AP413" s="58"/>
      <c r="AQ413" s="58"/>
      <c r="AR413" s="58"/>
      <c r="AS413" s="58"/>
    </row>
    <row r="414" spans="1:45" x14ac:dyDescent="0.25">
      <c r="A414" s="58"/>
      <c r="J414" s="58"/>
      <c r="K414" s="58"/>
      <c r="L414" s="58"/>
      <c r="M414" s="58"/>
      <c r="N414" s="58"/>
      <c r="O414" s="58"/>
      <c r="P414" s="58"/>
      <c r="Q414" s="58"/>
      <c r="R414" s="58"/>
      <c r="S414" s="58"/>
      <c r="T414" s="58"/>
      <c r="U414" s="58"/>
      <c r="V414" s="58"/>
      <c r="W414" s="58"/>
      <c r="X414" s="58"/>
      <c r="Y414" s="58"/>
      <c r="Z414" s="58"/>
      <c r="AA414" s="58"/>
      <c r="AB414" s="58"/>
      <c r="AC414" s="58"/>
      <c r="AD414" s="58"/>
      <c r="AE414" s="58"/>
      <c r="AF414" s="58"/>
      <c r="AG414" s="58"/>
      <c r="AH414" s="58"/>
      <c r="AI414" s="58"/>
      <c r="AJ414" s="58"/>
      <c r="AK414" s="58"/>
      <c r="AL414" s="58"/>
      <c r="AM414" s="58"/>
      <c r="AN414" s="58"/>
      <c r="AO414" s="58"/>
      <c r="AP414" s="58"/>
      <c r="AQ414" s="58"/>
      <c r="AR414" s="58"/>
      <c r="AS414" s="58"/>
    </row>
    <row r="415" spans="1:45" x14ac:dyDescent="0.25">
      <c r="A415" s="58"/>
      <c r="J415" s="58"/>
      <c r="K415" s="58"/>
      <c r="L415" s="58"/>
      <c r="M415" s="58"/>
      <c r="N415" s="58"/>
      <c r="O415" s="58"/>
      <c r="P415" s="58"/>
      <c r="Q415" s="58"/>
      <c r="R415" s="58"/>
      <c r="S415" s="58"/>
      <c r="T415" s="58"/>
      <c r="U415" s="58"/>
      <c r="V415" s="58"/>
      <c r="W415" s="58"/>
      <c r="X415" s="58"/>
      <c r="Y415" s="58"/>
      <c r="Z415" s="58"/>
      <c r="AA415" s="58"/>
      <c r="AB415" s="58"/>
      <c r="AC415" s="58"/>
      <c r="AD415" s="58"/>
      <c r="AE415" s="58"/>
      <c r="AF415" s="58"/>
      <c r="AG415" s="58"/>
      <c r="AH415" s="58"/>
      <c r="AI415" s="58"/>
      <c r="AJ415" s="58"/>
      <c r="AK415" s="58"/>
      <c r="AL415" s="58"/>
      <c r="AM415" s="58"/>
      <c r="AN415" s="58"/>
      <c r="AO415" s="58"/>
      <c r="AP415" s="58"/>
      <c r="AQ415" s="58"/>
      <c r="AR415" s="58"/>
      <c r="AS415" s="58"/>
    </row>
    <row r="416" spans="1:45" x14ac:dyDescent="0.25">
      <c r="A416" s="58"/>
      <c r="J416" s="58"/>
      <c r="K416" s="58"/>
      <c r="L416" s="58"/>
      <c r="M416" s="58"/>
      <c r="N416" s="58"/>
      <c r="O416" s="58"/>
      <c r="P416" s="58"/>
      <c r="Q416" s="58"/>
      <c r="R416" s="58"/>
      <c r="S416" s="58"/>
      <c r="T416" s="58"/>
      <c r="U416" s="58"/>
      <c r="V416" s="58"/>
      <c r="W416" s="58"/>
      <c r="X416" s="58"/>
      <c r="Y416" s="58"/>
      <c r="Z416" s="58"/>
      <c r="AA416" s="58"/>
      <c r="AB416" s="58"/>
      <c r="AC416" s="58"/>
      <c r="AD416" s="58"/>
      <c r="AE416" s="58"/>
      <c r="AF416" s="58"/>
      <c r="AG416" s="58"/>
      <c r="AH416" s="58"/>
      <c r="AI416" s="58"/>
      <c r="AJ416" s="58"/>
      <c r="AK416" s="58"/>
      <c r="AL416" s="58"/>
      <c r="AM416" s="58"/>
      <c r="AN416" s="58"/>
      <c r="AO416" s="58"/>
      <c r="AP416" s="58"/>
      <c r="AQ416" s="58"/>
      <c r="AR416" s="58"/>
      <c r="AS416" s="58"/>
    </row>
    <row r="417" spans="1:45" x14ac:dyDescent="0.25">
      <c r="A417" s="58"/>
      <c r="J417" s="58"/>
      <c r="K417" s="58"/>
      <c r="L417" s="58"/>
      <c r="M417" s="58"/>
      <c r="N417" s="58"/>
      <c r="O417" s="58"/>
      <c r="P417" s="58"/>
      <c r="Q417" s="58"/>
      <c r="R417" s="58"/>
      <c r="S417" s="58"/>
      <c r="T417" s="58"/>
      <c r="U417" s="58"/>
      <c r="V417" s="58"/>
      <c r="W417" s="58"/>
      <c r="X417" s="58"/>
      <c r="Y417" s="58"/>
      <c r="Z417" s="58"/>
      <c r="AA417" s="58"/>
      <c r="AB417" s="58"/>
      <c r="AC417" s="58"/>
      <c r="AD417" s="58"/>
      <c r="AE417" s="58"/>
      <c r="AF417" s="58"/>
      <c r="AG417" s="58"/>
      <c r="AH417" s="58"/>
      <c r="AI417" s="58"/>
      <c r="AJ417" s="58"/>
      <c r="AK417" s="58"/>
      <c r="AL417" s="58"/>
      <c r="AM417" s="58"/>
      <c r="AN417" s="58"/>
      <c r="AO417" s="58"/>
      <c r="AP417" s="58"/>
      <c r="AQ417" s="58"/>
      <c r="AR417" s="58"/>
      <c r="AS417" s="58"/>
    </row>
    <row r="418" spans="1:45" x14ac:dyDescent="0.25">
      <c r="A418" s="58"/>
      <c r="J418" s="58"/>
      <c r="K418" s="58"/>
      <c r="L418" s="58"/>
      <c r="M418" s="58"/>
      <c r="N418" s="58"/>
      <c r="O418" s="58"/>
      <c r="P418" s="58"/>
      <c r="Q418" s="58"/>
      <c r="R418" s="58"/>
      <c r="S418" s="58"/>
      <c r="T418" s="58"/>
      <c r="U418" s="58"/>
      <c r="V418" s="58"/>
      <c r="W418" s="58"/>
      <c r="X418" s="58"/>
      <c r="Y418" s="58"/>
      <c r="Z418" s="58"/>
      <c r="AA418" s="58"/>
      <c r="AB418" s="58"/>
      <c r="AC418" s="58"/>
      <c r="AD418" s="58"/>
      <c r="AE418" s="58"/>
      <c r="AF418" s="58"/>
      <c r="AG418" s="58"/>
      <c r="AH418" s="58"/>
      <c r="AI418" s="58"/>
      <c r="AJ418" s="58"/>
      <c r="AK418" s="58"/>
      <c r="AL418" s="58"/>
      <c r="AM418" s="58"/>
      <c r="AN418" s="58"/>
      <c r="AO418" s="58"/>
      <c r="AP418" s="58"/>
      <c r="AQ418" s="58"/>
      <c r="AR418" s="58"/>
      <c r="AS418" s="58"/>
    </row>
    <row r="419" spans="1:45" x14ac:dyDescent="0.25">
      <c r="A419" s="58"/>
      <c r="J419" s="58"/>
      <c r="K419" s="58"/>
      <c r="L419" s="58"/>
      <c r="M419" s="58"/>
      <c r="N419" s="58"/>
      <c r="O419" s="58"/>
      <c r="P419" s="58"/>
      <c r="Q419" s="58"/>
      <c r="R419" s="58"/>
      <c r="S419" s="58"/>
      <c r="T419" s="58"/>
      <c r="U419" s="58"/>
      <c r="V419" s="58"/>
      <c r="W419" s="58"/>
      <c r="X419" s="58"/>
      <c r="Y419" s="58"/>
      <c r="Z419" s="58"/>
      <c r="AA419" s="58"/>
      <c r="AB419" s="58"/>
      <c r="AC419" s="58"/>
      <c r="AD419" s="58"/>
      <c r="AE419" s="58"/>
      <c r="AF419" s="58"/>
      <c r="AG419" s="58"/>
      <c r="AH419" s="58"/>
      <c r="AI419" s="58"/>
      <c r="AJ419" s="58"/>
      <c r="AK419" s="58"/>
      <c r="AL419" s="58"/>
      <c r="AM419" s="58"/>
      <c r="AN419" s="58"/>
      <c r="AO419" s="58"/>
      <c r="AP419" s="58"/>
      <c r="AQ419" s="58"/>
      <c r="AR419" s="58"/>
      <c r="AS419" s="58"/>
    </row>
    <row r="420" spans="1:45" x14ac:dyDescent="0.25">
      <c r="A420" s="58"/>
      <c r="J420" s="58"/>
      <c r="K420" s="58"/>
      <c r="L420" s="58"/>
      <c r="M420" s="58"/>
      <c r="N420" s="58"/>
      <c r="O420" s="58"/>
      <c r="P420" s="58"/>
      <c r="Q420" s="58"/>
      <c r="R420" s="58"/>
      <c r="S420" s="58"/>
      <c r="T420" s="58"/>
      <c r="U420" s="58"/>
      <c r="V420" s="58"/>
      <c r="W420" s="58"/>
      <c r="X420" s="58"/>
      <c r="Y420" s="58"/>
      <c r="Z420" s="58"/>
      <c r="AA420" s="58"/>
      <c r="AB420" s="58"/>
      <c r="AC420" s="58"/>
      <c r="AD420" s="58"/>
      <c r="AE420" s="58"/>
      <c r="AF420" s="58"/>
      <c r="AG420" s="58"/>
      <c r="AH420" s="58"/>
      <c r="AI420" s="58"/>
      <c r="AJ420" s="58"/>
      <c r="AK420" s="58"/>
      <c r="AL420" s="58"/>
      <c r="AM420" s="58"/>
      <c r="AN420" s="58"/>
      <c r="AO420" s="58"/>
      <c r="AP420" s="58"/>
      <c r="AQ420" s="58"/>
      <c r="AR420" s="58"/>
      <c r="AS420" s="58"/>
    </row>
    <row r="421" spans="1:45" x14ac:dyDescent="0.25">
      <c r="A421" s="58"/>
      <c r="J421" s="58"/>
      <c r="K421" s="58"/>
      <c r="L421" s="58"/>
      <c r="M421" s="58"/>
      <c r="N421" s="58"/>
      <c r="O421" s="58"/>
      <c r="P421" s="58"/>
      <c r="Q421" s="58"/>
      <c r="R421" s="58"/>
      <c r="S421" s="58"/>
      <c r="T421" s="58"/>
      <c r="U421" s="58"/>
      <c r="V421" s="58"/>
      <c r="W421" s="58"/>
      <c r="X421" s="58"/>
      <c r="Y421" s="58"/>
      <c r="Z421" s="58"/>
      <c r="AA421" s="58"/>
      <c r="AB421" s="58"/>
      <c r="AC421" s="58"/>
      <c r="AD421" s="58"/>
      <c r="AE421" s="58"/>
      <c r="AF421" s="58"/>
      <c r="AG421" s="58"/>
      <c r="AH421" s="58"/>
      <c r="AI421" s="58"/>
      <c r="AJ421" s="58"/>
      <c r="AK421" s="58"/>
      <c r="AL421" s="58"/>
      <c r="AM421" s="58"/>
      <c r="AN421" s="58"/>
      <c r="AO421" s="58"/>
      <c r="AP421" s="58"/>
      <c r="AQ421" s="58"/>
      <c r="AR421" s="58"/>
      <c r="AS421" s="58"/>
    </row>
    <row r="422" spans="1:45" x14ac:dyDescent="0.25">
      <c r="A422" s="58"/>
      <c r="J422" s="58"/>
      <c r="K422" s="58"/>
      <c r="L422" s="58"/>
      <c r="M422" s="58"/>
      <c r="N422" s="58"/>
      <c r="O422" s="58"/>
      <c r="P422" s="58"/>
      <c r="Q422" s="58"/>
      <c r="R422" s="58"/>
      <c r="S422" s="58"/>
      <c r="T422" s="58"/>
      <c r="U422" s="58"/>
      <c r="V422" s="58"/>
      <c r="W422" s="58"/>
      <c r="X422" s="58"/>
      <c r="Y422" s="58"/>
      <c r="Z422" s="58"/>
      <c r="AA422" s="58"/>
      <c r="AB422" s="58"/>
      <c r="AC422" s="58"/>
      <c r="AD422" s="58"/>
      <c r="AE422" s="58"/>
      <c r="AF422" s="58"/>
      <c r="AG422" s="58"/>
      <c r="AH422" s="58"/>
      <c r="AI422" s="58"/>
      <c r="AJ422" s="58"/>
      <c r="AK422" s="58"/>
      <c r="AL422" s="58"/>
      <c r="AM422" s="58"/>
      <c r="AN422" s="58"/>
      <c r="AO422" s="58"/>
      <c r="AP422" s="58"/>
      <c r="AQ422" s="58"/>
      <c r="AR422" s="58"/>
      <c r="AS422" s="58"/>
    </row>
    <row r="423" spans="1:45" x14ac:dyDescent="0.25">
      <c r="A423" s="58"/>
      <c r="J423" s="58"/>
      <c r="K423" s="58"/>
      <c r="L423" s="58"/>
      <c r="M423" s="58"/>
      <c r="N423" s="58"/>
      <c r="O423" s="58"/>
      <c r="P423" s="58"/>
      <c r="Q423" s="58"/>
      <c r="R423" s="58"/>
      <c r="S423" s="58"/>
      <c r="T423" s="58"/>
      <c r="U423" s="58"/>
      <c r="V423" s="58"/>
      <c r="W423" s="58"/>
      <c r="X423" s="58"/>
      <c r="Y423" s="58"/>
      <c r="Z423" s="58"/>
      <c r="AA423" s="58"/>
      <c r="AB423" s="58"/>
      <c r="AC423" s="58"/>
      <c r="AD423" s="58"/>
      <c r="AE423" s="58"/>
      <c r="AF423" s="58"/>
      <c r="AG423" s="58"/>
      <c r="AH423" s="58"/>
      <c r="AI423" s="58"/>
      <c r="AJ423" s="58"/>
      <c r="AK423" s="58"/>
      <c r="AL423" s="58"/>
      <c r="AM423" s="58"/>
      <c r="AN423" s="58"/>
      <c r="AO423" s="58"/>
      <c r="AP423" s="58"/>
      <c r="AQ423" s="58"/>
      <c r="AR423" s="58"/>
      <c r="AS423" s="58"/>
    </row>
    <row r="424" spans="1:45" x14ac:dyDescent="0.25">
      <c r="A424" s="58"/>
      <c r="J424" s="58"/>
      <c r="K424" s="58"/>
      <c r="L424" s="58"/>
      <c r="M424" s="58"/>
      <c r="N424" s="58"/>
      <c r="O424" s="58"/>
      <c r="P424" s="58"/>
      <c r="Q424" s="58"/>
      <c r="R424" s="58"/>
      <c r="S424" s="58"/>
      <c r="T424" s="58"/>
      <c r="U424" s="58"/>
      <c r="V424" s="58"/>
      <c r="W424" s="58"/>
      <c r="X424" s="58"/>
      <c r="Y424" s="58"/>
      <c r="Z424" s="58"/>
      <c r="AA424" s="58"/>
      <c r="AB424" s="58"/>
      <c r="AC424" s="58"/>
      <c r="AD424" s="58"/>
      <c r="AE424" s="58"/>
      <c r="AF424" s="58"/>
      <c r="AG424" s="58"/>
      <c r="AH424" s="58"/>
      <c r="AI424" s="58"/>
      <c r="AJ424" s="58"/>
      <c r="AK424" s="58"/>
      <c r="AL424" s="58"/>
      <c r="AM424" s="58"/>
      <c r="AN424" s="58"/>
      <c r="AO424" s="58"/>
      <c r="AP424" s="58"/>
      <c r="AQ424" s="58"/>
      <c r="AR424" s="58"/>
      <c r="AS424" s="58"/>
    </row>
    <row r="425" spans="1:45" x14ac:dyDescent="0.25">
      <c r="A425" s="58"/>
      <c r="J425" s="58"/>
      <c r="K425" s="58"/>
      <c r="L425" s="58"/>
      <c r="M425" s="58"/>
      <c r="N425" s="58"/>
      <c r="O425" s="58"/>
      <c r="P425" s="58"/>
      <c r="Q425" s="58"/>
      <c r="R425" s="58"/>
      <c r="S425" s="58"/>
      <c r="T425" s="58"/>
      <c r="U425" s="58"/>
      <c r="V425" s="58"/>
      <c r="W425" s="58"/>
      <c r="X425" s="58"/>
      <c r="Y425" s="58"/>
      <c r="Z425" s="58"/>
      <c r="AA425" s="58"/>
      <c r="AB425" s="58"/>
      <c r="AC425" s="58"/>
      <c r="AD425" s="58"/>
      <c r="AE425" s="58"/>
      <c r="AF425" s="58"/>
      <c r="AG425" s="58"/>
      <c r="AH425" s="58"/>
      <c r="AI425" s="58"/>
      <c r="AJ425" s="58"/>
      <c r="AK425" s="58"/>
      <c r="AL425" s="58"/>
      <c r="AM425" s="58"/>
      <c r="AN425" s="58"/>
      <c r="AO425" s="58"/>
      <c r="AP425" s="58"/>
      <c r="AQ425" s="58"/>
      <c r="AR425" s="58"/>
      <c r="AS425" s="58"/>
    </row>
    <row r="426" spans="1:45" x14ac:dyDescent="0.25">
      <c r="A426" s="58"/>
      <c r="J426" s="58"/>
      <c r="K426" s="58"/>
      <c r="L426" s="58"/>
      <c r="M426" s="58"/>
      <c r="N426" s="58"/>
      <c r="O426" s="58"/>
      <c r="P426" s="58"/>
      <c r="Q426" s="58"/>
      <c r="R426" s="58"/>
      <c r="S426" s="58"/>
      <c r="T426" s="58"/>
      <c r="U426" s="58"/>
      <c r="V426" s="58"/>
      <c r="W426" s="58"/>
      <c r="X426" s="58"/>
      <c r="Y426" s="58"/>
      <c r="Z426" s="58"/>
      <c r="AA426" s="58"/>
      <c r="AB426" s="58"/>
      <c r="AC426" s="58"/>
      <c r="AD426" s="58"/>
      <c r="AE426" s="58"/>
      <c r="AF426" s="58"/>
      <c r="AG426" s="58"/>
      <c r="AH426" s="58"/>
      <c r="AI426" s="58"/>
      <c r="AJ426" s="58"/>
      <c r="AK426" s="58"/>
      <c r="AL426" s="58"/>
      <c r="AM426" s="58"/>
      <c r="AN426" s="58"/>
      <c r="AO426" s="58"/>
      <c r="AP426" s="58"/>
      <c r="AQ426" s="58"/>
      <c r="AR426" s="58"/>
      <c r="AS426" s="58"/>
    </row>
    <row r="427" spans="1:45" x14ac:dyDescent="0.25">
      <c r="A427" s="58"/>
      <c r="J427" s="58"/>
      <c r="K427" s="58"/>
      <c r="L427" s="58"/>
      <c r="M427" s="58"/>
      <c r="N427" s="58"/>
      <c r="O427" s="58"/>
      <c r="P427" s="58"/>
      <c r="Q427" s="58"/>
      <c r="R427" s="58"/>
      <c r="S427" s="58"/>
      <c r="T427" s="58"/>
      <c r="U427" s="58"/>
      <c r="V427" s="58"/>
      <c r="W427" s="58"/>
      <c r="X427" s="58"/>
      <c r="Y427" s="58"/>
      <c r="Z427" s="58"/>
      <c r="AA427" s="58"/>
      <c r="AB427" s="58"/>
      <c r="AC427" s="58"/>
      <c r="AD427" s="58"/>
      <c r="AE427" s="58"/>
      <c r="AF427" s="58"/>
      <c r="AG427" s="58"/>
      <c r="AH427" s="58"/>
      <c r="AI427" s="58"/>
      <c r="AJ427" s="58"/>
      <c r="AK427" s="58"/>
      <c r="AL427" s="58"/>
      <c r="AM427" s="58"/>
      <c r="AN427" s="58"/>
      <c r="AO427" s="58"/>
      <c r="AP427" s="58"/>
      <c r="AQ427" s="58"/>
      <c r="AR427" s="58"/>
      <c r="AS427" s="58"/>
    </row>
    <row r="428" spans="1:45" x14ac:dyDescent="0.25">
      <c r="A428" s="58"/>
      <c r="J428" s="58"/>
      <c r="K428" s="58"/>
      <c r="L428" s="58"/>
      <c r="M428" s="58"/>
      <c r="N428" s="58"/>
      <c r="O428" s="58"/>
      <c r="P428" s="58"/>
      <c r="Q428" s="58"/>
      <c r="R428" s="58"/>
      <c r="S428" s="58"/>
      <c r="T428" s="58"/>
      <c r="U428" s="58"/>
      <c r="V428" s="58"/>
      <c r="W428" s="58"/>
      <c r="X428" s="58"/>
      <c r="Y428" s="58"/>
      <c r="Z428" s="58"/>
      <c r="AA428" s="58"/>
      <c r="AB428" s="58"/>
      <c r="AC428" s="58"/>
      <c r="AD428" s="58"/>
      <c r="AE428" s="58"/>
      <c r="AF428" s="58"/>
      <c r="AG428" s="58"/>
      <c r="AH428" s="58"/>
      <c r="AI428" s="58"/>
      <c r="AJ428" s="58"/>
      <c r="AK428" s="58"/>
      <c r="AL428" s="58"/>
      <c r="AM428" s="58"/>
      <c r="AN428" s="58"/>
      <c r="AO428" s="58"/>
      <c r="AP428" s="58"/>
      <c r="AQ428" s="58"/>
      <c r="AR428" s="58"/>
      <c r="AS428" s="58"/>
    </row>
    <row r="429" spans="1:45" x14ac:dyDescent="0.25">
      <c r="A429" s="58"/>
      <c r="J429" s="58"/>
      <c r="K429" s="58"/>
      <c r="L429" s="58"/>
      <c r="M429" s="58"/>
      <c r="N429" s="58"/>
      <c r="O429" s="58"/>
      <c r="P429" s="58"/>
      <c r="Q429" s="58"/>
      <c r="R429" s="58"/>
      <c r="S429" s="58"/>
      <c r="T429" s="58"/>
      <c r="U429" s="58"/>
      <c r="V429" s="58"/>
      <c r="W429" s="58"/>
      <c r="X429" s="58"/>
      <c r="Y429" s="58"/>
      <c r="Z429" s="58"/>
      <c r="AA429" s="58"/>
      <c r="AB429" s="58"/>
      <c r="AC429" s="58"/>
      <c r="AD429" s="58"/>
      <c r="AE429" s="58"/>
      <c r="AF429" s="58"/>
      <c r="AG429" s="58"/>
      <c r="AH429" s="58"/>
      <c r="AI429" s="58"/>
      <c r="AJ429" s="58"/>
      <c r="AK429" s="58"/>
      <c r="AL429" s="58"/>
      <c r="AM429" s="58"/>
      <c r="AN429" s="58"/>
      <c r="AO429" s="58"/>
      <c r="AP429" s="58"/>
      <c r="AQ429" s="58"/>
      <c r="AR429" s="58"/>
      <c r="AS429" s="58"/>
    </row>
    <row r="430" spans="1:45" x14ac:dyDescent="0.25">
      <c r="A430" s="58"/>
      <c r="J430" s="58"/>
      <c r="K430" s="58"/>
      <c r="L430" s="58"/>
      <c r="M430" s="58"/>
      <c r="N430" s="58"/>
      <c r="O430" s="58"/>
      <c r="P430" s="58"/>
      <c r="Q430" s="58"/>
      <c r="R430" s="58"/>
      <c r="S430" s="58"/>
      <c r="T430" s="58"/>
      <c r="U430" s="58"/>
      <c r="V430" s="58"/>
      <c r="W430" s="58"/>
      <c r="X430" s="58"/>
      <c r="Y430" s="58"/>
      <c r="Z430" s="58"/>
      <c r="AA430" s="58"/>
      <c r="AB430" s="58"/>
      <c r="AC430" s="58"/>
      <c r="AD430" s="58"/>
      <c r="AE430" s="58"/>
      <c r="AF430" s="58"/>
      <c r="AG430" s="58"/>
      <c r="AH430" s="58"/>
      <c r="AI430" s="58"/>
      <c r="AJ430" s="58"/>
      <c r="AK430" s="58"/>
      <c r="AL430" s="58"/>
      <c r="AM430" s="58"/>
      <c r="AN430" s="58"/>
      <c r="AO430" s="58"/>
      <c r="AP430" s="58"/>
      <c r="AQ430" s="58"/>
      <c r="AR430" s="58"/>
      <c r="AS430" s="58"/>
    </row>
    <row r="431" spans="1:45" x14ac:dyDescent="0.25">
      <c r="A431" s="58"/>
      <c r="J431" s="58"/>
      <c r="K431" s="58"/>
      <c r="L431" s="58"/>
      <c r="M431" s="58"/>
      <c r="N431" s="58"/>
      <c r="O431" s="58"/>
      <c r="P431" s="58"/>
      <c r="Q431" s="58"/>
      <c r="R431" s="58"/>
      <c r="S431" s="58"/>
      <c r="T431" s="58"/>
      <c r="U431" s="58"/>
      <c r="V431" s="58"/>
      <c r="W431" s="58"/>
      <c r="X431" s="58"/>
      <c r="Y431" s="58"/>
      <c r="Z431" s="58"/>
      <c r="AA431" s="58"/>
      <c r="AB431" s="58"/>
      <c r="AC431" s="58"/>
      <c r="AD431" s="58"/>
      <c r="AE431" s="58"/>
      <c r="AF431" s="58"/>
      <c r="AG431" s="58"/>
      <c r="AH431" s="58"/>
      <c r="AI431" s="58"/>
      <c r="AJ431" s="58"/>
      <c r="AK431" s="58"/>
      <c r="AL431" s="58"/>
      <c r="AM431" s="58"/>
      <c r="AN431" s="58"/>
      <c r="AO431" s="58"/>
      <c r="AP431" s="58"/>
      <c r="AQ431" s="58"/>
      <c r="AR431" s="58"/>
      <c r="AS431" s="58"/>
    </row>
    <row r="432" spans="1:45" x14ac:dyDescent="0.25">
      <c r="A432" s="58"/>
      <c r="J432" s="58"/>
      <c r="K432" s="58"/>
      <c r="L432" s="58"/>
      <c r="M432" s="58"/>
      <c r="N432" s="58"/>
      <c r="O432" s="58"/>
      <c r="P432" s="58"/>
      <c r="Q432" s="58"/>
      <c r="R432" s="58"/>
      <c r="S432" s="58"/>
      <c r="T432" s="58"/>
      <c r="U432" s="58"/>
      <c r="V432" s="58"/>
      <c r="W432" s="58"/>
      <c r="X432" s="58"/>
      <c r="Y432" s="58"/>
      <c r="Z432" s="58"/>
      <c r="AA432" s="58"/>
      <c r="AB432" s="58"/>
      <c r="AC432" s="58"/>
      <c r="AD432" s="58"/>
      <c r="AE432" s="58"/>
      <c r="AF432" s="58"/>
      <c r="AG432" s="58"/>
      <c r="AH432" s="58"/>
      <c r="AI432" s="58"/>
      <c r="AJ432" s="58"/>
      <c r="AK432" s="58"/>
      <c r="AL432" s="58"/>
      <c r="AM432" s="58"/>
      <c r="AN432" s="58"/>
      <c r="AO432" s="58"/>
      <c r="AP432" s="58"/>
      <c r="AQ432" s="58"/>
      <c r="AR432" s="58"/>
      <c r="AS432" s="58"/>
    </row>
    <row r="433" spans="1:45" x14ac:dyDescent="0.25">
      <c r="A433" s="58"/>
      <c r="J433" s="58"/>
      <c r="K433" s="58"/>
      <c r="L433" s="58"/>
      <c r="M433" s="58"/>
      <c r="N433" s="58"/>
      <c r="O433" s="58"/>
      <c r="P433" s="58"/>
      <c r="Q433" s="58"/>
      <c r="R433" s="58"/>
      <c r="S433" s="58"/>
      <c r="T433" s="58"/>
      <c r="U433" s="58"/>
      <c r="V433" s="58"/>
      <c r="W433" s="58"/>
      <c r="X433" s="58"/>
      <c r="Y433" s="58"/>
      <c r="Z433" s="58"/>
      <c r="AA433" s="58"/>
      <c r="AB433" s="58"/>
      <c r="AC433" s="58"/>
      <c r="AD433" s="58"/>
      <c r="AE433" s="58"/>
      <c r="AF433" s="58"/>
      <c r="AG433" s="58"/>
      <c r="AH433" s="58"/>
      <c r="AI433" s="58"/>
      <c r="AJ433" s="58"/>
      <c r="AK433" s="58"/>
      <c r="AL433" s="58"/>
      <c r="AM433" s="58"/>
      <c r="AN433" s="58"/>
      <c r="AO433" s="58"/>
      <c r="AP433" s="58"/>
      <c r="AQ433" s="58"/>
      <c r="AR433" s="58"/>
      <c r="AS433" s="58"/>
    </row>
    <row r="434" spans="1:45" x14ac:dyDescent="0.25">
      <c r="A434" s="58"/>
      <c r="J434" s="58"/>
      <c r="K434" s="58"/>
      <c r="L434" s="58"/>
      <c r="M434" s="58"/>
      <c r="N434" s="58"/>
      <c r="O434" s="58"/>
      <c r="P434" s="58"/>
      <c r="Q434" s="58"/>
      <c r="R434" s="58"/>
      <c r="S434" s="58"/>
      <c r="T434" s="58"/>
      <c r="U434" s="58"/>
      <c r="V434" s="58"/>
      <c r="W434" s="58"/>
      <c r="X434" s="58"/>
      <c r="Y434" s="58"/>
      <c r="Z434" s="58"/>
      <c r="AA434" s="58"/>
      <c r="AB434" s="58"/>
      <c r="AC434" s="58"/>
      <c r="AD434" s="58"/>
      <c r="AE434" s="58"/>
      <c r="AF434" s="58"/>
      <c r="AG434" s="58"/>
      <c r="AH434" s="58"/>
      <c r="AI434" s="58"/>
      <c r="AJ434" s="58"/>
      <c r="AK434" s="58"/>
      <c r="AL434" s="58"/>
      <c r="AM434" s="58"/>
      <c r="AN434" s="58"/>
      <c r="AO434" s="58"/>
      <c r="AP434" s="58"/>
      <c r="AQ434" s="58"/>
      <c r="AR434" s="58"/>
      <c r="AS434" s="58"/>
    </row>
    <row r="435" spans="1:45" x14ac:dyDescent="0.25">
      <c r="A435" s="58"/>
      <c r="J435" s="58"/>
      <c r="K435" s="58"/>
      <c r="L435" s="58"/>
      <c r="M435" s="58"/>
      <c r="N435" s="58"/>
      <c r="O435" s="58"/>
      <c r="P435" s="58"/>
      <c r="Q435" s="58"/>
      <c r="R435" s="58"/>
      <c r="S435" s="58"/>
      <c r="T435" s="58"/>
      <c r="U435" s="58"/>
      <c r="V435" s="58"/>
      <c r="W435" s="58"/>
      <c r="X435" s="58"/>
      <c r="Y435" s="58"/>
      <c r="Z435" s="58"/>
      <c r="AA435" s="58"/>
      <c r="AB435" s="58"/>
      <c r="AC435" s="58"/>
      <c r="AD435" s="58"/>
      <c r="AE435" s="58"/>
      <c r="AF435" s="58"/>
      <c r="AG435" s="58"/>
      <c r="AH435" s="58"/>
      <c r="AI435" s="58"/>
      <c r="AJ435" s="58"/>
      <c r="AK435" s="58"/>
      <c r="AL435" s="58"/>
      <c r="AM435" s="58"/>
      <c r="AN435" s="58"/>
      <c r="AO435" s="58"/>
      <c r="AP435" s="58"/>
      <c r="AQ435" s="58"/>
      <c r="AR435" s="58"/>
      <c r="AS435" s="58"/>
    </row>
    <row r="436" spans="1:45" x14ac:dyDescent="0.25">
      <c r="A436" s="58"/>
      <c r="J436" s="58"/>
      <c r="K436" s="58"/>
      <c r="L436" s="58"/>
      <c r="M436" s="58"/>
      <c r="N436" s="58"/>
      <c r="O436" s="58"/>
      <c r="P436" s="58"/>
      <c r="Q436" s="58"/>
      <c r="R436" s="58"/>
      <c r="S436" s="58"/>
      <c r="T436" s="58"/>
      <c r="U436" s="58"/>
      <c r="V436" s="58"/>
      <c r="W436" s="58"/>
      <c r="X436" s="58"/>
      <c r="Y436" s="58"/>
      <c r="Z436" s="58"/>
      <c r="AA436" s="58"/>
      <c r="AB436" s="58"/>
      <c r="AC436" s="58"/>
      <c r="AD436" s="58"/>
      <c r="AE436" s="58"/>
      <c r="AF436" s="58"/>
      <c r="AG436" s="58"/>
      <c r="AH436" s="58"/>
      <c r="AI436" s="58"/>
      <c r="AJ436" s="58"/>
      <c r="AK436" s="58"/>
      <c r="AL436" s="58"/>
      <c r="AM436" s="58"/>
      <c r="AN436" s="58"/>
      <c r="AO436" s="58"/>
      <c r="AP436" s="58"/>
      <c r="AQ436" s="58"/>
      <c r="AR436" s="58"/>
      <c r="AS436" s="58"/>
    </row>
    <row r="437" spans="1:45" x14ac:dyDescent="0.25">
      <c r="A437" s="58"/>
      <c r="J437" s="58"/>
      <c r="K437" s="58"/>
      <c r="L437" s="58"/>
      <c r="M437" s="58"/>
      <c r="N437" s="58"/>
      <c r="O437" s="58"/>
      <c r="P437" s="58"/>
      <c r="Q437" s="58"/>
      <c r="R437" s="58"/>
      <c r="S437" s="58"/>
      <c r="T437" s="58"/>
      <c r="U437" s="58"/>
      <c r="V437" s="58"/>
      <c r="W437" s="58"/>
      <c r="X437" s="58"/>
      <c r="Y437" s="58"/>
      <c r="Z437" s="58"/>
      <c r="AA437" s="58"/>
      <c r="AB437" s="58"/>
      <c r="AC437" s="58"/>
      <c r="AD437" s="58"/>
      <c r="AE437" s="58"/>
      <c r="AF437" s="58"/>
      <c r="AG437" s="58"/>
      <c r="AH437" s="58"/>
      <c r="AI437" s="58"/>
      <c r="AJ437" s="58"/>
      <c r="AK437" s="58"/>
      <c r="AL437" s="58"/>
      <c r="AM437" s="58"/>
      <c r="AN437" s="58"/>
      <c r="AO437" s="58"/>
      <c r="AP437" s="58"/>
      <c r="AQ437" s="58"/>
      <c r="AR437" s="58"/>
      <c r="AS437" s="58"/>
    </row>
    <row r="438" spans="1:45" x14ac:dyDescent="0.25">
      <c r="A438" s="58"/>
      <c r="J438" s="58"/>
      <c r="K438" s="58"/>
      <c r="L438" s="58"/>
      <c r="M438" s="58"/>
      <c r="N438" s="58"/>
      <c r="O438" s="58"/>
      <c r="P438" s="58"/>
      <c r="Q438" s="58"/>
      <c r="R438" s="58"/>
      <c r="S438" s="58"/>
      <c r="T438" s="58"/>
      <c r="U438" s="58"/>
      <c r="V438" s="58"/>
      <c r="W438" s="58"/>
      <c r="X438" s="58"/>
      <c r="Y438" s="58"/>
      <c r="Z438" s="58"/>
      <c r="AA438" s="58"/>
      <c r="AB438" s="58"/>
      <c r="AC438" s="58"/>
      <c r="AD438" s="58"/>
      <c r="AE438" s="58"/>
      <c r="AF438" s="58"/>
      <c r="AG438" s="58"/>
      <c r="AH438" s="58"/>
      <c r="AI438" s="58"/>
      <c r="AJ438" s="58"/>
      <c r="AK438" s="58"/>
      <c r="AL438" s="58"/>
      <c r="AM438" s="58"/>
      <c r="AN438" s="58"/>
      <c r="AO438" s="58"/>
      <c r="AP438" s="58"/>
      <c r="AQ438" s="58"/>
      <c r="AR438" s="58"/>
      <c r="AS438" s="58"/>
    </row>
    <row r="439" spans="1:45" x14ac:dyDescent="0.25">
      <c r="A439" s="58"/>
      <c r="J439" s="58"/>
      <c r="K439" s="58"/>
      <c r="L439" s="58"/>
      <c r="M439" s="58"/>
      <c r="N439" s="58"/>
      <c r="O439" s="58"/>
      <c r="P439" s="58"/>
      <c r="Q439" s="58"/>
      <c r="R439" s="58"/>
      <c r="S439" s="58"/>
      <c r="T439" s="58"/>
      <c r="U439" s="58"/>
      <c r="V439" s="58"/>
      <c r="W439" s="58"/>
      <c r="X439" s="58"/>
      <c r="Y439" s="58"/>
      <c r="Z439" s="58"/>
      <c r="AA439" s="58"/>
      <c r="AB439" s="58"/>
      <c r="AC439" s="58"/>
      <c r="AD439" s="58"/>
      <c r="AE439" s="58"/>
      <c r="AF439" s="58"/>
      <c r="AG439" s="58"/>
      <c r="AH439" s="58"/>
      <c r="AI439" s="58"/>
      <c r="AJ439" s="58"/>
      <c r="AK439" s="58"/>
      <c r="AL439" s="58"/>
      <c r="AM439" s="58"/>
      <c r="AN439" s="58"/>
      <c r="AO439" s="58"/>
      <c r="AP439" s="58"/>
      <c r="AQ439" s="58"/>
      <c r="AR439" s="58"/>
      <c r="AS439" s="58"/>
    </row>
    <row r="440" spans="1:45" x14ac:dyDescent="0.25">
      <c r="A440" s="58"/>
      <c r="J440" s="58"/>
      <c r="K440" s="58"/>
      <c r="L440" s="58"/>
      <c r="M440" s="58"/>
      <c r="N440" s="58"/>
      <c r="O440" s="58"/>
      <c r="P440" s="58"/>
      <c r="Q440" s="58"/>
      <c r="R440" s="58"/>
      <c r="S440" s="58"/>
      <c r="T440" s="58"/>
      <c r="U440" s="58"/>
      <c r="V440" s="58"/>
      <c r="W440" s="58"/>
      <c r="X440" s="58"/>
      <c r="Y440" s="58"/>
      <c r="Z440" s="58"/>
      <c r="AA440" s="58"/>
      <c r="AB440" s="58"/>
      <c r="AC440" s="58"/>
      <c r="AD440" s="58"/>
      <c r="AE440" s="58"/>
      <c r="AF440" s="58"/>
      <c r="AG440" s="58"/>
      <c r="AH440" s="58"/>
      <c r="AI440" s="58"/>
      <c r="AJ440" s="58"/>
      <c r="AK440" s="58"/>
      <c r="AL440" s="58"/>
      <c r="AM440" s="58"/>
      <c r="AN440" s="58"/>
      <c r="AO440" s="58"/>
      <c r="AP440" s="58"/>
      <c r="AQ440" s="58"/>
      <c r="AR440" s="58"/>
      <c r="AS440" s="58"/>
    </row>
    <row r="441" spans="1:45" x14ac:dyDescent="0.25">
      <c r="A441" s="58"/>
      <c r="J441" s="58"/>
      <c r="K441" s="58"/>
      <c r="L441" s="58"/>
      <c r="M441" s="58"/>
      <c r="N441" s="58"/>
      <c r="O441" s="58"/>
      <c r="P441" s="58"/>
      <c r="Q441" s="58"/>
      <c r="R441" s="58"/>
      <c r="S441" s="58"/>
      <c r="T441" s="58"/>
      <c r="U441" s="58"/>
      <c r="V441" s="58"/>
      <c r="W441" s="58"/>
      <c r="X441" s="58"/>
      <c r="Y441" s="58"/>
      <c r="Z441" s="58"/>
      <c r="AA441" s="58"/>
      <c r="AB441" s="58"/>
      <c r="AC441" s="58"/>
      <c r="AD441" s="58"/>
      <c r="AE441" s="58"/>
      <c r="AF441" s="58"/>
      <c r="AG441" s="58"/>
      <c r="AH441" s="58"/>
      <c r="AI441" s="58"/>
      <c r="AJ441" s="58"/>
      <c r="AK441" s="58"/>
      <c r="AL441" s="58"/>
      <c r="AM441" s="58"/>
      <c r="AN441" s="58"/>
      <c r="AO441" s="58"/>
      <c r="AP441" s="58"/>
      <c r="AQ441" s="58"/>
      <c r="AR441" s="58"/>
      <c r="AS441" s="58"/>
    </row>
    <row r="442" spans="1:45" x14ac:dyDescent="0.25">
      <c r="A442" s="58"/>
      <c r="J442" s="58"/>
      <c r="K442" s="58"/>
      <c r="L442" s="58"/>
      <c r="M442" s="58"/>
      <c r="N442" s="58"/>
      <c r="O442" s="58"/>
      <c r="P442" s="58"/>
      <c r="Q442" s="58"/>
      <c r="R442" s="58"/>
      <c r="S442" s="58"/>
      <c r="T442" s="58"/>
      <c r="U442" s="58"/>
      <c r="V442" s="58"/>
      <c r="W442" s="58"/>
      <c r="X442" s="58"/>
      <c r="Y442" s="58"/>
      <c r="Z442" s="58"/>
      <c r="AA442" s="58"/>
      <c r="AB442" s="58"/>
      <c r="AC442" s="58"/>
      <c r="AD442" s="58"/>
      <c r="AE442" s="58"/>
      <c r="AF442" s="58"/>
      <c r="AG442" s="58"/>
      <c r="AH442" s="58"/>
      <c r="AI442" s="58"/>
      <c r="AJ442" s="58"/>
      <c r="AK442" s="58"/>
      <c r="AL442" s="58"/>
      <c r="AM442" s="58"/>
      <c r="AN442" s="58"/>
      <c r="AO442" s="58"/>
      <c r="AP442" s="58"/>
      <c r="AQ442" s="58"/>
      <c r="AR442" s="58"/>
      <c r="AS442" s="58"/>
    </row>
    <row r="443" spans="1:45" x14ac:dyDescent="0.25">
      <c r="A443" s="58"/>
      <c r="J443" s="58"/>
      <c r="K443" s="58"/>
      <c r="L443" s="58"/>
      <c r="M443" s="58"/>
      <c r="N443" s="58"/>
      <c r="O443" s="58"/>
      <c r="P443" s="58"/>
      <c r="Q443" s="58"/>
      <c r="R443" s="58"/>
      <c r="S443" s="58"/>
      <c r="T443" s="58"/>
      <c r="U443" s="58"/>
      <c r="V443" s="58"/>
      <c r="W443" s="58"/>
      <c r="X443" s="58"/>
      <c r="Y443" s="58"/>
      <c r="Z443" s="58"/>
      <c r="AA443" s="58"/>
      <c r="AB443" s="58"/>
      <c r="AC443" s="58"/>
      <c r="AD443" s="58"/>
      <c r="AE443" s="58"/>
      <c r="AF443" s="58"/>
      <c r="AG443" s="58"/>
      <c r="AH443" s="58"/>
      <c r="AI443" s="58"/>
      <c r="AJ443" s="58"/>
      <c r="AK443" s="58"/>
      <c r="AL443" s="58"/>
      <c r="AM443" s="58"/>
      <c r="AN443" s="58"/>
      <c r="AO443" s="58"/>
      <c r="AP443" s="58"/>
      <c r="AQ443" s="58"/>
      <c r="AR443" s="58"/>
      <c r="AS443" s="58"/>
    </row>
    <row r="444" spans="1:45" x14ac:dyDescent="0.25">
      <c r="A444" s="58"/>
      <c r="J444" s="58"/>
      <c r="K444" s="58"/>
      <c r="L444" s="58"/>
      <c r="M444" s="58"/>
      <c r="N444" s="58"/>
      <c r="O444" s="58"/>
      <c r="P444" s="58"/>
      <c r="Q444" s="58"/>
      <c r="R444" s="58"/>
      <c r="S444" s="58"/>
      <c r="T444" s="58"/>
      <c r="U444" s="58"/>
      <c r="V444" s="58"/>
      <c r="W444" s="58"/>
      <c r="X444" s="58"/>
      <c r="Y444" s="58"/>
      <c r="Z444" s="58"/>
      <c r="AA444" s="58"/>
      <c r="AB444" s="58"/>
      <c r="AC444" s="58"/>
      <c r="AD444" s="58"/>
      <c r="AE444" s="58"/>
      <c r="AF444" s="58"/>
      <c r="AG444" s="58"/>
      <c r="AH444" s="58"/>
      <c r="AI444" s="58"/>
      <c r="AJ444" s="58"/>
      <c r="AK444" s="58"/>
      <c r="AL444" s="58"/>
      <c r="AM444" s="58"/>
      <c r="AN444" s="58"/>
      <c r="AO444" s="58"/>
      <c r="AP444" s="58"/>
      <c r="AQ444" s="58"/>
      <c r="AR444" s="58"/>
      <c r="AS444" s="58"/>
    </row>
    <row r="445" spans="1:45" x14ac:dyDescent="0.25">
      <c r="A445" s="58"/>
    </row>
    <row r="446" spans="1:45" x14ac:dyDescent="0.25">
      <c r="A446" s="58"/>
    </row>
    <row r="447" spans="1:45" x14ac:dyDescent="0.25">
      <c r="A447" s="58"/>
    </row>
    <row r="448" spans="1:45" x14ac:dyDescent="0.25">
      <c r="A448" s="58"/>
    </row>
  </sheetData>
  <mergeCells count="17">
    <mergeCell ref="J256:L261"/>
    <mergeCell ref="M256:O261"/>
    <mergeCell ref="P256:R261"/>
    <mergeCell ref="S256:U261"/>
    <mergeCell ref="V256:X261"/>
    <mergeCell ref="Z56:AE105"/>
    <mergeCell ref="E56:I105"/>
    <mergeCell ref="Z6:AE55"/>
    <mergeCell ref="B2:I4"/>
    <mergeCell ref="J2:X4"/>
    <mergeCell ref="B6:D255"/>
    <mergeCell ref="E6:I55"/>
    <mergeCell ref="E206:I255"/>
    <mergeCell ref="Z156:AE205"/>
    <mergeCell ref="E156:I205"/>
    <mergeCell ref="Z106:AE155"/>
    <mergeCell ref="E106:I15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opLeftCell="A3"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58"/>
      <c r="B1" s="412" t="s">
        <v>49</v>
      </c>
      <c r="C1" s="412"/>
      <c r="D1" s="412"/>
      <c r="E1" s="58"/>
      <c r="F1" s="58"/>
      <c r="G1" s="58"/>
      <c r="H1" s="58"/>
      <c r="I1" s="58"/>
      <c r="J1" s="58"/>
      <c r="K1" s="58"/>
      <c r="L1" s="58"/>
      <c r="M1" s="58"/>
      <c r="N1" s="58"/>
      <c r="O1" s="58"/>
      <c r="P1" s="58"/>
      <c r="Q1" s="58"/>
      <c r="R1" s="58"/>
      <c r="S1" s="58"/>
      <c r="T1" s="58"/>
      <c r="U1" s="58"/>
      <c r="V1" s="58"/>
      <c r="W1" s="58"/>
      <c r="X1" s="58"/>
      <c r="Y1" s="58"/>
      <c r="Z1" s="58"/>
      <c r="AA1" s="58"/>
      <c r="AB1" s="58"/>
      <c r="AC1" s="58"/>
      <c r="AD1" s="58"/>
      <c r="AE1" s="58"/>
    </row>
    <row r="2" spans="1:37" x14ac:dyDescent="0.25">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row>
    <row r="3" spans="1:37" ht="25.5" x14ac:dyDescent="0.25">
      <c r="A3" s="58"/>
      <c r="B3" s="8"/>
      <c r="C3" s="9" t="s">
        <v>46</v>
      </c>
      <c r="D3" s="9" t="s">
        <v>4</v>
      </c>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1:37" ht="51" x14ac:dyDescent="0.25">
      <c r="A4" s="58"/>
      <c r="B4" s="10" t="s">
        <v>45</v>
      </c>
      <c r="C4" s="11" t="s">
        <v>96</v>
      </c>
      <c r="D4" s="12">
        <v>0.2</v>
      </c>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7" ht="51" x14ac:dyDescent="0.25">
      <c r="A5" s="58"/>
      <c r="B5" s="13" t="s">
        <v>47</v>
      </c>
      <c r="C5" s="14" t="s">
        <v>97</v>
      </c>
      <c r="D5" s="15">
        <v>0.4</v>
      </c>
      <c r="E5" s="58"/>
      <c r="F5" s="58"/>
      <c r="G5" s="58"/>
      <c r="H5" s="58"/>
      <c r="I5" s="58"/>
      <c r="J5" s="58"/>
      <c r="K5" s="58"/>
      <c r="L5" s="58"/>
      <c r="M5" s="58"/>
      <c r="N5" s="58"/>
      <c r="O5" s="58"/>
      <c r="P5" s="58"/>
      <c r="Q5" s="58"/>
      <c r="R5" s="58"/>
      <c r="S5" s="58"/>
      <c r="T5" s="58"/>
      <c r="U5" s="58"/>
      <c r="V5" s="58"/>
      <c r="W5" s="58"/>
      <c r="X5" s="58"/>
      <c r="Y5" s="58"/>
      <c r="Z5" s="58"/>
      <c r="AA5" s="58"/>
      <c r="AB5" s="58"/>
      <c r="AC5" s="58"/>
      <c r="AD5" s="58"/>
      <c r="AE5" s="58"/>
    </row>
    <row r="6" spans="1:37" ht="51" x14ac:dyDescent="0.25">
      <c r="A6" s="58"/>
      <c r="B6" s="16" t="s">
        <v>101</v>
      </c>
      <c r="C6" s="14" t="s">
        <v>98</v>
      </c>
      <c r="D6" s="15">
        <v>0.6</v>
      </c>
      <c r="E6" s="58"/>
      <c r="F6" s="58"/>
      <c r="G6" s="58"/>
      <c r="H6" s="58"/>
      <c r="I6" s="58"/>
      <c r="J6" s="58"/>
      <c r="K6" s="58"/>
      <c r="L6" s="58"/>
      <c r="M6" s="58"/>
      <c r="N6" s="58"/>
      <c r="O6" s="58"/>
      <c r="P6" s="58"/>
      <c r="Q6" s="58"/>
      <c r="R6" s="58"/>
      <c r="S6" s="58"/>
      <c r="T6" s="58"/>
      <c r="U6" s="58"/>
      <c r="V6" s="58"/>
      <c r="W6" s="58"/>
      <c r="X6" s="58"/>
      <c r="Y6" s="58"/>
      <c r="Z6" s="58"/>
      <c r="AA6" s="58"/>
      <c r="AB6" s="58"/>
      <c r="AC6" s="58"/>
      <c r="AD6" s="58"/>
      <c r="AE6" s="58"/>
    </row>
    <row r="7" spans="1:37" ht="76.5" x14ac:dyDescent="0.25">
      <c r="A7" s="58"/>
      <c r="B7" s="17" t="s">
        <v>6</v>
      </c>
      <c r="C7" s="14" t="s">
        <v>99</v>
      </c>
      <c r="D7" s="15">
        <v>0.8</v>
      </c>
      <c r="E7" s="58"/>
      <c r="F7" s="58"/>
      <c r="G7" s="58"/>
      <c r="H7" s="58"/>
      <c r="I7" s="58"/>
      <c r="J7" s="58"/>
      <c r="K7" s="58"/>
      <c r="L7" s="58"/>
      <c r="M7" s="58"/>
      <c r="N7" s="58"/>
      <c r="O7" s="58"/>
      <c r="P7" s="58"/>
      <c r="Q7" s="58"/>
      <c r="R7" s="58"/>
      <c r="S7" s="58"/>
      <c r="T7" s="58"/>
      <c r="U7" s="58"/>
      <c r="V7" s="58"/>
      <c r="W7" s="58"/>
      <c r="X7" s="58"/>
      <c r="Y7" s="58"/>
      <c r="Z7" s="58"/>
      <c r="AA7" s="58"/>
      <c r="AB7" s="58"/>
      <c r="AC7" s="58"/>
      <c r="AD7" s="58"/>
      <c r="AE7" s="58"/>
    </row>
    <row r="8" spans="1:37" ht="51" x14ac:dyDescent="0.25">
      <c r="A8" s="58"/>
      <c r="B8" s="18" t="s">
        <v>48</v>
      </c>
      <c r="C8" s="14" t="s">
        <v>100</v>
      </c>
      <c r="D8" s="15">
        <v>1</v>
      </c>
      <c r="E8" s="58"/>
      <c r="F8" s="58"/>
      <c r="G8" s="58"/>
      <c r="H8" s="58"/>
      <c r="I8" s="58"/>
      <c r="J8" s="58"/>
      <c r="K8" s="58"/>
      <c r="L8" s="58"/>
      <c r="M8" s="58"/>
      <c r="N8" s="58"/>
      <c r="O8" s="58"/>
      <c r="P8" s="58"/>
      <c r="Q8" s="58"/>
      <c r="R8" s="58"/>
      <c r="S8" s="58"/>
      <c r="T8" s="58"/>
      <c r="U8" s="58"/>
      <c r="V8" s="58"/>
      <c r="W8" s="58"/>
      <c r="X8" s="58"/>
      <c r="Y8" s="58"/>
      <c r="Z8" s="58"/>
      <c r="AA8" s="58"/>
      <c r="AB8" s="58"/>
      <c r="AC8" s="58"/>
      <c r="AD8" s="58"/>
      <c r="AE8" s="58"/>
    </row>
    <row r="9" spans="1:37" x14ac:dyDescent="0.25">
      <c r="A9" s="58"/>
      <c r="B9" s="82"/>
      <c r="C9" s="82"/>
      <c r="D9" s="82"/>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row>
    <row r="10" spans="1:37" ht="16.5" x14ac:dyDescent="0.25">
      <c r="A10" s="58"/>
      <c r="B10" s="83"/>
      <c r="C10" s="82"/>
      <c r="D10" s="82"/>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row>
    <row r="11" spans="1:37" x14ac:dyDescent="0.25">
      <c r="A11" s="58"/>
      <c r="B11" s="82"/>
      <c r="C11" s="82"/>
      <c r="D11" s="82"/>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row>
    <row r="12" spans="1:37" x14ac:dyDescent="0.25">
      <c r="A12" s="58"/>
      <c r="B12" s="82"/>
      <c r="C12" s="82"/>
      <c r="D12" s="82"/>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row>
    <row r="13" spans="1:37" x14ac:dyDescent="0.25">
      <c r="A13" s="58"/>
      <c r="B13" s="82"/>
      <c r="C13" s="82"/>
      <c r="D13" s="82"/>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row>
    <row r="14" spans="1:37" x14ac:dyDescent="0.25">
      <c r="A14" s="58"/>
      <c r="B14" s="82"/>
      <c r="C14" s="82"/>
      <c r="D14" s="82"/>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row>
    <row r="15" spans="1:37" x14ac:dyDescent="0.25">
      <c r="A15" s="58"/>
      <c r="B15" s="82"/>
      <c r="C15" s="82"/>
      <c r="D15" s="82"/>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row>
    <row r="16" spans="1:37" x14ac:dyDescent="0.25">
      <c r="A16" s="58"/>
      <c r="B16" s="82"/>
      <c r="C16" s="82"/>
      <c r="D16" s="82"/>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row>
    <row r="17" spans="1:37" x14ac:dyDescent="0.25">
      <c r="A17" s="58"/>
      <c r="B17" s="82"/>
      <c r="C17" s="82"/>
      <c r="D17" s="82"/>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row>
    <row r="18" spans="1:37" x14ac:dyDescent="0.25">
      <c r="A18" s="58"/>
      <c r="B18" s="82"/>
      <c r="C18" s="82"/>
      <c r="D18" s="82"/>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row>
    <row r="19" spans="1:37" x14ac:dyDescent="0.25">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row>
    <row r="20" spans="1:37" x14ac:dyDescent="0.25">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row>
    <row r="21" spans="1:37" x14ac:dyDescent="0.25">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row>
    <row r="22" spans="1:37" x14ac:dyDescent="0.25">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row>
    <row r="23" spans="1:37" x14ac:dyDescent="0.25">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row>
    <row r="24" spans="1:37" x14ac:dyDescent="0.25">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row>
    <row r="25" spans="1:37" x14ac:dyDescent="0.25">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row>
    <row r="26" spans="1:37" x14ac:dyDescent="0.25">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row>
    <row r="27" spans="1:37" x14ac:dyDescent="0.25">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row>
    <row r="28" spans="1:37" x14ac:dyDescent="0.25">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1:37" x14ac:dyDescent="0.25">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row>
    <row r="30" spans="1:37" x14ac:dyDescent="0.25">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row>
    <row r="31" spans="1:37" x14ac:dyDescent="0.25">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row>
    <row r="32" spans="1:37" x14ac:dyDescent="0.25">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row>
    <row r="33" spans="1:31" x14ac:dyDescent="0.25">
      <c r="A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row>
    <row r="34" spans="1:31" x14ac:dyDescent="0.25">
      <c r="A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row>
    <row r="35" spans="1:31" x14ac:dyDescent="0.25">
      <c r="A35" s="58"/>
    </row>
    <row r="36" spans="1:31" x14ac:dyDescent="0.25">
      <c r="A36" s="58"/>
    </row>
    <row r="37" spans="1:31" x14ac:dyDescent="0.25">
      <c r="A37" s="58"/>
    </row>
    <row r="38" spans="1:31" x14ac:dyDescent="0.25">
      <c r="A38" s="58"/>
    </row>
    <row r="39" spans="1:31" x14ac:dyDescent="0.25">
      <c r="A39" s="58"/>
    </row>
    <row r="40" spans="1:31" x14ac:dyDescent="0.25">
      <c r="A40" s="58"/>
    </row>
    <row r="41" spans="1:31" x14ac:dyDescent="0.25">
      <c r="A41" s="58"/>
    </row>
    <row r="42" spans="1:31" x14ac:dyDescent="0.25">
      <c r="A42" s="58"/>
    </row>
    <row r="43" spans="1:31" x14ac:dyDescent="0.25">
      <c r="A43" s="58"/>
    </row>
    <row r="44" spans="1:31" x14ac:dyDescent="0.25">
      <c r="A44" s="58"/>
    </row>
    <row r="45" spans="1:31" x14ac:dyDescent="0.25">
      <c r="A45" s="58"/>
    </row>
    <row r="46" spans="1:31" x14ac:dyDescent="0.25">
      <c r="A46" s="58"/>
    </row>
    <row r="47" spans="1:31" x14ac:dyDescent="0.25">
      <c r="A47" s="58"/>
    </row>
    <row r="48" spans="1:31" x14ac:dyDescent="0.25">
      <c r="A48" s="58"/>
    </row>
    <row r="49" spans="1:1" x14ac:dyDescent="0.25">
      <c r="A49" s="58"/>
    </row>
    <row r="50" spans="1:1" x14ac:dyDescent="0.25">
      <c r="A50" s="58"/>
    </row>
    <row r="51" spans="1:1" x14ac:dyDescent="0.25">
      <c r="A51" s="58"/>
    </row>
    <row r="52" spans="1:1" x14ac:dyDescent="0.25">
      <c r="A52" s="58"/>
    </row>
    <row r="53" spans="1:1" x14ac:dyDescent="0.25">
      <c r="A53" s="58"/>
    </row>
    <row r="54" spans="1:1" x14ac:dyDescent="0.25">
      <c r="A54" s="58"/>
    </row>
    <row r="55" spans="1:1" x14ac:dyDescent="0.25">
      <c r="A55" s="58"/>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D201" zoomScale="60" zoomScaleNormal="60" workbookViewId="0">
      <selection activeCell="F227" sqref="F227"/>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58"/>
      <c r="B1" s="413" t="s">
        <v>57</v>
      </c>
      <c r="C1" s="413"/>
      <c r="D1" s="413"/>
      <c r="E1" s="58"/>
      <c r="F1" s="58"/>
      <c r="G1" s="58"/>
      <c r="H1" s="58"/>
      <c r="I1" s="58"/>
      <c r="J1" s="58"/>
      <c r="K1" s="58"/>
      <c r="L1" s="58"/>
      <c r="M1" s="58"/>
      <c r="N1" s="58"/>
      <c r="O1" s="58"/>
      <c r="P1" s="58"/>
      <c r="Q1" s="58"/>
      <c r="R1" s="58"/>
      <c r="S1" s="58"/>
      <c r="T1" s="58"/>
      <c r="U1" s="58"/>
    </row>
    <row r="2" spans="1:21" x14ac:dyDescent="0.25">
      <c r="A2" s="58"/>
      <c r="B2" s="58"/>
      <c r="C2" s="58"/>
      <c r="D2" s="58"/>
      <c r="E2" s="58"/>
      <c r="F2" s="58"/>
      <c r="G2" s="58"/>
      <c r="H2" s="58"/>
      <c r="I2" s="58"/>
      <c r="J2" s="58"/>
      <c r="K2" s="58"/>
      <c r="L2" s="58"/>
      <c r="M2" s="58"/>
      <c r="N2" s="58"/>
      <c r="O2" s="58"/>
      <c r="P2" s="58"/>
      <c r="Q2" s="58"/>
      <c r="R2" s="58"/>
      <c r="S2" s="58"/>
      <c r="T2" s="58"/>
      <c r="U2" s="58"/>
    </row>
    <row r="3" spans="1:21" ht="30" x14ac:dyDescent="0.25">
      <c r="A3" s="58"/>
      <c r="B3" s="79"/>
      <c r="C3" s="32" t="s">
        <v>50</v>
      </c>
      <c r="D3" s="32" t="s">
        <v>51</v>
      </c>
      <c r="E3" s="58"/>
      <c r="F3" s="58"/>
      <c r="G3" s="58"/>
      <c r="H3" s="58"/>
      <c r="I3" s="58"/>
      <c r="J3" s="58"/>
      <c r="K3" s="58"/>
      <c r="L3" s="58"/>
      <c r="M3" s="58"/>
      <c r="N3" s="58"/>
      <c r="O3" s="58"/>
      <c r="P3" s="58"/>
      <c r="Q3" s="58"/>
      <c r="R3" s="58"/>
      <c r="S3" s="58"/>
      <c r="T3" s="58"/>
      <c r="U3" s="58"/>
    </row>
    <row r="4" spans="1:21" ht="33.75" x14ac:dyDescent="0.25">
      <c r="A4" s="78" t="s">
        <v>77</v>
      </c>
      <c r="B4" s="35" t="s">
        <v>95</v>
      </c>
      <c r="C4" s="40" t="s">
        <v>149</v>
      </c>
      <c r="D4" s="33" t="s">
        <v>91</v>
      </c>
      <c r="E4" s="58"/>
      <c r="F4" s="58"/>
      <c r="G4" s="58"/>
      <c r="H4" s="58"/>
      <c r="I4" s="58"/>
      <c r="J4" s="58"/>
      <c r="K4" s="58"/>
      <c r="L4" s="58"/>
      <c r="M4" s="58"/>
      <c r="N4" s="58"/>
      <c r="O4" s="58"/>
      <c r="P4" s="58"/>
      <c r="Q4" s="58"/>
      <c r="R4" s="58"/>
      <c r="S4" s="58"/>
      <c r="T4" s="58"/>
      <c r="U4" s="58"/>
    </row>
    <row r="5" spans="1:21" ht="67.5" x14ac:dyDescent="0.25">
      <c r="A5" s="78" t="s">
        <v>78</v>
      </c>
      <c r="B5" s="36" t="s">
        <v>53</v>
      </c>
      <c r="C5" s="41" t="s">
        <v>87</v>
      </c>
      <c r="D5" s="34" t="s">
        <v>92</v>
      </c>
      <c r="E5" s="58"/>
      <c r="F5" s="58"/>
      <c r="G5" s="58"/>
      <c r="H5" s="58"/>
      <c r="I5" s="58"/>
      <c r="J5" s="58"/>
      <c r="K5" s="58"/>
      <c r="L5" s="58"/>
      <c r="M5" s="58"/>
      <c r="N5" s="58"/>
      <c r="O5" s="58"/>
      <c r="P5" s="58"/>
      <c r="Q5" s="58"/>
      <c r="R5" s="58"/>
      <c r="S5" s="58"/>
      <c r="T5" s="58"/>
      <c r="U5" s="58"/>
    </row>
    <row r="6" spans="1:21" ht="67.5" x14ac:dyDescent="0.25">
      <c r="A6" s="78" t="s">
        <v>75</v>
      </c>
      <c r="B6" s="37" t="s">
        <v>54</v>
      </c>
      <c r="C6" s="41" t="s">
        <v>88</v>
      </c>
      <c r="D6" s="34" t="s">
        <v>94</v>
      </c>
      <c r="E6" s="58"/>
      <c r="F6" s="58"/>
      <c r="G6" s="58"/>
      <c r="H6" s="58"/>
      <c r="I6" s="58"/>
      <c r="J6" s="58"/>
      <c r="K6" s="58"/>
      <c r="L6" s="58"/>
      <c r="M6" s="58"/>
      <c r="N6" s="58"/>
      <c r="O6" s="58"/>
      <c r="P6" s="58"/>
      <c r="Q6" s="58"/>
      <c r="R6" s="58"/>
      <c r="S6" s="58"/>
      <c r="T6" s="58"/>
      <c r="U6" s="58"/>
    </row>
    <row r="7" spans="1:21" ht="101.25" x14ac:dyDescent="0.25">
      <c r="A7" s="78" t="s">
        <v>7</v>
      </c>
      <c r="B7" s="38" t="s">
        <v>55</v>
      </c>
      <c r="C7" s="41" t="s">
        <v>89</v>
      </c>
      <c r="D7" s="34" t="s">
        <v>93</v>
      </c>
      <c r="E7" s="58"/>
      <c r="F7" s="58"/>
      <c r="G7" s="58"/>
      <c r="H7" s="58"/>
      <c r="I7" s="58"/>
      <c r="J7" s="58"/>
      <c r="K7" s="58"/>
      <c r="L7" s="58"/>
      <c r="M7" s="58"/>
      <c r="N7" s="58"/>
      <c r="O7" s="58"/>
      <c r="P7" s="58"/>
      <c r="Q7" s="58"/>
      <c r="R7" s="58"/>
      <c r="S7" s="58"/>
      <c r="T7" s="58"/>
      <c r="U7" s="58"/>
    </row>
    <row r="8" spans="1:21" ht="67.5" x14ac:dyDescent="0.25">
      <c r="A8" s="78" t="s">
        <v>79</v>
      </c>
      <c r="B8" s="39" t="s">
        <v>56</v>
      </c>
      <c r="C8" s="41" t="s">
        <v>90</v>
      </c>
      <c r="D8" s="34" t="s">
        <v>112</v>
      </c>
      <c r="E8" s="58"/>
      <c r="F8" s="58"/>
      <c r="G8" s="58"/>
      <c r="H8" s="58"/>
      <c r="I8" s="58"/>
      <c r="J8" s="58"/>
      <c r="K8" s="58"/>
      <c r="L8" s="58"/>
      <c r="M8" s="58"/>
      <c r="N8" s="58"/>
      <c r="O8" s="58"/>
      <c r="P8" s="58"/>
      <c r="Q8" s="58"/>
      <c r="R8" s="58"/>
      <c r="S8" s="58"/>
      <c r="T8" s="58"/>
      <c r="U8" s="58"/>
    </row>
    <row r="9" spans="1:21" ht="20.25" x14ac:dyDescent="0.25">
      <c r="A9" s="78"/>
      <c r="B9" s="78"/>
      <c r="C9" s="80"/>
      <c r="D9" s="80"/>
      <c r="E9" s="58"/>
      <c r="F9" s="58"/>
      <c r="G9" s="58"/>
      <c r="H9" s="58"/>
      <c r="I9" s="58"/>
      <c r="J9" s="58"/>
      <c r="K9" s="58"/>
      <c r="L9" s="58"/>
      <c r="M9" s="58"/>
      <c r="N9" s="58"/>
      <c r="O9" s="58"/>
      <c r="P9" s="58"/>
      <c r="Q9" s="58"/>
      <c r="R9" s="58"/>
      <c r="S9" s="58"/>
      <c r="T9" s="58"/>
      <c r="U9" s="58"/>
    </row>
    <row r="10" spans="1:21" ht="16.5" x14ac:dyDescent="0.25">
      <c r="A10" s="78"/>
      <c r="B10" s="81"/>
      <c r="C10" s="81"/>
      <c r="D10" s="81"/>
      <c r="E10" s="58"/>
      <c r="F10" s="58"/>
      <c r="G10" s="58"/>
      <c r="H10" s="58"/>
      <c r="I10" s="58"/>
      <c r="J10" s="58"/>
      <c r="K10" s="58"/>
      <c r="L10" s="58"/>
      <c r="M10" s="58"/>
      <c r="N10" s="58"/>
      <c r="O10" s="58"/>
      <c r="P10" s="58"/>
      <c r="Q10" s="58"/>
      <c r="R10" s="58"/>
      <c r="S10" s="58"/>
      <c r="T10" s="58"/>
      <c r="U10" s="58"/>
    </row>
    <row r="11" spans="1:21" x14ac:dyDescent="0.25">
      <c r="A11" s="78"/>
      <c r="B11" s="78" t="s">
        <v>85</v>
      </c>
      <c r="C11" s="78" t="s">
        <v>137</v>
      </c>
      <c r="D11" s="78" t="s">
        <v>144</v>
      </c>
      <c r="E11" s="58"/>
      <c r="F11" s="58"/>
      <c r="G11" s="58"/>
      <c r="H11" s="58"/>
      <c r="I11" s="58"/>
      <c r="J11" s="58"/>
      <c r="K11" s="58"/>
      <c r="L11" s="58"/>
      <c r="M11" s="58"/>
      <c r="N11" s="58"/>
      <c r="O11" s="58"/>
      <c r="P11" s="58"/>
      <c r="Q11" s="58"/>
      <c r="R11" s="58"/>
      <c r="S11" s="58"/>
      <c r="T11" s="58"/>
      <c r="U11" s="58"/>
    </row>
    <row r="12" spans="1:21" x14ac:dyDescent="0.25">
      <c r="A12" s="78"/>
      <c r="B12" s="78" t="s">
        <v>83</v>
      </c>
      <c r="C12" s="78" t="s">
        <v>141</v>
      </c>
      <c r="D12" s="78" t="s">
        <v>145</v>
      </c>
      <c r="E12" s="58"/>
      <c r="F12" s="58"/>
      <c r="G12" s="58"/>
      <c r="H12" s="58"/>
      <c r="I12" s="58"/>
      <c r="J12" s="58"/>
      <c r="K12" s="58"/>
      <c r="L12" s="58"/>
      <c r="M12" s="58"/>
      <c r="N12" s="58"/>
      <c r="O12" s="58"/>
      <c r="P12" s="58"/>
      <c r="Q12" s="58"/>
      <c r="R12" s="58"/>
      <c r="S12" s="58"/>
      <c r="T12" s="58"/>
      <c r="U12" s="58"/>
    </row>
    <row r="13" spans="1:21" x14ac:dyDescent="0.25">
      <c r="A13" s="78"/>
      <c r="B13" s="78"/>
      <c r="C13" s="78" t="s">
        <v>140</v>
      </c>
      <c r="D13" s="78" t="s">
        <v>146</v>
      </c>
      <c r="E13" s="58"/>
      <c r="F13" s="58"/>
      <c r="G13" s="58"/>
      <c r="H13" s="58"/>
      <c r="I13" s="58"/>
      <c r="J13" s="58"/>
      <c r="K13" s="58"/>
      <c r="L13" s="58"/>
      <c r="M13" s="58"/>
      <c r="N13" s="58"/>
      <c r="O13" s="58"/>
      <c r="P13" s="58"/>
      <c r="Q13" s="58"/>
      <c r="R13" s="58"/>
      <c r="S13" s="58"/>
      <c r="T13" s="58"/>
      <c r="U13" s="58"/>
    </row>
    <row r="14" spans="1:21" x14ac:dyDescent="0.25">
      <c r="A14" s="78"/>
      <c r="B14" s="78"/>
      <c r="C14" s="78" t="s">
        <v>142</v>
      </c>
      <c r="D14" s="78" t="s">
        <v>147</v>
      </c>
      <c r="E14" s="58"/>
      <c r="F14" s="58"/>
      <c r="G14" s="58"/>
      <c r="H14" s="58"/>
      <c r="I14" s="58"/>
      <c r="J14" s="58"/>
      <c r="K14" s="58"/>
      <c r="L14" s="58"/>
      <c r="M14" s="58"/>
      <c r="N14" s="58"/>
      <c r="O14" s="58"/>
      <c r="P14" s="58"/>
      <c r="Q14" s="58"/>
      <c r="R14" s="58"/>
      <c r="S14" s="58"/>
      <c r="T14" s="58"/>
      <c r="U14" s="58"/>
    </row>
    <row r="15" spans="1:21" x14ac:dyDescent="0.25">
      <c r="A15" s="78"/>
      <c r="B15" s="78"/>
      <c r="C15" s="78" t="s">
        <v>143</v>
      </c>
      <c r="D15" s="78" t="s">
        <v>148</v>
      </c>
      <c r="E15" s="58"/>
      <c r="F15" s="58"/>
      <c r="G15" s="58"/>
      <c r="H15" s="58"/>
      <c r="I15" s="58"/>
      <c r="J15" s="58"/>
      <c r="K15" s="58"/>
      <c r="L15" s="58"/>
      <c r="M15" s="58"/>
      <c r="N15" s="58"/>
      <c r="O15" s="58"/>
      <c r="P15" s="58"/>
      <c r="Q15" s="58"/>
      <c r="R15" s="58"/>
      <c r="S15" s="58"/>
      <c r="T15" s="58"/>
      <c r="U15" s="58"/>
    </row>
    <row r="16" spans="1:21" x14ac:dyDescent="0.25">
      <c r="A16" s="78"/>
      <c r="B16" s="78"/>
      <c r="C16" s="78"/>
      <c r="D16" s="78"/>
      <c r="E16" s="58"/>
      <c r="F16" s="58"/>
      <c r="G16" s="58"/>
      <c r="H16" s="58"/>
      <c r="I16" s="58"/>
      <c r="J16" s="58"/>
      <c r="K16" s="58"/>
      <c r="L16" s="58"/>
      <c r="M16" s="58"/>
      <c r="N16" s="58"/>
      <c r="O16" s="58"/>
    </row>
    <row r="17" spans="1:15" x14ac:dyDescent="0.25">
      <c r="A17" s="78"/>
      <c r="B17" s="78"/>
      <c r="C17" s="78"/>
      <c r="D17" s="78"/>
      <c r="E17" s="58"/>
      <c r="F17" s="58"/>
      <c r="G17" s="58"/>
      <c r="H17" s="58"/>
      <c r="I17" s="58"/>
      <c r="J17" s="58"/>
      <c r="K17" s="58"/>
      <c r="L17" s="58"/>
      <c r="M17" s="58"/>
      <c r="N17" s="58"/>
      <c r="O17" s="58"/>
    </row>
    <row r="18" spans="1:15" x14ac:dyDescent="0.25">
      <c r="A18" s="78"/>
      <c r="B18" s="82"/>
      <c r="C18" s="82"/>
      <c r="D18" s="82"/>
      <c r="E18" s="58"/>
      <c r="F18" s="58"/>
      <c r="G18" s="58"/>
      <c r="H18" s="58"/>
      <c r="I18" s="58"/>
      <c r="J18" s="58"/>
      <c r="K18" s="58"/>
      <c r="L18" s="58"/>
      <c r="M18" s="58"/>
      <c r="N18" s="58"/>
      <c r="O18" s="58"/>
    </row>
    <row r="19" spans="1:15" x14ac:dyDescent="0.25">
      <c r="A19" s="78"/>
      <c r="B19" s="82"/>
      <c r="C19" s="82"/>
      <c r="D19" s="82"/>
      <c r="E19" s="58"/>
      <c r="F19" s="58"/>
      <c r="G19" s="58"/>
      <c r="H19" s="58"/>
      <c r="I19" s="58"/>
      <c r="J19" s="58"/>
      <c r="K19" s="58"/>
      <c r="L19" s="58"/>
      <c r="M19" s="58"/>
      <c r="N19" s="58"/>
      <c r="O19" s="58"/>
    </row>
    <row r="20" spans="1:15" x14ac:dyDescent="0.25">
      <c r="A20" s="78"/>
      <c r="B20" s="82"/>
      <c r="C20" s="82"/>
      <c r="D20" s="82"/>
      <c r="E20" s="58"/>
      <c r="F20" s="58"/>
      <c r="G20" s="58"/>
      <c r="H20" s="58"/>
      <c r="I20" s="58"/>
      <c r="J20" s="58"/>
      <c r="K20" s="58"/>
      <c r="L20" s="58"/>
      <c r="M20" s="58"/>
      <c r="N20" s="58"/>
      <c r="O20" s="58"/>
    </row>
    <row r="21" spans="1:15" x14ac:dyDescent="0.25">
      <c r="A21" s="78"/>
      <c r="B21" s="82"/>
      <c r="C21" s="82"/>
      <c r="D21" s="82"/>
      <c r="E21" s="58"/>
      <c r="F21" s="58"/>
      <c r="G21" s="58"/>
      <c r="H21" s="58"/>
      <c r="I21" s="58"/>
      <c r="J21" s="58"/>
      <c r="K21" s="58"/>
      <c r="L21" s="58"/>
      <c r="M21" s="58"/>
      <c r="N21" s="58"/>
      <c r="O21" s="58"/>
    </row>
    <row r="22" spans="1:15" ht="20.25" x14ac:dyDescent="0.25">
      <c r="A22" s="78"/>
      <c r="B22" s="78"/>
      <c r="C22" s="80"/>
      <c r="D22" s="80"/>
      <c r="E22" s="58"/>
      <c r="F22" s="58"/>
      <c r="G22" s="58"/>
      <c r="H22" s="58"/>
      <c r="I22" s="58"/>
      <c r="J22" s="58"/>
      <c r="K22" s="58"/>
      <c r="L22" s="58"/>
      <c r="M22" s="58"/>
      <c r="N22" s="58"/>
      <c r="O22" s="58"/>
    </row>
    <row r="23" spans="1:15" ht="20.25" x14ac:dyDescent="0.25">
      <c r="A23" s="78"/>
      <c r="B23" s="78"/>
      <c r="C23" s="80"/>
      <c r="D23" s="80"/>
      <c r="E23" s="58"/>
      <c r="F23" s="58"/>
      <c r="G23" s="58"/>
      <c r="H23" s="58"/>
      <c r="I23" s="58"/>
      <c r="J23" s="58"/>
      <c r="K23" s="58"/>
      <c r="L23" s="58"/>
      <c r="M23" s="58"/>
      <c r="N23" s="58"/>
      <c r="O23" s="58"/>
    </row>
    <row r="24" spans="1:15" ht="20.25" x14ac:dyDescent="0.25">
      <c r="A24" s="78"/>
      <c r="B24" s="78"/>
      <c r="C24" s="80"/>
      <c r="D24" s="80"/>
      <c r="E24" s="58"/>
      <c r="F24" s="58"/>
      <c r="G24" s="58"/>
      <c r="H24" s="58"/>
      <c r="I24" s="58"/>
      <c r="J24" s="58"/>
      <c r="K24" s="58"/>
      <c r="L24" s="58"/>
      <c r="M24" s="58"/>
      <c r="N24" s="58"/>
      <c r="O24" s="58"/>
    </row>
    <row r="25" spans="1:15" ht="20.25" x14ac:dyDescent="0.25">
      <c r="A25" s="78"/>
      <c r="B25" s="78"/>
      <c r="C25" s="80"/>
      <c r="D25" s="80"/>
      <c r="E25" s="58"/>
      <c r="F25" s="58"/>
      <c r="G25" s="58"/>
      <c r="H25" s="58"/>
      <c r="I25" s="58"/>
      <c r="J25" s="58"/>
      <c r="K25" s="58"/>
      <c r="L25" s="58"/>
      <c r="M25" s="58"/>
      <c r="N25" s="58"/>
      <c r="O25" s="58"/>
    </row>
    <row r="26" spans="1:15" ht="20.25" x14ac:dyDescent="0.25">
      <c r="A26" s="78"/>
      <c r="B26" s="78"/>
      <c r="C26" s="80"/>
      <c r="D26" s="80"/>
      <c r="E26" s="58"/>
      <c r="F26" s="58"/>
      <c r="G26" s="58"/>
      <c r="H26" s="58"/>
      <c r="I26" s="58"/>
      <c r="J26" s="58"/>
      <c r="K26" s="58"/>
      <c r="L26" s="58"/>
      <c r="M26" s="58"/>
      <c r="N26" s="58"/>
      <c r="O26" s="58"/>
    </row>
    <row r="27" spans="1:15" ht="20.25" x14ac:dyDescent="0.25">
      <c r="A27" s="78"/>
      <c r="B27" s="78"/>
      <c r="C27" s="80"/>
      <c r="D27" s="80"/>
      <c r="E27" s="58"/>
      <c r="F27" s="58"/>
      <c r="G27" s="58"/>
      <c r="H27" s="58"/>
      <c r="I27" s="58"/>
      <c r="J27" s="58"/>
      <c r="K27" s="58"/>
      <c r="L27" s="58"/>
      <c r="M27" s="58"/>
      <c r="N27" s="58"/>
      <c r="O27" s="58"/>
    </row>
    <row r="28" spans="1:15" ht="20.25" x14ac:dyDescent="0.25">
      <c r="A28" s="78"/>
      <c r="B28" s="78"/>
      <c r="C28" s="80"/>
      <c r="D28" s="80"/>
      <c r="E28" s="58"/>
      <c r="F28" s="58"/>
      <c r="G28" s="58"/>
      <c r="H28" s="58"/>
      <c r="I28" s="58"/>
      <c r="J28" s="58"/>
      <c r="K28" s="58"/>
      <c r="L28" s="58"/>
      <c r="M28" s="58"/>
      <c r="N28" s="58"/>
      <c r="O28" s="58"/>
    </row>
    <row r="29" spans="1:15" ht="20.25" x14ac:dyDescent="0.25">
      <c r="A29" s="78"/>
      <c r="B29" s="78"/>
      <c r="C29" s="80"/>
      <c r="D29" s="80"/>
      <c r="E29" s="58"/>
      <c r="F29" s="58"/>
      <c r="G29" s="58"/>
      <c r="H29" s="58"/>
      <c r="I29" s="58"/>
      <c r="J29" s="58"/>
      <c r="K29" s="58"/>
      <c r="L29" s="58"/>
      <c r="M29" s="58"/>
      <c r="N29" s="58"/>
      <c r="O29" s="58"/>
    </row>
    <row r="30" spans="1:15" ht="20.25" x14ac:dyDescent="0.25">
      <c r="A30" s="78"/>
      <c r="B30" s="78"/>
      <c r="C30" s="80"/>
      <c r="D30" s="80"/>
      <c r="E30" s="58"/>
      <c r="F30" s="58"/>
      <c r="G30" s="58"/>
      <c r="H30" s="58"/>
      <c r="I30" s="58"/>
      <c r="J30" s="58"/>
      <c r="K30" s="58"/>
      <c r="L30" s="58"/>
      <c r="M30" s="58"/>
      <c r="N30" s="58"/>
      <c r="O30" s="58"/>
    </row>
    <row r="31" spans="1:15" ht="20.25" x14ac:dyDescent="0.25">
      <c r="A31" s="78"/>
      <c r="B31" s="78"/>
      <c r="C31" s="80"/>
      <c r="D31" s="80"/>
      <c r="E31" s="58"/>
      <c r="F31" s="58"/>
      <c r="G31" s="58"/>
      <c r="H31" s="58"/>
      <c r="I31" s="58"/>
      <c r="J31" s="58"/>
      <c r="K31" s="58"/>
      <c r="L31" s="58"/>
      <c r="M31" s="58"/>
      <c r="N31" s="58"/>
      <c r="O31" s="58"/>
    </row>
    <row r="32" spans="1:15" ht="20.25" x14ac:dyDescent="0.25">
      <c r="A32" s="78"/>
      <c r="B32" s="78"/>
      <c r="C32" s="80"/>
      <c r="D32" s="80"/>
      <c r="E32" s="58"/>
      <c r="F32" s="58"/>
      <c r="G32" s="58"/>
      <c r="H32" s="58"/>
      <c r="I32" s="58"/>
      <c r="J32" s="58"/>
      <c r="K32" s="58"/>
      <c r="L32" s="58"/>
      <c r="M32" s="58"/>
      <c r="N32" s="58"/>
      <c r="O32" s="58"/>
    </row>
    <row r="33" spans="1:15" ht="20.25" x14ac:dyDescent="0.25">
      <c r="A33" s="78"/>
      <c r="B33" s="78"/>
      <c r="C33" s="80"/>
      <c r="D33" s="80"/>
      <c r="E33" s="58"/>
      <c r="F33" s="58"/>
      <c r="G33" s="58"/>
      <c r="H33" s="58"/>
      <c r="I33" s="58"/>
      <c r="J33" s="58"/>
      <c r="K33" s="58"/>
      <c r="L33" s="58"/>
      <c r="M33" s="58"/>
      <c r="N33" s="58"/>
      <c r="O33" s="58"/>
    </row>
    <row r="34" spans="1:15" ht="20.25" x14ac:dyDescent="0.25">
      <c r="A34" s="78"/>
      <c r="B34" s="78"/>
      <c r="C34" s="80"/>
      <c r="D34" s="80"/>
      <c r="E34" s="58"/>
      <c r="F34" s="58"/>
      <c r="G34" s="58"/>
      <c r="H34" s="58"/>
      <c r="I34" s="58"/>
      <c r="J34" s="58"/>
      <c r="K34" s="58"/>
      <c r="L34" s="58"/>
      <c r="M34" s="58"/>
      <c r="N34" s="58"/>
      <c r="O34" s="58"/>
    </row>
    <row r="35" spans="1:15" ht="20.25" x14ac:dyDescent="0.25">
      <c r="A35" s="78"/>
      <c r="B35" s="78"/>
      <c r="C35" s="80"/>
      <c r="D35" s="80"/>
      <c r="E35" s="58"/>
      <c r="F35" s="58"/>
      <c r="G35" s="58"/>
      <c r="H35" s="58"/>
      <c r="I35" s="58"/>
      <c r="J35" s="58"/>
      <c r="K35" s="58"/>
      <c r="L35" s="58"/>
      <c r="M35" s="58"/>
      <c r="N35" s="58"/>
      <c r="O35" s="58"/>
    </row>
    <row r="36" spans="1:15" ht="20.25" x14ac:dyDescent="0.25">
      <c r="A36" s="78"/>
      <c r="B36" s="78"/>
      <c r="C36" s="80"/>
      <c r="D36" s="80"/>
      <c r="E36" s="58"/>
      <c r="F36" s="58"/>
      <c r="G36" s="58"/>
      <c r="H36" s="58"/>
      <c r="I36" s="58"/>
      <c r="J36" s="58"/>
      <c r="K36" s="58"/>
      <c r="L36" s="58"/>
      <c r="M36" s="58"/>
      <c r="N36" s="58"/>
      <c r="O36" s="58"/>
    </row>
    <row r="37" spans="1:15" ht="20.25" x14ac:dyDescent="0.25">
      <c r="A37" s="78"/>
      <c r="B37" s="78"/>
      <c r="C37" s="80"/>
      <c r="D37" s="80"/>
      <c r="E37" s="58"/>
      <c r="F37" s="58"/>
      <c r="G37" s="58"/>
      <c r="H37" s="58"/>
      <c r="I37" s="58"/>
      <c r="J37" s="58"/>
      <c r="K37" s="58"/>
      <c r="L37" s="58"/>
      <c r="M37" s="58"/>
      <c r="N37" s="58"/>
      <c r="O37" s="58"/>
    </row>
    <row r="38" spans="1:15" ht="20.25" x14ac:dyDescent="0.25">
      <c r="A38" s="78"/>
      <c r="B38" s="78"/>
      <c r="C38" s="80"/>
      <c r="D38" s="80"/>
      <c r="E38" s="58"/>
      <c r="F38" s="58"/>
      <c r="G38" s="58"/>
      <c r="H38" s="58"/>
      <c r="I38" s="58"/>
      <c r="J38" s="58"/>
      <c r="K38" s="58"/>
      <c r="L38" s="58"/>
      <c r="M38" s="58"/>
      <c r="N38" s="58"/>
      <c r="O38" s="58"/>
    </row>
    <row r="39" spans="1:15" ht="20.25" x14ac:dyDescent="0.25">
      <c r="A39" s="78"/>
      <c r="B39" s="78"/>
      <c r="C39" s="80"/>
      <c r="D39" s="80"/>
      <c r="E39" s="58"/>
      <c r="F39" s="58"/>
      <c r="G39" s="58"/>
      <c r="H39" s="58"/>
      <c r="I39" s="58"/>
      <c r="J39" s="58"/>
      <c r="K39" s="58"/>
      <c r="L39" s="58"/>
      <c r="M39" s="58"/>
      <c r="N39" s="58"/>
      <c r="O39" s="58"/>
    </row>
    <row r="40" spans="1:15" ht="20.25" x14ac:dyDescent="0.25">
      <c r="A40" s="78"/>
      <c r="B40" s="78"/>
      <c r="C40" s="80"/>
      <c r="D40" s="80"/>
      <c r="E40" s="58"/>
      <c r="F40" s="58"/>
      <c r="G40" s="58"/>
      <c r="H40" s="58"/>
      <c r="I40" s="58"/>
      <c r="J40" s="58"/>
      <c r="K40" s="58"/>
      <c r="L40" s="58"/>
      <c r="M40" s="58"/>
      <c r="N40" s="58"/>
      <c r="O40" s="58"/>
    </row>
    <row r="41" spans="1:15" ht="20.25" x14ac:dyDescent="0.25">
      <c r="A41" s="78"/>
      <c r="B41" s="78"/>
      <c r="C41" s="80"/>
      <c r="D41" s="80"/>
      <c r="E41" s="58"/>
      <c r="F41" s="58"/>
      <c r="G41" s="58"/>
      <c r="H41" s="58"/>
      <c r="I41" s="58"/>
      <c r="J41" s="58"/>
      <c r="K41" s="58"/>
      <c r="L41" s="58"/>
      <c r="M41" s="58"/>
      <c r="N41" s="58"/>
      <c r="O41" s="58"/>
    </row>
    <row r="42" spans="1:15" ht="20.25" x14ac:dyDescent="0.25">
      <c r="A42" s="78"/>
      <c r="B42" s="78"/>
      <c r="C42" s="80"/>
      <c r="D42" s="80"/>
      <c r="E42" s="58"/>
      <c r="F42" s="58"/>
      <c r="G42" s="58"/>
      <c r="H42" s="58"/>
      <c r="I42" s="58"/>
      <c r="J42" s="58"/>
      <c r="K42" s="58"/>
      <c r="L42" s="58"/>
      <c r="M42" s="58"/>
      <c r="N42" s="58"/>
      <c r="O42" s="58"/>
    </row>
    <row r="43" spans="1:15" ht="20.25" x14ac:dyDescent="0.25">
      <c r="A43" s="78"/>
      <c r="B43" s="78"/>
      <c r="C43" s="80"/>
      <c r="D43" s="80"/>
      <c r="E43" s="58"/>
      <c r="F43" s="58"/>
      <c r="G43" s="58"/>
      <c r="H43" s="58"/>
      <c r="I43" s="58"/>
      <c r="J43" s="58"/>
      <c r="K43" s="58"/>
      <c r="L43" s="58"/>
      <c r="M43" s="58"/>
      <c r="N43" s="58"/>
      <c r="O43" s="58"/>
    </row>
    <row r="44" spans="1:15" ht="20.25" x14ac:dyDescent="0.25">
      <c r="A44" s="78"/>
      <c r="B44" s="78"/>
      <c r="C44" s="80"/>
      <c r="D44" s="80"/>
      <c r="E44" s="58"/>
      <c r="F44" s="58"/>
      <c r="G44" s="58"/>
      <c r="H44" s="58"/>
      <c r="I44" s="58"/>
      <c r="J44" s="58"/>
      <c r="K44" s="58"/>
      <c r="L44" s="58"/>
      <c r="M44" s="58"/>
      <c r="N44" s="58"/>
      <c r="O44" s="58"/>
    </row>
    <row r="45" spans="1:15" ht="20.25" x14ac:dyDescent="0.25">
      <c r="A45" s="78"/>
      <c r="B45" s="78"/>
      <c r="C45" s="80"/>
      <c r="D45" s="80"/>
      <c r="E45" s="58"/>
      <c r="F45" s="58"/>
      <c r="G45" s="58"/>
      <c r="H45" s="58"/>
      <c r="I45" s="58"/>
      <c r="J45" s="58"/>
      <c r="K45" s="58"/>
      <c r="L45" s="58"/>
      <c r="M45" s="58"/>
      <c r="N45" s="58"/>
      <c r="O45" s="58"/>
    </row>
    <row r="46" spans="1:15" ht="20.25" x14ac:dyDescent="0.25">
      <c r="A46" s="78"/>
      <c r="B46" s="78"/>
      <c r="C46" s="80"/>
      <c r="D46" s="80"/>
      <c r="E46" s="58"/>
      <c r="F46" s="58"/>
      <c r="G46" s="58"/>
      <c r="H46" s="58"/>
      <c r="I46" s="58"/>
      <c r="J46" s="58"/>
      <c r="K46" s="58"/>
      <c r="L46" s="58"/>
      <c r="M46" s="58"/>
      <c r="N46" s="58"/>
      <c r="O46" s="58"/>
    </row>
    <row r="47" spans="1:15" ht="20.25" x14ac:dyDescent="0.25">
      <c r="A47" s="78"/>
      <c r="B47" s="78"/>
      <c r="C47" s="80"/>
      <c r="D47" s="80"/>
      <c r="E47" s="58"/>
      <c r="F47" s="58"/>
      <c r="G47" s="58"/>
      <c r="H47" s="58"/>
      <c r="I47" s="58"/>
      <c r="J47" s="58"/>
      <c r="K47" s="58"/>
      <c r="L47" s="58"/>
      <c r="M47" s="58"/>
      <c r="N47" s="58"/>
      <c r="O47" s="58"/>
    </row>
    <row r="48" spans="1:15" ht="20.25" x14ac:dyDescent="0.25">
      <c r="A48" s="78"/>
      <c r="B48" s="78"/>
      <c r="C48" s="80"/>
      <c r="D48" s="80"/>
      <c r="E48" s="58"/>
      <c r="F48" s="58"/>
      <c r="G48" s="58"/>
      <c r="H48" s="58"/>
      <c r="I48" s="58"/>
      <c r="J48" s="58"/>
      <c r="K48" s="58"/>
      <c r="L48" s="58"/>
      <c r="M48" s="58"/>
      <c r="N48" s="58"/>
      <c r="O48" s="58"/>
    </row>
    <row r="49" spans="1:15" ht="20.25" x14ac:dyDescent="0.25">
      <c r="A49" s="78"/>
      <c r="B49" s="78"/>
      <c r="C49" s="80"/>
      <c r="D49" s="80"/>
      <c r="E49" s="58"/>
      <c r="F49" s="58"/>
      <c r="G49" s="58"/>
      <c r="H49" s="58"/>
      <c r="I49" s="58"/>
      <c r="J49" s="58"/>
      <c r="K49" s="58"/>
      <c r="L49" s="58"/>
      <c r="M49" s="58"/>
      <c r="N49" s="58"/>
      <c r="O49" s="58"/>
    </row>
    <row r="50" spans="1:15" ht="20.25" x14ac:dyDescent="0.25">
      <c r="A50" s="78"/>
      <c r="B50" s="78"/>
      <c r="C50" s="80"/>
      <c r="D50" s="80"/>
      <c r="E50" s="58"/>
      <c r="F50" s="58"/>
      <c r="G50" s="58"/>
      <c r="H50" s="58"/>
      <c r="I50" s="58"/>
      <c r="J50" s="58"/>
      <c r="K50" s="58"/>
      <c r="L50" s="58"/>
      <c r="M50" s="58"/>
      <c r="N50" s="58"/>
      <c r="O50" s="58"/>
    </row>
    <row r="51" spans="1:15" ht="20.25" x14ac:dyDescent="0.25">
      <c r="A51" s="78"/>
      <c r="B51" s="78"/>
      <c r="C51" s="80"/>
      <c r="D51" s="80"/>
      <c r="E51" s="58"/>
      <c r="F51" s="58"/>
      <c r="G51" s="58"/>
      <c r="H51" s="58"/>
      <c r="I51" s="58"/>
      <c r="J51" s="58"/>
      <c r="K51" s="58"/>
      <c r="L51" s="58"/>
      <c r="M51" s="58"/>
      <c r="N51" s="58"/>
      <c r="O51" s="58"/>
    </row>
    <row r="52" spans="1:15" ht="20.25" x14ac:dyDescent="0.25">
      <c r="A52" s="78"/>
      <c r="B52" s="20"/>
      <c r="C52" s="30"/>
      <c r="D52" s="30"/>
    </row>
    <row r="53" spans="1:15" ht="20.25" x14ac:dyDescent="0.25">
      <c r="A53" s="78"/>
      <c r="B53" s="20"/>
      <c r="C53" s="30"/>
      <c r="D53" s="30"/>
    </row>
    <row r="54" spans="1:15" ht="20.25" x14ac:dyDescent="0.25">
      <c r="A54" s="78"/>
      <c r="B54" s="20"/>
      <c r="C54" s="30"/>
      <c r="D54" s="30"/>
    </row>
    <row r="55" spans="1:15" ht="20.25" x14ac:dyDescent="0.25">
      <c r="A55" s="78"/>
      <c r="B55" s="20"/>
      <c r="C55" s="30"/>
      <c r="D55" s="30"/>
    </row>
    <row r="56" spans="1:15" ht="20.25" x14ac:dyDescent="0.25">
      <c r="A56" s="78"/>
      <c r="B56" s="20"/>
      <c r="C56" s="30"/>
      <c r="D56" s="30"/>
    </row>
    <row r="57" spans="1:15" ht="20.25" x14ac:dyDescent="0.25">
      <c r="A57" s="78"/>
      <c r="B57" s="20"/>
      <c r="C57" s="30"/>
      <c r="D57" s="30"/>
    </row>
    <row r="58" spans="1:15" ht="20.25" x14ac:dyDescent="0.25">
      <c r="A58" s="78"/>
      <c r="B58" s="20"/>
      <c r="C58" s="30"/>
      <c r="D58" s="30"/>
    </row>
    <row r="59" spans="1:15" ht="20.25" x14ac:dyDescent="0.25">
      <c r="A59" s="78"/>
      <c r="B59" s="20"/>
      <c r="C59" s="30"/>
      <c r="D59" s="30"/>
    </row>
    <row r="60" spans="1:15" ht="20.25" x14ac:dyDescent="0.25">
      <c r="A60" s="78"/>
      <c r="B60" s="20"/>
      <c r="C60" s="30"/>
      <c r="D60" s="30"/>
    </row>
    <row r="61" spans="1:15" ht="20.25" x14ac:dyDescent="0.25">
      <c r="A61" s="78"/>
      <c r="B61" s="20"/>
      <c r="C61" s="30"/>
      <c r="D61" s="30"/>
    </row>
    <row r="62" spans="1:15" ht="20.25" x14ac:dyDescent="0.25">
      <c r="A62" s="78"/>
      <c r="B62" s="20"/>
      <c r="C62" s="30"/>
      <c r="D62" s="30"/>
    </row>
    <row r="63" spans="1:15" ht="20.25" x14ac:dyDescent="0.25">
      <c r="A63" s="78"/>
      <c r="B63" s="20"/>
      <c r="C63" s="30"/>
      <c r="D63" s="30"/>
    </row>
    <row r="64" spans="1:15" ht="20.25" x14ac:dyDescent="0.25">
      <c r="A64" s="78"/>
      <c r="B64" s="20"/>
      <c r="C64" s="30"/>
      <c r="D64" s="30"/>
    </row>
    <row r="65" spans="1:4" ht="20.25" x14ac:dyDescent="0.25">
      <c r="A65" s="78"/>
      <c r="B65" s="20"/>
      <c r="C65" s="30"/>
      <c r="D65" s="30"/>
    </row>
    <row r="66" spans="1:4" ht="20.25" x14ac:dyDescent="0.25">
      <c r="A66" s="78"/>
      <c r="B66" s="20"/>
      <c r="C66" s="30"/>
      <c r="D66" s="30"/>
    </row>
    <row r="67" spans="1:4" ht="20.25" x14ac:dyDescent="0.25">
      <c r="A67" s="78"/>
      <c r="B67" s="20"/>
      <c r="C67" s="30"/>
      <c r="D67" s="30"/>
    </row>
    <row r="68" spans="1:4" ht="20.25" x14ac:dyDescent="0.25">
      <c r="A68" s="78"/>
      <c r="B68" s="20"/>
      <c r="C68" s="30"/>
      <c r="D68" s="30"/>
    </row>
    <row r="69" spans="1:4" ht="20.25" x14ac:dyDescent="0.25">
      <c r="A69" s="78"/>
      <c r="B69" s="20"/>
      <c r="C69" s="30"/>
      <c r="D69" s="30"/>
    </row>
    <row r="70" spans="1:4" ht="20.25" x14ac:dyDescent="0.25">
      <c r="A70" s="78"/>
      <c r="B70" s="20"/>
      <c r="C70" s="30"/>
      <c r="D70" s="30"/>
    </row>
    <row r="71" spans="1:4" ht="20.25" x14ac:dyDescent="0.25">
      <c r="A71" s="78"/>
      <c r="B71" s="20"/>
      <c r="C71" s="30"/>
      <c r="D71" s="30"/>
    </row>
    <row r="72" spans="1:4" ht="20.25" x14ac:dyDescent="0.25">
      <c r="A72" s="78"/>
      <c r="B72" s="20"/>
      <c r="C72" s="30"/>
      <c r="D72" s="30"/>
    </row>
    <row r="73" spans="1:4" ht="20.25" x14ac:dyDescent="0.25">
      <c r="A73" s="78"/>
      <c r="B73" s="20"/>
      <c r="C73" s="30"/>
      <c r="D73" s="30"/>
    </row>
    <row r="74" spans="1:4" ht="20.25" x14ac:dyDescent="0.25">
      <c r="A74" s="78"/>
      <c r="B74" s="20"/>
      <c r="C74" s="30"/>
      <c r="D74" s="30"/>
    </row>
    <row r="75" spans="1:4" ht="20.25" x14ac:dyDescent="0.25">
      <c r="A75" s="78"/>
      <c r="B75" s="20"/>
      <c r="C75" s="30"/>
      <c r="D75" s="30"/>
    </row>
    <row r="76" spans="1:4" ht="20.25" x14ac:dyDescent="0.25">
      <c r="A76" s="78"/>
      <c r="B76" s="20"/>
      <c r="C76" s="30"/>
      <c r="D76" s="30"/>
    </row>
    <row r="77" spans="1:4" ht="20.25" x14ac:dyDescent="0.25">
      <c r="A77" s="78"/>
      <c r="B77" s="20"/>
      <c r="C77" s="30"/>
      <c r="D77" s="30"/>
    </row>
    <row r="78" spans="1:4" ht="20.25" x14ac:dyDescent="0.25">
      <c r="A78" s="78"/>
      <c r="B78" s="20"/>
      <c r="C78" s="30"/>
      <c r="D78" s="30"/>
    </row>
    <row r="79" spans="1:4" ht="20.25" x14ac:dyDescent="0.25">
      <c r="A79" s="78"/>
      <c r="B79" s="20"/>
      <c r="C79" s="30"/>
      <c r="D79" s="30"/>
    </row>
    <row r="80" spans="1:4" ht="20.25" x14ac:dyDescent="0.25">
      <c r="A80" s="78"/>
      <c r="B80" s="20"/>
      <c r="C80" s="30"/>
      <c r="D80" s="30"/>
    </row>
    <row r="81" spans="1:4" ht="20.25" x14ac:dyDescent="0.25">
      <c r="A81" s="78"/>
      <c r="B81" s="20"/>
      <c r="C81" s="30"/>
      <c r="D81" s="30"/>
    </row>
    <row r="82" spans="1:4" ht="20.25" x14ac:dyDescent="0.25">
      <c r="A82" s="78"/>
      <c r="B82" s="20"/>
      <c r="C82" s="30"/>
      <c r="D82" s="30"/>
    </row>
    <row r="83" spans="1:4" ht="20.25" x14ac:dyDescent="0.25">
      <c r="A83" s="78"/>
      <c r="B83" s="20"/>
      <c r="C83" s="30"/>
      <c r="D83" s="30"/>
    </row>
    <row r="84" spans="1:4" ht="20.25" x14ac:dyDescent="0.25">
      <c r="A84" s="78"/>
      <c r="B84" s="20"/>
      <c r="C84" s="30"/>
      <c r="D84" s="30"/>
    </row>
    <row r="85" spans="1:4" ht="20.25" x14ac:dyDescent="0.25">
      <c r="A85" s="78"/>
      <c r="B85" s="20"/>
      <c r="C85" s="30"/>
      <c r="D85" s="30"/>
    </row>
    <row r="86" spans="1:4" ht="20.25" x14ac:dyDescent="0.25">
      <c r="A86" s="78"/>
      <c r="B86" s="20"/>
      <c r="C86" s="30"/>
      <c r="D86" s="30"/>
    </row>
    <row r="87" spans="1:4" ht="20.25" x14ac:dyDescent="0.25">
      <c r="A87" s="78"/>
      <c r="B87" s="20"/>
      <c r="C87" s="30"/>
      <c r="D87" s="30"/>
    </row>
    <row r="88" spans="1:4" ht="20.25" x14ac:dyDescent="0.25">
      <c r="A88" s="78"/>
      <c r="B88" s="20"/>
      <c r="C88" s="30"/>
      <c r="D88" s="30"/>
    </row>
    <row r="89" spans="1:4" ht="20.25" x14ac:dyDescent="0.25">
      <c r="A89" s="78"/>
      <c r="B89" s="20"/>
      <c r="C89" s="30"/>
      <c r="D89" s="30"/>
    </row>
    <row r="90" spans="1:4" ht="20.25" x14ac:dyDescent="0.25">
      <c r="A90" s="78"/>
      <c r="B90" s="20"/>
      <c r="C90" s="30"/>
      <c r="D90" s="30"/>
    </row>
    <row r="91" spans="1:4" ht="20.25" x14ac:dyDescent="0.25">
      <c r="A91" s="78"/>
      <c r="B91" s="20"/>
      <c r="C91" s="30"/>
      <c r="D91" s="30"/>
    </row>
    <row r="92" spans="1:4" ht="20.25" x14ac:dyDescent="0.25">
      <c r="A92" s="78"/>
      <c r="B92" s="20"/>
      <c r="C92" s="30"/>
      <c r="D92" s="30"/>
    </row>
    <row r="93" spans="1:4" ht="20.25" x14ac:dyDescent="0.25">
      <c r="A93" s="78"/>
      <c r="B93" s="20"/>
      <c r="C93" s="30"/>
      <c r="D93" s="30"/>
    </row>
    <row r="94" spans="1:4" ht="20.25" x14ac:dyDescent="0.25">
      <c r="A94" s="78"/>
      <c r="B94" s="20"/>
      <c r="C94" s="30"/>
      <c r="D94" s="30"/>
    </row>
    <row r="95" spans="1:4" ht="20.25" x14ac:dyDescent="0.25">
      <c r="A95" s="78"/>
      <c r="B95" s="20"/>
      <c r="C95" s="30"/>
      <c r="D95" s="30"/>
    </row>
    <row r="96" spans="1:4" ht="20.25" x14ac:dyDescent="0.25">
      <c r="A96" s="78"/>
      <c r="B96" s="20"/>
      <c r="C96" s="30"/>
      <c r="D96" s="30"/>
    </row>
    <row r="97" spans="1:4" ht="20.25" x14ac:dyDescent="0.25">
      <c r="A97" s="78"/>
      <c r="B97" s="20"/>
      <c r="C97" s="30"/>
      <c r="D97" s="30"/>
    </row>
    <row r="98" spans="1:4" ht="20.25" x14ac:dyDescent="0.25">
      <c r="A98" s="78"/>
      <c r="B98" s="20"/>
      <c r="C98" s="30"/>
      <c r="D98" s="30"/>
    </row>
    <row r="99" spans="1:4" ht="20.25" x14ac:dyDescent="0.25">
      <c r="A99" s="78"/>
      <c r="B99" s="20"/>
      <c r="C99" s="30"/>
      <c r="D99" s="30"/>
    </row>
    <row r="100" spans="1:4" ht="20.25" x14ac:dyDescent="0.25">
      <c r="A100" s="78"/>
      <c r="B100" s="20"/>
      <c r="C100" s="30"/>
      <c r="D100" s="30"/>
    </row>
    <row r="101" spans="1:4" ht="20.25" x14ac:dyDescent="0.25">
      <c r="A101" s="78"/>
      <c r="B101" s="20"/>
      <c r="C101" s="30"/>
      <c r="D101" s="30"/>
    </row>
    <row r="102" spans="1:4" ht="20.25" x14ac:dyDescent="0.25">
      <c r="A102" s="78"/>
      <c r="B102" s="20"/>
      <c r="C102" s="30"/>
      <c r="D102" s="30"/>
    </row>
    <row r="103" spans="1:4" ht="20.25" x14ac:dyDescent="0.25">
      <c r="A103" s="78"/>
      <c r="B103" s="20"/>
      <c r="C103" s="30"/>
      <c r="D103" s="30"/>
    </row>
    <row r="104" spans="1:4" ht="20.25" x14ac:dyDescent="0.25">
      <c r="A104" s="78"/>
      <c r="B104" s="20"/>
      <c r="C104" s="30"/>
      <c r="D104" s="30"/>
    </row>
    <row r="105" spans="1:4" ht="20.25" x14ac:dyDescent="0.25">
      <c r="A105" s="78"/>
      <c r="B105" s="20"/>
      <c r="C105" s="30"/>
      <c r="D105" s="30"/>
    </row>
    <row r="106" spans="1:4" ht="20.25" x14ac:dyDescent="0.25">
      <c r="A106" s="78"/>
      <c r="B106" s="20"/>
      <c r="C106" s="30"/>
      <c r="D106" s="30"/>
    </row>
    <row r="107" spans="1:4" ht="20.25" x14ac:dyDescent="0.25">
      <c r="A107" s="78"/>
      <c r="B107" s="20"/>
      <c r="C107" s="30"/>
      <c r="D107" s="30"/>
    </row>
    <row r="108" spans="1:4" ht="20.25" x14ac:dyDescent="0.25">
      <c r="A108" s="78"/>
      <c r="B108" s="20"/>
      <c r="C108" s="30"/>
      <c r="D108" s="30"/>
    </row>
    <row r="109" spans="1:4" ht="20.25" x14ac:dyDescent="0.25">
      <c r="A109" s="78"/>
      <c r="B109" s="20"/>
      <c r="C109" s="30"/>
      <c r="D109" s="30"/>
    </row>
    <row r="110" spans="1:4" ht="20.25" x14ac:dyDescent="0.25">
      <c r="A110" s="78"/>
      <c r="B110" s="20"/>
      <c r="C110" s="30"/>
      <c r="D110" s="30"/>
    </row>
    <row r="111" spans="1:4" ht="20.25" x14ac:dyDescent="0.25">
      <c r="A111" s="78"/>
      <c r="B111" s="20"/>
      <c r="C111" s="30"/>
      <c r="D111" s="30"/>
    </row>
    <row r="112" spans="1:4" ht="20.25" x14ac:dyDescent="0.25">
      <c r="A112" s="78"/>
      <c r="B112" s="20"/>
      <c r="C112" s="30"/>
      <c r="D112" s="30"/>
    </row>
    <row r="113" spans="1:4" ht="20.25" x14ac:dyDescent="0.25">
      <c r="A113" s="78"/>
      <c r="B113" s="20"/>
      <c r="C113" s="30"/>
      <c r="D113" s="30"/>
    </row>
    <row r="114" spans="1:4" ht="20.25" x14ac:dyDescent="0.25">
      <c r="A114" s="78"/>
      <c r="B114" s="20"/>
      <c r="C114" s="30"/>
      <c r="D114" s="30"/>
    </row>
    <row r="115" spans="1:4" ht="20.25" x14ac:dyDescent="0.25">
      <c r="A115" s="78"/>
      <c r="B115" s="20"/>
      <c r="C115" s="30"/>
      <c r="D115" s="30"/>
    </row>
    <row r="116" spans="1:4" ht="20.25" x14ac:dyDescent="0.25">
      <c r="A116" s="78"/>
      <c r="B116" s="20"/>
      <c r="C116" s="30"/>
      <c r="D116" s="30"/>
    </row>
    <row r="117" spans="1:4" ht="20.25" x14ac:dyDescent="0.25">
      <c r="A117" s="78"/>
      <c r="B117" s="20"/>
      <c r="C117" s="30"/>
      <c r="D117" s="30"/>
    </row>
    <row r="118" spans="1:4" ht="20.25" x14ac:dyDescent="0.25">
      <c r="A118" s="78"/>
      <c r="B118" s="20"/>
      <c r="C118" s="30"/>
      <c r="D118" s="30"/>
    </row>
    <row r="119" spans="1:4" ht="20.25" x14ac:dyDescent="0.25">
      <c r="A119" s="78"/>
      <c r="B119" s="20"/>
      <c r="C119" s="30"/>
      <c r="D119" s="30"/>
    </row>
    <row r="120" spans="1:4" ht="20.25" x14ac:dyDescent="0.25">
      <c r="A120" s="78"/>
      <c r="B120" s="20"/>
      <c r="C120" s="30"/>
      <c r="D120" s="30"/>
    </row>
    <row r="121" spans="1:4" ht="20.25" x14ac:dyDescent="0.25">
      <c r="A121" s="78"/>
      <c r="B121" s="20"/>
      <c r="C121" s="30"/>
      <c r="D121" s="30"/>
    </row>
    <row r="122" spans="1:4" ht="20.25" x14ac:dyDescent="0.25">
      <c r="A122" s="78"/>
      <c r="B122" s="20"/>
      <c r="C122" s="30"/>
      <c r="D122" s="30"/>
    </row>
    <row r="123" spans="1:4" ht="20.25" x14ac:dyDescent="0.25">
      <c r="A123" s="78"/>
      <c r="B123" s="20"/>
      <c r="C123" s="30"/>
      <c r="D123" s="30"/>
    </row>
    <row r="124" spans="1:4" ht="20.25" x14ac:dyDescent="0.25">
      <c r="A124" s="78"/>
      <c r="B124" s="20"/>
      <c r="C124" s="30"/>
      <c r="D124" s="30"/>
    </row>
    <row r="125" spans="1:4" ht="20.25" x14ac:dyDescent="0.25">
      <c r="A125" s="78"/>
      <c r="B125" s="20"/>
      <c r="C125" s="30"/>
      <c r="D125" s="30"/>
    </row>
    <row r="126" spans="1:4" ht="20.25" x14ac:dyDescent="0.25">
      <c r="A126" s="78"/>
      <c r="B126" s="20"/>
      <c r="C126" s="30"/>
      <c r="D126" s="30"/>
    </row>
    <row r="127" spans="1:4" ht="20.25" x14ac:dyDescent="0.25">
      <c r="A127" s="78"/>
      <c r="B127" s="20"/>
      <c r="C127" s="30"/>
      <c r="D127" s="30"/>
    </row>
    <row r="128" spans="1:4" ht="20.25" x14ac:dyDescent="0.25">
      <c r="A128" s="78"/>
      <c r="B128" s="20"/>
      <c r="C128" s="30"/>
      <c r="D128" s="30"/>
    </row>
    <row r="129" spans="1:4" ht="20.25" x14ac:dyDescent="0.25">
      <c r="A129" s="78"/>
      <c r="B129" s="20"/>
      <c r="C129" s="30"/>
      <c r="D129" s="30"/>
    </row>
    <row r="130" spans="1:4" ht="20.25" x14ac:dyDescent="0.25">
      <c r="A130" s="78"/>
      <c r="B130" s="20"/>
      <c r="C130" s="30"/>
      <c r="D130" s="30"/>
    </row>
    <row r="131" spans="1:4" ht="20.25" x14ac:dyDescent="0.25">
      <c r="A131" s="78"/>
      <c r="B131" s="20"/>
      <c r="C131" s="30"/>
      <c r="D131" s="30"/>
    </row>
    <row r="132" spans="1:4" ht="20.25" x14ac:dyDescent="0.25">
      <c r="A132" s="78"/>
      <c r="B132" s="20"/>
      <c r="C132" s="30"/>
      <c r="D132" s="30"/>
    </row>
    <row r="133" spans="1:4" ht="20.25" x14ac:dyDescent="0.25">
      <c r="A133" s="78"/>
      <c r="B133" s="20"/>
      <c r="C133" s="30"/>
      <c r="D133" s="30"/>
    </row>
    <row r="134" spans="1:4" ht="20.25" x14ac:dyDescent="0.25">
      <c r="A134" s="78"/>
      <c r="B134" s="20"/>
      <c r="C134" s="30"/>
      <c r="D134" s="30"/>
    </row>
    <row r="135" spans="1:4" ht="20.25" x14ac:dyDescent="0.25">
      <c r="A135" s="78"/>
      <c r="B135" s="20"/>
      <c r="C135" s="30"/>
      <c r="D135" s="30"/>
    </row>
    <row r="136" spans="1:4" ht="20.25" x14ac:dyDescent="0.25">
      <c r="A136" s="78"/>
      <c r="B136" s="20"/>
      <c r="C136" s="30"/>
      <c r="D136" s="30"/>
    </row>
    <row r="137" spans="1:4" ht="20.25" x14ac:dyDescent="0.25">
      <c r="A137" s="78"/>
      <c r="B137" s="20"/>
      <c r="C137" s="30"/>
      <c r="D137" s="30"/>
    </row>
    <row r="138" spans="1:4" ht="20.25" x14ac:dyDescent="0.25">
      <c r="A138" s="78"/>
      <c r="B138" s="20"/>
      <c r="C138" s="30"/>
      <c r="D138" s="30"/>
    </row>
    <row r="139" spans="1:4" ht="20.25" x14ac:dyDescent="0.25">
      <c r="A139" s="78"/>
      <c r="B139" s="20"/>
      <c r="C139" s="30"/>
      <c r="D139" s="30"/>
    </row>
    <row r="140" spans="1:4" ht="20.25" x14ac:dyDescent="0.25">
      <c r="A140" s="78"/>
      <c r="B140" s="20"/>
      <c r="C140" s="30"/>
      <c r="D140" s="30"/>
    </row>
    <row r="141" spans="1:4" ht="20.25" x14ac:dyDescent="0.25">
      <c r="A141" s="78"/>
      <c r="B141" s="20"/>
      <c r="C141" s="30"/>
      <c r="D141" s="30"/>
    </row>
    <row r="142" spans="1:4" ht="20.25" x14ac:dyDescent="0.25">
      <c r="A142" s="78"/>
      <c r="B142" s="20"/>
      <c r="C142" s="30"/>
      <c r="D142" s="30"/>
    </row>
    <row r="143" spans="1:4" ht="20.25" x14ac:dyDescent="0.25">
      <c r="A143" s="78"/>
      <c r="B143" s="20"/>
      <c r="C143" s="30"/>
      <c r="D143" s="30"/>
    </row>
    <row r="144" spans="1:4" ht="20.25" x14ac:dyDescent="0.25">
      <c r="A144" s="78"/>
      <c r="B144" s="20"/>
      <c r="C144" s="30"/>
      <c r="D144" s="30"/>
    </row>
    <row r="145" spans="1:4" ht="20.25" x14ac:dyDescent="0.25">
      <c r="A145" s="78"/>
      <c r="B145" s="20"/>
      <c r="C145" s="30"/>
      <c r="D145" s="30"/>
    </row>
    <row r="146" spans="1:4" ht="20.25" x14ac:dyDescent="0.25">
      <c r="A146" s="78"/>
      <c r="B146" s="20"/>
      <c r="C146" s="30"/>
      <c r="D146" s="30"/>
    </row>
    <row r="147" spans="1:4" ht="20.25" x14ac:dyDescent="0.25">
      <c r="A147" s="78"/>
      <c r="B147" s="20"/>
      <c r="C147" s="30"/>
      <c r="D147" s="30"/>
    </row>
    <row r="148" spans="1:4" ht="20.25" x14ac:dyDescent="0.25">
      <c r="A148" s="78"/>
      <c r="B148" s="20"/>
      <c r="C148" s="30"/>
      <c r="D148" s="30"/>
    </row>
    <row r="149" spans="1:4" ht="20.25" x14ac:dyDescent="0.25">
      <c r="A149" s="78"/>
      <c r="B149" s="20"/>
      <c r="C149" s="30"/>
      <c r="D149" s="30"/>
    </row>
    <row r="150" spans="1:4" ht="20.25" x14ac:dyDescent="0.25">
      <c r="A150" s="78"/>
      <c r="B150" s="20"/>
      <c r="C150" s="30"/>
      <c r="D150" s="30"/>
    </row>
    <row r="151" spans="1:4" ht="20.25" x14ac:dyDescent="0.25">
      <c r="A151" s="78"/>
      <c r="B151" s="20"/>
      <c r="C151" s="30"/>
      <c r="D151" s="30"/>
    </row>
    <row r="152" spans="1:4" ht="20.25" x14ac:dyDescent="0.25">
      <c r="A152" s="78"/>
      <c r="B152" s="20"/>
      <c r="C152" s="30"/>
      <c r="D152" s="30"/>
    </row>
    <row r="153" spans="1:4" ht="20.25" x14ac:dyDescent="0.25">
      <c r="A153" s="78"/>
      <c r="B153" s="20"/>
      <c r="C153" s="30"/>
      <c r="D153" s="30"/>
    </row>
    <row r="154" spans="1:4" ht="20.25" x14ac:dyDescent="0.25">
      <c r="A154" s="78"/>
      <c r="B154" s="20"/>
      <c r="C154" s="30"/>
      <c r="D154" s="30"/>
    </row>
    <row r="155" spans="1:4" ht="20.25" x14ac:dyDescent="0.25">
      <c r="A155" s="78"/>
      <c r="B155" s="20"/>
      <c r="C155" s="30"/>
      <c r="D155" s="30"/>
    </row>
    <row r="156" spans="1:4" ht="20.25" x14ac:dyDescent="0.25">
      <c r="A156" s="78"/>
      <c r="B156" s="20"/>
      <c r="C156" s="30"/>
      <c r="D156" s="30"/>
    </row>
    <row r="157" spans="1:4" ht="20.25" x14ac:dyDescent="0.25">
      <c r="A157" s="78"/>
      <c r="B157" s="20"/>
      <c r="C157" s="30"/>
      <c r="D157" s="30"/>
    </row>
    <row r="158" spans="1:4" ht="20.25" x14ac:dyDescent="0.25">
      <c r="A158" s="78"/>
      <c r="B158" s="20"/>
      <c r="C158" s="30"/>
      <c r="D158" s="30"/>
    </row>
    <row r="159" spans="1:4" ht="20.25" x14ac:dyDescent="0.25">
      <c r="A159" s="78"/>
      <c r="B159" s="20"/>
      <c r="C159" s="30"/>
      <c r="D159" s="30"/>
    </row>
    <row r="160" spans="1:4" ht="20.25" x14ac:dyDescent="0.25">
      <c r="A160" s="78"/>
      <c r="B160" s="20"/>
      <c r="C160" s="30"/>
      <c r="D160" s="30"/>
    </row>
    <row r="161" spans="1:4" ht="20.25" x14ac:dyDescent="0.25">
      <c r="A161" s="78"/>
      <c r="B161" s="20"/>
      <c r="C161" s="30"/>
      <c r="D161" s="30"/>
    </row>
    <row r="162" spans="1:4" ht="20.25" x14ac:dyDescent="0.25">
      <c r="A162" s="78"/>
      <c r="B162" s="20"/>
      <c r="C162" s="30"/>
      <c r="D162" s="30"/>
    </row>
    <row r="163" spans="1:4" ht="20.25" x14ac:dyDescent="0.25">
      <c r="A163" s="78"/>
      <c r="B163" s="20"/>
      <c r="C163" s="30"/>
      <c r="D163" s="30"/>
    </row>
    <row r="164" spans="1:4" ht="20.25" x14ac:dyDescent="0.25">
      <c r="A164" s="78"/>
      <c r="B164" s="20"/>
      <c r="C164" s="30"/>
      <c r="D164" s="30"/>
    </row>
    <row r="165" spans="1:4" ht="20.25" x14ac:dyDescent="0.25">
      <c r="A165" s="78"/>
      <c r="B165" s="20"/>
      <c r="C165" s="30"/>
      <c r="D165" s="30"/>
    </row>
    <row r="166" spans="1:4" ht="20.25" x14ac:dyDescent="0.25">
      <c r="A166" s="78"/>
      <c r="B166" s="20"/>
      <c r="C166" s="30"/>
      <c r="D166" s="30"/>
    </row>
    <row r="167" spans="1:4" ht="20.25" x14ac:dyDescent="0.25">
      <c r="A167" s="78"/>
      <c r="B167" s="20"/>
      <c r="C167" s="30"/>
      <c r="D167" s="30"/>
    </row>
    <row r="168" spans="1:4" ht="20.25" x14ac:dyDescent="0.25">
      <c r="A168" s="78"/>
      <c r="B168" s="20"/>
      <c r="C168" s="30"/>
      <c r="D168" s="30"/>
    </row>
    <row r="169" spans="1:4" ht="20.25" x14ac:dyDescent="0.25">
      <c r="A169" s="78"/>
      <c r="B169" s="20"/>
      <c r="C169" s="30"/>
      <c r="D169" s="30"/>
    </row>
    <row r="170" spans="1:4" ht="20.25" x14ac:dyDescent="0.25">
      <c r="A170" s="78"/>
      <c r="B170" s="20"/>
      <c r="C170" s="30"/>
      <c r="D170" s="30"/>
    </row>
    <row r="171" spans="1:4" ht="20.25" x14ac:dyDescent="0.25">
      <c r="A171" s="78"/>
      <c r="B171" s="20"/>
      <c r="C171" s="30"/>
      <c r="D171" s="30"/>
    </row>
    <row r="172" spans="1:4" ht="20.25" x14ac:dyDescent="0.25">
      <c r="A172" s="78"/>
      <c r="B172" s="20"/>
      <c r="C172" s="30"/>
      <c r="D172" s="30"/>
    </row>
    <row r="173" spans="1:4" ht="20.25" x14ac:dyDescent="0.25">
      <c r="A173" s="78"/>
      <c r="B173" s="20"/>
      <c r="C173" s="30"/>
      <c r="D173" s="30"/>
    </row>
    <row r="174" spans="1:4" ht="20.25" x14ac:dyDescent="0.25">
      <c r="A174" s="78"/>
      <c r="B174" s="20"/>
      <c r="C174" s="30"/>
      <c r="D174" s="30"/>
    </row>
    <row r="175" spans="1:4" ht="20.25" x14ac:dyDescent="0.25">
      <c r="A175" s="78"/>
      <c r="B175" s="20"/>
      <c r="C175" s="30"/>
      <c r="D175" s="30"/>
    </row>
    <row r="176" spans="1:4" ht="20.25" x14ac:dyDescent="0.25">
      <c r="A176" s="78"/>
      <c r="B176" s="20"/>
      <c r="C176" s="30"/>
      <c r="D176" s="30"/>
    </row>
    <row r="177" spans="1:4" ht="20.25" x14ac:dyDescent="0.25">
      <c r="A177" s="78"/>
      <c r="B177" s="20"/>
      <c r="C177" s="30"/>
      <c r="D177" s="30"/>
    </row>
    <row r="178" spans="1:4" ht="20.25" x14ac:dyDescent="0.25">
      <c r="A178" s="78"/>
      <c r="B178" s="20"/>
      <c r="C178" s="30"/>
      <c r="D178" s="30"/>
    </row>
    <row r="179" spans="1:4" ht="20.25" x14ac:dyDescent="0.25">
      <c r="A179" s="78"/>
      <c r="B179" s="20"/>
      <c r="C179" s="30"/>
      <c r="D179" s="30"/>
    </row>
    <row r="180" spans="1:4" ht="20.25" x14ac:dyDescent="0.25">
      <c r="A180" s="78"/>
      <c r="B180" s="20"/>
      <c r="C180" s="30"/>
      <c r="D180" s="30"/>
    </row>
    <row r="181" spans="1:4" ht="20.25" x14ac:dyDescent="0.25">
      <c r="A181" s="78"/>
      <c r="B181" s="20"/>
      <c r="C181" s="30"/>
      <c r="D181" s="30"/>
    </row>
    <row r="182" spans="1:4" ht="20.25" x14ac:dyDescent="0.25">
      <c r="A182" s="78"/>
      <c r="B182" s="20"/>
      <c r="C182" s="30"/>
      <c r="D182" s="30"/>
    </row>
    <row r="183" spans="1:4" ht="20.25" x14ac:dyDescent="0.25">
      <c r="A183" s="78"/>
      <c r="B183" s="20"/>
      <c r="C183" s="30"/>
      <c r="D183" s="30"/>
    </row>
    <row r="184" spans="1:4" ht="20.25" x14ac:dyDescent="0.25">
      <c r="A184" s="78"/>
      <c r="B184" s="20"/>
      <c r="C184" s="30"/>
      <c r="D184" s="30"/>
    </row>
    <row r="185" spans="1:4" ht="20.25" x14ac:dyDescent="0.25">
      <c r="A185" s="78"/>
      <c r="B185" s="20"/>
      <c r="C185" s="30"/>
      <c r="D185" s="30"/>
    </row>
    <row r="186" spans="1:4" ht="20.25" x14ac:dyDescent="0.25">
      <c r="A186" s="78"/>
      <c r="B186" s="20"/>
      <c r="C186" s="30"/>
      <c r="D186" s="30"/>
    </row>
    <row r="187" spans="1:4" ht="20.25" x14ac:dyDescent="0.25">
      <c r="A187" s="78"/>
      <c r="B187" s="20"/>
      <c r="C187" s="30"/>
      <c r="D187" s="30"/>
    </row>
    <row r="188" spans="1:4" ht="20.25" x14ac:dyDescent="0.25">
      <c r="A188" s="78"/>
      <c r="B188" s="20"/>
      <c r="C188" s="30"/>
      <c r="D188" s="30"/>
    </row>
    <row r="189" spans="1:4" ht="20.25" x14ac:dyDescent="0.25">
      <c r="A189" s="78"/>
      <c r="B189" s="20"/>
      <c r="C189" s="30"/>
      <c r="D189" s="30"/>
    </row>
    <row r="190" spans="1:4" ht="20.25" x14ac:dyDescent="0.25">
      <c r="A190" s="78"/>
      <c r="B190" s="20"/>
      <c r="C190" s="30"/>
      <c r="D190" s="30"/>
    </row>
    <row r="191" spans="1:4" ht="20.25" x14ac:dyDescent="0.25">
      <c r="A191" s="78"/>
      <c r="B191" s="20"/>
      <c r="C191" s="30"/>
      <c r="D191" s="30"/>
    </row>
    <row r="192" spans="1:4" ht="20.25" x14ac:dyDescent="0.25">
      <c r="A192" s="78"/>
      <c r="B192" s="20"/>
      <c r="C192" s="30"/>
      <c r="D192" s="30"/>
    </row>
    <row r="193" spans="1:4" ht="20.25" x14ac:dyDescent="0.25">
      <c r="A193" s="78"/>
      <c r="B193" s="20"/>
      <c r="C193" s="30"/>
      <c r="D193" s="30"/>
    </row>
    <row r="194" spans="1:4" ht="20.25" x14ac:dyDescent="0.25">
      <c r="A194" s="78"/>
      <c r="B194" s="20"/>
      <c r="C194" s="30"/>
      <c r="D194" s="30"/>
    </row>
    <row r="195" spans="1:4" ht="20.25" x14ac:dyDescent="0.25">
      <c r="A195" s="78"/>
      <c r="B195" s="20"/>
      <c r="C195" s="30"/>
      <c r="D195" s="30"/>
    </row>
    <row r="196" spans="1:4" ht="20.25" x14ac:dyDescent="0.25">
      <c r="A196" s="78"/>
      <c r="B196" s="20"/>
      <c r="C196" s="30"/>
      <c r="D196" s="30"/>
    </row>
    <row r="197" spans="1:4" ht="20.25" x14ac:dyDescent="0.25">
      <c r="A197" s="78"/>
      <c r="B197" s="20"/>
      <c r="C197" s="30"/>
      <c r="D197" s="30"/>
    </row>
    <row r="198" spans="1:4" ht="20.25" x14ac:dyDescent="0.25">
      <c r="A198" s="78"/>
      <c r="B198" s="20"/>
      <c r="C198" s="30"/>
      <c r="D198" s="30"/>
    </row>
    <row r="199" spans="1:4" ht="20.25" x14ac:dyDescent="0.25">
      <c r="A199" s="78"/>
      <c r="B199" s="20"/>
      <c r="C199" s="30"/>
      <c r="D199" s="30"/>
    </row>
    <row r="200" spans="1:4" ht="20.25" x14ac:dyDescent="0.25">
      <c r="A200" s="78"/>
      <c r="B200" s="20"/>
      <c r="C200" s="30"/>
      <c r="D200" s="30"/>
    </row>
    <row r="201" spans="1:4" ht="20.25" x14ac:dyDescent="0.25">
      <c r="A201" s="78"/>
      <c r="B201" s="20"/>
      <c r="C201" s="30"/>
      <c r="D201" s="30"/>
    </row>
    <row r="202" spans="1:4" ht="20.25" x14ac:dyDescent="0.25">
      <c r="A202" s="78"/>
      <c r="B202" s="20"/>
      <c r="C202" s="30"/>
      <c r="D202" s="30"/>
    </row>
    <row r="203" spans="1:4" ht="20.25" x14ac:dyDescent="0.25">
      <c r="A203" s="78"/>
      <c r="B203" s="20"/>
      <c r="C203" s="30"/>
      <c r="D203" s="30"/>
    </row>
    <row r="204" spans="1:4" ht="20.25" x14ac:dyDescent="0.25">
      <c r="A204" s="78"/>
      <c r="B204" s="20"/>
      <c r="C204" s="30"/>
      <c r="D204" s="30"/>
    </row>
    <row r="205" spans="1:4" ht="20.25" x14ac:dyDescent="0.25">
      <c r="A205" s="78"/>
      <c r="B205" s="20"/>
      <c r="C205" s="30"/>
      <c r="D205" s="30"/>
    </row>
    <row r="206" spans="1:4" ht="20.25" x14ac:dyDescent="0.25">
      <c r="A206" s="78"/>
      <c r="B206" s="20"/>
      <c r="C206" s="30"/>
      <c r="D206" s="30"/>
    </row>
    <row r="207" spans="1:4" ht="20.25" x14ac:dyDescent="0.25">
      <c r="A207" s="78"/>
      <c r="B207" s="20"/>
      <c r="C207" s="30"/>
      <c r="D207" s="30"/>
    </row>
    <row r="208" spans="1:4" x14ac:dyDescent="0.25">
      <c r="A208" s="58"/>
      <c r="B208" s="20"/>
      <c r="C208" s="20"/>
      <c r="D208" s="20"/>
    </row>
    <row r="209" spans="1:8" ht="20.25" x14ac:dyDescent="0.25">
      <c r="A209" s="58"/>
      <c r="B209" s="26" t="s">
        <v>82</v>
      </c>
      <c r="C209" s="26" t="s">
        <v>136</v>
      </c>
      <c r="D209" s="29" t="s">
        <v>82</v>
      </c>
      <c r="E209" s="29" t="s">
        <v>136</v>
      </c>
    </row>
    <row r="210" spans="1:8" ht="21" x14ac:dyDescent="0.35">
      <c r="A210" s="58"/>
      <c r="B210" s="27" t="s">
        <v>84</v>
      </c>
      <c r="C210" s="27" t="s">
        <v>52</v>
      </c>
      <c r="D210" t="s">
        <v>84</v>
      </c>
      <c r="F210" t="str">
        <f>IF(NOT(ISBLANK(D210)),D210,IF(NOT(ISBLANK(E210)),"     "&amp;E210,FALSE))</f>
        <v>Afectación Económica o presupuestal</v>
      </c>
      <c r="G210" t="s">
        <v>84</v>
      </c>
      <c r="H210" t="str">
        <f>IF(NOT(ISERROR(MATCH(G210,_xlfn.ANCHORARRAY(B221),0))),F223&amp;"Por favor no seleccionar los criterios de impacto",G210)</f>
        <v>❌Por favor no seleccionar los criterios de impacto</v>
      </c>
    </row>
    <row r="211" spans="1:8" ht="21" x14ac:dyDescent="0.35">
      <c r="A211" s="58"/>
      <c r="B211" s="27" t="s">
        <v>84</v>
      </c>
      <c r="C211" s="27" t="s">
        <v>87</v>
      </c>
      <c r="E211" t="s">
        <v>52</v>
      </c>
      <c r="F211" t="str">
        <f t="shared" ref="F211:F221" si="0">IF(NOT(ISBLANK(D211)),D211,IF(NOT(ISBLANK(E211)),"     "&amp;E211,FALSE))</f>
        <v xml:space="preserve">     Afectación menor a 10 SMLMV .</v>
      </c>
    </row>
    <row r="212" spans="1:8" ht="21" x14ac:dyDescent="0.35">
      <c r="A212" s="58"/>
      <c r="B212" s="27" t="s">
        <v>84</v>
      </c>
      <c r="C212" s="27" t="s">
        <v>88</v>
      </c>
      <c r="E212" t="s">
        <v>87</v>
      </c>
      <c r="F212" t="str">
        <f t="shared" si="0"/>
        <v xml:space="preserve">     Entre 10 y 50 SMLMV </v>
      </c>
    </row>
    <row r="213" spans="1:8" ht="21" x14ac:dyDescent="0.35">
      <c r="A213" s="58"/>
      <c r="B213" s="27" t="s">
        <v>84</v>
      </c>
      <c r="C213" s="27" t="s">
        <v>89</v>
      </c>
      <c r="E213" t="s">
        <v>88</v>
      </c>
      <c r="F213" t="str">
        <f t="shared" si="0"/>
        <v xml:space="preserve">     Entre 50 y 100 SMLMV </v>
      </c>
    </row>
    <row r="214" spans="1:8" ht="21" x14ac:dyDescent="0.35">
      <c r="A214" s="58"/>
      <c r="B214" s="27" t="s">
        <v>84</v>
      </c>
      <c r="C214" s="27" t="s">
        <v>90</v>
      </c>
      <c r="E214" t="s">
        <v>89</v>
      </c>
      <c r="F214" t="str">
        <f t="shared" si="0"/>
        <v xml:space="preserve">     Entre 100 y 500 SMLMV </v>
      </c>
    </row>
    <row r="215" spans="1:8" ht="21" x14ac:dyDescent="0.35">
      <c r="A215" s="58"/>
      <c r="B215" s="27" t="s">
        <v>51</v>
      </c>
      <c r="C215" s="27" t="s">
        <v>91</v>
      </c>
      <c r="E215" t="s">
        <v>90</v>
      </c>
      <c r="F215" t="str">
        <f t="shared" si="0"/>
        <v xml:space="preserve">     Mayor a 500 SMLMV </v>
      </c>
    </row>
    <row r="216" spans="1:8" ht="21" x14ac:dyDescent="0.35">
      <c r="A216" s="58"/>
      <c r="B216" s="27" t="s">
        <v>51</v>
      </c>
      <c r="C216" s="27" t="s">
        <v>92</v>
      </c>
      <c r="D216" t="s">
        <v>51</v>
      </c>
      <c r="F216" t="str">
        <f t="shared" si="0"/>
        <v>Pérdida Reputacional</v>
      </c>
    </row>
    <row r="217" spans="1:8" ht="21" x14ac:dyDescent="0.35">
      <c r="A217" s="58"/>
      <c r="B217" s="27" t="s">
        <v>51</v>
      </c>
      <c r="C217" s="27" t="s">
        <v>94</v>
      </c>
      <c r="E217" t="s">
        <v>91</v>
      </c>
      <c r="F217" t="str">
        <f t="shared" si="0"/>
        <v xml:space="preserve">     El riesgo afecta la imagen de alguna área de la organización</v>
      </c>
    </row>
    <row r="218" spans="1:8" ht="21" x14ac:dyDescent="0.35">
      <c r="A218" s="58"/>
      <c r="B218" s="27" t="s">
        <v>51</v>
      </c>
      <c r="C218" s="27" t="s">
        <v>93</v>
      </c>
      <c r="E218" t="s">
        <v>92</v>
      </c>
      <c r="F218" t="str">
        <f t="shared" si="0"/>
        <v xml:space="preserve">     El riesgo afecta la imagen de la entidad internamente, de conocimiento general, nivel interno, de junta dircetiva y accionistas y/o de provedores</v>
      </c>
    </row>
    <row r="219" spans="1:8" ht="21" x14ac:dyDescent="0.35">
      <c r="A219" s="58"/>
      <c r="B219" s="27" t="s">
        <v>51</v>
      </c>
      <c r="C219" s="27" t="s">
        <v>112</v>
      </c>
      <c r="E219" t="s">
        <v>94</v>
      </c>
      <c r="F219" t="str">
        <f t="shared" si="0"/>
        <v xml:space="preserve">     El riesgo afecta la imagen de la entidad con algunos usuarios de relevancia frente al logro de los objetivos</v>
      </c>
    </row>
    <row r="220" spans="1:8" x14ac:dyDescent="0.25">
      <c r="A220" s="58"/>
      <c r="B220" s="28"/>
      <c r="C220" s="28"/>
      <c r="E220" t="s">
        <v>93</v>
      </c>
      <c r="F220" t="str">
        <f t="shared" si="0"/>
        <v xml:space="preserve">     El riesgo afecta la imagen de de la entidad con efecto publicitario sostenido a nivel de sector administrativo, nivel departamental o municipal</v>
      </c>
    </row>
    <row r="221" spans="1:8" x14ac:dyDescent="0.25">
      <c r="A221" s="58"/>
      <c r="B221" s="28" t="str" cm="1">
        <f t="array" ref="B221:B223">_xlfn.UNIQUE(Tabla1[[#All],[Criterios]])</f>
        <v>Criterios</v>
      </c>
      <c r="C221" s="28"/>
      <c r="E221" t="s">
        <v>112</v>
      </c>
      <c r="F221" t="str">
        <f t="shared" si="0"/>
        <v xml:space="preserve">     El riesgo afecta la imagen de la entidad a nivel nacional, con efecto publicitarios sostenible a nivel país</v>
      </c>
    </row>
    <row r="222" spans="1:8" x14ac:dyDescent="0.25">
      <c r="A222" s="58"/>
      <c r="B222" s="28" t="str">
        <v>Afectación Económica o presupuestal</v>
      </c>
      <c r="C222" s="28"/>
    </row>
    <row r="223" spans="1:8" x14ac:dyDescent="0.25">
      <c r="B223" s="28" t="str">
        <v>Pérdida Reputacional</v>
      </c>
      <c r="C223" s="28"/>
      <c r="F223" s="31" t="s">
        <v>138</v>
      </c>
    </row>
    <row r="224" spans="1:8" x14ac:dyDescent="0.25">
      <c r="B224" s="19"/>
      <c r="C224" s="19"/>
      <c r="F224" s="31" t="s">
        <v>139</v>
      </c>
    </row>
    <row r="225" spans="2:4" x14ac:dyDescent="0.25">
      <c r="B225" s="19"/>
      <c r="C225" s="19"/>
    </row>
    <row r="226" spans="2:4" x14ac:dyDescent="0.25">
      <c r="B226" s="19"/>
      <c r="C226" s="19"/>
    </row>
    <row r="227" spans="2:4" x14ac:dyDescent="0.25">
      <c r="B227" s="19"/>
      <c r="C227" s="19"/>
      <c r="D227" s="19"/>
    </row>
    <row r="228" spans="2:4" x14ac:dyDescent="0.25">
      <c r="B228" s="19"/>
      <c r="C228" s="19"/>
      <c r="D228" s="19"/>
    </row>
    <row r="229" spans="2:4" x14ac:dyDescent="0.25">
      <c r="B229" s="19"/>
      <c r="C229" s="19"/>
      <c r="D229" s="19"/>
    </row>
    <row r="230" spans="2:4" x14ac:dyDescent="0.25">
      <c r="B230" s="19"/>
      <c r="C230" s="19"/>
      <c r="D230" s="19"/>
    </row>
    <row r="231" spans="2:4" x14ac:dyDescent="0.25">
      <c r="B231" s="19"/>
      <c r="C231" s="19"/>
      <c r="D231" s="19"/>
    </row>
    <row r="232" spans="2:4" x14ac:dyDescent="0.25">
      <c r="B232" s="19"/>
      <c r="C232" s="19"/>
      <c r="D232" s="19"/>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A3" sqref="A3"/>
    </sheetView>
  </sheetViews>
  <sheetFormatPr baseColWidth="10" defaultColWidth="14.28515625" defaultRowHeight="12.75" x14ac:dyDescent="0.2"/>
  <cols>
    <col min="1" max="2" width="14.28515625" style="63"/>
    <col min="3" max="3" width="17" style="63" customWidth="1"/>
    <col min="4" max="4" width="14.28515625" style="63"/>
    <col min="5" max="5" width="46" style="63" customWidth="1"/>
    <col min="6" max="16384" width="14.28515625" style="63"/>
  </cols>
  <sheetData>
    <row r="1" spans="2:6" ht="24" customHeight="1" thickBot="1" x14ac:dyDescent="0.25">
      <c r="B1" s="414" t="s">
        <v>72</v>
      </c>
      <c r="C1" s="415"/>
      <c r="D1" s="415"/>
      <c r="E1" s="415"/>
      <c r="F1" s="416"/>
    </row>
    <row r="2" spans="2:6" ht="16.5" thickBot="1" x14ac:dyDescent="0.3">
      <c r="B2" s="64"/>
      <c r="C2" s="64"/>
      <c r="D2" s="64"/>
      <c r="E2" s="64"/>
      <c r="F2" s="64"/>
    </row>
    <row r="3" spans="2:6" ht="16.5" thickBot="1" x14ac:dyDescent="0.25">
      <c r="B3" s="418" t="s">
        <v>58</v>
      </c>
      <c r="C3" s="419"/>
      <c r="D3" s="419"/>
      <c r="E3" s="76" t="s">
        <v>59</v>
      </c>
      <c r="F3" s="77" t="s">
        <v>60</v>
      </c>
    </row>
    <row r="4" spans="2:6" ht="31.5" x14ac:dyDescent="0.2">
      <c r="B4" s="420" t="s">
        <v>61</v>
      </c>
      <c r="C4" s="422" t="s">
        <v>13</v>
      </c>
      <c r="D4" s="65" t="s">
        <v>14</v>
      </c>
      <c r="E4" s="66" t="s">
        <v>62</v>
      </c>
      <c r="F4" s="67">
        <v>0.25</v>
      </c>
    </row>
    <row r="5" spans="2:6" ht="47.25" x14ac:dyDescent="0.2">
      <c r="B5" s="421"/>
      <c r="C5" s="423"/>
      <c r="D5" s="68" t="s">
        <v>15</v>
      </c>
      <c r="E5" s="69" t="s">
        <v>63</v>
      </c>
      <c r="F5" s="70">
        <v>0.15</v>
      </c>
    </row>
    <row r="6" spans="2:6" ht="47.25" x14ac:dyDescent="0.2">
      <c r="B6" s="421"/>
      <c r="C6" s="423"/>
      <c r="D6" s="68" t="s">
        <v>16</v>
      </c>
      <c r="E6" s="69" t="s">
        <v>64</v>
      </c>
      <c r="F6" s="70">
        <v>0.1</v>
      </c>
    </row>
    <row r="7" spans="2:6" ht="63" x14ac:dyDescent="0.2">
      <c r="B7" s="421"/>
      <c r="C7" s="423" t="s">
        <v>17</v>
      </c>
      <c r="D7" s="68" t="s">
        <v>10</v>
      </c>
      <c r="E7" s="69" t="s">
        <v>65</v>
      </c>
      <c r="F7" s="70">
        <v>0.25</v>
      </c>
    </row>
    <row r="8" spans="2:6" ht="31.5" x14ac:dyDescent="0.2">
      <c r="B8" s="421"/>
      <c r="C8" s="423"/>
      <c r="D8" s="68" t="s">
        <v>9</v>
      </c>
      <c r="E8" s="69" t="s">
        <v>66</v>
      </c>
      <c r="F8" s="70">
        <v>0.15</v>
      </c>
    </row>
    <row r="9" spans="2:6" ht="47.25" x14ac:dyDescent="0.2">
      <c r="B9" s="421" t="s">
        <v>153</v>
      </c>
      <c r="C9" s="423" t="s">
        <v>18</v>
      </c>
      <c r="D9" s="68" t="s">
        <v>19</v>
      </c>
      <c r="E9" s="69" t="s">
        <v>67</v>
      </c>
      <c r="F9" s="71" t="s">
        <v>68</v>
      </c>
    </row>
    <row r="10" spans="2:6" ht="63" x14ac:dyDescent="0.2">
      <c r="B10" s="421"/>
      <c r="C10" s="423"/>
      <c r="D10" s="68" t="s">
        <v>20</v>
      </c>
      <c r="E10" s="69" t="s">
        <v>69</v>
      </c>
      <c r="F10" s="71" t="s">
        <v>68</v>
      </c>
    </row>
    <row r="11" spans="2:6" ht="47.25" x14ac:dyDescent="0.2">
      <c r="B11" s="421"/>
      <c r="C11" s="423" t="s">
        <v>21</v>
      </c>
      <c r="D11" s="68" t="s">
        <v>22</v>
      </c>
      <c r="E11" s="69" t="s">
        <v>70</v>
      </c>
      <c r="F11" s="71" t="s">
        <v>68</v>
      </c>
    </row>
    <row r="12" spans="2:6" ht="47.25" x14ac:dyDescent="0.2">
      <c r="B12" s="421"/>
      <c r="C12" s="423"/>
      <c r="D12" s="68" t="s">
        <v>23</v>
      </c>
      <c r="E12" s="69" t="s">
        <v>71</v>
      </c>
      <c r="F12" s="71" t="s">
        <v>68</v>
      </c>
    </row>
    <row r="13" spans="2:6" ht="31.5" x14ac:dyDescent="0.2">
      <c r="B13" s="421"/>
      <c r="C13" s="423" t="s">
        <v>24</v>
      </c>
      <c r="D13" s="68" t="s">
        <v>113</v>
      </c>
      <c r="E13" s="69" t="s">
        <v>116</v>
      </c>
      <c r="F13" s="71" t="s">
        <v>68</v>
      </c>
    </row>
    <row r="14" spans="2:6" ht="32.25" thickBot="1" x14ac:dyDescent="0.25">
      <c r="B14" s="424"/>
      <c r="C14" s="425"/>
      <c r="D14" s="72" t="s">
        <v>114</v>
      </c>
      <c r="E14" s="73" t="s">
        <v>115</v>
      </c>
      <c r="F14" s="74" t="s">
        <v>68</v>
      </c>
    </row>
    <row r="15" spans="2:6" ht="49.5" customHeight="1" x14ac:dyDescent="0.2">
      <c r="B15" s="417" t="s">
        <v>150</v>
      </c>
      <c r="C15" s="417"/>
      <c r="D15" s="417"/>
      <c r="E15" s="417"/>
      <c r="F15" s="417"/>
    </row>
    <row r="16" spans="2:6" ht="27" customHeight="1" x14ac:dyDescent="0.25">
      <c r="B16" s="7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126</v>
      </c>
    </row>
    <row r="3" spans="2:5" x14ac:dyDescent="0.25">
      <c r="B3" t="s">
        <v>32</v>
      </c>
      <c r="E3" t="s">
        <v>125</v>
      </c>
    </row>
    <row r="4" spans="2:5" x14ac:dyDescent="0.25">
      <c r="B4" t="s">
        <v>130</v>
      </c>
      <c r="E4" t="s">
        <v>127</v>
      </c>
    </row>
    <row r="5" spans="2:5" x14ac:dyDescent="0.25">
      <c r="B5" t="s">
        <v>129</v>
      </c>
    </row>
    <row r="8" spans="2:5" x14ac:dyDescent="0.25">
      <c r="B8" t="s">
        <v>80</v>
      </c>
    </row>
    <row r="9" spans="2:5" x14ac:dyDescent="0.25">
      <c r="B9" t="s">
        <v>36</v>
      </c>
    </row>
    <row r="10" spans="2:5" x14ac:dyDescent="0.25">
      <c r="B10" t="s">
        <v>37</v>
      </c>
    </row>
    <row r="13" spans="2:5" x14ac:dyDescent="0.25">
      <c r="B13" t="s">
        <v>123</v>
      </c>
    </row>
    <row r="14" spans="2:5" x14ac:dyDescent="0.25">
      <c r="B14" t="s">
        <v>117</v>
      </c>
    </row>
    <row r="15" spans="2:5" x14ac:dyDescent="0.25">
      <c r="B15" t="s">
        <v>120</v>
      </c>
    </row>
    <row r="16" spans="2:5" x14ac:dyDescent="0.25">
      <c r="B16" t="s">
        <v>118</v>
      </c>
    </row>
    <row r="17" spans="2:2" x14ac:dyDescent="0.25">
      <c r="B17" t="s">
        <v>119</v>
      </c>
    </row>
    <row r="18" spans="2:2" x14ac:dyDescent="0.25">
      <c r="B18" t="s">
        <v>121</v>
      </c>
    </row>
    <row r="19" spans="2:2" x14ac:dyDescent="0.25">
      <c r="B19" t="s">
        <v>122</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RowHeight="12.75" x14ac:dyDescent="0.2"/>
  <cols>
    <col min="1" max="1" width="32.85546875" style="6" customWidth="1"/>
    <col min="2" max="16384" width="11.42578125" style="6"/>
  </cols>
  <sheetData>
    <row r="3" spans="1:1" x14ac:dyDescent="0.2">
      <c r="A3" s="7" t="s">
        <v>14</v>
      </c>
    </row>
    <row r="4" spans="1:1" x14ac:dyDescent="0.2">
      <c r="A4" s="7" t="s">
        <v>15</v>
      </c>
    </row>
    <row r="5" spans="1:1" x14ac:dyDescent="0.2">
      <c r="A5" s="7" t="s">
        <v>16</v>
      </c>
    </row>
    <row r="6" spans="1:1" x14ac:dyDescent="0.2">
      <c r="A6" s="7" t="s">
        <v>10</v>
      </c>
    </row>
    <row r="7" spans="1:1" x14ac:dyDescent="0.2">
      <c r="A7" s="7" t="s">
        <v>9</v>
      </c>
    </row>
    <row r="8" spans="1:1" x14ac:dyDescent="0.2">
      <c r="A8" s="7" t="s">
        <v>19</v>
      </c>
    </row>
    <row r="9" spans="1:1" x14ac:dyDescent="0.2">
      <c r="A9" s="7" t="s">
        <v>20</v>
      </c>
    </row>
    <row r="10" spans="1:1" x14ac:dyDescent="0.2">
      <c r="A10" s="7" t="s">
        <v>22</v>
      </c>
    </row>
    <row r="11" spans="1:1" x14ac:dyDescent="0.2">
      <c r="A11" s="7" t="s">
        <v>23</v>
      </c>
    </row>
    <row r="12" spans="1:1" x14ac:dyDescent="0.2">
      <c r="A12" s="7" t="s">
        <v>25</v>
      </c>
    </row>
    <row r="13" spans="1:1" x14ac:dyDescent="0.2">
      <c r="A13" s="7" t="s">
        <v>26</v>
      </c>
    </row>
    <row r="14" spans="1:1" x14ac:dyDescent="0.2">
      <c r="A14" s="7" t="s">
        <v>27</v>
      </c>
    </row>
    <row r="16" spans="1:1" x14ac:dyDescent="0.2">
      <c r="A16" s="7" t="s">
        <v>30</v>
      </c>
    </row>
    <row r="17" spans="1:1" x14ac:dyDescent="0.2">
      <c r="A17" s="7" t="s">
        <v>31</v>
      </c>
    </row>
    <row r="18" spans="1:1" x14ac:dyDescent="0.2">
      <c r="A18" s="7" t="s">
        <v>32</v>
      </c>
    </row>
    <row r="20" spans="1:1" x14ac:dyDescent="0.2">
      <c r="A20" s="7" t="s">
        <v>36</v>
      </c>
    </row>
    <row r="21" spans="1:1" x14ac:dyDescent="0.2">
      <c r="A21" s="7"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SPAP</cp:lastModifiedBy>
  <cp:lastPrinted>2021-10-13T03:54:14Z</cp:lastPrinted>
  <dcterms:created xsi:type="dcterms:W3CDTF">2020-03-24T23:12:47Z</dcterms:created>
  <dcterms:modified xsi:type="dcterms:W3CDTF">2021-10-22T13:41:22Z</dcterms:modified>
</cp:coreProperties>
</file>