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92.168.10.203\Owncloud\epenaq\files\EPQ 130521\Documentos\EPQ\ERU\MPPULTIMO\VIGENTES\Estrategicos\Direccion estrat\Otros\"/>
    </mc:Choice>
  </mc:AlternateContent>
  <bookViews>
    <workbookView xWindow="0" yWindow="0" windowWidth="15530" windowHeight="705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final'!$A$6:$CP$154</definedName>
  </definedNames>
  <calcPr calcId="162913"/>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2" i="1" l="1"/>
  <c r="T139" i="1"/>
  <c r="K70" i="1" l="1"/>
  <c r="L70" i="1" s="1"/>
  <c r="W70" i="1"/>
  <c r="T70" i="1"/>
  <c r="N70" i="1"/>
  <c r="O70" i="1" s="1"/>
  <c r="AA70" i="1" l="1"/>
  <c r="Q70" i="1"/>
  <c r="P70" i="1"/>
  <c r="AE70" i="1" s="1"/>
  <c r="AD70" i="1" s="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9" i="1"/>
  <c r="N139" i="1"/>
  <c r="O139" i="1" s="1"/>
  <c r="P139" i="1" s="1"/>
  <c r="W139" i="1"/>
  <c r="T140" i="1"/>
  <c r="AA140" i="1" s="1"/>
  <c r="W140" i="1"/>
  <c r="T141" i="1"/>
  <c r="AA141" i="1" s="1"/>
  <c r="W141" i="1"/>
  <c r="K142" i="1"/>
  <c r="N142" i="1"/>
  <c r="O142" i="1" s="1"/>
  <c r="W142" i="1"/>
  <c r="T143" i="1"/>
  <c r="AA143" i="1" s="1"/>
  <c r="W143" i="1"/>
  <c r="T144" i="1"/>
  <c r="AA144" i="1" s="1"/>
  <c r="AC144" i="1" s="1"/>
  <c r="W144" i="1"/>
  <c r="K145" i="1"/>
  <c r="N145" i="1"/>
  <c r="O145" i="1" s="1"/>
  <c r="P145" i="1" s="1"/>
  <c r="T145" i="1"/>
  <c r="AA145" i="1" s="1"/>
  <c r="W145" i="1"/>
  <c r="T146" i="1"/>
  <c r="AA146" i="1" s="1"/>
  <c r="W146" i="1"/>
  <c r="T147" i="1"/>
  <c r="AA147" i="1" s="1"/>
  <c r="W147" i="1"/>
  <c r="K148" i="1"/>
  <c r="L148" i="1" s="1"/>
  <c r="N148" i="1"/>
  <c r="O148" i="1" s="1"/>
  <c r="T148" i="1"/>
  <c r="AE148" i="1" s="1"/>
  <c r="AD148" i="1" s="1"/>
  <c r="W148" i="1"/>
  <c r="T149" i="1"/>
  <c r="AA149" i="1" s="1"/>
  <c r="W149" i="1"/>
  <c r="T150" i="1"/>
  <c r="AA150" i="1" s="1"/>
  <c r="W150" i="1"/>
  <c r="K151" i="1"/>
  <c r="N151" i="1"/>
  <c r="O151" i="1" s="1"/>
  <c r="P151" i="1" s="1"/>
  <c r="T151" i="1"/>
  <c r="AA151" i="1" s="1"/>
  <c r="W151" i="1"/>
  <c r="T152" i="1"/>
  <c r="AA152" i="1" s="1"/>
  <c r="W152" i="1"/>
  <c r="T153" i="1"/>
  <c r="AA153" i="1" s="1"/>
  <c r="W153" i="1"/>
  <c r="W100" i="1"/>
  <c r="T100" i="1"/>
  <c r="N100" i="1"/>
  <c r="O100" i="1" s="1"/>
  <c r="P100" i="1" s="1"/>
  <c r="K100" i="1"/>
  <c r="AE149" i="1" l="1"/>
  <c r="AD149" i="1" s="1"/>
  <c r="AA148" i="1"/>
  <c r="AC148" i="1" s="1"/>
  <c r="AE144" i="1"/>
  <c r="AD144" i="1" s="1"/>
  <c r="AB144" i="1"/>
  <c r="AE143" i="1"/>
  <c r="AD143" i="1" s="1"/>
  <c r="AC70" i="1"/>
  <c r="AB70" i="1"/>
  <c r="AF70" i="1" s="1"/>
  <c r="AC149" i="1"/>
  <c r="AB149" i="1"/>
  <c r="AC143" i="1"/>
  <c r="AB143" i="1"/>
  <c r="AC150" i="1"/>
  <c r="AB150" i="1"/>
  <c r="AZ84" i="18"/>
  <c r="AP104" i="18"/>
  <c r="AP24" i="18"/>
  <c r="AF44" i="18"/>
  <c r="V64" i="18"/>
  <c r="L84" i="18"/>
  <c r="AZ64" i="18"/>
  <c r="AP84" i="18"/>
  <c r="AF104" i="18"/>
  <c r="AF24" i="18"/>
  <c r="V44" i="18"/>
  <c r="L64" i="18"/>
  <c r="AZ44" i="18"/>
  <c r="AP64" i="18"/>
  <c r="AF84" i="18"/>
  <c r="V104" i="18"/>
  <c r="V24" i="18"/>
  <c r="L44" i="18"/>
  <c r="AZ104" i="18"/>
  <c r="AZ24" i="18"/>
  <c r="AP44" i="18"/>
  <c r="AF64" i="18"/>
  <c r="V84" i="18"/>
  <c r="L104" i="18"/>
  <c r="L24" i="18"/>
  <c r="BD44" i="18"/>
  <c r="AT64" i="18"/>
  <c r="AJ84" i="18"/>
  <c r="Z104" i="18"/>
  <c r="Z24" i="18"/>
  <c r="P44" i="18"/>
  <c r="BD104" i="18"/>
  <c r="BD24" i="18"/>
  <c r="AT44" i="18"/>
  <c r="AJ64" i="18"/>
  <c r="Z84" i="18"/>
  <c r="P104" i="18"/>
  <c r="P24" i="18"/>
  <c r="BD84" i="18"/>
  <c r="AT104" i="18"/>
  <c r="AT24" i="18"/>
  <c r="AJ44" i="18"/>
  <c r="Z64" i="18"/>
  <c r="P84" i="18"/>
  <c r="BD64" i="18"/>
  <c r="AT84" i="18"/>
  <c r="AJ104" i="18"/>
  <c r="AJ24" i="18"/>
  <c r="Z44" i="18"/>
  <c r="P64" i="18"/>
  <c r="L139" i="1"/>
  <c r="AA139" i="1" s="1"/>
  <c r="AX104" i="18"/>
  <c r="AX24" i="18"/>
  <c r="AN44" i="18"/>
  <c r="AD64" i="18"/>
  <c r="T84" i="18"/>
  <c r="J104" i="18"/>
  <c r="J24" i="18"/>
  <c r="AX84" i="18"/>
  <c r="AN104" i="18"/>
  <c r="AN24" i="18"/>
  <c r="AD44" i="18"/>
  <c r="T64" i="18"/>
  <c r="J84" i="18"/>
  <c r="AX64" i="18"/>
  <c r="AN84" i="18"/>
  <c r="AD104" i="18"/>
  <c r="AD24" i="18"/>
  <c r="T44" i="18"/>
  <c r="J64" i="18"/>
  <c r="AX44" i="18"/>
  <c r="AN64" i="18"/>
  <c r="AD84" i="18"/>
  <c r="T104" i="18"/>
  <c r="T24" i="18"/>
  <c r="J44" i="18"/>
  <c r="AE150" i="1"/>
  <c r="AD150" i="1" s="1"/>
  <c r="L145" i="1"/>
  <c r="BB64" i="18"/>
  <c r="AR84" i="18"/>
  <c r="AH104" i="18"/>
  <c r="AH24" i="18"/>
  <c r="X44" i="18"/>
  <c r="N64" i="18"/>
  <c r="BB44" i="18"/>
  <c r="AR64" i="18"/>
  <c r="AH84" i="18"/>
  <c r="X104" i="18"/>
  <c r="X24" i="18"/>
  <c r="N44" i="18"/>
  <c r="BB104" i="18"/>
  <c r="BB24" i="18"/>
  <c r="AR44" i="18"/>
  <c r="AH64" i="18"/>
  <c r="X84" i="18"/>
  <c r="N104" i="18"/>
  <c r="N24" i="18"/>
  <c r="BB84" i="18"/>
  <c r="AR104" i="18"/>
  <c r="AR24" i="18"/>
  <c r="AH44" i="18"/>
  <c r="X64" i="18"/>
  <c r="N84" i="18"/>
  <c r="L151" i="1"/>
  <c r="BF104" i="18"/>
  <c r="BF24" i="18"/>
  <c r="AV44" i="18"/>
  <c r="AL64" i="18"/>
  <c r="AB84" i="18"/>
  <c r="R104" i="18"/>
  <c r="R24" i="18"/>
  <c r="BF84" i="18"/>
  <c r="AV104" i="18"/>
  <c r="AV24" i="18"/>
  <c r="AL44" i="18"/>
  <c r="AB64" i="18"/>
  <c r="R84" i="18"/>
  <c r="BF64" i="18"/>
  <c r="AV84" i="18"/>
  <c r="AL104" i="18"/>
  <c r="AL24" i="18"/>
  <c r="AB44" i="18"/>
  <c r="R64" i="18"/>
  <c r="BF44" i="18"/>
  <c r="AV64" i="18"/>
  <c r="AL84" i="18"/>
  <c r="AB104" i="18"/>
  <c r="AB24" i="18"/>
  <c r="R44" i="18"/>
  <c r="L142" i="1"/>
  <c r="AA142"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2" i="1"/>
  <c r="AC152" i="1"/>
  <c r="P142" i="1"/>
  <c r="AE142" i="1" s="1"/>
  <c r="AD142" i="1" s="1"/>
  <c r="Q142" i="1"/>
  <c r="AB141" i="1"/>
  <c r="AC141" i="1"/>
  <c r="Q148" i="1"/>
  <c r="P148" i="1"/>
  <c r="AB147" i="1"/>
  <c r="AC147" i="1"/>
  <c r="AB145" i="1"/>
  <c r="AC145" i="1"/>
  <c r="AB153" i="1"/>
  <c r="AC153" i="1"/>
  <c r="AB151" i="1"/>
  <c r="AC151" i="1"/>
  <c r="AB140" i="1"/>
  <c r="AC140" i="1"/>
  <c r="AB146" i="1"/>
  <c r="AC146" i="1"/>
  <c r="Q151" i="1"/>
  <c r="Q145" i="1"/>
  <c r="Q139" i="1"/>
  <c r="AE153" i="1"/>
  <c r="AD153" i="1" s="1"/>
  <c r="AE152" i="1"/>
  <c r="AD152" i="1" s="1"/>
  <c r="AE151" i="1"/>
  <c r="AD151" i="1" s="1"/>
  <c r="AE147" i="1"/>
  <c r="AD147" i="1" s="1"/>
  <c r="AE146" i="1"/>
  <c r="AD146" i="1" s="1"/>
  <c r="AE145" i="1"/>
  <c r="AD145" i="1" s="1"/>
  <c r="AE141" i="1"/>
  <c r="AD141" i="1" s="1"/>
  <c r="AE140" i="1"/>
  <c r="AD140" i="1" s="1"/>
  <c r="AE139" i="1"/>
  <c r="AD139" i="1" s="1"/>
  <c r="Q100" i="1"/>
  <c r="AE100" i="1"/>
  <c r="AD100" i="1" s="1"/>
  <c r="L100" i="1"/>
  <c r="AA100" i="1" s="1"/>
  <c r="AB142" i="1" l="1"/>
  <c r="V102" i="19" s="1"/>
  <c r="AC142" i="1"/>
  <c r="AB139" i="1"/>
  <c r="AC139" i="1"/>
  <c r="X52" i="19"/>
  <c r="R52" i="19"/>
  <c r="O52" i="19"/>
  <c r="AB148" i="1"/>
  <c r="S254" i="19" s="1"/>
  <c r="R102" i="19"/>
  <c r="U52" i="19"/>
  <c r="AF144" i="1"/>
  <c r="O152" i="19"/>
  <c r="L202" i="19"/>
  <c r="L252" i="19"/>
  <c r="L102" i="19"/>
  <c r="X102" i="19"/>
  <c r="O252" i="19"/>
  <c r="L52" i="19"/>
  <c r="L152" i="19"/>
  <c r="O102" i="19"/>
  <c r="X152" i="19"/>
  <c r="O202" i="19"/>
  <c r="R252" i="19"/>
  <c r="R152" i="19"/>
  <c r="U252" i="19"/>
  <c r="U102" i="19"/>
  <c r="X202" i="19"/>
  <c r="R202" i="19"/>
  <c r="X252" i="19"/>
  <c r="U152" i="19"/>
  <c r="U202" i="19"/>
  <c r="V154" i="19"/>
  <c r="AF150"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V252" i="19"/>
  <c r="S252" i="19"/>
  <c r="V152" i="19"/>
  <c r="S202" i="19"/>
  <c r="P152" i="19"/>
  <c r="M202" i="19"/>
  <c r="P102" i="19"/>
  <c r="M152" i="19"/>
  <c r="S152" i="19"/>
  <c r="P202" i="19"/>
  <c r="J202" i="19"/>
  <c r="M52" i="19"/>
  <c r="P252" i="19"/>
  <c r="M102" i="19"/>
  <c r="J102" i="19"/>
  <c r="J52" i="19"/>
  <c r="J152" i="19"/>
  <c r="AF146"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0"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3"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3"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9"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AF147" i="1"/>
  <c r="AF139" i="1"/>
  <c r="AF151" i="1"/>
  <c r="AF145" i="1"/>
  <c r="AF141" i="1"/>
  <c r="AF152" i="1"/>
  <c r="AB100" i="1"/>
  <c r="AF100" i="1" s="1"/>
  <c r="AC100" i="1"/>
  <c r="J252" i="19" l="1"/>
  <c r="S52" i="19"/>
  <c r="V202" i="19"/>
  <c r="V52" i="19"/>
  <c r="P52" i="19"/>
  <c r="M252" i="19"/>
  <c r="S102" i="19"/>
  <c r="AF142" i="1"/>
  <c r="M204" i="19"/>
  <c r="J204" i="19"/>
  <c r="J104" i="19"/>
  <c r="P54" i="19"/>
  <c r="P254" i="19"/>
  <c r="J54" i="19"/>
  <c r="V204" i="19"/>
  <c r="M154" i="19"/>
  <c r="P104" i="19"/>
  <c r="J254" i="19"/>
  <c r="M254" i="19"/>
  <c r="V54" i="19"/>
  <c r="M54" i="19"/>
  <c r="P204" i="19"/>
  <c r="V254" i="19"/>
  <c r="P154" i="19"/>
  <c r="S154" i="19"/>
  <c r="V104" i="19"/>
  <c r="AF148"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L136" i="1" l="1"/>
  <c r="AA136"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W103" i="1"/>
  <c r="T103" i="1"/>
  <c r="T96" i="1"/>
  <c r="W95" i="1"/>
  <c r="T95" i="1"/>
  <c r="T93" i="1"/>
  <c r="W94" i="1"/>
  <c r="T94" i="1"/>
  <c r="W92" i="1"/>
  <c r="T92" i="1"/>
  <c r="AA92" i="1" s="1"/>
  <c r="T90" i="1"/>
  <c r="T89" i="1"/>
  <c r="W84" i="1"/>
  <c r="T84" i="1"/>
  <c r="W83" i="1"/>
  <c r="T83" i="1"/>
  <c r="W81" i="1"/>
  <c r="T81" i="1"/>
  <c r="AD81" i="1" s="1"/>
  <c r="W80" i="1"/>
  <c r="T80" i="1"/>
  <c r="T78" i="1"/>
  <c r="W76" i="1"/>
  <c r="T76" i="1"/>
  <c r="T77"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T30" i="1"/>
  <c r="AE30" i="1" s="1"/>
  <c r="AD30" i="1" s="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4" i="1"/>
  <c r="AD114" i="1" s="1"/>
  <c r="AD119" i="1"/>
  <c r="AE23" i="1"/>
  <c r="AD23" i="1" s="1"/>
  <c r="AD29" i="1"/>
  <c r="AE35" i="1"/>
  <c r="AD35" i="1" s="1"/>
  <c r="AE47" i="1"/>
  <c r="AD47" i="1" s="1"/>
  <c r="AE50" i="1"/>
  <c r="AD50" i="1" s="1"/>
  <c r="AE54" i="1"/>
  <c r="AD54" i="1" s="1"/>
  <c r="AE77" i="1"/>
  <c r="AD77" i="1" s="1"/>
  <c r="AE78" i="1"/>
  <c r="AD78" i="1" s="1"/>
  <c r="AE90" i="1"/>
  <c r="AD90" i="1" s="1"/>
  <c r="AD95" i="1"/>
  <c r="AD104" i="1"/>
  <c r="AD107" i="1"/>
  <c r="AE111" i="1"/>
  <c r="AD111" i="1" s="1"/>
  <c r="AD116" i="1"/>
  <c r="AE53" i="1"/>
  <c r="AD53" i="1" s="1"/>
  <c r="AE59" i="1"/>
  <c r="AD59" i="1" s="1"/>
  <c r="AE96" i="1"/>
  <c r="AD96" i="1" s="1"/>
  <c r="AE105" i="1"/>
  <c r="AD105" i="1" s="1"/>
  <c r="AE108" i="1"/>
  <c r="AD108" i="1" s="1"/>
  <c r="AD110" i="1"/>
  <c r="AE117" i="1"/>
  <c r="AD117" i="1" s="1"/>
  <c r="AE122" i="1"/>
  <c r="AD122" i="1" s="1"/>
  <c r="AD113" i="1"/>
  <c r="AD120" i="1"/>
  <c r="AE92" i="1"/>
  <c r="AD92" i="1" s="1"/>
  <c r="AD44" i="1"/>
  <c r="AB136" i="1"/>
  <c r="AC136"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97" i="1"/>
  <c r="L94" i="1"/>
  <c r="AA94" i="1" s="1"/>
  <c r="AA95" i="1" s="1"/>
  <c r="AA96" i="1" s="1"/>
  <c r="L91" i="1"/>
  <c r="L88" i="1"/>
  <c r="L82" i="1"/>
  <c r="L79" i="1"/>
  <c r="L76" i="1"/>
  <c r="AA76" i="1" s="1"/>
  <c r="AA77" i="1" s="1"/>
  <c r="AA78" i="1" s="1"/>
  <c r="L73" i="1"/>
  <c r="AA73"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6" i="1"/>
  <c r="W106"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4" i="1"/>
  <c r="AF132" i="1"/>
  <c r="AF131" i="1"/>
  <c r="AF128" i="1"/>
  <c r="AF129" i="1"/>
  <c r="AF135" i="1"/>
  <c r="AB121" i="1"/>
  <c r="AC121" i="1"/>
  <c r="AB122" i="1"/>
  <c r="AC122" i="1"/>
  <c r="AB119" i="1"/>
  <c r="AC119" i="1"/>
  <c r="AB118" i="1"/>
  <c r="AC118" i="1"/>
  <c r="AB120" i="1"/>
  <c r="AC120" i="1"/>
  <c r="AB115" i="1"/>
  <c r="AC115" i="1"/>
  <c r="AB116" i="1"/>
  <c r="AC116" i="1"/>
  <c r="AB117" i="1"/>
  <c r="AC117" i="1"/>
  <c r="AB112" i="1"/>
  <c r="AC112" i="1"/>
  <c r="AB113" i="1"/>
  <c r="AC113" i="1"/>
  <c r="AB114" i="1"/>
  <c r="AC114" i="1"/>
  <c r="AB109" i="1"/>
  <c r="AC109" i="1"/>
  <c r="AB110" i="1"/>
  <c r="AC110" i="1"/>
  <c r="AB111" i="1"/>
  <c r="AC111" i="1"/>
  <c r="AB126" i="1"/>
  <c r="AC126" i="1"/>
  <c r="AB125" i="1"/>
  <c r="AC125" i="1"/>
  <c r="AB124" i="1"/>
  <c r="AC124" i="1"/>
  <c r="AB105" i="1"/>
  <c r="AC105" i="1"/>
  <c r="AB104" i="1"/>
  <c r="AC104" i="1"/>
  <c r="AB103" i="1"/>
  <c r="AC103" i="1"/>
  <c r="AB96" i="1"/>
  <c r="AC96" i="1"/>
  <c r="AB95" i="1"/>
  <c r="AC95" i="1"/>
  <c r="AB93" i="1"/>
  <c r="AC93" i="1"/>
  <c r="AB94" i="1"/>
  <c r="AC94" i="1"/>
  <c r="AB92" i="1"/>
  <c r="AC92" i="1"/>
  <c r="AB78" i="1"/>
  <c r="AC78" i="1"/>
  <c r="AB76" i="1"/>
  <c r="AC76" i="1"/>
  <c r="AB77" i="1"/>
  <c r="AC77"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3" i="1"/>
  <c r="AF26" i="1"/>
  <c r="AF38" i="1"/>
  <c r="AF47" i="1"/>
  <c r="AF77" i="1"/>
  <c r="AF95" i="1"/>
  <c r="AF104" i="1"/>
  <c r="AF110" i="1"/>
  <c r="AF120" i="1"/>
  <c r="AF33" i="1"/>
  <c r="AF30" i="1"/>
  <c r="AF92" i="1"/>
  <c r="AF96" i="1"/>
  <c r="AF105" i="1"/>
  <c r="AF117" i="1"/>
  <c r="AF111" i="1"/>
  <c r="AF35" i="1"/>
  <c r="AF39" i="1"/>
  <c r="AF48" i="1"/>
  <c r="AF53" i="1"/>
  <c r="AF125" i="1"/>
  <c r="AF122" i="1"/>
  <c r="AF27" i="1"/>
  <c r="AF32" i="1"/>
  <c r="AF36" i="1"/>
  <c r="AF44" i="1"/>
  <c r="AF54" i="1"/>
  <c r="AF78" i="1"/>
  <c r="AF126" i="1"/>
  <c r="AF114" i="1"/>
  <c r="AF116" i="1"/>
  <c r="AF119" i="1"/>
  <c r="AF45" i="1"/>
  <c r="AA49" i="1"/>
  <c r="AA50" i="1" s="1"/>
  <c r="AA58" i="1"/>
  <c r="AA59" i="1" s="1"/>
  <c r="AA61" i="1"/>
  <c r="AA62" i="1" s="1"/>
  <c r="AA64" i="1"/>
  <c r="AA67" i="1"/>
  <c r="AA79" i="1"/>
  <c r="AA80" i="1" s="1"/>
  <c r="AA88" i="1"/>
  <c r="AA89" i="1" s="1"/>
  <c r="AA106" i="1"/>
  <c r="AA107" i="1" s="1"/>
  <c r="AA108" i="1" l="1"/>
  <c r="AC107" i="1"/>
  <c r="AB107"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6" i="1"/>
  <c r="AB106" i="1"/>
  <c r="AC79" i="1"/>
  <c r="AB79" i="1"/>
  <c r="AC64" i="1"/>
  <c r="AB64" i="1"/>
  <c r="AA97" i="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9" i="1"/>
  <c r="AA18" i="1"/>
  <c r="AC17" i="1"/>
  <c r="AB17" i="1"/>
  <c r="AF80" i="1"/>
  <c r="AC90" i="1"/>
  <c r="AB90" i="1"/>
  <c r="AF50" i="1"/>
  <c r="AF62" i="1"/>
  <c r="AB108" i="1"/>
  <c r="AC108" i="1"/>
  <c r="AA21" i="1"/>
  <c r="AB20" i="1"/>
  <c r="AC20" i="1"/>
  <c r="AF59" i="1"/>
  <c r="AB81" i="1"/>
  <c r="AC81" i="1"/>
  <c r="AB63" i="1"/>
  <c r="AC63" i="1"/>
  <c r="AA57" i="1"/>
  <c r="AB56" i="1"/>
  <c r="AC56" i="1"/>
  <c r="AC60" i="1"/>
  <c r="AB60" i="1"/>
  <c r="AB51" i="1"/>
  <c r="AC51" i="1"/>
  <c r="AF107"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60" i="1"/>
  <c r="AB57" i="1"/>
  <c r="AC57" i="1"/>
  <c r="AF81" i="1"/>
  <c r="AF20" i="1"/>
  <c r="AF90" i="1"/>
  <c r="AF17" i="1"/>
  <c r="AF51" i="1"/>
  <c r="AB21" i="1"/>
  <c r="AC21" i="1"/>
  <c r="AA24" i="1"/>
  <c r="AC23" i="1"/>
  <c r="AB23" i="1"/>
  <c r="AF63" i="1"/>
  <c r="AB18" i="1"/>
  <c r="AC18" i="1"/>
  <c r="AF56" i="1"/>
  <c r="AF108"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5" i="1"/>
  <c r="O85" i="1" s="1"/>
  <c r="AF18" i="1"/>
  <c r="AB24" i="1"/>
  <c r="AC24" i="1"/>
  <c r="AF21" i="1"/>
  <c r="AF57" i="1"/>
  <c r="AF23" i="1"/>
  <c r="N133" i="1"/>
  <c r="O133" i="1" s="1"/>
  <c r="N130" i="1"/>
  <c r="O130" i="1" s="1"/>
  <c r="N127" i="1"/>
  <c r="O127" i="1" s="1"/>
  <c r="N136" i="1"/>
  <c r="O136" i="1" s="1"/>
  <c r="N94" i="1"/>
  <c r="O94" i="1" s="1"/>
  <c r="N79" i="1"/>
  <c r="O79" i="1" s="1"/>
  <c r="N64" i="1"/>
  <c r="O64" i="1" s="1"/>
  <c r="N52" i="1"/>
  <c r="O52" i="1" s="1"/>
  <c r="N31" i="1"/>
  <c r="O31" i="1" s="1"/>
  <c r="N19" i="1"/>
  <c r="O19" i="1" s="1"/>
  <c r="N10" i="1"/>
  <c r="O10" i="1" s="1"/>
  <c r="N106" i="1"/>
  <c r="O106" i="1" s="1"/>
  <c r="N16" i="1"/>
  <c r="O16" i="1" s="1"/>
  <c r="N103" i="1"/>
  <c r="O103" i="1" s="1"/>
  <c r="N91" i="1"/>
  <c r="O91" i="1" s="1"/>
  <c r="N76" i="1"/>
  <c r="O76" i="1" s="1"/>
  <c r="N61" i="1"/>
  <c r="O61" i="1" s="1"/>
  <c r="N49" i="1"/>
  <c r="O49" i="1" s="1"/>
  <c r="N40" i="1"/>
  <c r="O40" i="1" s="1"/>
  <c r="N28" i="1"/>
  <c r="O28" i="1" s="1"/>
  <c r="N121" i="1"/>
  <c r="O121" i="1" s="1"/>
  <c r="N118" i="1"/>
  <c r="O118" i="1" s="1"/>
  <c r="N115" i="1"/>
  <c r="O115" i="1" s="1"/>
  <c r="N112" i="1"/>
  <c r="O112" i="1" s="1"/>
  <c r="N109" i="1"/>
  <c r="O109" i="1" s="1"/>
  <c r="N88" i="1"/>
  <c r="O88" i="1" s="1"/>
  <c r="N73" i="1"/>
  <c r="O73" i="1" s="1"/>
  <c r="N58" i="1"/>
  <c r="O58" i="1" s="1"/>
  <c r="N46" i="1"/>
  <c r="O46" i="1" s="1"/>
  <c r="N37" i="1"/>
  <c r="O37" i="1" s="1"/>
  <c r="N25" i="1"/>
  <c r="O25" i="1" s="1"/>
  <c r="N55" i="1"/>
  <c r="O55" i="1" s="1"/>
  <c r="N97" i="1"/>
  <c r="O97" i="1" s="1"/>
  <c r="N34" i="1"/>
  <c r="O34" i="1" s="1"/>
  <c r="N67" i="1"/>
  <c r="O67" i="1" s="1"/>
  <c r="N124" i="1"/>
  <c r="O124" i="1" s="1"/>
  <c r="N13" i="1"/>
  <c r="O13" i="1" s="1"/>
  <c r="N43" i="1"/>
  <c r="O43" i="1" s="1"/>
  <c r="N82" i="1"/>
  <c r="O82" i="1" s="1"/>
  <c r="N22" i="1"/>
  <c r="O22" i="1" s="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5" i="1"/>
  <c r="AE85" i="1" s="1"/>
  <c r="AD85" i="1" s="1"/>
  <c r="Q85" i="1"/>
  <c r="R10" i="18"/>
  <c r="R14" i="18"/>
  <c r="L14" i="18"/>
  <c r="P12" i="18"/>
  <c r="N14" i="18"/>
  <c r="J16" i="18"/>
  <c r="R12" i="18"/>
  <c r="N12" i="18"/>
  <c r="J12" i="18"/>
  <c r="P10" i="18"/>
  <c r="P14" i="18"/>
  <c r="L12" i="18"/>
  <c r="J14" i="18"/>
  <c r="AF24" i="1"/>
  <c r="P127" i="1"/>
  <c r="AE127" i="1" s="1"/>
  <c r="AD127" i="1" s="1"/>
  <c r="Q127" i="1"/>
  <c r="P130" i="1"/>
  <c r="AE130" i="1" s="1"/>
  <c r="AD130" i="1" s="1"/>
  <c r="Q130" i="1"/>
  <c r="P136" i="1"/>
  <c r="AE136" i="1" s="1"/>
  <c r="AD136" i="1" s="1"/>
  <c r="Q136" i="1"/>
  <c r="P133" i="1"/>
  <c r="AE133" i="1" s="1"/>
  <c r="AD133" i="1" s="1"/>
  <c r="Q133" i="1"/>
  <c r="N6" i="18"/>
  <c r="L10" i="18"/>
  <c r="N10" i="18"/>
  <c r="L6" i="18"/>
  <c r="J8" i="18"/>
  <c r="R8" i="18"/>
  <c r="N8" i="18"/>
  <c r="J10" i="18"/>
  <c r="P8" i="18"/>
  <c r="L8" i="18"/>
  <c r="R6" i="18"/>
  <c r="P6" i="18"/>
  <c r="P22" i="1"/>
  <c r="Q22" i="1"/>
  <c r="P55" i="1"/>
  <c r="Q55" i="1"/>
  <c r="P49" i="1"/>
  <c r="AE49" i="1" s="1"/>
  <c r="AD49" i="1" s="1"/>
  <c r="Q49" i="1"/>
  <c r="P19" i="1"/>
  <c r="AE19" i="1" s="1"/>
  <c r="AD19" i="1" s="1"/>
  <c r="Q19" i="1"/>
  <c r="P82" i="1"/>
  <c r="Q82" i="1"/>
  <c r="P109" i="1"/>
  <c r="AE109" i="1" s="1"/>
  <c r="AD109" i="1" s="1"/>
  <c r="Q109" i="1"/>
  <c r="P61" i="1"/>
  <c r="AE61" i="1" s="1"/>
  <c r="AD61" i="1" s="1"/>
  <c r="Q61" i="1"/>
  <c r="P31" i="1"/>
  <c r="AE31" i="1" s="1"/>
  <c r="AD31" i="1" s="1"/>
  <c r="Q31" i="1"/>
  <c r="P43" i="1"/>
  <c r="AE43" i="1" s="1"/>
  <c r="AD43" i="1" s="1"/>
  <c r="Q43" i="1"/>
  <c r="P25" i="1"/>
  <c r="AE25" i="1" s="1"/>
  <c r="AD25" i="1" s="1"/>
  <c r="Q25" i="1"/>
  <c r="P112" i="1"/>
  <c r="AE112" i="1" s="1"/>
  <c r="AD112" i="1" s="1"/>
  <c r="Q112" i="1"/>
  <c r="P76" i="1"/>
  <c r="AE76" i="1" s="1"/>
  <c r="AD76" i="1" s="1"/>
  <c r="Q76" i="1"/>
  <c r="P37" i="1"/>
  <c r="AE37" i="1" s="1"/>
  <c r="AD37" i="1" s="1"/>
  <c r="Q37" i="1"/>
  <c r="P115" i="1"/>
  <c r="AE115" i="1" s="1"/>
  <c r="AD115" i="1" s="1"/>
  <c r="Q115" i="1"/>
  <c r="P91" i="1"/>
  <c r="AE91" i="1" s="1"/>
  <c r="AD91" i="1" s="1"/>
  <c r="Q91" i="1"/>
  <c r="P52" i="1"/>
  <c r="AE52" i="1" s="1"/>
  <c r="AD52" i="1" s="1"/>
  <c r="Q52" i="1"/>
  <c r="P13" i="1"/>
  <c r="Q13" i="1"/>
  <c r="P124" i="1"/>
  <c r="AE124" i="1" s="1"/>
  <c r="AD124" i="1" s="1"/>
  <c r="Q124" i="1"/>
  <c r="P46" i="1"/>
  <c r="AE46" i="1" s="1"/>
  <c r="AD46" i="1" s="1"/>
  <c r="Q46" i="1"/>
  <c r="P118" i="1"/>
  <c r="AE118" i="1" s="1"/>
  <c r="AD118" i="1" s="1"/>
  <c r="Q118" i="1"/>
  <c r="P103" i="1"/>
  <c r="AE103" i="1" s="1"/>
  <c r="AD103" i="1" s="1"/>
  <c r="Q103" i="1"/>
  <c r="P64" i="1"/>
  <c r="AE64" i="1" s="1"/>
  <c r="AD64" i="1" s="1"/>
  <c r="Q64" i="1"/>
  <c r="P67" i="1"/>
  <c r="AE67" i="1" s="1"/>
  <c r="AD67" i="1" s="1"/>
  <c r="Q67" i="1"/>
  <c r="P58" i="1"/>
  <c r="AE58" i="1" s="1"/>
  <c r="AD58" i="1" s="1"/>
  <c r="Q58" i="1"/>
  <c r="P121" i="1"/>
  <c r="AE121" i="1" s="1"/>
  <c r="AD121" i="1" s="1"/>
  <c r="Q121" i="1"/>
  <c r="P16" i="1"/>
  <c r="AE16" i="1" s="1"/>
  <c r="AD16" i="1" s="1"/>
  <c r="Q16" i="1"/>
  <c r="P79" i="1"/>
  <c r="AE79" i="1" s="1"/>
  <c r="AD79" i="1" s="1"/>
  <c r="Q79" i="1"/>
  <c r="P73" i="1"/>
  <c r="AE73" i="1" s="1"/>
  <c r="AD73" i="1" s="1"/>
  <c r="Q73" i="1"/>
  <c r="P28" i="1"/>
  <c r="AE28" i="1" s="1"/>
  <c r="AD28" i="1" s="1"/>
  <c r="Q28" i="1"/>
  <c r="P106" i="1"/>
  <c r="AE106" i="1" s="1"/>
  <c r="AD106" i="1" s="1"/>
  <c r="Q106" i="1"/>
  <c r="P94" i="1"/>
  <c r="AE94" i="1" s="1"/>
  <c r="AD94" i="1" s="1"/>
  <c r="Q94" i="1"/>
  <c r="P34" i="1"/>
  <c r="AE34" i="1" s="1"/>
  <c r="AD34" i="1" s="1"/>
  <c r="Q34" i="1"/>
  <c r="P97" i="1"/>
  <c r="Q97" i="1"/>
  <c r="P88" i="1"/>
  <c r="AE88" i="1" s="1"/>
  <c r="AD88" i="1" s="1"/>
  <c r="Q88" i="1"/>
  <c r="P40" i="1"/>
  <c r="AE40" i="1" s="1"/>
  <c r="AD40" i="1" s="1"/>
  <c r="Q40" i="1"/>
  <c r="P10" i="1"/>
  <c r="Q10" i="1"/>
  <c r="V185" i="19" l="1"/>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5" i="1"/>
  <c r="AE82" i="1"/>
  <c r="AE84" i="1"/>
  <c r="AD84" i="1" s="1"/>
  <c r="AF127" i="1"/>
  <c r="AF133" i="1"/>
  <c r="AF130" i="1"/>
  <c r="AF136" i="1"/>
  <c r="AF34" i="1"/>
  <c r="AF58" i="1"/>
  <c r="AF106" i="1"/>
  <c r="AE15" i="1"/>
  <c r="AD15" i="1" s="1"/>
  <c r="AE14" i="1"/>
  <c r="AD14" i="1" s="1"/>
  <c r="AE13" i="1"/>
  <c r="AD13" i="1" s="1"/>
  <c r="AF25" i="1"/>
  <c r="AF31" i="1"/>
  <c r="AF37" i="1"/>
  <c r="AF94" i="1"/>
  <c r="AF67" i="1"/>
  <c r="AF61" i="1"/>
  <c r="AF109" i="1"/>
  <c r="AF28" i="1"/>
  <c r="AF103" i="1"/>
  <c r="AF118" i="1"/>
  <c r="AF52" i="1"/>
  <c r="AF43" i="1"/>
  <c r="AF19" i="1"/>
  <c r="AF88" i="1"/>
  <c r="AF79" i="1"/>
  <c r="AE12" i="1"/>
  <c r="AD12" i="1" s="1"/>
  <c r="AE11" i="1"/>
  <c r="AD11" i="1" s="1"/>
  <c r="AE10" i="1"/>
  <c r="AD10" i="1" s="1"/>
  <c r="AF40" i="1"/>
  <c r="AF16" i="1"/>
  <c r="AF121" i="1"/>
  <c r="AF124" i="1"/>
  <c r="AF64" i="1"/>
  <c r="AF76" i="1"/>
  <c r="AF112" i="1"/>
  <c r="AF73" i="1"/>
  <c r="AF46" i="1"/>
  <c r="AF91" i="1"/>
  <c r="AF115" i="1"/>
  <c r="AF49"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4" i="1"/>
  <c r="AD82" i="1"/>
  <c r="AE83" i="1"/>
  <c r="AD83"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82" i="1"/>
  <c r="AC15" i="1"/>
  <c r="AB15" i="1"/>
  <c r="AB12" i="1"/>
  <c r="AC12" i="1"/>
  <c r="AF83"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5" i="1"/>
  <c r="AD55" i="1" s="1"/>
  <c r="AE97" i="1"/>
  <c r="AD97" i="1" s="1"/>
  <c r="AE22" i="1"/>
  <c r="AD22"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7" i="1"/>
  <c r="AF22" i="1"/>
  <c r="AF55"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<sst xmlns="http://schemas.openxmlformats.org/spreadsheetml/2006/main" count="1518" uniqueCount="602">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</sst>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65"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3"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justify" vertical="center"/>
    </xf>
    <xf numFmtId="0" fontId="6" fillId="3" borderId="8" xfId="0" applyFont="1" applyFill="1" applyBorder="1" applyAlignment="1" applyProtection="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5"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48" fillId="0" borderId="4" xfId="0" quotePrefix="1" applyFont="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6" xfId="0" applyFont="1" applyFill="1" applyBorder="1" applyAlignment="1" applyProtection="1">
      <alignment horizontal="center" vertical="center" wrapText="1" readingOrder="1"/>
      <protection hidden="1"/>
    </xf>
    <xf numFmtId="0" fontId="17" fillId="0" borderId="0" xfId="0" applyFont="1" applyBorder="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59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53125" defaultRowHeight="14.5" x14ac:dyDescent="0.35"/>
  <cols>
    <col min="1" max="1" width="2.81640625" style="56" customWidth="1"/>
    <col min="2" max="3" width="24.7265625" style="56" customWidth="1"/>
    <col min="4" max="4" width="16" style="56" customWidth="1"/>
    <col min="5" max="5" width="24.7265625" style="56" customWidth="1"/>
    <col min="6" max="6" width="27.7265625" style="56" customWidth="1"/>
    <col min="7" max="8" width="24.7265625" style="56" customWidth="1"/>
    <col min="9" max="16384" width="11.453125" style="56"/>
  </cols>
  <sheetData>
    <row r="1" spans="2:8" ht="15" thickBot="1" x14ac:dyDescent="0.4"/>
    <row r="2" spans="2:8" ht="18" x14ac:dyDescent="0.35">
      <c r="B2" s="257" t="s">
        <v>140</v>
      </c>
      <c r="C2" s="258"/>
      <c r="D2" s="258"/>
      <c r="E2" s="258"/>
      <c r="F2" s="258"/>
      <c r="G2" s="258"/>
      <c r="H2" s="259"/>
    </row>
    <row r="3" spans="2:8" x14ac:dyDescent="0.35">
      <c r="B3" s="57"/>
      <c r="C3" s="58"/>
      <c r="D3" s="58"/>
      <c r="E3" s="58"/>
      <c r="F3" s="58"/>
      <c r="G3" s="58"/>
      <c r="H3" s="59"/>
    </row>
    <row r="4" spans="2:8" ht="63" customHeight="1" x14ac:dyDescent="0.35">
      <c r="B4" s="260" t="s">
        <v>183</v>
      </c>
      <c r="C4" s="261"/>
      <c r="D4" s="261"/>
      <c r="E4" s="261"/>
      <c r="F4" s="261"/>
      <c r="G4" s="261"/>
      <c r="H4" s="262"/>
    </row>
    <row r="5" spans="2:8" ht="63" customHeight="1" x14ac:dyDescent="0.35">
      <c r="B5" s="263"/>
      <c r="C5" s="264"/>
      <c r="D5" s="264"/>
      <c r="E5" s="264"/>
      <c r="F5" s="264"/>
      <c r="G5" s="264"/>
      <c r="H5" s="265"/>
    </row>
    <row r="6" spans="2:8" x14ac:dyDescent="0.35">
      <c r="B6" s="266" t="s">
        <v>138</v>
      </c>
      <c r="C6" s="267"/>
      <c r="D6" s="267"/>
      <c r="E6" s="267"/>
      <c r="F6" s="267"/>
      <c r="G6" s="267"/>
      <c r="H6" s="268"/>
    </row>
    <row r="7" spans="2:8" ht="95.25" customHeight="1" x14ac:dyDescent="0.35">
      <c r="B7" s="276" t="s">
        <v>143</v>
      </c>
      <c r="C7" s="277"/>
      <c r="D7" s="277"/>
      <c r="E7" s="277"/>
      <c r="F7" s="277"/>
      <c r="G7" s="277"/>
      <c r="H7" s="278"/>
    </row>
    <row r="8" spans="2:8" x14ac:dyDescent="0.35">
      <c r="B8" s="94"/>
      <c r="C8" s="95"/>
      <c r="D8" s="95"/>
      <c r="E8" s="95"/>
      <c r="F8" s="95"/>
      <c r="G8" s="95"/>
      <c r="H8" s="96"/>
    </row>
    <row r="9" spans="2:8" ht="16.5" customHeight="1" x14ac:dyDescent="0.35">
      <c r="B9" s="269" t="s">
        <v>176</v>
      </c>
      <c r="C9" s="270"/>
      <c r="D9" s="270"/>
      <c r="E9" s="270"/>
      <c r="F9" s="270"/>
      <c r="G9" s="270"/>
      <c r="H9" s="271"/>
    </row>
    <row r="10" spans="2:8" ht="44.25" customHeight="1" x14ac:dyDescent="0.35">
      <c r="B10" s="269"/>
      <c r="C10" s="270"/>
      <c r="D10" s="270"/>
      <c r="E10" s="270"/>
      <c r="F10" s="270"/>
      <c r="G10" s="270"/>
      <c r="H10" s="271"/>
    </row>
    <row r="11" spans="2:8" ht="15" thickBot="1" x14ac:dyDescent="0.4">
      <c r="B11" s="82"/>
      <c r="C11" s="85"/>
      <c r="D11" s="90"/>
      <c r="E11" s="91"/>
      <c r="F11" s="91"/>
      <c r="G11" s="92"/>
      <c r="H11" s="93"/>
    </row>
    <row r="12" spans="2:8" ht="15" thickTop="1" x14ac:dyDescent="0.35">
      <c r="B12" s="82"/>
      <c r="C12" s="272" t="s">
        <v>139</v>
      </c>
      <c r="D12" s="273"/>
      <c r="E12" s="274" t="s">
        <v>177</v>
      </c>
      <c r="F12" s="275"/>
      <c r="G12" s="85"/>
      <c r="H12" s="86"/>
    </row>
    <row r="13" spans="2:8" ht="35.25" customHeight="1" x14ac:dyDescent="0.35">
      <c r="B13" s="82"/>
      <c r="C13" s="244" t="s">
        <v>170</v>
      </c>
      <c r="D13" s="245"/>
      <c r="E13" s="246" t="s">
        <v>175</v>
      </c>
      <c r="F13" s="247"/>
      <c r="G13" s="85"/>
      <c r="H13" s="86"/>
    </row>
    <row r="14" spans="2:8" ht="17.25" customHeight="1" x14ac:dyDescent="0.35">
      <c r="B14" s="82"/>
      <c r="C14" s="244" t="s">
        <v>171</v>
      </c>
      <c r="D14" s="245"/>
      <c r="E14" s="246" t="s">
        <v>173</v>
      </c>
      <c r="F14" s="247"/>
      <c r="G14" s="85"/>
      <c r="H14" s="86"/>
    </row>
    <row r="15" spans="2:8" ht="19.5" customHeight="1" x14ac:dyDescent="0.35">
      <c r="B15" s="82"/>
      <c r="C15" s="244" t="s">
        <v>172</v>
      </c>
      <c r="D15" s="245"/>
      <c r="E15" s="246" t="s">
        <v>174</v>
      </c>
      <c r="F15" s="247"/>
      <c r="G15" s="85"/>
      <c r="H15" s="86"/>
    </row>
    <row r="16" spans="2:8" ht="69.75" customHeight="1" x14ac:dyDescent="0.35">
      <c r="B16" s="82"/>
      <c r="C16" s="244" t="s">
        <v>141</v>
      </c>
      <c r="D16" s="245"/>
      <c r="E16" s="246" t="s">
        <v>142</v>
      </c>
      <c r="F16" s="247"/>
      <c r="G16" s="85"/>
      <c r="H16" s="86"/>
    </row>
    <row r="17" spans="2:8" ht="34.5" customHeight="1" x14ac:dyDescent="0.35">
      <c r="B17" s="82"/>
      <c r="C17" s="248" t="s">
        <v>2</v>
      </c>
      <c r="D17" s="249"/>
      <c r="E17" s="240" t="s">
        <v>184</v>
      </c>
      <c r="F17" s="241"/>
      <c r="G17" s="85"/>
      <c r="H17" s="86"/>
    </row>
    <row r="18" spans="2:8" ht="27.75" customHeight="1" x14ac:dyDescent="0.35">
      <c r="B18" s="82"/>
      <c r="C18" s="248" t="s">
        <v>3</v>
      </c>
      <c r="D18" s="249"/>
      <c r="E18" s="240" t="s">
        <v>185</v>
      </c>
      <c r="F18" s="241"/>
      <c r="G18" s="85"/>
      <c r="H18" s="86"/>
    </row>
    <row r="19" spans="2:8" ht="28.5" customHeight="1" x14ac:dyDescent="0.35">
      <c r="B19" s="82"/>
      <c r="C19" s="248" t="s">
        <v>38</v>
      </c>
      <c r="D19" s="249"/>
      <c r="E19" s="240" t="s">
        <v>186</v>
      </c>
      <c r="F19" s="241"/>
      <c r="G19" s="85"/>
      <c r="H19" s="86"/>
    </row>
    <row r="20" spans="2:8" ht="72.75" customHeight="1" x14ac:dyDescent="0.35">
      <c r="B20" s="82"/>
      <c r="C20" s="248" t="s">
        <v>1</v>
      </c>
      <c r="D20" s="249"/>
      <c r="E20" s="240" t="s">
        <v>187</v>
      </c>
      <c r="F20" s="241"/>
      <c r="G20" s="85"/>
      <c r="H20" s="86"/>
    </row>
    <row r="21" spans="2:8" ht="64.5" customHeight="1" x14ac:dyDescent="0.35">
      <c r="B21" s="82"/>
      <c r="C21" s="248" t="s">
        <v>44</v>
      </c>
      <c r="D21" s="249"/>
      <c r="E21" s="240" t="s">
        <v>145</v>
      </c>
      <c r="F21" s="241"/>
      <c r="G21" s="85"/>
      <c r="H21" s="86"/>
    </row>
    <row r="22" spans="2:8" ht="71.25" customHeight="1" x14ac:dyDescent="0.35">
      <c r="B22" s="82"/>
      <c r="C22" s="248" t="s">
        <v>144</v>
      </c>
      <c r="D22" s="249"/>
      <c r="E22" s="240" t="s">
        <v>146</v>
      </c>
      <c r="F22" s="241"/>
      <c r="G22" s="85"/>
      <c r="H22" s="86"/>
    </row>
    <row r="23" spans="2:8" ht="55.5" customHeight="1" x14ac:dyDescent="0.35">
      <c r="B23" s="82"/>
      <c r="C23" s="242" t="s">
        <v>147</v>
      </c>
      <c r="D23" s="243"/>
      <c r="E23" s="240" t="s">
        <v>148</v>
      </c>
      <c r="F23" s="241"/>
      <c r="G23" s="85"/>
      <c r="H23" s="86"/>
    </row>
    <row r="24" spans="2:8" ht="42" customHeight="1" x14ac:dyDescent="0.35">
      <c r="B24" s="82"/>
      <c r="C24" s="242" t="s">
        <v>42</v>
      </c>
      <c r="D24" s="243"/>
      <c r="E24" s="240" t="s">
        <v>149</v>
      </c>
      <c r="F24" s="241"/>
      <c r="G24" s="85"/>
      <c r="H24" s="86"/>
    </row>
    <row r="25" spans="2:8" ht="59.25" customHeight="1" x14ac:dyDescent="0.35">
      <c r="B25" s="82"/>
      <c r="C25" s="242" t="s">
        <v>137</v>
      </c>
      <c r="D25" s="243"/>
      <c r="E25" s="240" t="s">
        <v>150</v>
      </c>
      <c r="F25" s="241"/>
      <c r="G25" s="85"/>
      <c r="H25" s="86"/>
    </row>
    <row r="26" spans="2:8" ht="23.25" customHeight="1" x14ac:dyDescent="0.35">
      <c r="B26" s="82"/>
      <c r="C26" s="242" t="s">
        <v>12</v>
      </c>
      <c r="D26" s="243"/>
      <c r="E26" s="240" t="s">
        <v>151</v>
      </c>
      <c r="F26" s="241"/>
      <c r="G26" s="85"/>
      <c r="H26" s="86"/>
    </row>
    <row r="27" spans="2:8" ht="30.75" customHeight="1" x14ac:dyDescent="0.35">
      <c r="B27" s="82"/>
      <c r="C27" s="242" t="s">
        <v>155</v>
      </c>
      <c r="D27" s="243"/>
      <c r="E27" s="240" t="s">
        <v>152</v>
      </c>
      <c r="F27" s="241"/>
      <c r="G27" s="85"/>
      <c r="H27" s="86"/>
    </row>
    <row r="28" spans="2:8" ht="35.25" customHeight="1" x14ac:dyDescent="0.35">
      <c r="B28" s="82"/>
      <c r="C28" s="242" t="s">
        <v>156</v>
      </c>
      <c r="D28" s="243"/>
      <c r="E28" s="240" t="s">
        <v>153</v>
      </c>
      <c r="F28" s="241"/>
      <c r="G28" s="85"/>
      <c r="H28" s="86"/>
    </row>
    <row r="29" spans="2:8" ht="33" customHeight="1" x14ac:dyDescent="0.35">
      <c r="B29" s="82"/>
      <c r="C29" s="242" t="s">
        <v>156</v>
      </c>
      <c r="D29" s="243"/>
      <c r="E29" s="240" t="s">
        <v>153</v>
      </c>
      <c r="F29" s="241"/>
      <c r="G29" s="85"/>
      <c r="H29" s="86"/>
    </row>
    <row r="30" spans="2:8" ht="30" customHeight="1" x14ac:dyDescent="0.35">
      <c r="B30" s="82"/>
      <c r="C30" s="242" t="s">
        <v>157</v>
      </c>
      <c r="D30" s="243"/>
      <c r="E30" s="240" t="s">
        <v>154</v>
      </c>
      <c r="F30" s="241"/>
      <c r="G30" s="85"/>
      <c r="H30" s="86"/>
    </row>
    <row r="31" spans="2:8" ht="35.25" customHeight="1" x14ac:dyDescent="0.35">
      <c r="B31" s="82"/>
      <c r="C31" s="242" t="s">
        <v>158</v>
      </c>
      <c r="D31" s="243"/>
      <c r="E31" s="240" t="s">
        <v>159</v>
      </c>
      <c r="F31" s="241"/>
      <c r="G31" s="85"/>
      <c r="H31" s="86"/>
    </row>
    <row r="32" spans="2:8" ht="31.5" customHeight="1" x14ac:dyDescent="0.35">
      <c r="B32" s="82"/>
      <c r="C32" s="242" t="s">
        <v>160</v>
      </c>
      <c r="D32" s="243"/>
      <c r="E32" s="240" t="s">
        <v>161</v>
      </c>
      <c r="F32" s="241"/>
      <c r="G32" s="85"/>
      <c r="H32" s="86"/>
    </row>
    <row r="33" spans="2:8" ht="35.25" customHeight="1" x14ac:dyDescent="0.35">
      <c r="B33" s="82"/>
      <c r="C33" s="242" t="s">
        <v>162</v>
      </c>
      <c r="D33" s="243"/>
      <c r="E33" s="240" t="s">
        <v>163</v>
      </c>
      <c r="F33" s="241"/>
      <c r="G33" s="85"/>
      <c r="H33" s="86"/>
    </row>
    <row r="34" spans="2:8" ht="59.25" customHeight="1" x14ac:dyDescent="0.35">
      <c r="B34" s="82"/>
      <c r="C34" s="242" t="s">
        <v>164</v>
      </c>
      <c r="D34" s="243"/>
      <c r="E34" s="240" t="s">
        <v>165</v>
      </c>
      <c r="F34" s="241"/>
      <c r="G34" s="85"/>
      <c r="H34" s="86"/>
    </row>
    <row r="35" spans="2:8" ht="29.25" customHeight="1" x14ac:dyDescent="0.35">
      <c r="B35" s="82"/>
      <c r="C35" s="242" t="s">
        <v>29</v>
      </c>
      <c r="D35" s="243"/>
      <c r="E35" s="240" t="s">
        <v>166</v>
      </c>
      <c r="F35" s="241"/>
      <c r="G35" s="85"/>
      <c r="H35" s="86"/>
    </row>
    <row r="36" spans="2:8" ht="82.5" customHeight="1" x14ac:dyDescent="0.35">
      <c r="B36" s="82"/>
      <c r="C36" s="242" t="s">
        <v>168</v>
      </c>
      <c r="D36" s="243"/>
      <c r="E36" s="240" t="s">
        <v>167</v>
      </c>
      <c r="F36" s="241"/>
      <c r="G36" s="85"/>
      <c r="H36" s="86"/>
    </row>
    <row r="37" spans="2:8" ht="46.5" customHeight="1" x14ac:dyDescent="0.35">
      <c r="B37" s="82"/>
      <c r="C37" s="242" t="s">
        <v>35</v>
      </c>
      <c r="D37" s="243"/>
      <c r="E37" s="240" t="s">
        <v>169</v>
      </c>
      <c r="F37" s="241"/>
      <c r="G37" s="85"/>
      <c r="H37" s="86"/>
    </row>
    <row r="38" spans="2:8" ht="6.75" customHeight="1" thickBot="1" x14ac:dyDescent="0.4">
      <c r="B38" s="82"/>
      <c r="C38" s="253"/>
      <c r="D38" s="254"/>
      <c r="E38" s="255"/>
      <c r="F38" s="256"/>
      <c r="G38" s="85"/>
      <c r="H38" s="86"/>
    </row>
    <row r="39" spans="2:8" ht="15" thickTop="1" x14ac:dyDescent="0.35">
      <c r="B39" s="82"/>
      <c r="C39" s="83"/>
      <c r="D39" s="83"/>
      <c r="E39" s="84"/>
      <c r="F39" s="84"/>
      <c r="G39" s="85"/>
      <c r="H39" s="86"/>
    </row>
    <row r="40" spans="2:8" ht="21" customHeight="1" x14ac:dyDescent="0.35">
      <c r="B40" s="250" t="s">
        <v>178</v>
      </c>
      <c r="C40" s="251"/>
      <c r="D40" s="251"/>
      <c r="E40" s="251"/>
      <c r="F40" s="251"/>
      <c r="G40" s="251"/>
      <c r="H40" s="252"/>
    </row>
    <row r="41" spans="2:8" ht="20.25" customHeight="1" x14ac:dyDescent="0.35">
      <c r="B41" s="250" t="s">
        <v>179</v>
      </c>
      <c r="C41" s="251"/>
      <c r="D41" s="251"/>
      <c r="E41" s="251"/>
      <c r="F41" s="251"/>
      <c r="G41" s="251"/>
      <c r="H41" s="252"/>
    </row>
    <row r="42" spans="2:8" ht="20.25" customHeight="1" x14ac:dyDescent="0.35">
      <c r="B42" s="250" t="s">
        <v>180</v>
      </c>
      <c r="C42" s="251"/>
      <c r="D42" s="251"/>
      <c r="E42" s="251"/>
      <c r="F42" s="251"/>
      <c r="G42" s="251"/>
      <c r="H42" s="252"/>
    </row>
    <row r="43" spans="2:8" ht="20.25" customHeight="1" x14ac:dyDescent="0.35">
      <c r="B43" s="250" t="s">
        <v>181</v>
      </c>
      <c r="C43" s="251"/>
      <c r="D43" s="251"/>
      <c r="E43" s="251"/>
      <c r="F43" s="251"/>
      <c r="G43" s="251"/>
      <c r="H43" s="252"/>
    </row>
    <row r="44" spans="2:8" x14ac:dyDescent="0.35">
      <c r="B44" s="250" t="s">
        <v>182</v>
      </c>
      <c r="C44" s="251"/>
      <c r="D44" s="251"/>
      <c r="E44" s="251"/>
      <c r="F44" s="251"/>
      <c r="G44" s="251"/>
      <c r="H44" s="252"/>
    </row>
    <row r="45" spans="2:8" ht="15" thickBot="1" x14ac:dyDescent="0.4">
      <c r="B45" s="87"/>
      <c r="C45" s="88"/>
      <c r="D45" s="88"/>
      <c r="E45" s="88"/>
      <c r="F45" s="88"/>
      <c r="G45" s="88"/>
      <c r="H45" s="8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40" zoomScale="60" zoomScaleNormal="60" workbookViewId="0">
      <selection activeCell="O273" sqref="O273"/>
    </sheetView>
  </sheetViews>
  <sheetFormatPr baseColWidth="10" defaultRowHeight="14.5" x14ac:dyDescent="0.35"/>
  <cols>
    <col min="2" max="9" width="5.7265625" customWidth="1"/>
    <col min="10" max="10" width="10.54296875" bestFit="1" customWidth="1"/>
    <col min="11" max="12" width="11" bestFit="1" customWidth="1"/>
    <col min="13" max="13" width="10.54296875" bestFit="1" customWidth="1"/>
    <col min="14" max="15" width="11" bestFit="1" customWidth="1"/>
    <col min="16" max="16" width="10.81640625" customWidth="1"/>
    <col min="17" max="17" width="11" bestFit="1" customWidth="1"/>
    <col min="18" max="18" width="11" customWidth="1"/>
    <col min="19" max="19" width="10.54296875" bestFit="1" customWidth="1"/>
    <col min="20" max="21" width="11" customWidth="1"/>
    <col min="22" max="22" width="10.81640625" bestFit="1" customWidth="1"/>
    <col min="23" max="24" width="9.7265625" customWidth="1"/>
    <col min="26" max="31" width="5.7265625" customWidth="1"/>
  </cols>
  <sheetData>
    <row r="1" spans="1:76"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35">
      <c r="A2" s="56"/>
      <c r="B2" s="297" t="s">
        <v>134</v>
      </c>
      <c r="C2" s="298"/>
      <c r="D2" s="298"/>
      <c r="E2" s="298"/>
      <c r="F2" s="298"/>
      <c r="G2" s="298"/>
      <c r="H2" s="298"/>
      <c r="I2" s="298"/>
      <c r="J2" s="299" t="s">
        <v>2</v>
      </c>
      <c r="K2" s="299"/>
      <c r="L2" s="299"/>
      <c r="M2" s="299"/>
      <c r="N2" s="299"/>
      <c r="O2" s="299"/>
      <c r="P2" s="299"/>
      <c r="Q2" s="299"/>
      <c r="R2" s="299"/>
      <c r="S2" s="299"/>
      <c r="T2" s="299"/>
      <c r="U2" s="299"/>
      <c r="V2" s="299"/>
      <c r="W2" s="299"/>
      <c r="X2" s="299"/>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35">
      <c r="A3" s="56"/>
      <c r="B3" s="298"/>
      <c r="C3" s="298"/>
      <c r="D3" s="298"/>
      <c r="E3" s="298"/>
      <c r="F3" s="298"/>
      <c r="G3" s="298"/>
      <c r="H3" s="298"/>
      <c r="I3" s="298"/>
      <c r="J3" s="299"/>
      <c r="K3" s="299"/>
      <c r="L3" s="299"/>
      <c r="M3" s="299"/>
      <c r="N3" s="299"/>
      <c r="O3" s="299"/>
      <c r="P3" s="299"/>
      <c r="Q3" s="299"/>
      <c r="R3" s="299"/>
      <c r="S3" s="299"/>
      <c r="T3" s="299"/>
      <c r="U3" s="299"/>
      <c r="V3" s="299"/>
      <c r="W3" s="299"/>
      <c r="X3" s="299"/>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35">
      <c r="A4" s="56"/>
      <c r="B4" s="298"/>
      <c r="C4" s="298"/>
      <c r="D4" s="298"/>
      <c r="E4" s="298"/>
      <c r="F4" s="298"/>
      <c r="G4" s="298"/>
      <c r="H4" s="298"/>
      <c r="I4" s="298"/>
      <c r="J4" s="299"/>
      <c r="K4" s="299"/>
      <c r="L4" s="299"/>
      <c r="M4" s="299"/>
      <c r="N4" s="299"/>
      <c r="O4" s="299"/>
      <c r="P4" s="299"/>
      <c r="Q4" s="299"/>
      <c r="R4" s="299"/>
      <c r="S4" s="299"/>
      <c r="T4" s="299"/>
      <c r="U4" s="299"/>
      <c r="V4" s="299"/>
      <c r="W4" s="299"/>
      <c r="X4" s="299"/>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35">
      <c r="A6" s="56"/>
      <c r="B6" s="300" t="s">
        <v>4</v>
      </c>
      <c r="C6" s="300"/>
      <c r="D6" s="301"/>
      <c r="E6" s="285" t="s">
        <v>107</v>
      </c>
      <c r="F6" s="286"/>
      <c r="G6" s="286"/>
      <c r="H6" s="286"/>
      <c r="I6" s="286"/>
      <c r="J6" s="102" t="str">
        <f>IF(AND('Mapa final'!$AB$7="Muy Alta",'Mapa final'!$AD$7="Leve"),CONCATENATE("R1C",'Mapa final'!$R$7),"")</f>
        <v/>
      </c>
      <c r="K6" s="103" t="str">
        <f>IF(AND('Mapa final'!$AB$8="Muy Alta",'Mapa final'!$AD$8="Leve"),CONCATENATE("R1C",'Mapa final'!$R$8),"")</f>
        <v/>
      </c>
      <c r="L6" s="104" t="str">
        <f>IF(AND('Mapa final'!$AB$9="Muy Alta",'Mapa final'!$AD$9="Leve"),CONCATENATE("R1C",'Mapa final'!$R$9),"")</f>
        <v/>
      </c>
      <c r="M6" s="102" t="str">
        <f>IF(AND('Mapa final'!$AB$7="Muy Alta",'Mapa final'!$AD$7="Menor"),CONCATENATE("R1C",'Mapa final'!$R$7),"")</f>
        <v/>
      </c>
      <c r="N6" s="103" t="str">
        <f>IF(AND('Mapa final'!$AB$8="Muy Alta",'Mapa final'!$AD$8="Menor"),CONCATENATE("R1C",'Mapa final'!$R$8),"")</f>
        <v/>
      </c>
      <c r="O6" s="104" t="str">
        <f>IF(AND('Mapa final'!$AB$9="Muy Alta",'Mapa final'!$AD$9="Menor"),CONCATENATE("R1C",'Mapa final'!$R$9),"")</f>
        <v/>
      </c>
      <c r="P6" s="102" t="str">
        <f>IF(AND('Mapa final'!$AB$7="Muy Alta",'Mapa final'!$AD$7="Moderado"),CONCATENATE("R1C",'Mapa final'!$R$7),"")</f>
        <v/>
      </c>
      <c r="Q6" s="103" t="str">
        <f>IF(AND('Mapa final'!$AB$8="Muy Alta",'Mapa final'!$AD$8="Moderado"),CONCATENATE("R1C",'Mapa final'!$R$8),"")</f>
        <v/>
      </c>
      <c r="R6" s="104" t="str">
        <f>IF(AND('Mapa final'!$AB$9="Muy Alta",'Mapa final'!$AD$9="Moderado"),CONCATENATE("R1C",'Mapa final'!$R$9),"")</f>
        <v/>
      </c>
      <c r="S6" s="102" t="str">
        <f>IF(AND('Mapa final'!$AB$7="Muy Alta",'Mapa final'!$AD$7="Mayor"),CONCATENATE("R1C",'Mapa final'!$R$7),"")</f>
        <v/>
      </c>
      <c r="T6" s="103" t="str">
        <f>IF(AND('Mapa final'!$AB$8="Muy Alta",'Mapa final'!$AD$8="Mayor"),CONCATENATE("R1C",'Mapa final'!$R$8),"")</f>
        <v/>
      </c>
      <c r="U6" s="104" t="str">
        <f>IF(AND('Mapa final'!$AB$9="Muy Alta",'Mapa final'!$AD$9="Mayor"),CONCATENATE("R1C",'Mapa final'!$R$9),"")</f>
        <v/>
      </c>
      <c r="V6" s="40" t="str">
        <f>IF(AND('Mapa final'!$AB$7="Muy Alta",'Mapa final'!$AD$7="Catastrófico"),CONCATENATE("R1C",'Mapa final'!$R$7),"")</f>
        <v/>
      </c>
      <c r="W6" s="41" t="str">
        <f>IF(AND('Mapa final'!$AB$8="Muy Alta",'Mapa final'!$AD$8="Catastrófico"),CONCATENATE("R1C",'Mapa final'!$R$8),"")</f>
        <v/>
      </c>
      <c r="X6" s="99" t="str">
        <f>IF(AND('Mapa final'!$AB$9="Muy Alta",'Mapa final'!$AD$9="Catastrófico"),CONCATENATE("R1C",'Mapa final'!$R$9),"")</f>
        <v/>
      </c>
      <c r="Y6" s="56"/>
      <c r="Z6" s="291" t="s">
        <v>73</v>
      </c>
      <c r="AA6" s="292"/>
      <c r="AB6" s="292"/>
      <c r="AC6" s="292"/>
      <c r="AD6" s="292"/>
      <c r="AE6" s="293"/>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35">
      <c r="A7" s="56"/>
      <c r="B7" s="300"/>
      <c r="C7" s="300"/>
      <c r="D7" s="301"/>
      <c r="E7" s="289"/>
      <c r="F7" s="290"/>
      <c r="G7" s="290"/>
      <c r="H7" s="290"/>
      <c r="I7" s="288"/>
      <c r="J7" s="105" t="str">
        <f>IF(AND('Mapa final'!$AB$10="Muy Alta",'Mapa final'!$AD$10="Leve"),CONCATENATE("R2C",'Mapa final'!$R$10),"")</f>
        <v/>
      </c>
      <c r="K7" s="42" t="str">
        <f>IF(AND('Mapa final'!$AB$11="Muy Alta",'Mapa final'!$AD$11="Leve"),CONCATENATE("R2C",'Mapa final'!$R$11),"")</f>
        <v/>
      </c>
      <c r="L7" s="106" t="str">
        <f>IF(AND('Mapa final'!$AB$12="Muy Alta",'Mapa final'!$AD$12="Leve"),CONCATENATE("R2C",'Mapa final'!$R$12),"")</f>
        <v/>
      </c>
      <c r="M7" s="105" t="str">
        <f>IF(AND('Mapa final'!$AB$10="Muy Alta",'Mapa final'!$AD$10="Menor"),CONCATENATE("R2C",'Mapa final'!$R$10),"")</f>
        <v/>
      </c>
      <c r="N7" s="42" t="str">
        <f>IF(AND('Mapa final'!$AB$11="Muy Alta",'Mapa final'!$AD$11="Menor"),CONCATENATE("R2C",'Mapa final'!$R$11),"")</f>
        <v/>
      </c>
      <c r="O7" s="106" t="str">
        <f>IF(AND('Mapa final'!$AB$12="Muy Alta",'Mapa final'!$AD$12="Menor"),CONCATENATE("R2C",'Mapa final'!$R$12),"")</f>
        <v/>
      </c>
      <c r="P7" s="105" t="str">
        <f>IF(AND('Mapa final'!$AB$10="Muy Alta",'Mapa final'!$AD$10="Moderado"),CONCATENATE("R2C",'Mapa final'!$R$10),"")</f>
        <v/>
      </c>
      <c r="Q7" s="42" t="str">
        <f>IF(AND('Mapa final'!$AB$11="Muy Alta",'Mapa final'!$AD$11="Moderado"),CONCATENATE("R2C",'Mapa final'!$R$11),"")</f>
        <v/>
      </c>
      <c r="R7" s="106" t="str">
        <f>IF(AND('Mapa final'!$AB$12="Muy Alta",'Mapa final'!$AD$12="Moderado"),CONCATENATE("R2C",'Mapa final'!$R$12),"")</f>
        <v/>
      </c>
      <c r="S7" s="105" t="str">
        <f>IF(AND('Mapa final'!$AB$10="Muy Alta",'Mapa final'!$AD$10="Mayor"),CONCATENATE("R2C",'Mapa final'!$R$10),"")</f>
        <v/>
      </c>
      <c r="T7" s="42" t="str">
        <f>IF(AND('Mapa final'!$AB$11="Muy Alta",'Mapa final'!$AD$11="Mayor"),CONCATENATE("R2C",'Mapa final'!$R$11),"")</f>
        <v/>
      </c>
      <c r="U7" s="106" t="str">
        <f>IF(AND('Mapa final'!$AB$12="Muy Alta",'Mapa final'!$AD$12="Mayor"),CONCATENATE("R2C",'Mapa final'!$R$12),"")</f>
        <v/>
      </c>
      <c r="V7" s="43" t="str">
        <f>IF(AND('Mapa final'!$AB$10="Muy Alta",'Mapa final'!$AD$10="Catastrófico"),CONCATENATE("R2C",'Mapa final'!$R$10),"")</f>
        <v/>
      </c>
      <c r="W7" s="44" t="str">
        <f>IF(AND('Mapa final'!$AB$11="Muy Alta",'Mapa final'!$AD$11="Catastrófico"),CONCATENATE("R2C",'Mapa final'!$R$11),"")</f>
        <v/>
      </c>
      <c r="X7" s="100" t="str">
        <f>IF(AND('Mapa final'!$AB$12="Muy Alta",'Mapa final'!$AD$12="Catastrófico"),CONCATENATE("R2C",'Mapa final'!$R$12),"")</f>
        <v/>
      </c>
      <c r="Y7" s="56"/>
      <c r="Z7" s="294"/>
      <c r="AA7" s="295"/>
      <c r="AB7" s="295"/>
      <c r="AC7" s="295"/>
      <c r="AD7" s="295"/>
      <c r="AE7" s="29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35">
      <c r="A8" s="56"/>
      <c r="B8" s="300"/>
      <c r="C8" s="300"/>
      <c r="D8" s="301"/>
      <c r="E8" s="289"/>
      <c r="F8" s="290"/>
      <c r="G8" s="290"/>
      <c r="H8" s="290"/>
      <c r="I8" s="288"/>
      <c r="J8" s="105" t="str">
        <f>IF(AND('Mapa final'!$AB$13="Muy Alta",'Mapa final'!$AD$13="Leve"),CONCATENATE("R3C",'Mapa final'!$R$13),"")</f>
        <v/>
      </c>
      <c r="K8" s="42" t="str">
        <f>IF(AND('Mapa final'!$AB$14="Muy Alta",'Mapa final'!$AD$14="Leve"),CONCATENATE("R3C",'Mapa final'!$R$14),"")</f>
        <v/>
      </c>
      <c r="L8" s="106" t="str">
        <f>IF(AND('Mapa final'!$AB$15="Muy Alta",'Mapa final'!$AD$15="Leve"),CONCATENATE("R3C",'Mapa final'!$R$15),"")</f>
        <v/>
      </c>
      <c r="M8" s="105" t="str">
        <f>IF(AND('Mapa final'!$AB$13="Muy Alta",'Mapa final'!$AD$13="Menor"),CONCATENATE("R3C",'Mapa final'!$R$13),"")</f>
        <v/>
      </c>
      <c r="N8" s="42" t="str">
        <f>IF(AND('Mapa final'!$AB$14="Muy Alta",'Mapa final'!$AD$14="Menor"),CONCATENATE("R3C",'Mapa final'!$R$14),"")</f>
        <v/>
      </c>
      <c r="O8" s="106" t="str">
        <f>IF(AND('Mapa final'!$AB$15="Muy Alta",'Mapa final'!$AD$15="Menor"),CONCATENATE("R3C",'Mapa final'!$R$15),"")</f>
        <v/>
      </c>
      <c r="P8" s="105" t="str">
        <f>IF(AND('Mapa final'!$AB$13="Muy Alta",'Mapa final'!$AD$13="Moderado"),CONCATENATE("R3C",'Mapa final'!$R$13),"")</f>
        <v/>
      </c>
      <c r="Q8" s="42" t="str">
        <f>IF(AND('Mapa final'!$AB$14="Muy Alta",'Mapa final'!$AD$14="Moderado"),CONCATENATE("R3C",'Mapa final'!$R$14),"")</f>
        <v/>
      </c>
      <c r="R8" s="106" t="str">
        <f>IF(AND('Mapa final'!$AB$15="Muy Alta",'Mapa final'!$AD$15="Moderado"),CONCATENATE("R3C",'Mapa final'!$R$15),"")</f>
        <v/>
      </c>
      <c r="S8" s="105" t="str">
        <f>IF(AND('Mapa final'!$AB$13="Muy Alta",'Mapa final'!$AD$13="Mayor"),CONCATENATE("R3C",'Mapa final'!$R$13),"")</f>
        <v/>
      </c>
      <c r="T8" s="42" t="str">
        <f>IF(AND('Mapa final'!$AB$14="Muy Alta",'Mapa final'!$AD$14="Mayor"),CONCATENATE("R3C",'Mapa final'!$R$14),"")</f>
        <v/>
      </c>
      <c r="U8" s="106" t="str">
        <f>IF(AND('Mapa final'!$AB$15="Muy Alta",'Mapa final'!$AD$15="Mayor"),CONCATENATE("R3C",'Mapa final'!$R$15),"")</f>
        <v/>
      </c>
      <c r="V8" s="43" t="str">
        <f>IF(AND('Mapa final'!$AB$13="Muy Alta",'Mapa final'!$AD$13="Catastrófico"),CONCATENATE("R3C",'Mapa final'!$R$13),"")</f>
        <v/>
      </c>
      <c r="W8" s="44" t="str">
        <f>IF(AND('Mapa final'!$AB$14="Muy Alta",'Mapa final'!$AD$14="Catastrófico"),CONCATENATE("R3C",'Mapa final'!$R$14),"")</f>
        <v/>
      </c>
      <c r="X8" s="100" t="str">
        <f>IF(AND('Mapa final'!$AB$15="Muy Alta",'Mapa final'!$AD$15="Catastrófico"),CONCATENATE("R3C",'Mapa final'!$R$15),"")</f>
        <v/>
      </c>
      <c r="Y8" s="56"/>
      <c r="Z8" s="294"/>
      <c r="AA8" s="295"/>
      <c r="AB8" s="295"/>
      <c r="AC8" s="295"/>
      <c r="AD8" s="295"/>
      <c r="AE8" s="29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35">
      <c r="A9" s="56"/>
      <c r="B9" s="300"/>
      <c r="C9" s="300"/>
      <c r="D9" s="301"/>
      <c r="E9" s="289"/>
      <c r="F9" s="290"/>
      <c r="G9" s="290"/>
      <c r="H9" s="290"/>
      <c r="I9" s="288"/>
      <c r="J9" s="105" t="e">
        <f>IF(AND('Mapa final'!#REF!="Muy Alta",'Mapa final'!#REF!="Leve"),CONCATENATE("R4C",'Mapa final'!#REF!),"")</f>
        <v>#REF!</v>
      </c>
      <c r="K9" s="42" t="e">
        <f>IF(AND('Mapa final'!#REF!="Muy Alta",'Mapa final'!#REF!="Leve"),CONCATENATE("R4C",'Mapa final'!#REF!),"")</f>
        <v>#REF!</v>
      </c>
      <c r="L9" s="106" t="e">
        <f>IF(AND('Mapa final'!#REF!="Muy Alta",'Mapa final'!#REF!="Leve"),CONCATENATE("R4C",'Mapa final'!#REF!),"")</f>
        <v>#REF!</v>
      </c>
      <c r="M9" s="105" t="e">
        <f>IF(AND('Mapa final'!#REF!="Muy Alta",'Mapa final'!#REF!="Menor"),CONCATENATE("R4C",'Mapa final'!#REF!),"")</f>
        <v>#REF!</v>
      </c>
      <c r="N9" s="42" t="e">
        <f>IF(AND('Mapa final'!#REF!="Muy Alta",'Mapa final'!#REF!="Menor"),CONCATENATE("R4C",'Mapa final'!#REF!),"")</f>
        <v>#REF!</v>
      </c>
      <c r="O9" s="106" t="e">
        <f>IF(AND('Mapa final'!#REF!="Muy Alta",'Mapa final'!#REF!="Menor"),CONCATENATE("R4C",'Mapa final'!#REF!),"")</f>
        <v>#REF!</v>
      </c>
      <c r="P9" s="105" t="e">
        <f>IF(AND('Mapa final'!#REF!="Muy Alta",'Mapa final'!#REF!="Moderado"),CONCATENATE("R4C",'Mapa final'!#REF!),"")</f>
        <v>#REF!</v>
      </c>
      <c r="Q9" s="42" t="e">
        <f>IF(AND('Mapa final'!#REF!="Muy Alta",'Mapa final'!#REF!="Moderado"),CONCATENATE("R4C",'Mapa final'!#REF!),"")</f>
        <v>#REF!</v>
      </c>
      <c r="R9" s="106" t="e">
        <f>IF(AND('Mapa final'!#REF!="Muy Alta",'Mapa final'!#REF!="Moderado"),CONCATENATE("R4C",'Mapa final'!#REF!),"")</f>
        <v>#REF!</v>
      </c>
      <c r="S9" s="105" t="e">
        <f>IF(AND('Mapa final'!#REF!="Muy Alta",'Mapa final'!#REF!="Mayor"),CONCATENATE("R4C",'Mapa final'!#REF!),"")</f>
        <v>#REF!</v>
      </c>
      <c r="T9" s="42" t="e">
        <f>IF(AND('Mapa final'!#REF!="Muy Alta",'Mapa final'!#REF!="Mayor"),CONCATENATE("R4C",'Mapa final'!#REF!),"")</f>
        <v>#REF!</v>
      </c>
      <c r="U9" s="106"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100" t="e">
        <f>IF(AND('Mapa final'!#REF!="Muy Alta",'Mapa final'!#REF!="Catastrófico"),CONCATENATE("R4C",'Mapa final'!#REF!),"")</f>
        <v>#REF!</v>
      </c>
      <c r="Y9" s="56"/>
      <c r="Z9" s="294"/>
      <c r="AA9" s="295"/>
      <c r="AB9" s="295"/>
      <c r="AC9" s="295"/>
      <c r="AD9" s="295"/>
      <c r="AE9" s="29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35">
      <c r="A10" s="56"/>
      <c r="B10" s="300"/>
      <c r="C10" s="300"/>
      <c r="D10" s="301"/>
      <c r="E10" s="289"/>
      <c r="F10" s="290"/>
      <c r="G10" s="290"/>
      <c r="H10" s="290"/>
      <c r="I10" s="288"/>
      <c r="J10" s="105" t="str">
        <f>IF(AND('Mapa final'!$AB$16="Muy Alta",'Mapa final'!$AD$16="Leve"),CONCATENATE("R5C",'Mapa final'!$R$16),"")</f>
        <v/>
      </c>
      <c r="K10" s="42" t="str">
        <f>IF(AND('Mapa final'!$AB$17="Muy Alta",'Mapa final'!$AD$17="Leve"),CONCATENATE("R5C",'Mapa final'!$R$17),"")</f>
        <v/>
      </c>
      <c r="L10" s="106" t="str">
        <f>IF(AND('Mapa final'!$AB$18="Muy Alta",'Mapa final'!$AD$18="Leve"),CONCATENATE("R5C",'Mapa final'!$R$18),"")</f>
        <v/>
      </c>
      <c r="M10" s="105" t="str">
        <f>IF(AND('Mapa final'!$AB$16="Muy Alta",'Mapa final'!$AD$16="Menor"),CONCATENATE("R5C",'Mapa final'!$R$16),"")</f>
        <v/>
      </c>
      <c r="N10" s="42" t="str">
        <f>IF(AND('Mapa final'!$AB$17="Muy Alta",'Mapa final'!$AD$17="Menor"),CONCATENATE("R5C",'Mapa final'!$R$17),"")</f>
        <v/>
      </c>
      <c r="O10" s="106" t="str">
        <f>IF(AND('Mapa final'!$AB$18="Muy Alta",'Mapa final'!$AD$18="Menor"),CONCATENATE("R5C",'Mapa final'!$R$18),"")</f>
        <v/>
      </c>
      <c r="P10" s="105" t="str">
        <f>IF(AND('Mapa final'!$AB$16="Muy Alta",'Mapa final'!$AD$16="Moderado"),CONCATENATE("R5C",'Mapa final'!$R$16),"")</f>
        <v/>
      </c>
      <c r="Q10" s="42" t="str">
        <f>IF(AND('Mapa final'!$AB$17="Muy Alta",'Mapa final'!$AD$17="Moderado"),CONCATENATE("R5C",'Mapa final'!$R$17),"")</f>
        <v/>
      </c>
      <c r="R10" s="106" t="str">
        <f>IF(AND('Mapa final'!$AB$18="Muy Alta",'Mapa final'!$AD$18="Moderado"),CONCATENATE("R5C",'Mapa final'!$R$18),"")</f>
        <v/>
      </c>
      <c r="S10" s="105" t="str">
        <f>IF(AND('Mapa final'!$AB$16="Muy Alta",'Mapa final'!$AD$16="Mayor"),CONCATENATE("R5C",'Mapa final'!$R$16),"")</f>
        <v/>
      </c>
      <c r="T10" s="42" t="str">
        <f>IF(AND('Mapa final'!$AB$17="Muy Alta",'Mapa final'!$AD$17="Mayor"),CONCATENATE("R5C",'Mapa final'!$R$17),"")</f>
        <v/>
      </c>
      <c r="U10" s="106" t="str">
        <f>IF(AND('Mapa final'!$AB$18="Muy Alta",'Mapa final'!$AD$18="Mayor"),CONCATENATE("R5C",'Mapa final'!$R$18),"")</f>
        <v/>
      </c>
      <c r="V10" s="43" t="str">
        <f>IF(AND('Mapa final'!$AB$16="Muy Alta",'Mapa final'!$AD$16="Catastrófico"),CONCATENATE("R5C",'Mapa final'!$R$16),"")</f>
        <v/>
      </c>
      <c r="W10" s="44" t="str">
        <f>IF(AND('Mapa final'!$AB$17="Muy Alta",'Mapa final'!$AD$17="Catastrófico"),CONCATENATE("R5C",'Mapa final'!$R$17),"")</f>
        <v/>
      </c>
      <c r="X10" s="100" t="str">
        <f>IF(AND('Mapa final'!$AB$18="Muy Alta",'Mapa final'!$AD$18="Catastrófico"),CONCATENATE("R5C",'Mapa final'!$R$18),"")</f>
        <v/>
      </c>
      <c r="Y10" s="56"/>
      <c r="Z10" s="294"/>
      <c r="AA10" s="295"/>
      <c r="AB10" s="295"/>
      <c r="AC10" s="295"/>
      <c r="AD10" s="295"/>
      <c r="AE10" s="29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35">
      <c r="A11" s="56"/>
      <c r="B11" s="300"/>
      <c r="C11" s="300"/>
      <c r="D11" s="301"/>
      <c r="E11" s="289"/>
      <c r="F11" s="290"/>
      <c r="G11" s="290"/>
      <c r="H11" s="290"/>
      <c r="I11" s="288"/>
      <c r="J11" s="105" t="str">
        <f>IF(AND('Mapa final'!$AB$19="Muy Alta",'Mapa final'!$AD$19="Leve"),CONCATENATE("R6C",'Mapa final'!$R$19),"")</f>
        <v/>
      </c>
      <c r="K11" s="42" t="str">
        <f>IF(AND('Mapa final'!$AB$20="Muy Alta",'Mapa final'!$AD$20="Leve"),CONCATENATE("R6C",'Mapa final'!$R$20),"")</f>
        <v/>
      </c>
      <c r="L11" s="106" t="str">
        <f>IF(AND('Mapa final'!$AB$21="Muy Alta",'Mapa final'!$AD$21="Leve"),CONCATENATE("R6C",'Mapa final'!$R$21),"")</f>
        <v/>
      </c>
      <c r="M11" s="105" t="str">
        <f>IF(AND('Mapa final'!$AB$19="Muy Alta",'Mapa final'!$AD$19="Menor"),CONCATENATE("R6C",'Mapa final'!$R$19),"")</f>
        <v/>
      </c>
      <c r="N11" s="42" t="str">
        <f>IF(AND('Mapa final'!$AB$20="Muy Alta",'Mapa final'!$AD$20="Menor"),CONCATENATE("R6C",'Mapa final'!$R$20),"")</f>
        <v/>
      </c>
      <c r="O11" s="106" t="str">
        <f>IF(AND('Mapa final'!$AB$21="Muy Alta",'Mapa final'!$AD$21="Menor"),CONCATENATE("R6C",'Mapa final'!$R$21),"")</f>
        <v/>
      </c>
      <c r="P11" s="105" t="str">
        <f>IF(AND('Mapa final'!$AB$19="Muy Alta",'Mapa final'!$AD$19="Moderado"),CONCATENATE("R6C",'Mapa final'!$R$19),"")</f>
        <v/>
      </c>
      <c r="Q11" s="42" t="str">
        <f>IF(AND('Mapa final'!$AB$20="Muy Alta",'Mapa final'!$AD$20="Moderado"),CONCATENATE("R6C",'Mapa final'!$R$20),"")</f>
        <v/>
      </c>
      <c r="R11" s="106" t="str">
        <f>IF(AND('Mapa final'!$AB$21="Muy Alta",'Mapa final'!$AD$21="Moderado"),CONCATENATE("R6C",'Mapa final'!$R$21),"")</f>
        <v/>
      </c>
      <c r="S11" s="105" t="str">
        <f>IF(AND('Mapa final'!$AB$19="Muy Alta",'Mapa final'!$AD$19="Mayor"),CONCATENATE("R6C",'Mapa final'!$R$19),"")</f>
        <v/>
      </c>
      <c r="T11" s="42" t="str">
        <f>IF(AND('Mapa final'!$AB$20="Muy Alta",'Mapa final'!$AD$20="Mayor"),CONCATENATE("R6C",'Mapa final'!$R$20),"")</f>
        <v/>
      </c>
      <c r="U11" s="106" t="str">
        <f>IF(AND('Mapa final'!$AB$21="Muy Alta",'Mapa final'!$AD$21="Mayor"),CONCATENATE("R6C",'Mapa final'!$R$21),"")</f>
        <v/>
      </c>
      <c r="V11" s="43" t="str">
        <f>IF(AND('Mapa final'!$AB$19="Muy Alta",'Mapa final'!$AD$19="Catastrófico"),CONCATENATE("R6C",'Mapa final'!$R$19),"")</f>
        <v/>
      </c>
      <c r="W11" s="44" t="str">
        <f>IF(AND('Mapa final'!$AB$20="Muy Alta",'Mapa final'!$AD$20="Catastrófico"),CONCATENATE("R6C",'Mapa final'!$R$20),"")</f>
        <v/>
      </c>
      <c r="X11" s="100" t="str">
        <f>IF(AND('Mapa final'!$AB$21="Muy Alta",'Mapa final'!$AD$21="Catastrófico"),CONCATENATE("R6C",'Mapa final'!$R$21),"")</f>
        <v/>
      </c>
      <c r="Y11" s="56"/>
      <c r="Z11" s="294"/>
      <c r="AA11" s="295"/>
      <c r="AB11" s="295"/>
      <c r="AC11" s="295"/>
      <c r="AD11" s="295"/>
      <c r="AE11" s="29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35">
      <c r="A12" s="56"/>
      <c r="B12" s="300"/>
      <c r="C12" s="300"/>
      <c r="D12" s="301"/>
      <c r="E12" s="289"/>
      <c r="F12" s="290"/>
      <c r="G12" s="290"/>
      <c r="H12" s="290"/>
      <c r="I12" s="288"/>
      <c r="J12" s="105" t="str">
        <f>IF(AND('Mapa final'!$AB$22="Muy Alta",'Mapa final'!$AD$22="Leve"),CONCATENATE("R7C",'Mapa final'!$R$22),"")</f>
        <v/>
      </c>
      <c r="K12" s="42" t="str">
        <f>IF(AND('Mapa final'!$AB$23="Muy Alta",'Mapa final'!$AD$23="Leve"),CONCATENATE("R7C",'Mapa final'!$R$23),"")</f>
        <v/>
      </c>
      <c r="L12" s="106" t="str">
        <f>IF(AND('Mapa final'!$AB$24="Muy Alta",'Mapa final'!$AD$24="Leve"),CONCATENATE("R7C",'Mapa final'!$R$24),"")</f>
        <v/>
      </c>
      <c r="M12" s="105" t="str">
        <f>IF(AND('Mapa final'!$AB$22="Muy Alta",'Mapa final'!$AD$22="Menor"),CONCATENATE("R7C",'Mapa final'!$R$22),"")</f>
        <v/>
      </c>
      <c r="N12" s="42" t="str">
        <f>IF(AND('Mapa final'!$AB$23="Muy Alta",'Mapa final'!$AD$23="Menor"),CONCATENATE("R7C",'Mapa final'!$R$23),"")</f>
        <v/>
      </c>
      <c r="O12" s="106" t="str">
        <f>IF(AND('Mapa final'!$AB$24="Muy Alta",'Mapa final'!$AD$24="Menor"),CONCATENATE("R7C",'Mapa final'!$R$24),"")</f>
        <v/>
      </c>
      <c r="P12" s="105" t="str">
        <f>IF(AND('Mapa final'!$AB$22="Muy Alta",'Mapa final'!$AD$22="Moderado"),CONCATENATE("R7C",'Mapa final'!$R$22),"")</f>
        <v/>
      </c>
      <c r="Q12" s="42" t="str">
        <f>IF(AND('Mapa final'!$AB$23="Muy Alta",'Mapa final'!$AD$23="Moderado"),CONCATENATE("R7C",'Mapa final'!$R$23),"")</f>
        <v/>
      </c>
      <c r="R12" s="106" t="str">
        <f>IF(AND('Mapa final'!$AB$24="Muy Alta",'Mapa final'!$AD$24="Moderado"),CONCATENATE("R7C",'Mapa final'!$R$24),"")</f>
        <v/>
      </c>
      <c r="S12" s="105" t="str">
        <f>IF(AND('Mapa final'!$AB$22="Muy Alta",'Mapa final'!$AD$22="Mayor"),CONCATENATE("R7C",'Mapa final'!$R$22),"")</f>
        <v/>
      </c>
      <c r="T12" s="42" t="str">
        <f>IF(AND('Mapa final'!$AB$23="Muy Alta",'Mapa final'!$AD$23="Mayor"),CONCATENATE("R7C",'Mapa final'!$R$23),"")</f>
        <v/>
      </c>
      <c r="U12" s="106" t="str">
        <f>IF(AND('Mapa final'!$AB$24="Muy Alta",'Mapa final'!$AD$24="Mayor"),CONCATENATE("R7C",'Mapa final'!$R$24),"")</f>
        <v/>
      </c>
      <c r="V12" s="43" t="str">
        <f>IF(AND('Mapa final'!$AB$22="Muy Alta",'Mapa final'!$AD$22="Catastrófico"),CONCATENATE("R7C",'Mapa final'!$R$22),"")</f>
        <v/>
      </c>
      <c r="W12" s="44" t="str">
        <f>IF(AND('Mapa final'!$AB$23="Muy Alta",'Mapa final'!$AD$23="Catastrófico"),CONCATENATE("R7C",'Mapa final'!$R$23),"")</f>
        <v/>
      </c>
      <c r="X12" s="100" t="str">
        <f>IF(AND('Mapa final'!$AB$24="Muy Alta",'Mapa final'!$AD$24="Catastrófico"),CONCATENATE("R7C",'Mapa final'!$R$24),"")</f>
        <v/>
      </c>
      <c r="Y12" s="56"/>
      <c r="Z12" s="294"/>
      <c r="AA12" s="295"/>
      <c r="AB12" s="295"/>
      <c r="AC12" s="295"/>
      <c r="AD12" s="295"/>
      <c r="AE12" s="29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35">
      <c r="A13" s="56"/>
      <c r="B13" s="300"/>
      <c r="C13" s="300"/>
      <c r="D13" s="301"/>
      <c r="E13" s="289"/>
      <c r="F13" s="290"/>
      <c r="G13" s="290"/>
      <c r="H13" s="290"/>
      <c r="I13" s="288"/>
      <c r="J13" s="105" t="str">
        <f>IF(AND('Mapa final'!$AB$25="Muy Alta",'Mapa final'!$AD$25="Leve"),CONCATENATE("R8C",'Mapa final'!$R$25),"")</f>
        <v/>
      </c>
      <c r="K13" s="42" t="str">
        <f>IF(AND('Mapa final'!$AB$26="Muy Alta",'Mapa final'!$AD$26="Leve"),CONCATENATE("R8C",'Mapa final'!$R$26),"")</f>
        <v/>
      </c>
      <c r="L13" s="106" t="str">
        <f>IF(AND('Mapa final'!$AB$27="Muy Alta",'Mapa final'!$AD$27="Leve"),CONCATENATE("R8C",'Mapa final'!$R$27),"")</f>
        <v/>
      </c>
      <c r="M13" s="105" t="str">
        <f>IF(AND('Mapa final'!$AB$25="Muy Alta",'Mapa final'!$AD$25="Menor"),CONCATENATE("R8C",'Mapa final'!$R$25),"")</f>
        <v/>
      </c>
      <c r="N13" s="42" t="str">
        <f>IF(AND('Mapa final'!$AB$26="Muy Alta",'Mapa final'!$AD$26="Menor"),CONCATENATE("R8C",'Mapa final'!$R$26),"")</f>
        <v/>
      </c>
      <c r="O13" s="106" t="str">
        <f>IF(AND('Mapa final'!$AB$27="Muy Alta",'Mapa final'!$AD$27="Menor"),CONCATENATE("R8C",'Mapa final'!$R$27),"")</f>
        <v/>
      </c>
      <c r="P13" s="105" t="str">
        <f>IF(AND('Mapa final'!$AB$25="Muy Alta",'Mapa final'!$AD$25="Moderado"),CONCATENATE("R8C",'Mapa final'!$R$25),"")</f>
        <v/>
      </c>
      <c r="Q13" s="42" t="str">
        <f>IF(AND('Mapa final'!$AB$26="Muy Alta",'Mapa final'!$AD$26="Moderado"),CONCATENATE("R8C",'Mapa final'!$R$26),"")</f>
        <v/>
      </c>
      <c r="R13" s="106" t="str">
        <f>IF(AND('Mapa final'!$AB$27="Muy Alta",'Mapa final'!$AD$27="Moderado"),CONCATENATE("R8C",'Mapa final'!$R$27),"")</f>
        <v/>
      </c>
      <c r="S13" s="105" t="str">
        <f>IF(AND('Mapa final'!$AB$25="Muy Alta",'Mapa final'!$AD$25="Mayor"),CONCATENATE("R8C",'Mapa final'!$R$25),"")</f>
        <v/>
      </c>
      <c r="T13" s="42" t="str">
        <f>IF(AND('Mapa final'!$AB$26="Muy Alta",'Mapa final'!$AD$26="Mayor"),CONCATENATE("R8C",'Mapa final'!$R$26),"")</f>
        <v/>
      </c>
      <c r="U13" s="106" t="str">
        <f>IF(AND('Mapa final'!$AB$27="Muy Alta",'Mapa final'!$AD$27="Mayor"),CONCATENATE("R8C",'Mapa final'!$R$27),"")</f>
        <v/>
      </c>
      <c r="V13" s="43" t="str">
        <f>IF(AND('Mapa final'!$AB$25="Muy Alta",'Mapa final'!$AD$25="Catastrófico"),CONCATENATE("R8C",'Mapa final'!$R$25),"")</f>
        <v/>
      </c>
      <c r="W13" s="44" t="str">
        <f>IF(AND('Mapa final'!$AB$26="Muy Alta",'Mapa final'!$AD$26="Catastrófico"),CONCATENATE("R8C",'Mapa final'!$R$26),"")</f>
        <v/>
      </c>
      <c r="X13" s="100" t="str">
        <f>IF(AND('Mapa final'!$AB$27="Muy Alta",'Mapa final'!$AD$27="Catastrófico"),CONCATENATE("R8C",'Mapa final'!$R$27),"")</f>
        <v/>
      </c>
      <c r="Y13" s="56"/>
      <c r="Z13" s="294"/>
      <c r="AA13" s="295"/>
      <c r="AB13" s="295"/>
      <c r="AC13" s="295"/>
      <c r="AD13" s="295"/>
      <c r="AE13" s="29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35">
      <c r="A14" s="56"/>
      <c r="B14" s="300"/>
      <c r="C14" s="300"/>
      <c r="D14" s="301"/>
      <c r="E14" s="289"/>
      <c r="F14" s="290"/>
      <c r="G14" s="290"/>
      <c r="H14" s="290"/>
      <c r="I14" s="288"/>
      <c r="J14" s="105" t="str">
        <f>IF(AND('Mapa final'!$AB$28="Muy Alta",'Mapa final'!$AD$28="Leve"),CONCATENATE("R9C",'Mapa final'!$R$28),"")</f>
        <v/>
      </c>
      <c r="K14" s="42" t="str">
        <f>IF(AND('Mapa final'!$AB$29="Muy Alta",'Mapa final'!$AD$29="Leve"),CONCATENATE("R9C",'Mapa final'!$R$29),"")</f>
        <v/>
      </c>
      <c r="L14" s="106" t="str">
        <f>IF(AND('Mapa final'!$AB$30="Muy Alta",'Mapa final'!$AD$30="Leve"),CONCATENATE("R9C",'Mapa final'!$R$30),"")</f>
        <v/>
      </c>
      <c r="M14" s="105" t="str">
        <f>IF(AND('Mapa final'!$AB$28="Muy Alta",'Mapa final'!$AD$28="Menor"),CONCATENATE("R9C",'Mapa final'!$R$28),"")</f>
        <v/>
      </c>
      <c r="N14" s="42" t="str">
        <f>IF(AND('Mapa final'!$AB$29="Muy Alta",'Mapa final'!$AD$29="Menor"),CONCATENATE("R9C",'Mapa final'!$R$29),"")</f>
        <v/>
      </c>
      <c r="O14" s="106" t="str">
        <f>IF(AND('Mapa final'!$AB$30="Muy Alta",'Mapa final'!$AD$30="Menor"),CONCATENATE("R9C",'Mapa final'!$R$30),"")</f>
        <v/>
      </c>
      <c r="P14" s="105" t="str">
        <f>IF(AND('Mapa final'!$AB$28="Muy Alta",'Mapa final'!$AD$28="Moderado"),CONCATENATE("R9C",'Mapa final'!$R$28),"")</f>
        <v/>
      </c>
      <c r="Q14" s="42" t="str">
        <f>IF(AND('Mapa final'!$AB$29="Muy Alta",'Mapa final'!$AD$29="Moderado"),CONCATENATE("R9C",'Mapa final'!$R$29),"")</f>
        <v/>
      </c>
      <c r="R14" s="106" t="str">
        <f>IF(AND('Mapa final'!$AB$30="Muy Alta",'Mapa final'!$AD$30="Moderado"),CONCATENATE("R9C",'Mapa final'!$R$30),"")</f>
        <v/>
      </c>
      <c r="S14" s="105" t="str">
        <f>IF(AND('Mapa final'!$AB$28="Muy Alta",'Mapa final'!$AD$28="Mayor"),CONCATENATE("R9C",'Mapa final'!$R$28),"")</f>
        <v/>
      </c>
      <c r="T14" s="42" t="str">
        <f>IF(AND('Mapa final'!$AB$29="Muy Alta",'Mapa final'!$AD$29="Mayor"),CONCATENATE("R9C",'Mapa final'!$R$29),"")</f>
        <v/>
      </c>
      <c r="U14" s="106" t="str">
        <f>IF(AND('Mapa final'!$AB$30="Muy Alta",'Mapa final'!$AD$30="Mayor"),CONCATENATE("R9C",'Mapa final'!$R$30),"")</f>
        <v/>
      </c>
      <c r="V14" s="43" t="str">
        <f>IF(AND('Mapa final'!$AB$28="Muy Alta",'Mapa final'!$AD$28="Catastrófico"),CONCATENATE("R9C",'Mapa final'!$R$28),"")</f>
        <v/>
      </c>
      <c r="W14" s="44" t="str">
        <f>IF(AND('Mapa final'!$AB$29="Muy Alta",'Mapa final'!$AD$29="Catastrófico"),CONCATENATE("R9C",'Mapa final'!$R$29),"")</f>
        <v/>
      </c>
      <c r="X14" s="100" t="str">
        <f>IF(AND('Mapa final'!$AB$30="Muy Alta",'Mapa final'!$AD$30="Catastrófico"),CONCATENATE("R9C",'Mapa final'!$R$30),"")</f>
        <v/>
      </c>
      <c r="Y14" s="56"/>
      <c r="Z14" s="294"/>
      <c r="AA14" s="295"/>
      <c r="AB14" s="295"/>
      <c r="AC14" s="295"/>
      <c r="AD14" s="295"/>
      <c r="AE14" s="29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35">
      <c r="A15" s="56"/>
      <c r="B15" s="300"/>
      <c r="C15" s="300"/>
      <c r="D15" s="301"/>
      <c r="E15" s="289"/>
      <c r="F15" s="290"/>
      <c r="G15" s="290"/>
      <c r="H15" s="290"/>
      <c r="I15" s="288"/>
      <c r="J15" s="105" t="str">
        <f>IF(AND('Mapa final'!$AB$31="Muy Alta",'Mapa final'!$AD$31="Leve"),CONCATENATE("R10C",'Mapa final'!$R$31),"")</f>
        <v/>
      </c>
      <c r="K15" s="42" t="str">
        <f>IF(AND('Mapa final'!$AB$32="Muy Alta",'Mapa final'!$AD$32="Leve"),CONCATENATE("R10C",'Mapa final'!$R$32),"")</f>
        <v/>
      </c>
      <c r="L15" s="106" t="str">
        <f>IF(AND('Mapa final'!$AB$33="Muy Alta",'Mapa final'!$AD$33="Leve"),CONCATENATE("R10C",'Mapa final'!$R$33),"")</f>
        <v/>
      </c>
      <c r="M15" s="105" t="str">
        <f>IF(AND('Mapa final'!$AB$31="Muy Alta",'Mapa final'!$AD$31="Menor"),CONCATENATE("R10C",'Mapa final'!$R$31),"")</f>
        <v/>
      </c>
      <c r="N15" s="42" t="str">
        <f>IF(AND('Mapa final'!$AB$32="Muy Alta",'Mapa final'!$AD$32="Menor"),CONCATENATE("R10C",'Mapa final'!$R$32),"")</f>
        <v/>
      </c>
      <c r="O15" s="106" t="str">
        <f>IF(AND('Mapa final'!$AB$33="Muy Alta",'Mapa final'!$AD$33="Menor"),CONCATENATE("R10C",'Mapa final'!$R$33),"")</f>
        <v/>
      </c>
      <c r="P15" s="105" t="str">
        <f>IF(AND('Mapa final'!$AB$31="Muy Alta",'Mapa final'!$AD$31="Moderado"),CONCATENATE("R10C",'Mapa final'!$R$31),"")</f>
        <v/>
      </c>
      <c r="Q15" s="42" t="str">
        <f>IF(AND('Mapa final'!$AB$32="Muy Alta",'Mapa final'!$AD$32="Moderado"),CONCATENATE("R10C",'Mapa final'!$R$32),"")</f>
        <v/>
      </c>
      <c r="R15" s="106" t="str">
        <f>IF(AND('Mapa final'!$AB$33="Muy Alta",'Mapa final'!$AD$33="Moderado"),CONCATENATE("R10C",'Mapa final'!$R$33),"")</f>
        <v/>
      </c>
      <c r="S15" s="105" t="str">
        <f>IF(AND('Mapa final'!$AB$31="Muy Alta",'Mapa final'!$AD$31="Mayor"),CONCATENATE("R10C",'Mapa final'!$R$31),"")</f>
        <v/>
      </c>
      <c r="T15" s="42" t="str">
        <f>IF(AND('Mapa final'!$AB$32="Muy Alta",'Mapa final'!$AD$32="Mayor"),CONCATENATE("R10C",'Mapa final'!$R$32),"")</f>
        <v/>
      </c>
      <c r="U15" s="106" t="str">
        <f>IF(AND('Mapa final'!$AB$33="Muy Alta",'Mapa final'!$AD$33="Mayor"),CONCATENATE("R10C",'Mapa final'!$R$33),"")</f>
        <v/>
      </c>
      <c r="V15" s="43" t="str">
        <f>IF(AND('Mapa final'!$AB$31="Muy Alta",'Mapa final'!$AD$31="Catastrófico"),CONCATENATE("R10C",'Mapa final'!$R$31),"")</f>
        <v/>
      </c>
      <c r="W15" s="44" t="str">
        <f>IF(AND('Mapa final'!$AB$32="Muy Alta",'Mapa final'!$AD$32="Catastrófico"),CONCATENATE("R10C",'Mapa final'!$R$32),"")</f>
        <v/>
      </c>
      <c r="X15" s="100" t="str">
        <f>IF(AND('Mapa final'!$AB$33="Muy Alta",'Mapa final'!$AD$33="Catastrófico"),CONCATENATE("R10C",'Mapa final'!$R$33),"")</f>
        <v/>
      </c>
      <c r="Y15" s="56"/>
      <c r="Z15" s="294"/>
      <c r="AA15" s="295"/>
      <c r="AB15" s="295"/>
      <c r="AC15" s="295"/>
      <c r="AD15" s="295"/>
      <c r="AE15" s="29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35">
      <c r="A16" s="56"/>
      <c r="B16" s="300"/>
      <c r="C16" s="300"/>
      <c r="D16" s="301"/>
      <c r="E16" s="289"/>
      <c r="F16" s="290"/>
      <c r="G16" s="290"/>
      <c r="H16" s="290"/>
      <c r="I16" s="288"/>
      <c r="J16" s="105" t="str">
        <f>IF(AND('Mapa final'!$AB$34="Muy Alta",'Mapa final'!$AD$34="Leve"),CONCATENATE("R11C",'Mapa final'!$R$34),"")</f>
        <v/>
      </c>
      <c r="K16" s="42" t="str">
        <f>IF(AND('Mapa final'!$AB$35="Muy Alta",'Mapa final'!$AD$35="Leve"),CONCATENATE("R11C",'Mapa final'!$R$35),"")</f>
        <v/>
      </c>
      <c r="L16" s="106" t="str">
        <f>IF(AND('Mapa final'!$AB$36="Muy Alta",'Mapa final'!$AD$36="Leve"),CONCATENATE("R11C",'Mapa final'!$R$36),"")</f>
        <v/>
      </c>
      <c r="M16" s="105" t="str">
        <f>IF(AND('Mapa final'!$AB$34="Muy Alta",'Mapa final'!$AD$34="Menor"),CONCATENATE("R11C",'Mapa final'!$R$34),"")</f>
        <v/>
      </c>
      <c r="N16" s="42" t="str">
        <f>IF(AND('Mapa final'!$AB$35="Muy Alta",'Mapa final'!$AD$35="Menor"),CONCATENATE("R11C",'Mapa final'!$R$35),"")</f>
        <v/>
      </c>
      <c r="O16" s="106" t="str">
        <f>IF(AND('Mapa final'!$AB$36="Muy Alta",'Mapa final'!$AD$36="Menor"),CONCATENATE("R11C",'Mapa final'!$R$36),"")</f>
        <v/>
      </c>
      <c r="P16" s="105" t="str">
        <f>IF(AND('Mapa final'!$AB$34="Muy Alta",'Mapa final'!$AD$34="Moderado"),CONCATENATE("R11C",'Mapa final'!$R$34),"")</f>
        <v/>
      </c>
      <c r="Q16" s="42" t="str">
        <f>IF(AND('Mapa final'!$AB$35="Muy Alta",'Mapa final'!$AD$35="Moderado"),CONCATENATE("R11C",'Mapa final'!$R$35),"")</f>
        <v/>
      </c>
      <c r="R16" s="106" t="str">
        <f>IF(AND('Mapa final'!$AB$36="Muy Alta",'Mapa final'!$AD$36="Moderado"),CONCATENATE("R11C",'Mapa final'!$R$36),"")</f>
        <v/>
      </c>
      <c r="S16" s="105" t="str">
        <f>IF(AND('Mapa final'!$AB$34="Muy Alta",'Mapa final'!$AD$34="Mayor"),CONCATENATE("R11C",'Mapa final'!$R$34),"")</f>
        <v/>
      </c>
      <c r="T16" s="42" t="str">
        <f>IF(AND('Mapa final'!$AB$35="Muy Alta",'Mapa final'!$AD$35="Mayor"),CONCATENATE("R11C",'Mapa final'!$R$35),"")</f>
        <v/>
      </c>
      <c r="U16" s="106" t="str">
        <f>IF(AND('Mapa final'!$AB$36="Muy Alta",'Mapa final'!$AD$36="Mayor"),CONCATENATE("R11C",'Mapa final'!$R$36),"")</f>
        <v/>
      </c>
      <c r="V16" s="43" t="str">
        <f>IF(AND('Mapa final'!$AB$34="Muy Alta",'Mapa final'!$AD$34="Catastrófico"),CONCATENATE("R11C",'Mapa final'!$R$34),"")</f>
        <v/>
      </c>
      <c r="W16" s="44" t="str">
        <f>IF(AND('Mapa final'!$AB$35="Muy Alta",'Mapa final'!$AD$35="Catastrófico"),CONCATENATE("R11C",'Mapa final'!$R$35),"")</f>
        <v/>
      </c>
      <c r="X16" s="100" t="str">
        <f>IF(AND('Mapa final'!$AB$36="Muy Alta",'Mapa final'!$AD$36="Catastrófico"),CONCATENATE("R11C",'Mapa final'!$R$36),"")</f>
        <v/>
      </c>
      <c r="Y16" s="56"/>
      <c r="Z16" s="294"/>
      <c r="AA16" s="295"/>
      <c r="AB16" s="295"/>
      <c r="AC16" s="295"/>
      <c r="AD16" s="295"/>
      <c r="AE16" s="29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35">
      <c r="A17" s="56"/>
      <c r="B17" s="300"/>
      <c r="C17" s="300"/>
      <c r="D17" s="301"/>
      <c r="E17" s="289"/>
      <c r="F17" s="290"/>
      <c r="G17" s="290"/>
      <c r="H17" s="290"/>
      <c r="I17" s="288"/>
      <c r="J17" s="105" t="str">
        <f>IF(AND('Mapa final'!$AB$37="Muy Alta",'Mapa final'!$AD$37="Leve"),CONCATENATE("R12C",'Mapa final'!$R$37),"")</f>
        <v/>
      </c>
      <c r="K17" s="42" t="str">
        <f>IF(AND('Mapa final'!$AB$38="Muy Alta",'Mapa final'!$AD$38="Leve"),CONCATENATE("R12C",'Mapa final'!$R$38),"")</f>
        <v/>
      </c>
      <c r="L17" s="106" t="str">
        <f>IF(AND('Mapa final'!$AB$39="Muy Alta",'Mapa final'!$AD$39="Leve"),CONCATENATE("R12C",'Mapa final'!$R$39),"")</f>
        <v/>
      </c>
      <c r="M17" s="105" t="str">
        <f>IF(AND('Mapa final'!$AB$37="Muy Alta",'Mapa final'!$AD$37="Menor"),CONCATENATE("R12C",'Mapa final'!$R$37),"")</f>
        <v/>
      </c>
      <c r="N17" s="42" t="str">
        <f>IF(AND('Mapa final'!$AB$38="Muy Alta",'Mapa final'!$AD$38="Menor"),CONCATENATE("R12C",'Mapa final'!$R$38),"")</f>
        <v/>
      </c>
      <c r="O17" s="106" t="str">
        <f>IF(AND('Mapa final'!$AB$39="Muy Alta",'Mapa final'!$AD$39="Menor"),CONCATENATE("R12C",'Mapa final'!$R$39),"")</f>
        <v/>
      </c>
      <c r="P17" s="105" t="str">
        <f>IF(AND('Mapa final'!$AB$37="Muy Alta",'Mapa final'!$AD$37="Moderado"),CONCATENATE("R12C",'Mapa final'!$R$37),"")</f>
        <v/>
      </c>
      <c r="Q17" s="42" t="str">
        <f>IF(AND('Mapa final'!$AB$38="Muy Alta",'Mapa final'!$AD$38="Moderado"),CONCATENATE("R12C",'Mapa final'!$R$38),"")</f>
        <v/>
      </c>
      <c r="R17" s="106" t="str">
        <f>IF(AND('Mapa final'!$AB$39="Muy Alta",'Mapa final'!$AD$39="Moderado"),CONCATENATE("R12C",'Mapa final'!$R$39),"")</f>
        <v/>
      </c>
      <c r="S17" s="105" t="str">
        <f>IF(AND('Mapa final'!$AB$37="Muy Alta",'Mapa final'!$AD$37="Mayor"),CONCATENATE("R12C",'Mapa final'!$R$37),"")</f>
        <v/>
      </c>
      <c r="T17" s="42" t="str">
        <f>IF(AND('Mapa final'!$AB$38="Muy Alta",'Mapa final'!$AD$38="Mayor"),CONCATENATE("R12C",'Mapa final'!$R$38),"")</f>
        <v/>
      </c>
      <c r="U17" s="106" t="str">
        <f>IF(AND('Mapa final'!$AB$39="Muy Alta",'Mapa final'!$AD$39="Mayor"),CONCATENATE("R12C",'Mapa final'!$R$39),"")</f>
        <v/>
      </c>
      <c r="V17" s="43" t="str">
        <f>IF(AND('Mapa final'!$AB$37="Muy Alta",'Mapa final'!$AD$37="Catastrófico"),CONCATENATE("R12C",'Mapa final'!$R$37),"")</f>
        <v/>
      </c>
      <c r="W17" s="44" t="str">
        <f>IF(AND('Mapa final'!$AB$38="Muy Alta",'Mapa final'!$AD$38="Catastrófico"),CONCATENATE("R12C",'Mapa final'!$R$38),"")</f>
        <v/>
      </c>
      <c r="X17" s="100" t="str">
        <f>IF(AND('Mapa final'!$AB$39="Muy Alta",'Mapa final'!$AD$39="Catastrófico"),CONCATENATE("R12C",'Mapa final'!$R$39),"")</f>
        <v/>
      </c>
      <c r="Y17" s="56"/>
      <c r="Z17" s="294"/>
      <c r="AA17" s="295"/>
      <c r="AB17" s="295"/>
      <c r="AC17" s="295"/>
      <c r="AD17" s="295"/>
      <c r="AE17" s="29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35">
      <c r="A18" s="56"/>
      <c r="B18" s="300"/>
      <c r="C18" s="300"/>
      <c r="D18" s="301"/>
      <c r="E18" s="289"/>
      <c r="F18" s="290"/>
      <c r="G18" s="290"/>
      <c r="H18" s="290"/>
      <c r="I18" s="288"/>
      <c r="J18" s="105" t="str">
        <f>IF(AND('Mapa final'!$AB$40="Muy Alta",'Mapa final'!$AD$40="Leve"),CONCATENATE("R13C",'Mapa final'!$R$40),"")</f>
        <v/>
      </c>
      <c r="K18" s="42" t="str">
        <f>IF(AND('Mapa final'!$AB$41="Muy Alta",'Mapa final'!$AD$41="Leve"),CONCATENATE("R13C",'Mapa final'!$R$41),"")</f>
        <v/>
      </c>
      <c r="L18" s="106" t="str">
        <f>IF(AND('Mapa final'!$AB$42="Muy Alta",'Mapa final'!$AD$42="Leve"),CONCATENATE("R13C",'Mapa final'!$R$42),"")</f>
        <v/>
      </c>
      <c r="M18" s="105" t="str">
        <f>IF(AND('Mapa final'!$AB$40="Muy Alta",'Mapa final'!$AD$40="Menor"),CONCATENATE("R13C",'Mapa final'!$R$40),"")</f>
        <v/>
      </c>
      <c r="N18" s="42" t="str">
        <f>IF(AND('Mapa final'!$AB$41="Muy Alta",'Mapa final'!$AD$41="Menor"),CONCATENATE("R13C",'Mapa final'!$R$41),"")</f>
        <v/>
      </c>
      <c r="O18" s="106" t="str">
        <f>IF(AND('Mapa final'!$AB$42="Muy Alta",'Mapa final'!$AD$42="Menor"),CONCATENATE("R13C",'Mapa final'!$R$42),"")</f>
        <v/>
      </c>
      <c r="P18" s="105" t="str">
        <f>IF(AND('Mapa final'!$AB$40="Muy Alta",'Mapa final'!$AD$40="Moderado"),CONCATENATE("R13C",'Mapa final'!$R$40),"")</f>
        <v/>
      </c>
      <c r="Q18" s="42" t="str">
        <f>IF(AND('Mapa final'!$AB$41="Muy Alta",'Mapa final'!$AD$41="Moderado"),CONCATENATE("R13C",'Mapa final'!$R$41),"")</f>
        <v/>
      </c>
      <c r="R18" s="106" t="str">
        <f>IF(AND('Mapa final'!$AB$42="Muy Alta",'Mapa final'!$AD$42="Moderado"),CONCATENATE("R13C",'Mapa final'!$R$42),"")</f>
        <v/>
      </c>
      <c r="S18" s="105" t="str">
        <f>IF(AND('Mapa final'!$AB$40="Muy Alta",'Mapa final'!$AD$40="Mayor"),CONCATENATE("R13C",'Mapa final'!$R$40),"")</f>
        <v/>
      </c>
      <c r="T18" s="42" t="str">
        <f>IF(AND('Mapa final'!$AB$41="Muy Alta",'Mapa final'!$AD$41="Mayor"),CONCATENATE("R13C",'Mapa final'!$R$41),"")</f>
        <v/>
      </c>
      <c r="U18" s="106" t="str">
        <f>IF(AND('Mapa final'!$AB$42="Muy Alta",'Mapa final'!$AD$42="Mayor"),CONCATENATE("R13C",'Mapa final'!$R$42),"")</f>
        <v/>
      </c>
      <c r="V18" s="43" t="str">
        <f>IF(AND('Mapa final'!$AB$40="Muy Alta",'Mapa final'!$AD$40="Catastrófico"),CONCATENATE("R13C",'Mapa final'!$R$40),"")</f>
        <v/>
      </c>
      <c r="W18" s="44" t="str">
        <f>IF(AND('Mapa final'!$AB$41="Muy Alta",'Mapa final'!$AD$41="Catastrófico"),CONCATENATE("R13C",'Mapa final'!$R$41),"")</f>
        <v/>
      </c>
      <c r="X18" s="100" t="str">
        <f>IF(AND('Mapa final'!$AB$42="Muy Alta",'Mapa final'!$AD$42="Catastrófico"),CONCATENATE("R13C",'Mapa final'!$R$42),"")</f>
        <v/>
      </c>
      <c r="Y18" s="56"/>
      <c r="Z18" s="294"/>
      <c r="AA18" s="295"/>
      <c r="AB18" s="295"/>
      <c r="AC18" s="295"/>
      <c r="AD18" s="295"/>
      <c r="AE18" s="29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35">
      <c r="A19" s="56"/>
      <c r="B19" s="300"/>
      <c r="C19" s="300"/>
      <c r="D19" s="301"/>
      <c r="E19" s="289"/>
      <c r="F19" s="290"/>
      <c r="G19" s="290"/>
      <c r="H19" s="290"/>
      <c r="I19" s="288"/>
      <c r="J19" s="105" t="str">
        <f>IF(AND('Mapa final'!$AB$43="Muy Alta",'Mapa final'!$AD$43="Leve"),CONCATENATE("R14C",'Mapa final'!$R$43),"")</f>
        <v/>
      </c>
      <c r="K19" s="42" t="str">
        <f>IF(AND('Mapa final'!$AB$44="Muy Alta",'Mapa final'!$AD$44="Leve"),CONCATENATE("R14C",'Mapa final'!$R$44),"")</f>
        <v/>
      </c>
      <c r="L19" s="106" t="str">
        <f>IF(AND('Mapa final'!$AB$45="Muy Alta",'Mapa final'!$AD$45="Leve"),CONCATENATE("R14C",'Mapa final'!$R$45),"")</f>
        <v/>
      </c>
      <c r="M19" s="105" t="str">
        <f>IF(AND('Mapa final'!$AB$43="Muy Alta",'Mapa final'!$AD$43="Menor"),CONCATENATE("R14C",'Mapa final'!$R$43),"")</f>
        <v/>
      </c>
      <c r="N19" s="42" t="str">
        <f>IF(AND('Mapa final'!$AB$44="Muy Alta",'Mapa final'!$AD$44="Menor"),CONCATENATE("R14C",'Mapa final'!$R$44),"")</f>
        <v/>
      </c>
      <c r="O19" s="106" t="str">
        <f>IF(AND('Mapa final'!$AB$45="Muy Alta",'Mapa final'!$AD$45="Menor"),CONCATENATE("R14C",'Mapa final'!$R$45),"")</f>
        <v/>
      </c>
      <c r="P19" s="105" t="str">
        <f>IF(AND('Mapa final'!$AB$43="Muy Alta",'Mapa final'!$AD$43="Moderado"),CONCATENATE("R14C",'Mapa final'!$R$43),"")</f>
        <v/>
      </c>
      <c r="Q19" s="42" t="str">
        <f>IF(AND('Mapa final'!$AB$44="Muy Alta",'Mapa final'!$AD$44="Moderado"),CONCATENATE("R14C",'Mapa final'!$R$44),"")</f>
        <v/>
      </c>
      <c r="R19" s="106" t="str">
        <f>IF(AND('Mapa final'!$AB$45="Muy Alta",'Mapa final'!$AD$45="Moderado"),CONCATENATE("R14C",'Mapa final'!$R$45),"")</f>
        <v/>
      </c>
      <c r="S19" s="105" t="str">
        <f>IF(AND('Mapa final'!$AB$43="Muy Alta",'Mapa final'!$AD$43="Mayor"),CONCATENATE("R14C",'Mapa final'!$R$43),"")</f>
        <v/>
      </c>
      <c r="T19" s="42" t="str">
        <f>IF(AND('Mapa final'!$AB$44="Muy Alta",'Mapa final'!$AD$44="Mayor"),CONCATENATE("R14C",'Mapa final'!$R$44),"")</f>
        <v/>
      </c>
      <c r="U19" s="106" t="str">
        <f>IF(AND('Mapa final'!$AB$45="Muy Alta",'Mapa final'!$AD$45="Mayor"),CONCATENATE("R14C",'Mapa final'!$R$45),"")</f>
        <v/>
      </c>
      <c r="V19" s="43" t="str">
        <f>IF(AND('Mapa final'!$AB$43="Muy Alta",'Mapa final'!$AD$43="Catastrófico"),CONCATENATE("R14C",'Mapa final'!$R$43),"")</f>
        <v/>
      </c>
      <c r="W19" s="44" t="str">
        <f>IF(AND('Mapa final'!$AB$44="Muy Alta",'Mapa final'!$AD$44="Catastrófico"),CONCATENATE("R14C",'Mapa final'!$R$44),"")</f>
        <v/>
      </c>
      <c r="X19" s="100" t="str">
        <f>IF(AND('Mapa final'!$AB$45="Muy Alta",'Mapa final'!$AD$45="Catastrófico"),CONCATENATE("R14C",'Mapa final'!$R$45),"")</f>
        <v/>
      </c>
      <c r="Y19" s="56"/>
      <c r="Z19" s="294"/>
      <c r="AA19" s="295"/>
      <c r="AB19" s="295"/>
      <c r="AC19" s="295"/>
      <c r="AD19" s="295"/>
      <c r="AE19" s="29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35">
      <c r="A20" s="56"/>
      <c r="B20" s="300"/>
      <c r="C20" s="300"/>
      <c r="D20" s="301"/>
      <c r="E20" s="289"/>
      <c r="F20" s="290"/>
      <c r="G20" s="290"/>
      <c r="H20" s="290"/>
      <c r="I20" s="288"/>
      <c r="J20" s="105" t="str">
        <f>IF(AND('Mapa final'!$AB$46="Muy Alta",'Mapa final'!$AD$46="Leve"),CONCATENATE("R15C",'Mapa final'!$R$46),"")</f>
        <v/>
      </c>
      <c r="K20" s="42" t="str">
        <f>IF(AND('Mapa final'!$AB$47="Muy Alta",'Mapa final'!$AD$47="Leve"),CONCATENATE("R15C",'Mapa final'!$R$47),"")</f>
        <v/>
      </c>
      <c r="L20" s="106" t="str">
        <f>IF(AND('Mapa final'!$AB$48="Muy Alta",'Mapa final'!$AD$48="Leve"),CONCATENATE("R15C",'Mapa final'!$R$48),"")</f>
        <v/>
      </c>
      <c r="M20" s="105" t="str">
        <f>IF(AND('Mapa final'!$AB$46="Muy Alta",'Mapa final'!$AD$46="Menor"),CONCATENATE("R15C",'Mapa final'!$R$46),"")</f>
        <v/>
      </c>
      <c r="N20" s="42" t="str">
        <f>IF(AND('Mapa final'!$AB$47="Muy Alta",'Mapa final'!$AD$47="Menor"),CONCATENATE("R15C",'Mapa final'!$R$47),"")</f>
        <v/>
      </c>
      <c r="O20" s="106" t="str">
        <f>IF(AND('Mapa final'!$AB$48="Muy Alta",'Mapa final'!$AD$48="Menor"),CONCATENATE("R15C",'Mapa final'!$R$48),"")</f>
        <v/>
      </c>
      <c r="P20" s="105" t="str">
        <f>IF(AND('Mapa final'!$AB$46="Muy Alta",'Mapa final'!$AD$46="Moderado"),CONCATENATE("R15C",'Mapa final'!$R$46),"")</f>
        <v/>
      </c>
      <c r="Q20" s="42" t="str">
        <f>IF(AND('Mapa final'!$AB$47="Muy Alta",'Mapa final'!$AD$47="Moderado"),CONCATENATE("R15C",'Mapa final'!$R$47),"")</f>
        <v/>
      </c>
      <c r="R20" s="106" t="str">
        <f>IF(AND('Mapa final'!$AB$48="Muy Alta",'Mapa final'!$AD$48="Moderado"),CONCATENATE("R15C",'Mapa final'!$R$48),"")</f>
        <v/>
      </c>
      <c r="S20" s="105" t="str">
        <f>IF(AND('Mapa final'!$AB$46="Muy Alta",'Mapa final'!$AD$46="Mayor"),CONCATENATE("R15C",'Mapa final'!$R$46),"")</f>
        <v/>
      </c>
      <c r="T20" s="42" t="str">
        <f>IF(AND('Mapa final'!$AB$47="Muy Alta",'Mapa final'!$AD$47="Mayor"),CONCATENATE("R15C",'Mapa final'!$R$47),"")</f>
        <v/>
      </c>
      <c r="U20" s="106" t="str">
        <f>IF(AND('Mapa final'!$AB$48="Muy Alta",'Mapa final'!$AD$48="Mayor"),CONCATENATE("R15C",'Mapa final'!$R$48),"")</f>
        <v/>
      </c>
      <c r="V20" s="43" t="str">
        <f>IF(AND('Mapa final'!$AB$46="Muy Alta",'Mapa final'!$AD$46="Catastrófico"),CONCATENATE("R15C",'Mapa final'!$R$46),"")</f>
        <v/>
      </c>
      <c r="W20" s="44" t="str">
        <f>IF(AND('Mapa final'!$AB$47="Muy Alta",'Mapa final'!$AD$47="Catastrófico"),CONCATENATE("R15C",'Mapa final'!$R$47),"")</f>
        <v/>
      </c>
      <c r="X20" s="100" t="str">
        <f>IF(AND('Mapa final'!$AB$48="Muy Alta",'Mapa final'!$AD$48="Catastrófico"),CONCATENATE("R15C",'Mapa final'!$R$48),"")</f>
        <v/>
      </c>
      <c r="Y20" s="56"/>
      <c r="Z20" s="294"/>
      <c r="AA20" s="295"/>
      <c r="AB20" s="295"/>
      <c r="AC20" s="295"/>
      <c r="AD20" s="295"/>
      <c r="AE20" s="29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35">
      <c r="A21" s="56"/>
      <c r="B21" s="300"/>
      <c r="C21" s="300"/>
      <c r="D21" s="301"/>
      <c r="E21" s="289"/>
      <c r="F21" s="290"/>
      <c r="G21" s="290"/>
      <c r="H21" s="290"/>
      <c r="I21" s="288"/>
      <c r="J21" s="105" t="str">
        <f>IF(AND('Mapa final'!$AB$49="Muy Alta",'Mapa final'!$AD$49="Leve"),CONCATENATE("R16C",'Mapa final'!$R$49),"")</f>
        <v/>
      </c>
      <c r="K21" s="42" t="str">
        <f>IF(AND('Mapa final'!$AB$50="Muy Alta",'Mapa final'!$AD$50="Leve"),CONCATENATE("R16C",'Mapa final'!$R$50),"")</f>
        <v/>
      </c>
      <c r="L21" s="106" t="str">
        <f>IF(AND('Mapa final'!$AB$51="Muy Alta",'Mapa final'!$AD$51="Leve"),CONCATENATE("R16C",'Mapa final'!$R$51),"")</f>
        <v/>
      </c>
      <c r="M21" s="105" t="str">
        <f>IF(AND('Mapa final'!$AB$49="Muy Alta",'Mapa final'!$AD$49="Menor"),CONCATENATE("R16C",'Mapa final'!$R$49),"")</f>
        <v/>
      </c>
      <c r="N21" s="42" t="str">
        <f>IF(AND('Mapa final'!$AB$50="Muy Alta",'Mapa final'!$AD$50="Menor"),CONCATENATE("R16C",'Mapa final'!$R$50),"")</f>
        <v/>
      </c>
      <c r="O21" s="106" t="str">
        <f>IF(AND('Mapa final'!$AB$51="Muy Alta",'Mapa final'!$AD$51="Menor"),CONCATENATE("R16C",'Mapa final'!$R$51),"")</f>
        <v/>
      </c>
      <c r="P21" s="105" t="str">
        <f>IF(AND('Mapa final'!$AB$49="Muy Alta",'Mapa final'!$AD$49="Moderado"),CONCATENATE("R16C",'Mapa final'!$R$49),"")</f>
        <v/>
      </c>
      <c r="Q21" s="42" t="str">
        <f>IF(AND('Mapa final'!$AB$50="Muy Alta",'Mapa final'!$AD$50="Moderado"),CONCATENATE("R16C",'Mapa final'!$R$50),"")</f>
        <v/>
      </c>
      <c r="R21" s="106" t="str">
        <f>IF(AND('Mapa final'!$AB$51="Muy Alta",'Mapa final'!$AD$51="Moderado"),CONCATENATE("R16C",'Mapa final'!$R$51),"")</f>
        <v/>
      </c>
      <c r="S21" s="105" t="str">
        <f>IF(AND('Mapa final'!$AB$49="Muy Alta",'Mapa final'!$AD$49="Mayor"),CONCATENATE("R16C",'Mapa final'!$R$49),"")</f>
        <v/>
      </c>
      <c r="T21" s="42" t="str">
        <f>IF(AND('Mapa final'!$AB$50="Muy Alta",'Mapa final'!$AD$50="Mayor"),CONCATENATE("R16C",'Mapa final'!$R$50),"")</f>
        <v/>
      </c>
      <c r="U21" s="106" t="str">
        <f>IF(AND('Mapa final'!$AB$51="Muy Alta",'Mapa final'!$AD$51="Mayor"),CONCATENATE("R16C",'Mapa final'!$R$51),"")</f>
        <v/>
      </c>
      <c r="V21" s="43" t="str">
        <f>IF(AND('Mapa final'!$AB$49="Muy Alta",'Mapa final'!$AD$49="Catastrófico"),CONCATENATE("R16C",'Mapa final'!$R$49),"")</f>
        <v/>
      </c>
      <c r="W21" s="44" t="str">
        <f>IF(AND('Mapa final'!$AB$50="Muy Alta",'Mapa final'!$AD$50="Catastrófico"),CONCATENATE("R16C",'Mapa final'!$R$50),"")</f>
        <v/>
      </c>
      <c r="X21" s="100" t="str">
        <f>IF(AND('Mapa final'!$AB$51="Muy Alta",'Mapa final'!$AD$51="Catastrófico"),CONCATENATE("R16C",'Mapa final'!$R$51),"")</f>
        <v/>
      </c>
      <c r="Y21" s="56"/>
      <c r="Z21" s="294"/>
      <c r="AA21" s="295"/>
      <c r="AB21" s="295"/>
      <c r="AC21" s="295"/>
      <c r="AD21" s="295"/>
      <c r="AE21" s="29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35">
      <c r="A22" s="56"/>
      <c r="B22" s="300"/>
      <c r="C22" s="300"/>
      <c r="D22" s="301"/>
      <c r="E22" s="289"/>
      <c r="F22" s="290"/>
      <c r="G22" s="290"/>
      <c r="H22" s="290"/>
      <c r="I22" s="288"/>
      <c r="J22" s="105" t="str">
        <f>IF(AND('Mapa final'!$AB$52="Muy Alta",'Mapa final'!$AD$52="Leve"),CONCATENATE("R17C",'Mapa final'!$R$52),"")</f>
        <v/>
      </c>
      <c r="K22" s="42" t="str">
        <f>IF(AND('Mapa final'!$AB$53="Muy Alta",'Mapa final'!$AD$53="Leve"),CONCATENATE("R17C",'Mapa final'!$R$53),"")</f>
        <v/>
      </c>
      <c r="L22" s="106" t="str">
        <f>IF(AND('Mapa final'!$AB$54="Muy Alta",'Mapa final'!$AD$54="Leve"),CONCATENATE("R17C",'Mapa final'!$R$54),"")</f>
        <v/>
      </c>
      <c r="M22" s="105" t="str">
        <f>IF(AND('Mapa final'!$AB$52="Muy Alta",'Mapa final'!$AD$52="Menor"),CONCATENATE("R17C",'Mapa final'!$R$52),"")</f>
        <v/>
      </c>
      <c r="N22" s="42" t="str">
        <f>IF(AND('Mapa final'!$AB$53="Muy Alta",'Mapa final'!$AD$53="Menor"),CONCATENATE("R17C",'Mapa final'!$R$53),"")</f>
        <v/>
      </c>
      <c r="O22" s="106" t="str">
        <f>IF(AND('Mapa final'!$AB$54="Muy Alta",'Mapa final'!$AD$54="Menor"),CONCATENATE("R17C",'Mapa final'!$R$54),"")</f>
        <v/>
      </c>
      <c r="P22" s="105" t="str">
        <f>IF(AND('Mapa final'!$AB$52="Muy Alta",'Mapa final'!$AD$52="Moderado"),CONCATENATE("R17C",'Mapa final'!$R$52),"")</f>
        <v/>
      </c>
      <c r="Q22" s="42" t="str">
        <f>IF(AND('Mapa final'!$AB$53="Muy Alta",'Mapa final'!$AD$53="Moderado"),CONCATENATE("R17C",'Mapa final'!$R$53),"")</f>
        <v/>
      </c>
      <c r="R22" s="106" t="str">
        <f>IF(AND('Mapa final'!$AB$54="Muy Alta",'Mapa final'!$AD$54="Moderado"),CONCATENATE("R17C",'Mapa final'!$R$54),"")</f>
        <v/>
      </c>
      <c r="S22" s="105" t="str">
        <f>IF(AND('Mapa final'!$AB$52="Muy Alta",'Mapa final'!$AD$52="Mayor"),CONCATENATE("R17C",'Mapa final'!$R$52),"")</f>
        <v/>
      </c>
      <c r="T22" s="42" t="str">
        <f>IF(AND('Mapa final'!$AB$53="Muy Alta",'Mapa final'!$AD$53="Mayor"),CONCATENATE("R17C",'Mapa final'!$R$53),"")</f>
        <v/>
      </c>
      <c r="U22" s="106" t="str">
        <f>IF(AND('Mapa final'!$AB$54="Muy Alta",'Mapa final'!$AD$54="Mayor"),CONCATENATE("R17C",'Mapa final'!$R$54),"")</f>
        <v/>
      </c>
      <c r="V22" s="43" t="str">
        <f>IF(AND('Mapa final'!$AB$52="Muy Alta",'Mapa final'!$AD$52="Catastrófico"),CONCATENATE("R17C",'Mapa final'!$R$52),"")</f>
        <v/>
      </c>
      <c r="W22" s="44" t="str">
        <f>IF(AND('Mapa final'!$AB$53="Muy Alta",'Mapa final'!$AD$53="Catastrófico"),CONCATENATE("R17C",'Mapa final'!$R$53),"")</f>
        <v/>
      </c>
      <c r="X22" s="100" t="str">
        <f>IF(AND('Mapa final'!$AB$54="Muy Alta",'Mapa final'!$AD$54="Catastrófico"),CONCATENATE("R17C",'Mapa final'!$R$54),"")</f>
        <v/>
      </c>
      <c r="Y22" s="56"/>
      <c r="Z22" s="294"/>
      <c r="AA22" s="295"/>
      <c r="AB22" s="295"/>
      <c r="AC22" s="295"/>
      <c r="AD22" s="295"/>
      <c r="AE22" s="29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35">
      <c r="A23" s="56"/>
      <c r="B23" s="300"/>
      <c r="C23" s="300"/>
      <c r="D23" s="301"/>
      <c r="E23" s="289"/>
      <c r="F23" s="290"/>
      <c r="G23" s="290"/>
      <c r="H23" s="290"/>
      <c r="I23" s="288"/>
      <c r="J23" s="105" t="str">
        <f>IF(AND('Mapa final'!$AB$55="Muy Alta",'Mapa final'!$AD$55="Leve"),CONCATENATE("R18C",'Mapa final'!$R$55),"")</f>
        <v/>
      </c>
      <c r="K23" s="42" t="str">
        <f>IF(AND('Mapa final'!$AB$56="Muy Alta",'Mapa final'!$AD$56="Leve"),CONCATENATE("R18C",'Mapa final'!$R$56),"")</f>
        <v/>
      </c>
      <c r="L23" s="106" t="str">
        <f>IF(AND('Mapa final'!$AB$57="Muy Alta",'Mapa final'!$AD$57="Leve"),CONCATENATE("R18C",'Mapa final'!$R$57),"")</f>
        <v/>
      </c>
      <c r="M23" s="105" t="str">
        <f>IF(AND('Mapa final'!$AB$55="Muy Alta",'Mapa final'!$AD$55="Menor"),CONCATENATE("R18C",'Mapa final'!$R$55),"")</f>
        <v/>
      </c>
      <c r="N23" s="42" t="str">
        <f>IF(AND('Mapa final'!$AB$56="Muy Alta",'Mapa final'!$AD$56="Menor"),CONCATENATE("R18C",'Mapa final'!$R$56),"")</f>
        <v/>
      </c>
      <c r="O23" s="106" t="str">
        <f>IF(AND('Mapa final'!$AB$57="Muy Alta",'Mapa final'!$AD$57="Menor"),CONCATENATE("R18C",'Mapa final'!$R$57),"")</f>
        <v/>
      </c>
      <c r="P23" s="105" t="str">
        <f>IF(AND('Mapa final'!$AB$55="Muy Alta",'Mapa final'!$AD$55="Moderado"),CONCATENATE("R18C",'Mapa final'!$R$55),"")</f>
        <v/>
      </c>
      <c r="Q23" s="42" t="str">
        <f>IF(AND('Mapa final'!$AB$56="Muy Alta",'Mapa final'!$AD$56="Moderado"),CONCATENATE("R18C",'Mapa final'!$R$56),"")</f>
        <v/>
      </c>
      <c r="R23" s="106" t="str">
        <f>IF(AND('Mapa final'!$AB$57="Muy Alta",'Mapa final'!$AD$57="Moderado"),CONCATENATE("R18C",'Mapa final'!$R$57),"")</f>
        <v/>
      </c>
      <c r="S23" s="105" t="str">
        <f>IF(AND('Mapa final'!$AB$55="Muy Alta",'Mapa final'!$AD$55="Mayor"),CONCATENATE("R18C",'Mapa final'!$R$55),"")</f>
        <v/>
      </c>
      <c r="T23" s="42" t="str">
        <f>IF(AND('Mapa final'!$AB$56="Muy Alta",'Mapa final'!$AD$56="Mayor"),CONCATENATE("R18C",'Mapa final'!$R$56),"")</f>
        <v/>
      </c>
      <c r="U23" s="106" t="str">
        <f>IF(AND('Mapa final'!$AB$57="Muy Alta",'Mapa final'!$AD$57="Mayor"),CONCATENATE("R18C",'Mapa final'!$R$57),"")</f>
        <v/>
      </c>
      <c r="V23" s="43" t="str">
        <f>IF(AND('Mapa final'!$AB$55="Muy Alta",'Mapa final'!$AD$55="Catastrófico"),CONCATENATE("R18C",'Mapa final'!$R$55),"")</f>
        <v/>
      </c>
      <c r="W23" s="44" t="str">
        <f>IF(AND('Mapa final'!$AB$56="Muy Alta",'Mapa final'!$AD$56="Catastrófico"),CONCATENATE("R18C",'Mapa final'!$R$56),"")</f>
        <v/>
      </c>
      <c r="X23" s="100" t="str">
        <f>IF(AND('Mapa final'!$AB$57="Muy Alta",'Mapa final'!$AD$57="Catastrófico"),CONCATENATE("R18C",'Mapa final'!$R$57),"")</f>
        <v/>
      </c>
      <c r="Y23" s="56"/>
      <c r="Z23" s="294"/>
      <c r="AA23" s="295"/>
      <c r="AB23" s="295"/>
      <c r="AC23" s="295"/>
      <c r="AD23" s="295"/>
      <c r="AE23" s="29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35">
      <c r="A24" s="56"/>
      <c r="B24" s="300"/>
      <c r="C24" s="300"/>
      <c r="D24" s="301"/>
      <c r="E24" s="289"/>
      <c r="F24" s="290"/>
      <c r="G24" s="290"/>
      <c r="H24" s="290"/>
      <c r="I24" s="288"/>
      <c r="J24" s="105" t="str">
        <f>IF(AND('Mapa final'!$AB$58="Muy Alta",'Mapa final'!$AD$58="Leve"),CONCATENATE("R19C",'Mapa final'!$R$58),"")</f>
        <v/>
      </c>
      <c r="K24" s="42" t="str">
        <f>IF(AND('Mapa final'!$AB$59="Muy Alta",'Mapa final'!$AD$59="Leve"),CONCATENATE("R19C",'Mapa final'!$R$59),"")</f>
        <v/>
      </c>
      <c r="L24" s="106" t="str">
        <f>IF(AND('Mapa final'!$AB$60="Muy Alta",'Mapa final'!$AD$60="Leve"),CONCATENATE("R19C",'Mapa final'!$R$60),"")</f>
        <v/>
      </c>
      <c r="M24" s="105" t="str">
        <f>IF(AND('Mapa final'!$AB$58="Muy Alta",'Mapa final'!$AD$58="Menor"),CONCATENATE("R19C",'Mapa final'!$R$58),"")</f>
        <v/>
      </c>
      <c r="N24" s="42" t="str">
        <f>IF(AND('Mapa final'!$AB$59="Muy Alta",'Mapa final'!$AD$59="Menor"),CONCATENATE("R19C",'Mapa final'!$R$59),"")</f>
        <v/>
      </c>
      <c r="O24" s="106" t="str">
        <f>IF(AND('Mapa final'!$AB$60="Muy Alta",'Mapa final'!$AD$60="Menor"),CONCATENATE("R19C",'Mapa final'!$R$60),"")</f>
        <v/>
      </c>
      <c r="P24" s="105" t="str">
        <f>IF(AND('Mapa final'!$AB$58="Muy Alta",'Mapa final'!$AD$58="Moderado"),CONCATENATE("R19C",'Mapa final'!$R$58),"")</f>
        <v/>
      </c>
      <c r="Q24" s="42" t="str">
        <f>IF(AND('Mapa final'!$AB$59="Muy Alta",'Mapa final'!$AD$59="Moderado"),CONCATENATE("R19C",'Mapa final'!$R$59),"")</f>
        <v/>
      </c>
      <c r="R24" s="106" t="str">
        <f>IF(AND('Mapa final'!$AB$60="Muy Alta",'Mapa final'!$AD$60="Moderado"),CONCATENATE("R19C",'Mapa final'!$R$60),"")</f>
        <v/>
      </c>
      <c r="S24" s="105" t="str">
        <f>IF(AND('Mapa final'!$AB$58="Muy Alta",'Mapa final'!$AD$58="Mayor"),CONCATENATE("R19C",'Mapa final'!$R$58),"")</f>
        <v/>
      </c>
      <c r="T24" s="42" t="str">
        <f>IF(AND('Mapa final'!$AB$59="Muy Alta",'Mapa final'!$AD$59="Mayor"),CONCATENATE("R19C",'Mapa final'!$R$59),"")</f>
        <v/>
      </c>
      <c r="U24" s="106" t="str">
        <f>IF(AND('Mapa final'!$AB$60="Muy Alta",'Mapa final'!$AD$60="Mayor"),CONCATENATE("R19C",'Mapa final'!$R$60),"")</f>
        <v/>
      </c>
      <c r="V24" s="43" t="str">
        <f>IF(AND('Mapa final'!$AB$58="Muy Alta",'Mapa final'!$AD$58="Catastrófico"),CONCATENATE("R19C",'Mapa final'!$R$58),"")</f>
        <v/>
      </c>
      <c r="W24" s="44" t="str">
        <f>IF(AND('Mapa final'!$AB$59="Muy Alta",'Mapa final'!$AD$59="Catastrófico"),CONCATENATE("R19C",'Mapa final'!$R$59),"")</f>
        <v/>
      </c>
      <c r="X24" s="100" t="str">
        <f>IF(AND('Mapa final'!$AB$60="Muy Alta",'Mapa final'!$AD$60="Catastrófico"),CONCATENATE("R19C",'Mapa final'!$R$60),"")</f>
        <v/>
      </c>
      <c r="Y24" s="56"/>
      <c r="Z24" s="294"/>
      <c r="AA24" s="295"/>
      <c r="AB24" s="295"/>
      <c r="AC24" s="295"/>
      <c r="AD24" s="295"/>
      <c r="AE24" s="29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35">
      <c r="A25" s="56"/>
      <c r="B25" s="300"/>
      <c r="C25" s="300"/>
      <c r="D25" s="301"/>
      <c r="E25" s="289"/>
      <c r="F25" s="290"/>
      <c r="G25" s="290"/>
      <c r="H25" s="290"/>
      <c r="I25" s="288"/>
      <c r="J25" s="105" t="str">
        <f>IF(AND('Mapa final'!$AB$61="Muy Alta",'Mapa final'!$AD$61="Leve"),CONCATENATE("R20C",'Mapa final'!$R$61),"")</f>
        <v/>
      </c>
      <c r="K25" s="42" t="str">
        <f>IF(AND('Mapa final'!$AB$62="Muy Alta",'Mapa final'!$AD$62="Leve"),CONCATENATE("R20C",'Mapa final'!$R$62),"")</f>
        <v/>
      </c>
      <c r="L25" s="106" t="str">
        <f>IF(AND('Mapa final'!$AB$63="Muy Alta",'Mapa final'!$AD$63="Leve"),CONCATENATE("R20C",'Mapa final'!$R$63),"")</f>
        <v/>
      </c>
      <c r="M25" s="105" t="str">
        <f>IF(AND('Mapa final'!$AB$61="Muy Alta",'Mapa final'!$AD$61="Menor"),CONCATENATE("R20C",'Mapa final'!$R$61),"")</f>
        <v/>
      </c>
      <c r="N25" s="42" t="str">
        <f>IF(AND('Mapa final'!$AB$62="Muy Alta",'Mapa final'!$AD$62="Menor"),CONCATENATE("R20C",'Mapa final'!$R$62),"")</f>
        <v/>
      </c>
      <c r="O25" s="106" t="str">
        <f>IF(AND('Mapa final'!$AB$63="Muy Alta",'Mapa final'!$AD$63="Menor"),CONCATENATE("R20C",'Mapa final'!$R$63),"")</f>
        <v/>
      </c>
      <c r="P25" s="105" t="str">
        <f>IF(AND('Mapa final'!$AB$61="Muy Alta",'Mapa final'!$AD$61="Moderado"),CONCATENATE("R20C",'Mapa final'!$R$61),"")</f>
        <v/>
      </c>
      <c r="Q25" s="42" t="str">
        <f>IF(AND('Mapa final'!$AB$62="Muy Alta",'Mapa final'!$AD$62="Moderado"),CONCATENATE("R20C",'Mapa final'!$R$62),"")</f>
        <v/>
      </c>
      <c r="R25" s="106" t="str">
        <f>IF(AND('Mapa final'!$AB$63="Muy Alta",'Mapa final'!$AD$63="Moderado"),CONCATENATE("R20C",'Mapa final'!$R$63),"")</f>
        <v/>
      </c>
      <c r="S25" s="105" t="str">
        <f>IF(AND('Mapa final'!$AB$61="Muy Alta",'Mapa final'!$AD$61="Mayor"),CONCATENATE("R20C",'Mapa final'!$R$61),"")</f>
        <v/>
      </c>
      <c r="T25" s="42" t="str">
        <f>IF(AND('Mapa final'!$AB$62="Muy Alta",'Mapa final'!$AD$62="Mayor"),CONCATENATE("R20C",'Mapa final'!$R$62),"")</f>
        <v/>
      </c>
      <c r="U25" s="106" t="str">
        <f>IF(AND('Mapa final'!$AB$63="Muy Alta",'Mapa final'!$AD$63="Mayor"),CONCATENATE("R20C",'Mapa final'!$R$63),"")</f>
        <v/>
      </c>
      <c r="V25" s="43" t="str">
        <f>IF(AND('Mapa final'!$AB$61="Muy Alta",'Mapa final'!$AD$61="Catastrófico"),CONCATENATE("R20C",'Mapa final'!$R$61),"")</f>
        <v/>
      </c>
      <c r="W25" s="44" t="str">
        <f>IF(AND('Mapa final'!$AB$62="Muy Alta",'Mapa final'!$AD$62="Catastrófico"),CONCATENATE("R20C",'Mapa final'!$R$62),"")</f>
        <v/>
      </c>
      <c r="X25" s="100" t="str">
        <f>IF(AND('Mapa final'!$AB$63="Muy Alta",'Mapa final'!$AD$63="Catastrófico"),CONCATENATE("R20C",'Mapa final'!$R$63),"")</f>
        <v/>
      </c>
      <c r="Y25" s="56"/>
      <c r="Z25" s="294"/>
      <c r="AA25" s="295"/>
      <c r="AB25" s="295"/>
      <c r="AC25" s="295"/>
      <c r="AD25" s="295"/>
      <c r="AE25" s="29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35">
      <c r="A26" s="56"/>
      <c r="B26" s="300"/>
      <c r="C26" s="300"/>
      <c r="D26" s="301"/>
      <c r="E26" s="289"/>
      <c r="F26" s="290"/>
      <c r="G26" s="290"/>
      <c r="H26" s="290"/>
      <c r="I26" s="288"/>
      <c r="J26" s="105" t="str">
        <f>IF(AND('Mapa final'!$AB$64="Muy Alta",'Mapa final'!$AD$64="Leve"),CONCATENATE("R21C",'Mapa final'!$R$64),"")</f>
        <v/>
      </c>
      <c r="K26" s="42" t="str">
        <f>IF(AND('Mapa final'!$AB$65="Muy Alta",'Mapa final'!$AD$65="Leve"),CONCATENATE("R21C",'Mapa final'!$R$65),"")</f>
        <v/>
      </c>
      <c r="L26" s="106" t="str">
        <f>IF(AND('Mapa final'!$AB$66="Muy Alta",'Mapa final'!$AD$66="Leve"),CONCATENATE("R21C",'Mapa final'!$R$66),"")</f>
        <v/>
      </c>
      <c r="M26" s="105" t="str">
        <f>IF(AND('Mapa final'!$AB$64="Muy Alta",'Mapa final'!$AD$64="Menor"),CONCATENATE("R21C",'Mapa final'!$R$64),"")</f>
        <v/>
      </c>
      <c r="N26" s="42" t="str">
        <f>IF(AND('Mapa final'!$AB$65="Muy Alta",'Mapa final'!$AD$65="Menor"),CONCATENATE("R21C",'Mapa final'!$R$65),"")</f>
        <v/>
      </c>
      <c r="O26" s="106" t="str">
        <f>IF(AND('Mapa final'!$AB$66="Muy Alta",'Mapa final'!$AD$66="Menor"),CONCATENATE("R21C",'Mapa final'!$R$66),"")</f>
        <v/>
      </c>
      <c r="P26" s="105" t="str">
        <f>IF(AND('Mapa final'!$AB$64="Muy Alta",'Mapa final'!$AD$64="Moderado"),CONCATENATE("R21C",'Mapa final'!$R$64),"")</f>
        <v/>
      </c>
      <c r="Q26" s="42" t="str">
        <f>IF(AND('Mapa final'!$AB$65="Muy Alta",'Mapa final'!$AD$65="Moderado"),CONCATENATE("R21C",'Mapa final'!$R$65),"")</f>
        <v/>
      </c>
      <c r="R26" s="106" t="str">
        <f>IF(AND('Mapa final'!$AB$66="Muy Alta",'Mapa final'!$AD$66="Moderado"),CONCATENATE("R21C",'Mapa final'!$R$66),"")</f>
        <v/>
      </c>
      <c r="S26" s="105" t="str">
        <f>IF(AND('Mapa final'!$AB$64="Muy Alta",'Mapa final'!$AD$64="Mayor"),CONCATENATE("R21C",'Mapa final'!$R$64),"")</f>
        <v/>
      </c>
      <c r="T26" s="42" t="str">
        <f>IF(AND('Mapa final'!$AB$65="Muy Alta",'Mapa final'!$AD$65="Mayor"),CONCATENATE("R21C",'Mapa final'!$R$65),"")</f>
        <v/>
      </c>
      <c r="U26" s="106" t="str">
        <f>IF(AND('Mapa final'!$AB$66="Muy Alta",'Mapa final'!$AD$66="Mayor"),CONCATENATE("R21C",'Mapa final'!$R$66),"")</f>
        <v/>
      </c>
      <c r="V26" s="43" t="str">
        <f>IF(AND('Mapa final'!$AB$64="Muy Alta",'Mapa final'!$AD$64="Catastrófico"),CONCATENATE("R21C",'Mapa final'!$R$64),"")</f>
        <v/>
      </c>
      <c r="W26" s="44" t="str">
        <f>IF(AND('Mapa final'!$AB$65="Muy Alta",'Mapa final'!$AD$65="Catastrófico"),CONCATENATE("R21C",'Mapa final'!$R$65),"")</f>
        <v/>
      </c>
      <c r="X26" s="100" t="str">
        <f>IF(AND('Mapa final'!$AB$66="Muy Alta",'Mapa final'!$AD$66="Catastrófico"),CONCATENATE("R21C",'Mapa final'!$R$66),"")</f>
        <v/>
      </c>
      <c r="Y26" s="56"/>
      <c r="Z26" s="294"/>
      <c r="AA26" s="295"/>
      <c r="AB26" s="295"/>
      <c r="AC26" s="295"/>
      <c r="AD26" s="295"/>
      <c r="AE26" s="29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35">
      <c r="A27" s="56"/>
      <c r="B27" s="300"/>
      <c r="C27" s="300"/>
      <c r="D27" s="301"/>
      <c r="E27" s="289"/>
      <c r="F27" s="290"/>
      <c r="G27" s="290"/>
      <c r="H27" s="290"/>
      <c r="I27" s="288"/>
      <c r="J27" s="105" t="str">
        <f>IF(AND('Mapa final'!$AB$67="Muy Alta",'Mapa final'!$AD$67="Leve"),CONCATENATE("R22C",'Mapa final'!$R$67),"")</f>
        <v/>
      </c>
      <c r="K27" s="42" t="str">
        <f>IF(AND('Mapa final'!$AB$68="Muy Alta",'Mapa final'!$AD$68="Leve"),CONCATENATE("R22C",'Mapa final'!$R$68),"")</f>
        <v/>
      </c>
      <c r="L27" s="106" t="str">
        <f>IF(AND('Mapa final'!$AB$69="Muy Alta",'Mapa final'!$AD$69="Leve"),CONCATENATE("R22C",'Mapa final'!$R$69),"")</f>
        <v/>
      </c>
      <c r="M27" s="105" t="str">
        <f>IF(AND('Mapa final'!$AB$67="Muy Alta",'Mapa final'!$AD$67="Menor"),CONCATENATE("R22C",'Mapa final'!$R$67),"")</f>
        <v/>
      </c>
      <c r="N27" s="42" t="str">
        <f>IF(AND('Mapa final'!$AB$68="Muy Alta",'Mapa final'!$AD$68="Menor"),CONCATENATE("R22C",'Mapa final'!$R$68),"")</f>
        <v/>
      </c>
      <c r="O27" s="106" t="str">
        <f>IF(AND('Mapa final'!$AB$69="Muy Alta",'Mapa final'!$AD$69="Menor"),CONCATENATE("R22C",'Mapa final'!$R$69),"")</f>
        <v/>
      </c>
      <c r="P27" s="105" t="str">
        <f>IF(AND('Mapa final'!$AB$67="Muy Alta",'Mapa final'!$AD$67="Moderado"),CONCATENATE("R22C",'Mapa final'!$R$67),"")</f>
        <v/>
      </c>
      <c r="Q27" s="42" t="str">
        <f>IF(AND('Mapa final'!$AB$68="Muy Alta",'Mapa final'!$AD$68="Moderado"),CONCATENATE("R22C",'Mapa final'!$R$68),"")</f>
        <v/>
      </c>
      <c r="R27" s="106" t="str">
        <f>IF(AND('Mapa final'!$AB$69="Muy Alta",'Mapa final'!$AD$69="Moderado"),CONCATENATE("R22C",'Mapa final'!$R$69),"")</f>
        <v/>
      </c>
      <c r="S27" s="105" t="str">
        <f>IF(AND('Mapa final'!$AB$67="Muy Alta",'Mapa final'!$AD$67="Mayor"),CONCATENATE("R22C",'Mapa final'!$R$67),"")</f>
        <v/>
      </c>
      <c r="T27" s="42" t="str">
        <f>IF(AND('Mapa final'!$AB$68="Muy Alta",'Mapa final'!$AD$68="Mayor"),CONCATENATE("R22C",'Mapa final'!$R$68),"")</f>
        <v/>
      </c>
      <c r="U27" s="106" t="str">
        <f>IF(AND('Mapa final'!$AB$69="Muy Alta",'Mapa final'!$AD$69="Mayor"),CONCATENATE("R22C",'Mapa final'!$R$69),"")</f>
        <v/>
      </c>
      <c r="V27" s="43" t="str">
        <f>IF(AND('Mapa final'!$AB$67="Muy Alta",'Mapa final'!$AD$67="Catastrófico"),CONCATENATE("R22C",'Mapa final'!$R$67),"")</f>
        <v/>
      </c>
      <c r="W27" s="44" t="str">
        <f>IF(AND('Mapa final'!$AB$68="Muy Alta",'Mapa final'!$AD$68="Catastrófico"),CONCATENATE("R22C",'Mapa final'!$R$68),"")</f>
        <v/>
      </c>
      <c r="X27" s="100" t="str">
        <f>IF(AND('Mapa final'!$AB$69="Muy Alta",'Mapa final'!$AD$69="Catastrófico"),CONCATENATE("R22C",'Mapa final'!$R$69),"")</f>
        <v/>
      </c>
      <c r="Y27" s="56"/>
      <c r="Z27" s="294"/>
      <c r="AA27" s="295"/>
      <c r="AB27" s="295"/>
      <c r="AC27" s="295"/>
      <c r="AD27" s="295"/>
      <c r="AE27" s="29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35">
      <c r="A28" s="56"/>
      <c r="B28" s="300"/>
      <c r="C28" s="300"/>
      <c r="D28" s="301"/>
      <c r="E28" s="289"/>
      <c r="F28" s="290"/>
      <c r="G28" s="290"/>
      <c r="H28" s="290"/>
      <c r="I28" s="288"/>
      <c r="J28" s="105" t="str">
        <f>IF(AND('Mapa final'!$AB$73="Muy Alta",'Mapa final'!$AD$73="Leve"),CONCATENATE("R23C",'Mapa final'!$R$73),"")</f>
        <v/>
      </c>
      <c r="K28" s="42" t="str">
        <f>IF(AND('Mapa final'!$AB$74="Muy Alta",'Mapa final'!$AD$74="Leve"),CONCATENATE("R23C",'Mapa final'!$R$74),"")</f>
        <v/>
      </c>
      <c r="L28" s="106" t="str">
        <f>IF(AND('Mapa final'!$AB$75="Muy Alta",'Mapa final'!$AD$75="Leve"),CONCATENATE("R23C",'Mapa final'!$R$75),"")</f>
        <v/>
      </c>
      <c r="M28" s="105" t="str">
        <f>IF(AND('Mapa final'!$AB$73="Muy Alta",'Mapa final'!$AD$73="Menor"),CONCATENATE("R23C",'Mapa final'!$R$73),"")</f>
        <v/>
      </c>
      <c r="N28" s="42" t="str">
        <f>IF(AND('Mapa final'!$AB$74="Muy Alta",'Mapa final'!$AD$74="Menor"),CONCATENATE("R23C",'Mapa final'!$R$74),"")</f>
        <v/>
      </c>
      <c r="O28" s="106" t="str">
        <f>IF(AND('Mapa final'!$AB$75="Muy Alta",'Mapa final'!$AD$75="Menor"),CONCATENATE("R23C",'Mapa final'!$R$75),"")</f>
        <v/>
      </c>
      <c r="P28" s="105" t="str">
        <f>IF(AND('Mapa final'!$AB$73="Muy Alta",'Mapa final'!$AD$73="Moderado"),CONCATENATE("R23C",'Mapa final'!$R$73),"")</f>
        <v/>
      </c>
      <c r="Q28" s="42" t="str">
        <f>IF(AND('Mapa final'!$AB$74="Muy Alta",'Mapa final'!$AD$74="Moderado"),CONCATENATE("R23C",'Mapa final'!$R$74),"")</f>
        <v/>
      </c>
      <c r="R28" s="106" t="str">
        <f>IF(AND('Mapa final'!$AB$75="Muy Alta",'Mapa final'!$AD$75="Moderado"),CONCATENATE("R23C",'Mapa final'!$R$75),"")</f>
        <v/>
      </c>
      <c r="S28" s="105" t="str">
        <f>IF(AND('Mapa final'!$AB$73="Muy Alta",'Mapa final'!$AD$73="Mayor"),CONCATENATE("R23C",'Mapa final'!$R$73),"")</f>
        <v/>
      </c>
      <c r="T28" s="42" t="str">
        <f>IF(AND('Mapa final'!$AB$74="Muy Alta",'Mapa final'!$AD$74="Mayor"),CONCATENATE("R23C",'Mapa final'!$R$74),"")</f>
        <v/>
      </c>
      <c r="U28" s="106" t="str">
        <f>IF(AND('Mapa final'!$AB$75="Muy Alta",'Mapa final'!$AD$75="Mayor"),CONCATENATE("R23C",'Mapa final'!$R$75),"")</f>
        <v/>
      </c>
      <c r="V28" s="43" t="str">
        <f>IF(AND('Mapa final'!$AB$73="Muy Alta",'Mapa final'!$AD$73="Catastrófico"),CONCATENATE("R23C",'Mapa final'!$R$73),"")</f>
        <v/>
      </c>
      <c r="W28" s="44" t="str">
        <f>IF(AND('Mapa final'!$AB$74="Muy Alta",'Mapa final'!$AD$74="Catastrófico"),CONCATENATE("R23C",'Mapa final'!$R$74),"")</f>
        <v/>
      </c>
      <c r="X28" s="100" t="str">
        <f>IF(AND('Mapa final'!$AB$75="Muy Alta",'Mapa final'!$AD$75="Catastrófico"),CONCATENATE("R23C",'Mapa final'!$R$75),"")</f>
        <v/>
      </c>
      <c r="Y28" s="56"/>
      <c r="Z28" s="294"/>
      <c r="AA28" s="295"/>
      <c r="AB28" s="295"/>
      <c r="AC28" s="295"/>
      <c r="AD28" s="295"/>
      <c r="AE28" s="29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35">
      <c r="A29" s="56"/>
      <c r="B29" s="300"/>
      <c r="C29" s="300"/>
      <c r="D29" s="301"/>
      <c r="E29" s="289"/>
      <c r="F29" s="290"/>
      <c r="G29" s="290"/>
      <c r="H29" s="290"/>
      <c r="I29" s="288"/>
      <c r="J29" s="105" t="str">
        <f>IF(AND('Mapa final'!$AB$76="Muy Alta",'Mapa final'!$AD$76="Leve"),CONCATENATE("R24C",'Mapa final'!$R$76),"")</f>
        <v/>
      </c>
      <c r="K29" s="42" t="str">
        <f>IF(AND('Mapa final'!$AB$77="Muy Alta",'Mapa final'!$AD$77="Leve"),CONCATENATE("R24C",'Mapa final'!$R$77),"")</f>
        <v/>
      </c>
      <c r="L29" s="106" t="str">
        <f>IF(AND('Mapa final'!$AB$78="Muy Alta",'Mapa final'!$AD$78="Leve"),CONCATENATE("R24C",'Mapa final'!$R$78),"")</f>
        <v/>
      </c>
      <c r="M29" s="105" t="str">
        <f>IF(AND('Mapa final'!$AB$76="Muy Alta",'Mapa final'!$AD$76="Menor"),CONCATENATE("R24C",'Mapa final'!$R$76),"")</f>
        <v/>
      </c>
      <c r="N29" s="42" t="str">
        <f>IF(AND('Mapa final'!$AB$77="Muy Alta",'Mapa final'!$AD$77="Menor"),CONCATENATE("R24C",'Mapa final'!$R$77),"")</f>
        <v/>
      </c>
      <c r="O29" s="106" t="str">
        <f>IF(AND('Mapa final'!$AB$78="Muy Alta",'Mapa final'!$AD$78="Menor"),CONCATENATE("R24C",'Mapa final'!$R$78),"")</f>
        <v/>
      </c>
      <c r="P29" s="105" t="str">
        <f>IF(AND('Mapa final'!$AB$76="Muy Alta",'Mapa final'!$AD$76="Moderado"),CONCATENATE("R24C",'Mapa final'!$R$76),"")</f>
        <v/>
      </c>
      <c r="Q29" s="42" t="str">
        <f>IF(AND('Mapa final'!$AB$77="Muy Alta",'Mapa final'!$AD$77="Moderado"),CONCATENATE("R24C",'Mapa final'!$R$77),"")</f>
        <v/>
      </c>
      <c r="R29" s="106" t="str">
        <f>IF(AND('Mapa final'!$AB$78="Muy Alta",'Mapa final'!$AD$78="Moderado"),CONCATENATE("R24C",'Mapa final'!$R$78),"")</f>
        <v/>
      </c>
      <c r="S29" s="105" t="str">
        <f>IF(AND('Mapa final'!$AB$76="Muy Alta",'Mapa final'!$AD$76="Mayor"),CONCATENATE("R24C",'Mapa final'!$R$76),"")</f>
        <v/>
      </c>
      <c r="T29" s="42" t="str">
        <f>IF(AND('Mapa final'!$AB$77="Muy Alta",'Mapa final'!$AD$77="Mayor"),CONCATENATE("R24C",'Mapa final'!$R$77),"")</f>
        <v/>
      </c>
      <c r="U29" s="106" t="str">
        <f>IF(AND('Mapa final'!$AB$78="Muy Alta",'Mapa final'!$AD$78="Mayor"),CONCATENATE("R24C",'Mapa final'!$R$78),"")</f>
        <v/>
      </c>
      <c r="V29" s="43" t="str">
        <f>IF(AND('Mapa final'!$AB$76="Muy Alta",'Mapa final'!$AD$76="Catastrófico"),CONCATENATE("R24C",'Mapa final'!$R$76),"")</f>
        <v/>
      </c>
      <c r="W29" s="44" t="str">
        <f>IF(AND('Mapa final'!$AB$77="Muy Alta",'Mapa final'!$AD$77="Catastrófico"),CONCATENATE("R24C",'Mapa final'!$R$77),"")</f>
        <v/>
      </c>
      <c r="X29" s="100" t="str">
        <f>IF(AND('Mapa final'!$AB$78="Muy Alta",'Mapa final'!$AD$78="Catastrófico"),CONCATENATE("R24C",'Mapa final'!$R$78),"")</f>
        <v/>
      </c>
      <c r="Y29" s="56"/>
      <c r="Z29" s="294"/>
      <c r="AA29" s="295"/>
      <c r="AB29" s="295"/>
      <c r="AC29" s="295"/>
      <c r="AD29" s="295"/>
      <c r="AE29" s="29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35">
      <c r="A30" s="56"/>
      <c r="B30" s="300"/>
      <c r="C30" s="300"/>
      <c r="D30" s="301"/>
      <c r="E30" s="289"/>
      <c r="F30" s="290"/>
      <c r="G30" s="290"/>
      <c r="H30" s="290"/>
      <c r="I30" s="288"/>
      <c r="J30" s="105" t="str">
        <f>IF(AND('Mapa final'!$AB$79="Muy Alta",'Mapa final'!$AD$79="Leve"),CONCATENATE("R25C",'Mapa final'!$R$79),"")</f>
        <v/>
      </c>
      <c r="K30" s="42" t="str">
        <f>IF(AND('Mapa final'!$AB$80="Muy Alta",'Mapa final'!$AD$80="Leve"),CONCATENATE("R25C",'Mapa final'!$R$80),"")</f>
        <v/>
      </c>
      <c r="L30" s="106" t="str">
        <f>IF(AND('Mapa final'!$AB$81="Muy Alta",'Mapa final'!$AD$81="Leve"),CONCATENATE("R25C",'Mapa final'!$R$81),"")</f>
        <v/>
      </c>
      <c r="M30" s="105" t="str">
        <f>IF(AND('Mapa final'!$AB$79="Muy Alta",'Mapa final'!$AD$79="Menor"),CONCATENATE("R25C",'Mapa final'!$R$79),"")</f>
        <v/>
      </c>
      <c r="N30" s="42" t="str">
        <f>IF(AND('Mapa final'!$AB$80="Muy Alta",'Mapa final'!$AD$80="Menor"),CONCATENATE("R25C",'Mapa final'!$R$80),"")</f>
        <v/>
      </c>
      <c r="O30" s="106" t="str">
        <f>IF(AND('Mapa final'!$AB$81="Muy Alta",'Mapa final'!$AD$81="Menor"),CONCATENATE("R25C",'Mapa final'!$R$81),"")</f>
        <v/>
      </c>
      <c r="P30" s="105" t="str">
        <f>IF(AND('Mapa final'!$AB$79="Muy Alta",'Mapa final'!$AD$79="Moderado"),CONCATENATE("R25C",'Mapa final'!$R$79),"")</f>
        <v/>
      </c>
      <c r="Q30" s="42" t="str">
        <f>IF(AND('Mapa final'!$AB$80="Muy Alta",'Mapa final'!$AD$80="Moderado"),CONCATENATE("R25C",'Mapa final'!$R$80),"")</f>
        <v/>
      </c>
      <c r="R30" s="106" t="str">
        <f>IF(AND('Mapa final'!$AB$81="Muy Alta",'Mapa final'!$AD$81="Moderado"),CONCATENATE("R25C",'Mapa final'!$R$81),"")</f>
        <v/>
      </c>
      <c r="S30" s="105" t="str">
        <f>IF(AND('Mapa final'!$AB$79="Muy Alta",'Mapa final'!$AD$79="Mayor"),CONCATENATE("R25C",'Mapa final'!$R$79),"")</f>
        <v/>
      </c>
      <c r="T30" s="42" t="str">
        <f>IF(AND('Mapa final'!$AB$80="Muy Alta",'Mapa final'!$AD$80="Mayor"),CONCATENATE("R25C",'Mapa final'!$R$80),"")</f>
        <v/>
      </c>
      <c r="U30" s="106" t="str">
        <f>IF(AND('Mapa final'!$AB$81="Muy Alta",'Mapa final'!$AD$81="Mayor"),CONCATENATE("R25C",'Mapa final'!$R$81),"")</f>
        <v/>
      </c>
      <c r="V30" s="43" t="str">
        <f>IF(AND('Mapa final'!$AB$79="Muy Alta",'Mapa final'!$AD$79="Catastrófico"),CONCATENATE("R25C",'Mapa final'!$R$79),"")</f>
        <v/>
      </c>
      <c r="W30" s="44" t="str">
        <f>IF(AND('Mapa final'!$AB$80="Muy Alta",'Mapa final'!$AD$80="Catastrófico"),CONCATENATE("R25C",'Mapa final'!$R$80),"")</f>
        <v/>
      </c>
      <c r="X30" s="100" t="str">
        <f>IF(AND('Mapa final'!$AB$81="Muy Alta",'Mapa final'!$AD$81="Catastrófico"),CONCATENATE("R25C",'Mapa final'!$R$81),"")</f>
        <v/>
      </c>
      <c r="Y30" s="56"/>
      <c r="Z30" s="294"/>
      <c r="AA30" s="295"/>
      <c r="AB30" s="295"/>
      <c r="AC30" s="295"/>
      <c r="AD30" s="295"/>
      <c r="AE30" s="29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35">
      <c r="A31" s="56"/>
      <c r="B31" s="300"/>
      <c r="C31" s="300"/>
      <c r="D31" s="301"/>
      <c r="E31" s="289"/>
      <c r="F31" s="290"/>
      <c r="G31" s="290"/>
      <c r="H31" s="290"/>
      <c r="I31" s="288"/>
      <c r="J31" s="105" t="str">
        <f>IF(AND('Mapa final'!$AB$82="Muy Alta",'Mapa final'!$AD$82="Leve"),CONCATENATE("R26C",'Mapa final'!$R$82),"")</f>
        <v/>
      </c>
      <c r="K31" s="42" t="str">
        <f>IF(AND('Mapa final'!$AB$83="Muy Alta",'Mapa final'!$AD$83="Leve"),CONCATENATE("R26C",'Mapa final'!$R$83),"")</f>
        <v/>
      </c>
      <c r="L31" s="106" t="str">
        <f>IF(AND('Mapa final'!$AB$84="Muy Alta",'Mapa final'!$AD$84="Leve"),CONCATENATE("R26C",'Mapa final'!$R$84),"")</f>
        <v/>
      </c>
      <c r="M31" s="105" t="str">
        <f>IF(AND('Mapa final'!$AB$82="Muy Alta",'Mapa final'!$AD$82="Menor"),CONCATENATE("R26C",'Mapa final'!$R$82),"")</f>
        <v/>
      </c>
      <c r="N31" s="42" t="str">
        <f>IF(AND('Mapa final'!$AB$83="Muy Alta",'Mapa final'!$AD$83="Menor"),CONCATENATE("R26C",'Mapa final'!$R$83),"")</f>
        <v/>
      </c>
      <c r="O31" s="106" t="str">
        <f>IF(AND('Mapa final'!$AB$84="Muy Alta",'Mapa final'!$AD$84="Menor"),CONCATENATE("R26C",'Mapa final'!$R$84),"")</f>
        <v/>
      </c>
      <c r="P31" s="105" t="str">
        <f>IF(AND('Mapa final'!$AB$82="Muy Alta",'Mapa final'!$AD$82="Moderado"),CONCATENATE("R26C",'Mapa final'!$R$82),"")</f>
        <v/>
      </c>
      <c r="Q31" s="42" t="str">
        <f>IF(AND('Mapa final'!$AB$83="Muy Alta",'Mapa final'!$AD$83="Moderado"),CONCATENATE("R26C",'Mapa final'!$R$83),"")</f>
        <v/>
      </c>
      <c r="R31" s="106" t="str">
        <f>IF(AND('Mapa final'!$AB$84="Muy Alta",'Mapa final'!$AD$84="Moderado"),CONCATENATE("R26C",'Mapa final'!$R$84),"")</f>
        <v/>
      </c>
      <c r="S31" s="105" t="str">
        <f>IF(AND('Mapa final'!$AB$82="Muy Alta",'Mapa final'!$AD$82="Mayor"),CONCATENATE("R26C",'Mapa final'!$R$82),"")</f>
        <v/>
      </c>
      <c r="T31" s="42" t="str">
        <f>IF(AND('Mapa final'!$AB$83="Muy Alta",'Mapa final'!$AD$83="Mayor"),CONCATENATE("R26C",'Mapa final'!$R$83),"")</f>
        <v/>
      </c>
      <c r="U31" s="106" t="str">
        <f>IF(AND('Mapa final'!$AB$84="Muy Alta",'Mapa final'!$AD$84="Mayor"),CONCATENATE("R26C",'Mapa final'!$R$84),"")</f>
        <v/>
      </c>
      <c r="V31" s="43" t="str">
        <f>IF(AND('Mapa final'!$AB$82="Muy Alta",'Mapa final'!$AD$82="Catastrófico"),CONCATENATE("R26C",'Mapa final'!$R$82),"")</f>
        <v/>
      </c>
      <c r="W31" s="44" t="str">
        <f>IF(AND('Mapa final'!$AB$83="Muy Alta",'Mapa final'!$AD$83="Catastrófico"),CONCATENATE("R26C",'Mapa final'!$R$83),"")</f>
        <v/>
      </c>
      <c r="X31" s="100" t="str">
        <f>IF(AND('Mapa final'!$AB$84="Muy Alta",'Mapa final'!$AD$84="Catastrófico"),CONCATENATE("R26C",'Mapa final'!$R$84),"")</f>
        <v/>
      </c>
      <c r="Y31" s="56"/>
      <c r="Z31" s="294"/>
      <c r="AA31" s="295"/>
      <c r="AB31" s="295"/>
      <c r="AC31" s="295"/>
      <c r="AD31" s="295"/>
      <c r="AE31" s="29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35">
      <c r="A32" s="56"/>
      <c r="B32" s="300"/>
      <c r="C32" s="300"/>
      <c r="D32" s="301"/>
      <c r="E32" s="289"/>
      <c r="F32" s="290"/>
      <c r="G32" s="290"/>
      <c r="H32" s="290"/>
      <c r="I32" s="288"/>
      <c r="J32" s="105" t="str">
        <f>IF(AND('Mapa final'!$AB$85="Muy Alta",'Mapa final'!$AD$85="Leve"),CONCATENATE("R27C",'Mapa final'!$R$85),"")</f>
        <v/>
      </c>
      <c r="K32" s="42" t="str">
        <f>IF(AND('Mapa final'!$AB$86="Muy Alta",'Mapa final'!$AD$86="Leve"),CONCATENATE("R27C",'Mapa final'!$R$86),"")</f>
        <v/>
      </c>
      <c r="L32" s="106" t="str">
        <f>IF(AND('Mapa final'!$AB$87="Muy Alta",'Mapa final'!$AD$87="Leve"),CONCATENATE("R27C",'Mapa final'!$R$87),"")</f>
        <v/>
      </c>
      <c r="M32" s="105" t="str">
        <f>IF(AND('Mapa final'!$AB$85="Muy Alta",'Mapa final'!$AD$85="Menor"),CONCATENATE("R27C",'Mapa final'!$R$85),"")</f>
        <v/>
      </c>
      <c r="N32" s="42" t="str">
        <f>IF(AND('Mapa final'!$AB$86="Muy Alta",'Mapa final'!$AD$86="Menor"),CONCATENATE("R27C",'Mapa final'!$R$86),"")</f>
        <v/>
      </c>
      <c r="O32" s="106" t="str">
        <f>IF(AND('Mapa final'!$AB$87="Muy Alta",'Mapa final'!$AD$87="Menor"),CONCATENATE("R27C",'Mapa final'!$R$87),"")</f>
        <v/>
      </c>
      <c r="P32" s="105" t="str">
        <f>IF(AND('Mapa final'!$AB$85="Muy Alta",'Mapa final'!$AD$85="Moderado"),CONCATENATE("R27C",'Mapa final'!$R$85),"")</f>
        <v/>
      </c>
      <c r="Q32" s="42" t="str">
        <f>IF(AND('Mapa final'!$AB$86="Muy Alta",'Mapa final'!$AD$86="Moderado"),CONCATENATE("R27C",'Mapa final'!$R$86),"")</f>
        <v/>
      </c>
      <c r="R32" s="106" t="str">
        <f>IF(AND('Mapa final'!$AB$87="Muy Alta",'Mapa final'!$AD$87="Moderado"),CONCATENATE("R27C",'Mapa final'!$R$87),"")</f>
        <v/>
      </c>
      <c r="S32" s="105" t="str">
        <f>IF(AND('Mapa final'!$AB$85="Muy Alta",'Mapa final'!$AD$85="Mayor"),CONCATENATE("R27C",'Mapa final'!$R$85),"")</f>
        <v/>
      </c>
      <c r="T32" s="42" t="str">
        <f>IF(AND('Mapa final'!$AB$86="Muy Alta",'Mapa final'!$AD$86="Mayor"),CONCATENATE("R27C",'Mapa final'!$R$86),"")</f>
        <v/>
      </c>
      <c r="U32" s="106" t="str">
        <f>IF(AND('Mapa final'!$AB$87="Muy Alta",'Mapa final'!$AD$87="Mayor"),CONCATENATE("R27C",'Mapa final'!$R$87),"")</f>
        <v/>
      </c>
      <c r="V32" s="43" t="str">
        <f>IF(AND('Mapa final'!$AB$85="Muy Alta",'Mapa final'!$AD$85="Catastrófico"),CONCATENATE("R27C",'Mapa final'!$R$85),"")</f>
        <v/>
      </c>
      <c r="W32" s="44" t="str">
        <f>IF(AND('Mapa final'!$AB$86="Muy Alta",'Mapa final'!$AD$86="Catastrófico"),CONCATENATE("R27C",'Mapa final'!$R$86),"")</f>
        <v/>
      </c>
      <c r="X32" s="100" t="str">
        <f>IF(AND('Mapa final'!$AB$87="Muy Alta",'Mapa final'!$AD$87="Catastrófico"),CONCATENATE("R27C",'Mapa final'!$R$87),"")</f>
        <v/>
      </c>
      <c r="Y32" s="56"/>
      <c r="Z32" s="294"/>
      <c r="AA32" s="295"/>
      <c r="AB32" s="295"/>
      <c r="AC32" s="295"/>
      <c r="AD32" s="295"/>
      <c r="AE32" s="29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35">
      <c r="A33" s="56"/>
      <c r="B33" s="300"/>
      <c r="C33" s="300"/>
      <c r="D33" s="301"/>
      <c r="E33" s="289"/>
      <c r="F33" s="290"/>
      <c r="G33" s="290"/>
      <c r="H33" s="290"/>
      <c r="I33" s="288"/>
      <c r="J33" s="105" t="str">
        <f>IF(AND('Mapa final'!$AB$88="Muy Alta",'Mapa final'!$AD$88="Leve"),CONCATENATE("R28C",'Mapa final'!$R$88),"")</f>
        <v/>
      </c>
      <c r="K33" s="42" t="str">
        <f>IF(AND('Mapa final'!$AB$89="Muy Alta",'Mapa final'!$AD$89="Leve"),CONCATENATE("R28C",'Mapa final'!$R$89),"")</f>
        <v/>
      </c>
      <c r="L33" s="106" t="str">
        <f>IF(AND('Mapa final'!$AB$90="Muy Alta",'Mapa final'!$AD$90="Leve"),CONCATENATE("R28C",'Mapa final'!$R$90),"")</f>
        <v/>
      </c>
      <c r="M33" s="105" t="str">
        <f>IF(AND('Mapa final'!$AB$88="Muy Alta",'Mapa final'!$AD$88="Menor"),CONCATENATE("R28C",'Mapa final'!$R$88),"")</f>
        <v/>
      </c>
      <c r="N33" s="42" t="str">
        <f>IF(AND('Mapa final'!$AB$89="Muy Alta",'Mapa final'!$AD$89="Menor"),CONCATENATE("R28C",'Mapa final'!$R$89),"")</f>
        <v/>
      </c>
      <c r="O33" s="106" t="str">
        <f>IF(AND('Mapa final'!$AB$90="Muy Alta",'Mapa final'!$AD$90="Menor"),CONCATENATE("R28C",'Mapa final'!$R$90),"")</f>
        <v/>
      </c>
      <c r="P33" s="105" t="str">
        <f>IF(AND('Mapa final'!$AB$88="Muy Alta",'Mapa final'!$AD$88="Moderado"),CONCATENATE("R28C",'Mapa final'!$R$88),"")</f>
        <v/>
      </c>
      <c r="Q33" s="42" t="str">
        <f>IF(AND('Mapa final'!$AB$89="Muy Alta",'Mapa final'!$AD$89="Moderado"),CONCATENATE("R28C",'Mapa final'!$R$89),"")</f>
        <v/>
      </c>
      <c r="R33" s="106" t="str">
        <f>IF(AND('Mapa final'!$AB$90="Muy Alta",'Mapa final'!$AD$90="Moderado"),CONCATENATE("R28C",'Mapa final'!$R$90),"")</f>
        <v/>
      </c>
      <c r="S33" s="105" t="str">
        <f>IF(AND('Mapa final'!$AB$88="Muy Alta",'Mapa final'!$AD$88="Mayor"),CONCATENATE("R28C",'Mapa final'!$R$88),"")</f>
        <v/>
      </c>
      <c r="T33" s="42" t="str">
        <f>IF(AND('Mapa final'!$AB$89="Muy Alta",'Mapa final'!$AD$89="Mayor"),CONCATENATE("R28C",'Mapa final'!$R$89),"")</f>
        <v/>
      </c>
      <c r="U33" s="106" t="str">
        <f>IF(AND('Mapa final'!$AB$90="Muy Alta",'Mapa final'!$AD$90="Mayor"),CONCATENATE("R28C",'Mapa final'!$R$90),"")</f>
        <v/>
      </c>
      <c r="V33" s="43" t="str">
        <f>IF(AND('Mapa final'!$AB$88="Muy Alta",'Mapa final'!$AD$88="Catastrófico"),CONCATENATE("R28C",'Mapa final'!$R$88),"")</f>
        <v/>
      </c>
      <c r="W33" s="44" t="str">
        <f>IF(AND('Mapa final'!$AB$89="Muy Alta",'Mapa final'!$AD$89="Catastrófico"),CONCATENATE("R28C",'Mapa final'!$R$89),"")</f>
        <v/>
      </c>
      <c r="X33" s="100" t="str">
        <f>IF(AND('Mapa final'!$AB$90="Muy Alta",'Mapa final'!$AD$90="Catastrófico"),CONCATENATE("R28C",'Mapa final'!$R$90),"")</f>
        <v/>
      </c>
      <c r="Y33" s="56"/>
      <c r="Z33" s="294"/>
      <c r="AA33" s="295"/>
      <c r="AB33" s="295"/>
      <c r="AC33" s="295"/>
      <c r="AD33" s="295"/>
      <c r="AE33" s="29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35">
      <c r="A34" s="56"/>
      <c r="B34" s="300"/>
      <c r="C34" s="300"/>
      <c r="D34" s="301"/>
      <c r="E34" s="289"/>
      <c r="F34" s="290"/>
      <c r="G34" s="290"/>
      <c r="H34" s="290"/>
      <c r="I34" s="288"/>
      <c r="J34" s="105" t="str">
        <f>IF(AND('Mapa final'!$AB$91="Muy Alta",'Mapa final'!$AD$91="Leve"),CONCATENATE("R29C",'Mapa final'!$R$91),"")</f>
        <v/>
      </c>
      <c r="K34" s="42" t="str">
        <f>IF(AND('Mapa final'!$AB$92="Muy Alta",'Mapa final'!$AD$92="Leve"),CONCATENATE("R29C",'Mapa final'!$R$92),"")</f>
        <v/>
      </c>
      <c r="L34" s="106" t="str">
        <f>IF(AND('Mapa final'!$AB$93="Muy Alta",'Mapa final'!$AD$93="Leve"),CONCATENATE("R29C",'Mapa final'!$R$93),"")</f>
        <v/>
      </c>
      <c r="M34" s="105" t="str">
        <f>IF(AND('Mapa final'!$AB$91="Muy Alta",'Mapa final'!$AD$91="Menor"),CONCATENATE("R29C",'Mapa final'!$R$91),"")</f>
        <v/>
      </c>
      <c r="N34" s="42" t="str">
        <f>IF(AND('Mapa final'!$AB$92="Muy Alta",'Mapa final'!$AD$92="Menor"),CONCATENATE("R29C",'Mapa final'!$R$92),"")</f>
        <v/>
      </c>
      <c r="O34" s="106" t="str">
        <f>IF(AND('Mapa final'!$AB$93="Muy Alta",'Mapa final'!$AD$93="Menor"),CONCATENATE("R29C",'Mapa final'!$R$93),"")</f>
        <v/>
      </c>
      <c r="P34" s="105" t="str">
        <f>IF(AND('Mapa final'!$AB$91="Muy Alta",'Mapa final'!$AD$91="Moderado"),CONCATENATE("R29C",'Mapa final'!$R$91),"")</f>
        <v/>
      </c>
      <c r="Q34" s="42" t="str">
        <f>IF(AND('Mapa final'!$AB$92="Muy Alta",'Mapa final'!$AD$92="Moderado"),CONCATENATE("R29C",'Mapa final'!$R$92),"")</f>
        <v/>
      </c>
      <c r="R34" s="106" t="str">
        <f>IF(AND('Mapa final'!$AB$93="Muy Alta",'Mapa final'!$AD$93="Moderado"),CONCATENATE("R29C",'Mapa final'!$R$93),"")</f>
        <v/>
      </c>
      <c r="S34" s="105" t="str">
        <f>IF(AND('Mapa final'!$AB$91="Muy Alta",'Mapa final'!$AD$91="Mayor"),CONCATENATE("R29C",'Mapa final'!$R$91),"")</f>
        <v/>
      </c>
      <c r="T34" s="42" t="str">
        <f>IF(AND('Mapa final'!$AB$92="Muy Alta",'Mapa final'!$AD$92="Mayor"),CONCATENATE("R29C",'Mapa final'!$R$92),"")</f>
        <v/>
      </c>
      <c r="U34" s="106" t="str">
        <f>IF(AND('Mapa final'!$AB$93="Muy Alta",'Mapa final'!$AD$93="Mayor"),CONCATENATE("R29C",'Mapa final'!$R$93),"")</f>
        <v/>
      </c>
      <c r="V34" s="43" t="str">
        <f>IF(AND('Mapa final'!$AB$91="Muy Alta",'Mapa final'!$AD$91="Catastrófico"),CONCATENATE("R29C",'Mapa final'!$R$91),"")</f>
        <v/>
      </c>
      <c r="W34" s="44" t="str">
        <f>IF(AND('Mapa final'!$AB$92="Muy Alta",'Mapa final'!$AD$92="Catastrófico"),CONCATENATE("R29C",'Mapa final'!$R$92),"")</f>
        <v/>
      </c>
      <c r="X34" s="100" t="str">
        <f>IF(AND('Mapa final'!$AB$93="Muy Alta",'Mapa final'!$AD$93="Catastrófico"),CONCATENATE("R29C",'Mapa final'!$R$93),"")</f>
        <v/>
      </c>
      <c r="Y34" s="56"/>
      <c r="Z34" s="294"/>
      <c r="AA34" s="295"/>
      <c r="AB34" s="295"/>
      <c r="AC34" s="295"/>
      <c r="AD34" s="295"/>
      <c r="AE34" s="29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35">
      <c r="A35" s="56"/>
      <c r="B35" s="300"/>
      <c r="C35" s="300"/>
      <c r="D35" s="301"/>
      <c r="E35" s="289"/>
      <c r="F35" s="290"/>
      <c r="G35" s="290"/>
      <c r="H35" s="290"/>
      <c r="I35" s="288"/>
      <c r="J35" s="105" t="str">
        <f>IF(AND('Mapa final'!$AB$94="Muy Alta",'Mapa final'!$AD$94="Leve"),CONCATENATE("R30C",'Mapa final'!$R$94),"")</f>
        <v/>
      </c>
      <c r="K35" s="42" t="str">
        <f>IF(AND('Mapa final'!$AB$95="Muy Alta",'Mapa final'!$AD$95="Leve"),CONCATENATE("R30C",'Mapa final'!$R$95),"")</f>
        <v/>
      </c>
      <c r="L35" s="106" t="str">
        <f>IF(AND('Mapa final'!$AB$96="Muy Alta",'Mapa final'!$AD$96="Leve"),CONCATENATE("R30C",'Mapa final'!$R$96),"")</f>
        <v/>
      </c>
      <c r="M35" s="105" t="str">
        <f>IF(AND('Mapa final'!$AB$94="Muy Alta",'Mapa final'!$AD$94="Menor"),CONCATENATE("R30C",'Mapa final'!$R$94),"")</f>
        <v/>
      </c>
      <c r="N35" s="42" t="str">
        <f>IF(AND('Mapa final'!$AB$95="Muy Alta",'Mapa final'!$AD$95="Menor"),CONCATENATE("R30C",'Mapa final'!$R$95),"")</f>
        <v/>
      </c>
      <c r="O35" s="106" t="str">
        <f>IF(AND('Mapa final'!$AB$96="Muy Alta",'Mapa final'!$AD$96="Menor"),CONCATENATE("R30C",'Mapa final'!$R$96),"")</f>
        <v/>
      </c>
      <c r="P35" s="105" t="str">
        <f>IF(AND('Mapa final'!$AB$94="Muy Alta",'Mapa final'!$AD$94="Moderado"),CONCATENATE("R30C",'Mapa final'!$R$94),"")</f>
        <v/>
      </c>
      <c r="Q35" s="42" t="str">
        <f>IF(AND('Mapa final'!$AB$95="Muy Alta",'Mapa final'!$AD$95="Moderado"),CONCATENATE("R30C",'Mapa final'!$R$95),"")</f>
        <v/>
      </c>
      <c r="R35" s="106" t="str">
        <f>IF(AND('Mapa final'!$AB$96="Muy Alta",'Mapa final'!$AD$96="Moderado"),CONCATENATE("R30C",'Mapa final'!$R$96),"")</f>
        <v/>
      </c>
      <c r="S35" s="105" t="str">
        <f>IF(AND('Mapa final'!$AB$94="Muy Alta",'Mapa final'!$AD$94="Mayor"),CONCATENATE("R30C",'Mapa final'!$R$94),"")</f>
        <v/>
      </c>
      <c r="T35" s="42" t="str">
        <f>IF(AND('Mapa final'!$AB$95="Muy Alta",'Mapa final'!$AD$95="Mayor"),CONCATENATE("R30C",'Mapa final'!$R$95),"")</f>
        <v/>
      </c>
      <c r="U35" s="106" t="str">
        <f>IF(AND('Mapa final'!$AB$96="Muy Alta",'Mapa final'!$AD$96="Mayor"),CONCATENATE("R30C",'Mapa final'!$R$96),"")</f>
        <v/>
      </c>
      <c r="V35" s="43" t="str">
        <f>IF(AND('Mapa final'!$AB$94="Muy Alta",'Mapa final'!$AD$94="Catastrófico"),CONCATENATE("R30C",'Mapa final'!$R$94),"")</f>
        <v/>
      </c>
      <c r="W35" s="44" t="str">
        <f>IF(AND('Mapa final'!$AB$95="Muy Alta",'Mapa final'!$AD$95="Catastrófico"),CONCATENATE("R30C",'Mapa final'!$R$95),"")</f>
        <v/>
      </c>
      <c r="X35" s="100" t="str">
        <f>IF(AND('Mapa final'!$AB$96="Muy Alta",'Mapa final'!$AD$96="Catastrófico"),CONCATENATE("R30C",'Mapa final'!$R$96),"")</f>
        <v/>
      </c>
      <c r="Y35" s="56"/>
      <c r="Z35" s="294"/>
      <c r="AA35" s="295"/>
      <c r="AB35" s="295"/>
      <c r="AC35" s="295"/>
      <c r="AD35" s="295"/>
      <c r="AE35" s="29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35">
      <c r="A36" s="56"/>
      <c r="B36" s="300"/>
      <c r="C36" s="300"/>
      <c r="D36" s="301"/>
      <c r="E36" s="289"/>
      <c r="F36" s="290"/>
      <c r="G36" s="290"/>
      <c r="H36" s="290"/>
      <c r="I36" s="288"/>
      <c r="J36" s="105" t="str">
        <f>IF(AND('Mapa final'!$AB$97="Muy Alta",'Mapa final'!$AD$97="Leve"),CONCATENATE("R31C",'Mapa final'!$R$97),"")</f>
        <v/>
      </c>
      <c r="K36" s="42" t="str">
        <f>IF(AND('Mapa final'!$AB$98="Muy Alta",'Mapa final'!$AD$98="Leve"),CONCATENATE("R31C",'Mapa final'!$R$98),"")</f>
        <v/>
      </c>
      <c r="L36" s="106" t="str">
        <f>IF(AND('Mapa final'!$AB$99="Muy Alta",'Mapa final'!$AD$99="Leve"),CONCATENATE("R31C",'Mapa final'!$R$99),"")</f>
        <v/>
      </c>
      <c r="M36" s="105" t="str">
        <f>IF(AND('Mapa final'!$AB$97="Muy Alta",'Mapa final'!$AD$97="Menor"),CONCATENATE("R31C",'Mapa final'!$R$97),"")</f>
        <v/>
      </c>
      <c r="N36" s="42" t="str">
        <f>IF(AND('Mapa final'!$AB$98="Muy Alta",'Mapa final'!$AD$98="Menor"),CONCATENATE("R31C",'Mapa final'!$R$98),"")</f>
        <v/>
      </c>
      <c r="O36" s="106" t="str">
        <f>IF(AND('Mapa final'!$AB$99="Muy Alta",'Mapa final'!$AD$99="Menor"),CONCATENATE("R31C",'Mapa final'!$R$99),"")</f>
        <v/>
      </c>
      <c r="P36" s="105" t="str">
        <f>IF(AND('Mapa final'!$AB$97="Muy Alta",'Mapa final'!$AD$97="Moderado"),CONCATENATE("R31C",'Mapa final'!$R$97),"")</f>
        <v/>
      </c>
      <c r="Q36" s="42" t="str">
        <f>IF(AND('Mapa final'!$AB$98="Muy Alta",'Mapa final'!$AD$98="Moderado"),CONCATENATE("R31C",'Mapa final'!$R$98),"")</f>
        <v/>
      </c>
      <c r="R36" s="106" t="str">
        <f>IF(AND('Mapa final'!$AB$99="Muy Alta",'Mapa final'!$AD$99="Moderado"),CONCATENATE("R31C",'Mapa final'!$R$99),"")</f>
        <v/>
      </c>
      <c r="S36" s="105" t="str">
        <f>IF(AND('Mapa final'!$AB$97="Muy Alta",'Mapa final'!$AD$97="Mayor"),CONCATENATE("R31C",'Mapa final'!$R$97),"")</f>
        <v/>
      </c>
      <c r="T36" s="42" t="str">
        <f>IF(AND('Mapa final'!$AB$98="Muy Alta",'Mapa final'!$AD$98="Mayor"),CONCATENATE("R31C",'Mapa final'!$R$98),"")</f>
        <v/>
      </c>
      <c r="U36" s="106" t="str">
        <f>IF(AND('Mapa final'!$AB$99="Muy Alta",'Mapa final'!$AD$99="Mayor"),CONCATENATE("R31C",'Mapa final'!$R$99),"")</f>
        <v/>
      </c>
      <c r="V36" s="43" t="str">
        <f>IF(AND('Mapa final'!$AB$97="Muy Alta",'Mapa final'!$AD$97="Catastrófico"),CONCATENATE("R31C",'Mapa final'!$R$97),"")</f>
        <v/>
      </c>
      <c r="W36" s="44" t="str">
        <f>IF(AND('Mapa final'!$AB$98="Muy Alta",'Mapa final'!$AD$98="Catastrófico"),CONCATENATE("R31C",'Mapa final'!$R$98),"")</f>
        <v/>
      </c>
      <c r="X36" s="100" t="str">
        <f>IF(AND('Mapa final'!$AB$99="Muy Alta",'Mapa final'!$AD$99="Catastrófico"),CONCATENATE("R31C",'Mapa final'!$R$99),"")</f>
        <v/>
      </c>
      <c r="Y36" s="56"/>
      <c r="Z36" s="294"/>
      <c r="AA36" s="295"/>
      <c r="AB36" s="295"/>
      <c r="AC36" s="295"/>
      <c r="AD36" s="295"/>
      <c r="AE36" s="29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35">
      <c r="A37" s="56"/>
      <c r="B37" s="300"/>
      <c r="C37" s="300"/>
      <c r="D37" s="301"/>
      <c r="E37" s="289"/>
      <c r="F37" s="290"/>
      <c r="G37" s="290"/>
      <c r="H37" s="290"/>
      <c r="I37" s="288"/>
      <c r="J37" s="105" t="e">
        <f>IF(AND('Mapa final'!#REF!="Muy Alta",'Mapa final'!#REF!="Leve"),CONCATENATE("R32C",'Mapa final'!#REF!),"")</f>
        <v>#REF!</v>
      </c>
      <c r="K37" s="42" t="e">
        <f>IF(AND('Mapa final'!#REF!="Muy Alta",'Mapa final'!#REF!="Leve"),CONCATENATE("R32C",'Mapa final'!#REF!),"")</f>
        <v>#REF!</v>
      </c>
      <c r="L37" s="42" t="e">
        <f>IF(AND('Mapa final'!#REF!="Muy Alta",'Mapa final'!#REF!="Leve"),CONCATENATE("R32C",'Mapa final'!#REF!),"")</f>
        <v>#REF!</v>
      </c>
      <c r="M37" s="105" t="e">
        <f>IF(AND('Mapa final'!#REF!="Muy Alta",'Mapa final'!#REF!="Menor"),CONCATENATE("R32C",'Mapa final'!#REF!),"")</f>
        <v>#REF!</v>
      </c>
      <c r="N37" s="42" t="e">
        <f>IF(AND('Mapa final'!#REF!="Muy Alta",'Mapa final'!#REF!="Menor"),CONCATENATE("R32C",'Mapa final'!#REF!),"")</f>
        <v>#REF!</v>
      </c>
      <c r="O37" s="42" t="e">
        <f>IF(AND('Mapa final'!#REF!="Muy Alta",'Mapa final'!#REF!="Menor"),CONCATENATE("R32C",'Mapa final'!#REF!),"")</f>
        <v>#REF!</v>
      </c>
      <c r="P37" s="105" t="e">
        <f>IF(AND('Mapa final'!#REF!="Muy Alta",'Mapa final'!#REF!="Moderado"),CONCATENATE("R32C",'Mapa final'!#REF!),"")</f>
        <v>#REF!</v>
      </c>
      <c r="Q37" s="42" t="e">
        <f>IF(AND('Mapa final'!#REF!="Muy Alta",'Mapa final'!#REF!="Moderado"),CONCATENATE("R32C",'Mapa final'!#REF!),"")</f>
        <v>#REF!</v>
      </c>
      <c r="R37" s="42" t="e">
        <f>IF(AND('Mapa final'!#REF!="Muy Alta",'Mapa final'!#REF!="Moderado"),CONCATENATE("R32C",'Mapa final'!#REF!),"")</f>
        <v>#REF!</v>
      </c>
      <c r="S37" s="105" t="e">
        <f>IF(AND('Mapa final'!#REF!="Muy Alta",'Mapa final'!#REF!="Mayor"),CONCATENATE("R32C",'Mapa final'!#REF!),"")</f>
        <v>#REF!</v>
      </c>
      <c r="T37" s="42" t="e">
        <f>IF(AND('Mapa final'!#REF!="Muy Alta",'Mapa final'!#REF!="Mayor"),CONCATENATE("R32C",'Mapa final'!#REF!),"")</f>
        <v>#REF!</v>
      </c>
      <c r="U37" s="106" t="e">
        <f>IF(AND('Mapa final'!#REF!="Muy Alta",'Mapa final'!#REF!="Mayor"),CONCATENATE("R32C",'Mapa final'!#REF!),"")</f>
        <v>#REF!</v>
      </c>
      <c r="V37" s="43" t="e">
        <f>IF(AND('Mapa final'!#REF!="Muy Alta",'Mapa final'!#REF!="Catastrófico"),CONCATENATE("R32C",'Mapa final'!#REF!),"")</f>
        <v>#REF!</v>
      </c>
      <c r="W37" s="44" t="e">
        <f>IF(AND('Mapa final'!#REF!="Muy Alta",'Mapa final'!#REF!="Catastrófico"),CONCATENATE("R32C",'Mapa final'!#REF!),"")</f>
        <v>#REF!</v>
      </c>
      <c r="X37" s="100" t="e">
        <f>IF(AND('Mapa final'!#REF!="Muy Alta",'Mapa final'!#REF!="Catastrófico"),CONCATENATE("R32C",'Mapa final'!#REF!),"")</f>
        <v>#REF!</v>
      </c>
      <c r="Y37" s="56"/>
      <c r="Z37" s="294"/>
      <c r="AA37" s="295"/>
      <c r="AB37" s="295"/>
      <c r="AC37" s="295"/>
      <c r="AD37" s="295"/>
      <c r="AE37" s="29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35">
      <c r="A38" s="56"/>
      <c r="B38" s="300"/>
      <c r="C38" s="300"/>
      <c r="D38" s="301"/>
      <c r="E38" s="289"/>
      <c r="F38" s="290"/>
      <c r="G38" s="290"/>
      <c r="H38" s="290"/>
      <c r="I38" s="288"/>
      <c r="J38" s="105" t="str">
        <f>IF(AND('Mapa final'!$AB$100="Muy Alta",'Mapa final'!$AD$100="Leve"),CONCATENATE("R33C",'Mapa final'!$R$100),"")</f>
        <v/>
      </c>
      <c r="K38" s="42" t="str">
        <f>IF(AND('Mapa final'!$AB$101="Muy Alta",'Mapa final'!$AD$101="Leve"),CONCATENATE("R33C",'Mapa final'!$R$101),"")</f>
        <v/>
      </c>
      <c r="L38" s="42" t="str">
        <f>IF(AND('Mapa final'!$AB$102="Muy Alta",'Mapa final'!$AD$102="Leve"),CONCATENATE("R33C",'Mapa final'!$R$102),"")</f>
        <v/>
      </c>
      <c r="M38" s="105" t="str">
        <f>IF(AND('Mapa final'!$AB$100="Muy Alta",'Mapa final'!$AD$100="Menor"),CONCATENATE("R33C",'Mapa final'!$R$100),"")</f>
        <v/>
      </c>
      <c r="N38" s="42" t="str">
        <f>IF(AND('Mapa final'!$AB$101="Muy Alta",'Mapa final'!$AD$101="Menor"),CONCATENATE("R33C",'Mapa final'!$R$101),"")</f>
        <v/>
      </c>
      <c r="O38" s="42" t="str">
        <f>IF(AND('Mapa final'!$AB$102="Muy Alta",'Mapa final'!$AD$102="Menor"),CONCATENATE("R33C",'Mapa final'!$R$102),"")</f>
        <v/>
      </c>
      <c r="P38" s="105" t="str">
        <f>IF(AND('Mapa final'!$AB$100="Muy Alta",'Mapa final'!$AD$100="Moderado"),CONCATENATE("R33C",'Mapa final'!$R$100),"")</f>
        <v/>
      </c>
      <c r="Q38" s="42" t="str">
        <f>IF(AND('Mapa final'!$AB$101="Muy Alta",'Mapa final'!$AD$101="Moderado"),CONCATENATE("R33C",'Mapa final'!$R$101),"")</f>
        <v/>
      </c>
      <c r="R38" s="42" t="str">
        <f>IF(AND('Mapa final'!$AB$102="Muy Alta",'Mapa final'!$AD$102="Moderado"),CONCATENATE("R33C",'Mapa final'!$R$102),"")</f>
        <v/>
      </c>
      <c r="S38" s="105" t="str">
        <f>IF(AND('Mapa final'!$AB$100="Muy Alta",'Mapa final'!$AD$100="Mayor"),CONCATENATE("R33C",'Mapa final'!$R$100),"")</f>
        <v/>
      </c>
      <c r="T38" s="42" t="str">
        <f>IF(AND('Mapa final'!$AB$101="Muy Alta",'Mapa final'!$AD$101="Mayor"),CONCATENATE("R33C",'Mapa final'!$R$101),"")</f>
        <v/>
      </c>
      <c r="U38" s="106" t="str">
        <f>IF(AND('Mapa final'!$AB$102="Muy Alta",'Mapa final'!$AD$102="Mayor"),CONCATENATE("R33C",'Mapa final'!$R$102),"")</f>
        <v/>
      </c>
      <c r="V38" s="43" t="str">
        <f>IF(AND('Mapa final'!$AB$100="Muy Alta",'Mapa final'!$AD$100="Catastrófico"),CONCATENATE("R33C",'Mapa final'!$R$100),"")</f>
        <v/>
      </c>
      <c r="W38" s="44" t="str">
        <f>IF(AND('Mapa final'!$AB$101="Muy Alta",'Mapa final'!$AD$101="Catastrófico"),CONCATENATE("R33C",'Mapa final'!$R$101),"")</f>
        <v/>
      </c>
      <c r="X38" s="100" t="str">
        <f>IF(AND('Mapa final'!$AB$102="Muy Alta",'Mapa final'!$AD$102="Catastrófico"),CONCATENATE("R33C",'Mapa final'!$R$102),"")</f>
        <v/>
      </c>
      <c r="Y38" s="56"/>
      <c r="Z38" s="294"/>
      <c r="AA38" s="295"/>
      <c r="AB38" s="295"/>
      <c r="AC38" s="295"/>
      <c r="AD38" s="295"/>
      <c r="AE38" s="29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35">
      <c r="A39" s="56"/>
      <c r="B39" s="300"/>
      <c r="C39" s="300"/>
      <c r="D39" s="301"/>
      <c r="E39" s="289"/>
      <c r="F39" s="290"/>
      <c r="G39" s="290"/>
      <c r="H39" s="290"/>
      <c r="I39" s="288"/>
      <c r="J39" s="105" t="str">
        <f>IF(AND('Mapa final'!$AB$103="Muy Alta",'Mapa final'!$AD$103="Leve"),CONCATENATE("R34C",'Mapa final'!$R$103),"")</f>
        <v/>
      </c>
      <c r="K39" s="42" t="str">
        <f>IF(AND('Mapa final'!$AB$104="Muy Alta",'Mapa final'!$AD$104="Leve"),CONCATENATE("R34C",'Mapa final'!$R$104),"")</f>
        <v/>
      </c>
      <c r="L39" s="106" t="str">
        <f>IF(AND('Mapa final'!$AB$105="Muy Alta",'Mapa final'!$AD$105="Leve"),CONCATENATE("R34C",'Mapa final'!$R$105),"")</f>
        <v/>
      </c>
      <c r="M39" s="105" t="str">
        <f>IF(AND('Mapa final'!$AB$103="Muy Alta",'Mapa final'!$AD$103="Menor"),CONCATENATE("R34C",'Mapa final'!$R$103),"")</f>
        <v/>
      </c>
      <c r="N39" s="42" t="str">
        <f>IF(AND('Mapa final'!$AB$104="Muy Alta",'Mapa final'!$AD$104="Menor"),CONCATENATE("R34C",'Mapa final'!$R$104),"")</f>
        <v/>
      </c>
      <c r="O39" s="106" t="str">
        <f>IF(AND('Mapa final'!$AB$105="Muy Alta",'Mapa final'!$AD$105="Menor"),CONCATENATE("R34C",'Mapa final'!$R$105),"")</f>
        <v/>
      </c>
      <c r="P39" s="105" t="str">
        <f>IF(AND('Mapa final'!$AB$103="Muy Alta",'Mapa final'!$AD$103="Moderado"),CONCATENATE("R34C",'Mapa final'!$R$103),"")</f>
        <v/>
      </c>
      <c r="Q39" s="42" t="str">
        <f>IF(AND('Mapa final'!$AB$104="Muy Alta",'Mapa final'!$AD$104="Moderado"),CONCATENATE("R34C",'Mapa final'!$R$104),"")</f>
        <v/>
      </c>
      <c r="R39" s="106" t="str">
        <f>IF(AND('Mapa final'!$AB$105="Muy Alta",'Mapa final'!$AD$105="Moderado"),CONCATENATE("R34C",'Mapa final'!$R$105),"")</f>
        <v/>
      </c>
      <c r="S39" s="105" t="str">
        <f>IF(AND('Mapa final'!$AB$103="Muy Alta",'Mapa final'!$AD$103="Mayor"),CONCATENATE("R34C",'Mapa final'!$R$103),"")</f>
        <v/>
      </c>
      <c r="T39" s="42" t="str">
        <f>IF(AND('Mapa final'!$AB$104="Muy Alta",'Mapa final'!$AD$104="Mayor"),CONCATENATE("R34C",'Mapa final'!$R$104),"")</f>
        <v/>
      </c>
      <c r="U39" s="106" t="str">
        <f>IF(AND('Mapa final'!$AB$105="Muy Alta",'Mapa final'!$AD$105="Mayor"),CONCATENATE("R34C",'Mapa final'!$R$105),"")</f>
        <v/>
      </c>
      <c r="V39" s="43" t="str">
        <f>IF(AND('Mapa final'!$AB$103="Muy Alta",'Mapa final'!$AD$103="Catastrófico"),CONCATENATE("R34C",'Mapa final'!$R$103),"")</f>
        <v/>
      </c>
      <c r="W39" s="44" t="str">
        <f>IF(AND('Mapa final'!$AB$104="Muy Alta",'Mapa final'!$AD$104="Catastrófico"),CONCATENATE("R34C",'Mapa final'!$R$104),"")</f>
        <v/>
      </c>
      <c r="X39" s="100" t="str">
        <f>IF(AND('Mapa final'!$AB$105="Muy Alta",'Mapa final'!$AD$105="Catastrófico"),CONCATENATE("R34C",'Mapa final'!$R$105),"")</f>
        <v/>
      </c>
      <c r="Y39" s="56"/>
      <c r="Z39" s="294"/>
      <c r="AA39" s="295"/>
      <c r="AB39" s="295"/>
      <c r="AC39" s="295"/>
      <c r="AD39" s="295"/>
      <c r="AE39" s="29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35">
      <c r="A40" s="56"/>
      <c r="B40" s="300"/>
      <c r="C40" s="300"/>
      <c r="D40" s="301"/>
      <c r="E40" s="289"/>
      <c r="F40" s="290"/>
      <c r="G40" s="290"/>
      <c r="H40" s="290"/>
      <c r="I40" s="288"/>
      <c r="J40" s="105" t="str">
        <f>IF(AND('Mapa final'!$AB$106="Muy Alta",'Mapa final'!$AD$106="Leve"),CONCATENATE("R35C",'Mapa final'!$R$106),"")</f>
        <v/>
      </c>
      <c r="K40" s="42" t="str">
        <f>IF(AND('Mapa final'!$AB$107="Muy Alta",'Mapa final'!$AD$107="Leve"),CONCATENATE("R35C",'Mapa final'!$R$107),"")</f>
        <v/>
      </c>
      <c r="L40" s="106" t="str">
        <f>IF(AND('Mapa final'!$AB$108="Muy Alta",'Mapa final'!$AD$108="Leve"),CONCATENATE("R35C",'Mapa final'!$R$108),"")</f>
        <v/>
      </c>
      <c r="M40" s="105" t="str">
        <f>IF(AND('Mapa final'!$AB$106="Muy Alta",'Mapa final'!$AD$106="Menor"),CONCATENATE("R35C",'Mapa final'!$R$106),"")</f>
        <v/>
      </c>
      <c r="N40" s="42" t="str">
        <f>IF(AND('Mapa final'!$AB$107="Muy Alta",'Mapa final'!$AD$107="Menor"),CONCATENATE("R35C",'Mapa final'!$R$107),"")</f>
        <v/>
      </c>
      <c r="O40" s="106" t="str">
        <f>IF(AND('Mapa final'!$AB$108="Muy Alta",'Mapa final'!$AD$108="Menor"),CONCATENATE("R35C",'Mapa final'!$R$108),"")</f>
        <v/>
      </c>
      <c r="P40" s="105" t="str">
        <f>IF(AND('Mapa final'!$AB$106="Muy Alta",'Mapa final'!$AD$106="Moderado"),CONCATENATE("R35C",'Mapa final'!$R$106),"")</f>
        <v/>
      </c>
      <c r="Q40" s="42" t="str">
        <f>IF(AND('Mapa final'!$AB$107="Muy Alta",'Mapa final'!$AD$107="Moderado"),CONCATENATE("R35C",'Mapa final'!$R$107),"")</f>
        <v/>
      </c>
      <c r="R40" s="106" t="str">
        <f>IF(AND('Mapa final'!$AB$108="Muy Alta",'Mapa final'!$AD$108="Moderado"),CONCATENATE("R35C",'Mapa final'!$R$108),"")</f>
        <v/>
      </c>
      <c r="S40" s="105" t="str">
        <f>IF(AND('Mapa final'!$AB$106="Muy Alta",'Mapa final'!$AD$106="Mayor"),CONCATENATE("R35C",'Mapa final'!$R$106),"")</f>
        <v/>
      </c>
      <c r="T40" s="42" t="str">
        <f>IF(AND('Mapa final'!$AB$107="Muy Alta",'Mapa final'!$AD$107="Mayor"),CONCATENATE("R35C",'Mapa final'!$R$107),"")</f>
        <v/>
      </c>
      <c r="U40" s="106" t="str">
        <f>IF(AND('Mapa final'!$AB$108="Muy Alta",'Mapa final'!$AD$108="Mayor"),CONCATENATE("R35C",'Mapa final'!$R$108),"")</f>
        <v/>
      </c>
      <c r="V40" s="43" t="str">
        <f>IF(AND('Mapa final'!$AB$106="Muy Alta",'Mapa final'!$AD$106="Catastrófico"),CONCATENATE("R35C",'Mapa final'!$R$106),"")</f>
        <v/>
      </c>
      <c r="W40" s="44" t="str">
        <f>IF(AND('Mapa final'!$AB$107="Muy Alta",'Mapa final'!$AD$107="Catastrófico"),CONCATENATE("R35C",'Mapa final'!$R$107),"")</f>
        <v/>
      </c>
      <c r="X40" s="100" t="str">
        <f>IF(AND('Mapa final'!$AB$108="Muy Alta",'Mapa final'!$AD$108="Catastrófico"),CONCATENATE("R35C",'Mapa final'!$R$108),"")</f>
        <v/>
      </c>
      <c r="Y40" s="56"/>
      <c r="Z40" s="294"/>
      <c r="AA40" s="295"/>
      <c r="AB40" s="295"/>
      <c r="AC40" s="295"/>
      <c r="AD40" s="295"/>
      <c r="AE40" s="29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35">
      <c r="A41" s="56"/>
      <c r="B41" s="300"/>
      <c r="C41" s="300"/>
      <c r="D41" s="301"/>
      <c r="E41" s="289"/>
      <c r="F41" s="290"/>
      <c r="G41" s="290"/>
      <c r="H41" s="290"/>
      <c r="I41" s="288"/>
      <c r="J41" s="105" t="str">
        <f>IF(AND('Mapa final'!$AB$109="Muy Alta",'Mapa final'!$AD$109="Leve"),CONCATENATE("R36C",'Mapa final'!$R$109),"")</f>
        <v/>
      </c>
      <c r="K41" s="42" t="str">
        <f>IF(AND('Mapa final'!$AB$110="Muy Alta",'Mapa final'!$AD$110="Leve"),CONCATENATE("R36C",'Mapa final'!$R$110),"")</f>
        <v/>
      </c>
      <c r="L41" s="106" t="str">
        <f>IF(AND('Mapa final'!$AB$111="Muy Alta",'Mapa final'!$AD$111="Leve"),CONCATENATE("R36C",'Mapa final'!$R$111),"")</f>
        <v/>
      </c>
      <c r="M41" s="105" t="str">
        <f>IF(AND('Mapa final'!$AB$109="Muy Alta",'Mapa final'!$AD$109="Menor"),CONCATENATE("R36C",'Mapa final'!$R$109),"")</f>
        <v/>
      </c>
      <c r="N41" s="42" t="str">
        <f>IF(AND('Mapa final'!$AB$110="Muy Alta",'Mapa final'!$AD$110="Menor"),CONCATENATE("R36C",'Mapa final'!$R$110),"")</f>
        <v/>
      </c>
      <c r="O41" s="106" t="str">
        <f>IF(AND('Mapa final'!$AB$111="Muy Alta",'Mapa final'!$AD$111="Menor"),CONCATENATE("R36C",'Mapa final'!$R$111),"")</f>
        <v/>
      </c>
      <c r="P41" s="105" t="str">
        <f>IF(AND('Mapa final'!$AB$109="Muy Alta",'Mapa final'!$AD$109="Moderado"),CONCATENATE("R36C",'Mapa final'!$R$109),"")</f>
        <v/>
      </c>
      <c r="Q41" s="42" t="str">
        <f>IF(AND('Mapa final'!$AB$110="Muy Alta",'Mapa final'!$AD$110="Moderado"),CONCATENATE("R36C",'Mapa final'!$R$110),"")</f>
        <v/>
      </c>
      <c r="R41" s="106" t="str">
        <f>IF(AND('Mapa final'!$AB$111="Muy Alta",'Mapa final'!$AD$111="Moderado"),CONCATENATE("R36C",'Mapa final'!$R$111),"")</f>
        <v/>
      </c>
      <c r="S41" s="105" t="str">
        <f>IF(AND('Mapa final'!$AB$109="Muy Alta",'Mapa final'!$AD$109="Mayor"),CONCATENATE("R36C",'Mapa final'!$R$109),"")</f>
        <v/>
      </c>
      <c r="T41" s="42" t="str">
        <f>IF(AND('Mapa final'!$AB$110="Muy Alta",'Mapa final'!$AD$110="Mayor"),CONCATENATE("R36C",'Mapa final'!$R$110),"")</f>
        <v/>
      </c>
      <c r="U41" s="106" t="str">
        <f>IF(AND('Mapa final'!$AB$111="Muy Alta",'Mapa final'!$AD$111="Mayor"),CONCATENATE("R36C",'Mapa final'!$R$111),"")</f>
        <v/>
      </c>
      <c r="V41" s="43" t="str">
        <f>IF(AND('Mapa final'!$AB$109="Muy Alta",'Mapa final'!$AD$109="Catastrófico"),CONCATENATE("R36C",'Mapa final'!$R$109),"")</f>
        <v/>
      </c>
      <c r="W41" s="44" t="str">
        <f>IF(AND('Mapa final'!$AB$110="Muy Alta",'Mapa final'!$AD$110="Catastrófico"),CONCATENATE("R36C",'Mapa final'!$R$110),"")</f>
        <v/>
      </c>
      <c r="X41" s="100" t="str">
        <f>IF(AND('Mapa final'!$AB$111="Muy Alta",'Mapa final'!$AD$111="Catastrófico"),CONCATENATE("R36C",'Mapa final'!$R$111),"")</f>
        <v/>
      </c>
      <c r="Y41" s="56"/>
      <c r="Z41" s="294"/>
      <c r="AA41" s="295"/>
      <c r="AB41" s="295"/>
      <c r="AC41" s="295"/>
      <c r="AD41" s="295"/>
      <c r="AE41" s="29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35">
      <c r="A42" s="56"/>
      <c r="B42" s="300"/>
      <c r="C42" s="300"/>
      <c r="D42" s="301"/>
      <c r="E42" s="289"/>
      <c r="F42" s="290"/>
      <c r="G42" s="290"/>
      <c r="H42" s="290"/>
      <c r="I42" s="288"/>
      <c r="J42" s="105" t="str">
        <f>IF(AND('Mapa final'!$AB$112="Muy Alta",'Mapa final'!$AD$112="Leve"),CONCATENATE("R37C",'Mapa final'!$R$112),"")</f>
        <v/>
      </c>
      <c r="K42" s="42" t="str">
        <f>IF(AND('Mapa final'!$AB$113="Muy Alta",'Mapa final'!$AD$113="Leve"),CONCATENATE("R37C",'Mapa final'!$R$113),"")</f>
        <v/>
      </c>
      <c r="L42" s="106" t="str">
        <f>IF(AND('Mapa final'!$AB$114="Muy Alta",'Mapa final'!$AD$114="Leve"),CONCATENATE("R37C",'Mapa final'!$R$114),"")</f>
        <v/>
      </c>
      <c r="M42" s="105" t="str">
        <f>IF(AND('Mapa final'!$AB$112="Muy Alta",'Mapa final'!$AD$112="Menor"),CONCATENATE("R37C",'Mapa final'!$R$112),"")</f>
        <v/>
      </c>
      <c r="N42" s="42" t="str">
        <f>IF(AND('Mapa final'!$AB$113="Muy Alta",'Mapa final'!$AD$113="Menor"),CONCATENATE("R37C",'Mapa final'!$R$113),"")</f>
        <v/>
      </c>
      <c r="O42" s="106" t="str">
        <f>IF(AND('Mapa final'!$AB$114="Muy Alta",'Mapa final'!$AD$114="Menor"),CONCATENATE("R37C",'Mapa final'!$R$114),"")</f>
        <v/>
      </c>
      <c r="P42" s="105" t="str">
        <f>IF(AND('Mapa final'!$AB$112="Muy Alta",'Mapa final'!$AD$112="Moderado"),CONCATENATE("R37C",'Mapa final'!$R$112),"")</f>
        <v/>
      </c>
      <c r="Q42" s="42" t="str">
        <f>IF(AND('Mapa final'!$AB$113="Muy Alta",'Mapa final'!$AD$113="Moderado"),CONCATENATE("R37C",'Mapa final'!$R$113),"")</f>
        <v/>
      </c>
      <c r="R42" s="106" t="str">
        <f>IF(AND('Mapa final'!$AB$114="Muy Alta",'Mapa final'!$AD$114="Moderado"),CONCATENATE("R37C",'Mapa final'!$R$114),"")</f>
        <v/>
      </c>
      <c r="S42" s="105" t="str">
        <f>IF(AND('Mapa final'!$AB$112="Muy Alta",'Mapa final'!$AD$112="Mayor"),CONCATENATE("R37C",'Mapa final'!$R$112),"")</f>
        <v/>
      </c>
      <c r="T42" s="42" t="str">
        <f>IF(AND('Mapa final'!$AB$113="Muy Alta",'Mapa final'!$AD$113="Mayor"),CONCATENATE("R37C",'Mapa final'!$R$113),"")</f>
        <v/>
      </c>
      <c r="U42" s="106" t="str">
        <f>IF(AND('Mapa final'!$AB$114="Muy Alta",'Mapa final'!$AD$114="Mayor"),CONCATENATE("R37C",'Mapa final'!$R$114),"")</f>
        <v/>
      </c>
      <c r="V42" s="43" t="str">
        <f>IF(AND('Mapa final'!$AB$112="Muy Alta",'Mapa final'!$AD$112="Catastrófico"),CONCATENATE("R37C",'Mapa final'!$R$112),"")</f>
        <v/>
      </c>
      <c r="W42" s="44" t="str">
        <f>IF(AND('Mapa final'!$AB$113="Muy Alta",'Mapa final'!$AD$113="Catastrófico"),CONCATENATE("R37C",'Mapa final'!$R$113),"")</f>
        <v/>
      </c>
      <c r="X42" s="100" t="str">
        <f>IF(AND('Mapa final'!$AB$114="Muy Alta",'Mapa final'!$AD$114="Catastrófico"),CONCATENATE("R37C",'Mapa final'!$R$114),"")</f>
        <v/>
      </c>
      <c r="Y42" s="56"/>
      <c r="Z42" s="294"/>
      <c r="AA42" s="295"/>
      <c r="AB42" s="295"/>
      <c r="AC42" s="295"/>
      <c r="AD42" s="295"/>
      <c r="AE42" s="29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35">
      <c r="A43" s="56"/>
      <c r="B43" s="300"/>
      <c r="C43" s="300"/>
      <c r="D43" s="301"/>
      <c r="E43" s="289"/>
      <c r="F43" s="290"/>
      <c r="G43" s="290"/>
      <c r="H43" s="290"/>
      <c r="I43" s="288"/>
      <c r="J43" s="105" t="str">
        <f>IF(AND('Mapa final'!$AB$115="Muy Alta",'Mapa final'!$AD$115="Leve"),CONCATENATE("R38C",'Mapa final'!$R$115),"")</f>
        <v/>
      </c>
      <c r="K43" s="42" t="str">
        <f>IF(AND('Mapa final'!$AB$116="Muy Alta",'Mapa final'!$AD$116="Leve"),CONCATENATE("R38C",'Mapa final'!$R$116),"")</f>
        <v/>
      </c>
      <c r="L43" s="106" t="str">
        <f>IF(AND('Mapa final'!$AB$117="Muy Alta",'Mapa final'!$AD$117="Leve"),CONCATENATE("R38C",'Mapa final'!$R$117),"")</f>
        <v/>
      </c>
      <c r="M43" s="105" t="str">
        <f>IF(AND('Mapa final'!$AB$115="Muy Alta",'Mapa final'!$AD$115="Menor"),CONCATENATE("R38C",'Mapa final'!$R$115),"")</f>
        <v/>
      </c>
      <c r="N43" s="42" t="str">
        <f>IF(AND('Mapa final'!$AB$116="Muy Alta",'Mapa final'!$AD$116="Menor"),CONCATENATE("R38C",'Mapa final'!$R$116),"")</f>
        <v/>
      </c>
      <c r="O43" s="106" t="str">
        <f>IF(AND('Mapa final'!$AB$117="Muy Alta",'Mapa final'!$AD$117="Menor"),CONCATENATE("R38C",'Mapa final'!$R$117),"")</f>
        <v/>
      </c>
      <c r="P43" s="105" t="str">
        <f>IF(AND('Mapa final'!$AB$115="Muy Alta",'Mapa final'!$AD$115="Moderado"),CONCATENATE("R38C",'Mapa final'!$R$115),"")</f>
        <v/>
      </c>
      <c r="Q43" s="42" t="str">
        <f>IF(AND('Mapa final'!$AB$116="Muy Alta",'Mapa final'!$AD$116="Moderado"),CONCATENATE("R38C",'Mapa final'!$R$116),"")</f>
        <v/>
      </c>
      <c r="R43" s="106" t="str">
        <f>IF(AND('Mapa final'!$AB$117="Muy Alta",'Mapa final'!$AD$117="Moderado"),CONCATENATE("R38C",'Mapa final'!$R$117),"")</f>
        <v/>
      </c>
      <c r="S43" s="105" t="str">
        <f>IF(AND('Mapa final'!$AB$115="Muy Alta",'Mapa final'!$AD$115="Mayor"),CONCATENATE("R38C",'Mapa final'!$R$115),"")</f>
        <v/>
      </c>
      <c r="T43" s="42" t="str">
        <f>IF(AND('Mapa final'!$AB$116="Muy Alta",'Mapa final'!$AD$116="Mayor"),CONCATENATE("R38C",'Mapa final'!$R$116),"")</f>
        <v/>
      </c>
      <c r="U43" s="106" t="str">
        <f>IF(AND('Mapa final'!$AB$117="Muy Alta",'Mapa final'!$AD$117="Mayor"),CONCATENATE("R38C",'Mapa final'!$R$117),"")</f>
        <v/>
      </c>
      <c r="V43" s="43" t="str">
        <f>IF(AND('Mapa final'!$AB$115="Muy Alta",'Mapa final'!$AD$115="Catastrófico"),CONCATENATE("R38C",'Mapa final'!$R$115),"")</f>
        <v/>
      </c>
      <c r="W43" s="44" t="str">
        <f>IF(AND('Mapa final'!$AB$116="Muy Alta",'Mapa final'!$AD$116="Catastrófico"),CONCATENATE("R38C",'Mapa final'!$R$116),"")</f>
        <v/>
      </c>
      <c r="X43" s="100" t="str">
        <f>IF(AND('Mapa final'!$AB$117="Muy Alta",'Mapa final'!$AD$117="Catastrófico"),CONCATENATE("R38C",'Mapa final'!$R$117),"")</f>
        <v/>
      </c>
      <c r="Y43" s="56"/>
      <c r="Z43" s="294"/>
      <c r="AA43" s="295"/>
      <c r="AB43" s="295"/>
      <c r="AC43" s="295"/>
      <c r="AD43" s="295"/>
      <c r="AE43" s="29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35">
      <c r="A44" s="56"/>
      <c r="B44" s="300"/>
      <c r="C44" s="300"/>
      <c r="D44" s="301"/>
      <c r="E44" s="289"/>
      <c r="F44" s="290"/>
      <c r="G44" s="290"/>
      <c r="H44" s="290"/>
      <c r="I44" s="288"/>
      <c r="J44" s="105" t="str">
        <f>IF(AND('Mapa final'!$AB$118="Muy Alta",'Mapa final'!$AD$118="Leve"),CONCATENATE("R39C",'Mapa final'!$R$118),"")</f>
        <v/>
      </c>
      <c r="K44" s="42" t="str">
        <f>IF(AND('Mapa final'!$AB$119="Muy Alta",'Mapa final'!$AD$119="Leve"),CONCATENATE("R39C",'Mapa final'!$R$119),"")</f>
        <v/>
      </c>
      <c r="L44" s="106" t="str">
        <f>IF(AND('Mapa final'!$AB$120="Muy Alta",'Mapa final'!$AD$120="Leve"),CONCATENATE("R39C",'Mapa final'!$R$120),"")</f>
        <v/>
      </c>
      <c r="M44" s="105" t="str">
        <f>IF(AND('Mapa final'!$AB$118="Muy Alta",'Mapa final'!$AD$118="Menor"),CONCATENATE("R39C",'Mapa final'!$R$118),"")</f>
        <v/>
      </c>
      <c r="N44" s="42" t="str">
        <f>IF(AND('Mapa final'!$AB$119="Muy Alta",'Mapa final'!$AD$119="Menor"),CONCATENATE("R39C",'Mapa final'!$R$119),"")</f>
        <v/>
      </c>
      <c r="O44" s="106" t="str">
        <f>IF(AND('Mapa final'!$AB$120="Muy Alta",'Mapa final'!$AD$120="Menor"),CONCATENATE("R39C",'Mapa final'!$R$120),"")</f>
        <v/>
      </c>
      <c r="P44" s="105" t="str">
        <f>IF(AND('Mapa final'!$AB$118="Muy Alta",'Mapa final'!$AD$118="Moderado"),CONCATENATE("R39C",'Mapa final'!$R$118),"")</f>
        <v/>
      </c>
      <c r="Q44" s="42" t="str">
        <f>IF(AND('Mapa final'!$AB$119="Muy Alta",'Mapa final'!$AD$119="Moderado"),CONCATENATE("R39C",'Mapa final'!$R$119),"")</f>
        <v/>
      </c>
      <c r="R44" s="106" t="str">
        <f>IF(AND('Mapa final'!$AB$120="Muy Alta",'Mapa final'!$AD$120="Moderado"),CONCATENATE("R39C",'Mapa final'!$R$120),"")</f>
        <v/>
      </c>
      <c r="S44" s="105" t="str">
        <f>IF(AND('Mapa final'!$AB$118="Muy Alta",'Mapa final'!$AD$118="Mayor"),CONCATENATE("R39C",'Mapa final'!$R$118),"")</f>
        <v/>
      </c>
      <c r="T44" s="42" t="str">
        <f>IF(AND('Mapa final'!$AB$119="Muy Alta",'Mapa final'!$AD$119="Mayor"),CONCATENATE("R39C",'Mapa final'!$R$119),"")</f>
        <v/>
      </c>
      <c r="U44" s="106" t="str">
        <f>IF(AND('Mapa final'!$AB$120="Muy Alta",'Mapa final'!$AD$120="Mayor"),CONCATENATE("R39C",'Mapa final'!$R$120),"")</f>
        <v/>
      </c>
      <c r="V44" s="43" t="str">
        <f>IF(AND('Mapa final'!$AB$118="Muy Alta",'Mapa final'!$AD$118="Catastrófico"),CONCATENATE("R39C",'Mapa final'!$R$118),"")</f>
        <v/>
      </c>
      <c r="W44" s="44" t="str">
        <f>IF(AND('Mapa final'!$AB$119="Muy Alta",'Mapa final'!$AD$119="Catastrófico"),CONCATENATE("R39C",'Mapa final'!$R$119),"")</f>
        <v/>
      </c>
      <c r="X44" s="100" t="str">
        <f>IF(AND('Mapa final'!$AB$120="Muy Alta",'Mapa final'!$AD$120="Catastrófico"),CONCATENATE("R39C",'Mapa final'!$R$120),"")</f>
        <v/>
      </c>
      <c r="Y44" s="56"/>
      <c r="Z44" s="294"/>
      <c r="AA44" s="295"/>
      <c r="AB44" s="295"/>
      <c r="AC44" s="295"/>
      <c r="AD44" s="295"/>
      <c r="AE44" s="29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35">
      <c r="A45" s="56"/>
      <c r="B45" s="300"/>
      <c r="C45" s="300"/>
      <c r="D45" s="301"/>
      <c r="E45" s="289"/>
      <c r="F45" s="290"/>
      <c r="G45" s="290"/>
      <c r="H45" s="290"/>
      <c r="I45" s="288"/>
      <c r="J45" s="105" t="str">
        <f>IF(AND('Mapa final'!$AB$121="Muy Alta",'Mapa final'!$AD$121="Leve"),CONCATENATE("R40C",'Mapa final'!$R$121),"")</f>
        <v/>
      </c>
      <c r="K45" s="42" t="str">
        <f>IF(AND('Mapa final'!$AB$122="Muy Alta",'Mapa final'!$AD$122="Leve"),CONCATENATE("R40C",'Mapa final'!$R$122),"")</f>
        <v/>
      </c>
      <c r="L45" s="106" t="str">
        <f>IF(AND('Mapa final'!$AB$123="Muy Alta",'Mapa final'!$AD$123="Leve"),CONCATENATE("R40C",'Mapa final'!$R$123),"")</f>
        <v/>
      </c>
      <c r="M45" s="105" t="str">
        <f>IF(AND('Mapa final'!$AB$121="Muy Alta",'Mapa final'!$AD$121="Menor"),CONCATENATE("R40C",'Mapa final'!$R$121),"")</f>
        <v/>
      </c>
      <c r="N45" s="42" t="str">
        <f>IF(AND('Mapa final'!$AB$122="Muy Alta",'Mapa final'!$AD$122="Menor"),CONCATENATE("R40C",'Mapa final'!$R$122),"")</f>
        <v/>
      </c>
      <c r="O45" s="106" t="str">
        <f>IF(AND('Mapa final'!$AB$123="Muy Alta",'Mapa final'!$AD$123="Menor"),CONCATENATE("R40C",'Mapa final'!$R$123),"")</f>
        <v/>
      </c>
      <c r="P45" s="105" t="str">
        <f>IF(AND('Mapa final'!$AB$121="Muy Alta",'Mapa final'!$AD$121="Moderado"),CONCATENATE("R40C",'Mapa final'!$R$121),"")</f>
        <v/>
      </c>
      <c r="Q45" s="42" t="str">
        <f>IF(AND('Mapa final'!$AB$122="Muy Alta",'Mapa final'!$AD$122="Moderado"),CONCATENATE("R40C",'Mapa final'!$R$122),"")</f>
        <v/>
      </c>
      <c r="R45" s="106" t="str">
        <f>IF(AND('Mapa final'!$AB$123="Muy Alta",'Mapa final'!$AD$123="Moderado"),CONCATENATE("R40C",'Mapa final'!$R$123),"")</f>
        <v/>
      </c>
      <c r="S45" s="105" t="str">
        <f>IF(AND('Mapa final'!$AB$121="Muy Alta",'Mapa final'!$AD$121="Mayor"),CONCATENATE("R40C",'Mapa final'!$R$121),"")</f>
        <v/>
      </c>
      <c r="T45" s="42" t="str">
        <f>IF(AND('Mapa final'!$AB$122="Muy Alta",'Mapa final'!$AD$122="Mayor"),CONCATENATE("R40C",'Mapa final'!$R$122),"")</f>
        <v/>
      </c>
      <c r="U45" s="106" t="str">
        <f>IF(AND('Mapa final'!$AB$123="Muy Alta",'Mapa final'!$AD$123="Mayor"),CONCATENATE("R40C",'Mapa final'!$R$123),"")</f>
        <v/>
      </c>
      <c r="V45" s="43" t="str">
        <f>IF(AND('Mapa final'!$AB$121="Muy Alta",'Mapa final'!$AD$121="Catastrófico"),CONCATENATE("R40C",'Mapa final'!$R$121),"")</f>
        <v/>
      </c>
      <c r="W45" s="44" t="str">
        <f>IF(AND('Mapa final'!$AB$122="Muy Alta",'Mapa final'!$AD$122="Catastrófico"),CONCATENATE("R40C",'Mapa final'!$R$122),"")</f>
        <v/>
      </c>
      <c r="X45" s="100" t="str">
        <f>IF(AND('Mapa final'!$AB$123="Muy Alta",'Mapa final'!$AD$123="Catastrófico"),CONCATENATE("R40C",'Mapa final'!$R$123),"")</f>
        <v/>
      </c>
      <c r="Y45" s="56"/>
      <c r="Z45" s="294"/>
      <c r="AA45" s="295"/>
      <c r="AB45" s="295"/>
      <c r="AC45" s="295"/>
      <c r="AD45" s="295"/>
      <c r="AE45" s="29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35">
      <c r="A46" s="56"/>
      <c r="B46" s="300"/>
      <c r="C46" s="300"/>
      <c r="D46" s="301"/>
      <c r="E46" s="289"/>
      <c r="F46" s="290"/>
      <c r="G46" s="290"/>
      <c r="H46" s="290"/>
      <c r="I46" s="288"/>
      <c r="J46" s="105" t="str">
        <f>IF(AND('Mapa final'!$AB$124="Muy Alta",'Mapa final'!$AD$124="Leve"),CONCATENATE("R41C",'Mapa final'!$R$124),"")</f>
        <v/>
      </c>
      <c r="K46" s="42" t="str">
        <f>IF(AND('Mapa final'!$AB$125="Muy Alta",'Mapa final'!$AD$125="Leve"),CONCATENATE("R41C",'Mapa final'!$R$125),"")</f>
        <v/>
      </c>
      <c r="L46" s="106" t="str">
        <f>IF(AND('Mapa final'!$AB$126="Muy Alta",'Mapa final'!$AD$126="Leve"),CONCATENATE("R41C",'Mapa final'!$R$126),"")</f>
        <v/>
      </c>
      <c r="M46" s="105" t="str">
        <f>IF(AND('Mapa final'!$AB$124="Muy Alta",'Mapa final'!$AD$124="Menor"),CONCATENATE("R41C",'Mapa final'!$R$124),"")</f>
        <v/>
      </c>
      <c r="N46" s="42" t="str">
        <f>IF(AND('Mapa final'!$AB$125="Muy Alta",'Mapa final'!$AD$125="Menor"),CONCATENATE("R41C",'Mapa final'!$R$125),"")</f>
        <v/>
      </c>
      <c r="O46" s="106" t="str">
        <f>IF(AND('Mapa final'!$AB$126="Muy Alta",'Mapa final'!$AD$126="Menor"),CONCATENATE("R41C",'Mapa final'!$R$126),"")</f>
        <v/>
      </c>
      <c r="P46" s="105" t="str">
        <f>IF(AND('Mapa final'!$AB$124="Muy Alta",'Mapa final'!$AD$124="Moderado"),CONCATENATE("R41C",'Mapa final'!$R$124),"")</f>
        <v/>
      </c>
      <c r="Q46" s="42" t="str">
        <f>IF(AND('Mapa final'!$AB$125="Muy Alta",'Mapa final'!$AD$125="Moderado"),CONCATENATE("R41C",'Mapa final'!$R$125),"")</f>
        <v/>
      </c>
      <c r="R46" s="106" t="str">
        <f>IF(AND('Mapa final'!$AB$126="Muy Alta",'Mapa final'!$AD$126="Moderado"),CONCATENATE("R41C",'Mapa final'!$R$126),"")</f>
        <v/>
      </c>
      <c r="S46" s="105" t="str">
        <f>IF(AND('Mapa final'!$AB$124="Muy Alta",'Mapa final'!$AD$124="Mayor"),CONCATENATE("R41C",'Mapa final'!$R$124),"")</f>
        <v/>
      </c>
      <c r="T46" s="42" t="str">
        <f>IF(AND('Mapa final'!$AB$125="Muy Alta",'Mapa final'!$AD$125="Mayor"),CONCATENATE("R41C",'Mapa final'!$R$125),"")</f>
        <v/>
      </c>
      <c r="U46" s="106" t="str">
        <f>IF(AND('Mapa final'!$AB$126="Muy Alta",'Mapa final'!$AD$126="Mayor"),CONCATENATE("R41C",'Mapa final'!$R$126),"")</f>
        <v/>
      </c>
      <c r="V46" s="43" t="str">
        <f>IF(AND('Mapa final'!$AB$124="Muy Alta",'Mapa final'!$AD$124="Catastrófico"),CONCATENATE("R41C",'Mapa final'!$R$124),"")</f>
        <v/>
      </c>
      <c r="W46" s="44" t="str">
        <f>IF(AND('Mapa final'!$AB$125="Muy Alta",'Mapa final'!$AD$125="Catastrófico"),CONCATENATE("R41C",'Mapa final'!$R$125),"")</f>
        <v/>
      </c>
      <c r="X46" s="100" t="str">
        <f>IF(AND('Mapa final'!$AB$126="Muy Alta",'Mapa final'!$AD$126="Catastrófico"),CONCATENATE("R41C",'Mapa final'!$R$126),"")</f>
        <v/>
      </c>
      <c r="Y46" s="56"/>
      <c r="Z46" s="294"/>
      <c r="AA46" s="295"/>
      <c r="AB46" s="295"/>
      <c r="AC46" s="295"/>
      <c r="AD46" s="295"/>
      <c r="AE46" s="29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35">
      <c r="A47" s="56"/>
      <c r="B47" s="300"/>
      <c r="C47" s="300"/>
      <c r="D47" s="301"/>
      <c r="E47" s="289"/>
      <c r="F47" s="290"/>
      <c r="G47" s="290"/>
      <c r="H47" s="290"/>
      <c r="I47" s="288"/>
      <c r="J47" s="105" t="str">
        <f>IF(AND('Mapa final'!$AB$127="Muy Alta",'Mapa final'!$AD$127="Leve"),CONCATENATE("R42C",'Mapa final'!$R$127),"")</f>
        <v/>
      </c>
      <c r="K47" s="42" t="str">
        <f>IF(AND('Mapa final'!$AB$128="Muy Alta",'Mapa final'!$AD$128="Leve"),CONCATENATE("R42C",'Mapa final'!$R$128),"")</f>
        <v/>
      </c>
      <c r="L47" s="106" t="str">
        <f>IF(AND('Mapa final'!$AB$129="Muy Alta",'Mapa final'!$AD$129="Leve"),CONCATENATE("R42C",'Mapa final'!$R$129),"")</f>
        <v/>
      </c>
      <c r="M47" s="105" t="str">
        <f>IF(AND('Mapa final'!$AB$127="Muy Alta",'Mapa final'!$AD$127="Menor"),CONCATENATE("R42C",'Mapa final'!$R$127),"")</f>
        <v/>
      </c>
      <c r="N47" s="42" t="str">
        <f>IF(AND('Mapa final'!$AB$128="Muy Alta",'Mapa final'!$AD$128="Menor"),CONCATENATE("R42C",'Mapa final'!$R$128),"")</f>
        <v/>
      </c>
      <c r="O47" s="106" t="str">
        <f>IF(AND('Mapa final'!$AB$129="Muy Alta",'Mapa final'!$AD$129="Menor"),CONCATENATE("R42C",'Mapa final'!$R$129),"")</f>
        <v/>
      </c>
      <c r="P47" s="105" t="str">
        <f>IF(AND('Mapa final'!$AB$127="Muy Alta",'Mapa final'!$AD$127="Moderado"),CONCATENATE("R42C",'Mapa final'!$R$127),"")</f>
        <v/>
      </c>
      <c r="Q47" s="42" t="str">
        <f>IF(AND('Mapa final'!$AB$128="Muy Alta",'Mapa final'!$AD$128="Moderado"),CONCATENATE("R42C",'Mapa final'!$R$128),"")</f>
        <v/>
      </c>
      <c r="R47" s="106" t="str">
        <f>IF(AND('Mapa final'!$AB$129="Muy Alta",'Mapa final'!$AD$129="Moderado"),CONCATENATE("R42C",'Mapa final'!$R$129),"")</f>
        <v/>
      </c>
      <c r="S47" s="105" t="str">
        <f>IF(AND('Mapa final'!$AB$127="Muy Alta",'Mapa final'!$AD$127="Mayor"),CONCATENATE("R42C",'Mapa final'!$R$127),"")</f>
        <v/>
      </c>
      <c r="T47" s="42" t="str">
        <f>IF(AND('Mapa final'!$AB$128="Muy Alta",'Mapa final'!$AD$128="Mayor"),CONCATENATE("R42C",'Mapa final'!$R$128),"")</f>
        <v/>
      </c>
      <c r="U47" s="106" t="str">
        <f>IF(AND('Mapa final'!$AB$129="Muy Alta",'Mapa final'!$AD$129="Mayor"),CONCATENATE("R42C",'Mapa final'!$R$129),"")</f>
        <v/>
      </c>
      <c r="V47" s="43" t="str">
        <f>IF(AND('Mapa final'!$AB$127="Muy Alta",'Mapa final'!$AD$127="Catastrófico"),CONCATENATE("R42C",'Mapa final'!$R$127),"")</f>
        <v/>
      </c>
      <c r="W47" s="44" t="str">
        <f>IF(AND('Mapa final'!$AB$128="Muy Alta",'Mapa final'!$AD$128="Catastrófico"),CONCATENATE("R42C",'Mapa final'!$R$128),"")</f>
        <v/>
      </c>
      <c r="X47" s="100" t="str">
        <f>IF(AND('Mapa final'!$AB$129="Muy Alta",'Mapa final'!$AD$129="Catastrófico"),CONCATENATE("R42C",'Mapa final'!$R$129),"")</f>
        <v/>
      </c>
      <c r="Y47" s="56"/>
      <c r="Z47" s="294"/>
      <c r="AA47" s="295"/>
      <c r="AB47" s="295"/>
      <c r="AC47" s="295"/>
      <c r="AD47" s="295"/>
      <c r="AE47" s="29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35">
      <c r="A48" s="56"/>
      <c r="B48" s="300"/>
      <c r="C48" s="300"/>
      <c r="D48" s="301"/>
      <c r="E48" s="289"/>
      <c r="F48" s="290"/>
      <c r="G48" s="290"/>
      <c r="H48" s="290"/>
      <c r="I48" s="288"/>
      <c r="J48" s="105" t="str">
        <f>IF(AND('Mapa final'!$AB$130="Muy Alta",'Mapa final'!$AD$130="Leve"),CONCATENATE("R43C",'Mapa final'!$R$130),"")</f>
        <v/>
      </c>
      <c r="K48" s="42" t="str">
        <f>IF(AND('Mapa final'!$AB$131="Muy Alta",'Mapa final'!$AD$131="Leve"),CONCATENATE("R43C",'Mapa final'!$R$131),"")</f>
        <v/>
      </c>
      <c r="L48" s="106" t="str">
        <f>IF(AND('Mapa final'!$AB$132="Muy Alta",'Mapa final'!$AD$132="Leve"),CONCATENATE("R43C",'Mapa final'!$R$132),"")</f>
        <v/>
      </c>
      <c r="M48" s="105" t="str">
        <f>IF(AND('Mapa final'!$AB$130="Muy Alta",'Mapa final'!$AD$130="Menor"),CONCATENATE("R43C",'Mapa final'!$R$130),"")</f>
        <v/>
      </c>
      <c r="N48" s="42" t="str">
        <f>IF(AND('Mapa final'!$AB$131="Muy Alta",'Mapa final'!$AD$131="Menor"),CONCATENATE("R43C",'Mapa final'!$R$131),"")</f>
        <v/>
      </c>
      <c r="O48" s="106" t="str">
        <f>IF(AND('Mapa final'!$AB$132="Muy Alta",'Mapa final'!$AD$132="Menor"),CONCATENATE("R43C",'Mapa final'!$R$132),"")</f>
        <v/>
      </c>
      <c r="P48" s="105" t="str">
        <f>IF(AND('Mapa final'!$AB$130="Muy Alta",'Mapa final'!$AD$130="Moderado"),CONCATENATE("R43C",'Mapa final'!$R$130),"")</f>
        <v/>
      </c>
      <c r="Q48" s="42" t="str">
        <f>IF(AND('Mapa final'!$AB$131="Muy Alta",'Mapa final'!$AD$131="Moderado"),CONCATENATE("R43C",'Mapa final'!$R$131),"")</f>
        <v/>
      </c>
      <c r="R48" s="106" t="str">
        <f>IF(AND('Mapa final'!$AB$132="Muy Alta",'Mapa final'!$AD$132="Moderado"),CONCATENATE("R43C",'Mapa final'!$R$132),"")</f>
        <v/>
      </c>
      <c r="S48" s="105" t="str">
        <f>IF(AND('Mapa final'!$AB$130="Muy Alta",'Mapa final'!$AD$130="Mayor"),CONCATENATE("R43C",'Mapa final'!$R$130),"")</f>
        <v/>
      </c>
      <c r="T48" s="42" t="str">
        <f>IF(AND('Mapa final'!$AB$131="Muy Alta",'Mapa final'!$AD$131="Mayor"),CONCATENATE("R43C",'Mapa final'!$R$131),"")</f>
        <v/>
      </c>
      <c r="U48" s="106" t="str">
        <f>IF(AND('Mapa final'!$AB$132="Muy Alta",'Mapa final'!$AD$132="Mayor"),CONCATENATE("R43C",'Mapa final'!$R$132),"")</f>
        <v/>
      </c>
      <c r="V48" s="43" t="str">
        <f>IF(AND('Mapa final'!$AB$130="Muy Alta",'Mapa final'!$AD$130="Catastrófico"),CONCATENATE("R43C",'Mapa final'!$R$130),"")</f>
        <v/>
      </c>
      <c r="W48" s="44" t="str">
        <f>IF(AND('Mapa final'!$AB$131="Muy Alta",'Mapa final'!$AD$131="Catastrófico"),CONCATENATE("R43C",'Mapa final'!$R$131),"")</f>
        <v/>
      </c>
      <c r="X48" s="100" t="str">
        <f>IF(AND('Mapa final'!$AB$132="Muy Alta",'Mapa final'!$AD$132="Catastrófico"),CONCATENATE("R43C",'Mapa final'!$R$132),"")</f>
        <v/>
      </c>
      <c r="Y48" s="56"/>
      <c r="Z48" s="294"/>
      <c r="AA48" s="295"/>
      <c r="AB48" s="295"/>
      <c r="AC48" s="295"/>
      <c r="AD48" s="295"/>
      <c r="AE48" s="29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35">
      <c r="A49" s="56"/>
      <c r="B49" s="300"/>
      <c r="C49" s="300"/>
      <c r="D49" s="301"/>
      <c r="E49" s="289"/>
      <c r="F49" s="290"/>
      <c r="G49" s="290"/>
      <c r="H49" s="290"/>
      <c r="I49" s="288"/>
      <c r="J49" s="105" t="str">
        <f>IF(AND('Mapa final'!$AB$133="Muy Alta",'Mapa final'!$AD$133="Leve"),CONCATENATE("R44C",'Mapa final'!$R$133),"")</f>
        <v/>
      </c>
      <c r="K49" s="42" t="str">
        <f>IF(AND('Mapa final'!$AB$134="Muy Alta",'Mapa final'!$AD$134="Leve"),CONCATENATE("R44C",'Mapa final'!$R$134),"")</f>
        <v/>
      </c>
      <c r="L49" s="106" t="str">
        <f>IF(AND('Mapa final'!$AB$135="Muy Alta",'Mapa final'!$AD$135="Leve"),CONCATENATE("R44C",'Mapa final'!$R$135),"")</f>
        <v/>
      </c>
      <c r="M49" s="105" t="str">
        <f>IF(AND('Mapa final'!$AB$133="Muy Alta",'Mapa final'!$AD$133="Menor"),CONCATENATE("R44C",'Mapa final'!$R$133),"")</f>
        <v/>
      </c>
      <c r="N49" s="42" t="str">
        <f>IF(AND('Mapa final'!$AB$134="Muy Alta",'Mapa final'!$AD$134="Menor"),CONCATENATE("R44C",'Mapa final'!$R$134),"")</f>
        <v/>
      </c>
      <c r="O49" s="106" t="str">
        <f>IF(AND('Mapa final'!$AB$135="Muy Alta",'Mapa final'!$AD$135="Menor"),CONCATENATE("R44C",'Mapa final'!$R$135),"")</f>
        <v/>
      </c>
      <c r="P49" s="105" t="str">
        <f>IF(AND('Mapa final'!$AB$133="Muy Alta",'Mapa final'!$AD$133="Moderado"),CONCATENATE("R44C",'Mapa final'!$R$133),"")</f>
        <v/>
      </c>
      <c r="Q49" s="42" t="str">
        <f>IF(AND('Mapa final'!$AB$134="Muy Alta",'Mapa final'!$AD$134="Moderado"),CONCATENATE("R44C",'Mapa final'!$R$134),"")</f>
        <v/>
      </c>
      <c r="R49" s="106" t="str">
        <f>IF(AND('Mapa final'!$AB$135="Muy Alta",'Mapa final'!$AD$135="Moderado"),CONCATENATE("R44C",'Mapa final'!$R$135),"")</f>
        <v/>
      </c>
      <c r="S49" s="105" t="str">
        <f>IF(AND('Mapa final'!$AB$133="Muy Alta",'Mapa final'!$AD$133="Mayor"),CONCATENATE("R44C",'Mapa final'!$R$133),"")</f>
        <v/>
      </c>
      <c r="T49" s="42" t="str">
        <f>IF(AND('Mapa final'!$AB$134="Muy Alta",'Mapa final'!$AD$134="Mayor"),CONCATENATE("R44C",'Mapa final'!$R$134),"")</f>
        <v/>
      </c>
      <c r="U49" s="106" t="str">
        <f>IF(AND('Mapa final'!$AB$135="Muy Alta",'Mapa final'!$AD$135="Mayor"),CONCATENATE("R44C",'Mapa final'!$R$135),"")</f>
        <v/>
      </c>
      <c r="V49" s="43" t="str">
        <f>IF(AND('Mapa final'!$AB$133="Muy Alta",'Mapa final'!$AD$133="Catastrófico"),CONCATENATE("R44C",'Mapa final'!$R$133),"")</f>
        <v/>
      </c>
      <c r="W49" s="44" t="str">
        <f>IF(AND('Mapa final'!$AB$134="Muy Alta",'Mapa final'!$AD$134="Catastrófico"),CONCATENATE("R44C",'Mapa final'!$R$134),"")</f>
        <v/>
      </c>
      <c r="X49" s="100" t="str">
        <f>IF(AND('Mapa final'!$AB$135="Muy Alta",'Mapa final'!$AD$135="Catastrófico"),CONCATENATE("R44C",'Mapa final'!$R$135),"")</f>
        <v/>
      </c>
      <c r="Y49" s="56"/>
      <c r="Z49" s="294"/>
      <c r="AA49" s="295"/>
      <c r="AB49" s="295"/>
      <c r="AC49" s="295"/>
      <c r="AD49" s="295"/>
      <c r="AE49" s="29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35">
      <c r="A50" s="56"/>
      <c r="B50" s="300"/>
      <c r="C50" s="300"/>
      <c r="D50" s="301"/>
      <c r="E50" s="289"/>
      <c r="F50" s="290"/>
      <c r="G50" s="290"/>
      <c r="H50" s="290"/>
      <c r="I50" s="288"/>
      <c r="J50" s="105" t="str">
        <f>IF(AND('Mapa final'!$AB$136="Muy Alta",'Mapa final'!$AD$136="Leve"),CONCATENATE("R45C",'Mapa final'!$R$136),"")</f>
        <v/>
      </c>
      <c r="K50" s="42" t="str">
        <f>IF(AND('Mapa final'!$AB$137="Muy Alta",'Mapa final'!$AD$137="Leve"),CONCATENATE("R45C",'Mapa final'!$R$137),"")</f>
        <v/>
      </c>
      <c r="L50" s="106" t="str">
        <f>IF(AND('Mapa final'!$AB$138="Muy Alta",'Mapa final'!$AD$138="Leve"),CONCATENATE("R45C",'Mapa final'!$R$138),"")</f>
        <v/>
      </c>
      <c r="M50" s="105" t="str">
        <f>IF(AND('Mapa final'!$AB$136="Muy Alta",'Mapa final'!$AD$136="Menor"),CONCATENATE("R45C",'Mapa final'!$R$136),"")</f>
        <v/>
      </c>
      <c r="N50" s="42" t="str">
        <f>IF(AND('Mapa final'!$AB$137="Muy Alta",'Mapa final'!$AD$137="Menor"),CONCATENATE("R45C",'Mapa final'!$R$137),"")</f>
        <v/>
      </c>
      <c r="O50" s="106" t="str">
        <f>IF(AND('Mapa final'!$AB$138="Muy Alta",'Mapa final'!$AD$138="Menor"),CONCATENATE("R45C",'Mapa final'!$R$138),"")</f>
        <v/>
      </c>
      <c r="P50" s="105" t="str">
        <f>IF(AND('Mapa final'!$AB$136="Muy Alta",'Mapa final'!$AD$136="Moderado"),CONCATENATE("R45C",'Mapa final'!$R$136),"")</f>
        <v/>
      </c>
      <c r="Q50" s="42" t="str">
        <f>IF(AND('Mapa final'!$AB$137="Muy Alta",'Mapa final'!$AD$137="Moderado"),CONCATENATE("R45C",'Mapa final'!$R$137),"")</f>
        <v/>
      </c>
      <c r="R50" s="106" t="str">
        <f>IF(AND('Mapa final'!$AB$138="Muy Alta",'Mapa final'!$AD$138="Moderado"),CONCATENATE("R45C",'Mapa final'!$R$138),"")</f>
        <v/>
      </c>
      <c r="S50" s="105" t="str">
        <f>IF(AND('Mapa final'!$AB$136="Muy Alta",'Mapa final'!$AD$136="Mayor"),CONCATENATE("R45C",'Mapa final'!$R$136),"")</f>
        <v/>
      </c>
      <c r="T50" s="42" t="str">
        <f>IF(AND('Mapa final'!$AB$137="Muy Alta",'Mapa final'!$AD$137="Mayor"),CONCATENATE("R45C",'Mapa final'!$R$137),"")</f>
        <v/>
      </c>
      <c r="U50" s="106" t="str">
        <f>IF(AND('Mapa final'!$AB$138="Muy Alta",'Mapa final'!$AD$138="Mayor"),CONCATENATE("R45C",'Mapa final'!$R$138),"")</f>
        <v/>
      </c>
      <c r="V50" s="43" t="str">
        <f>IF(AND('Mapa final'!$AB$136="Muy Alta",'Mapa final'!$AD$136="Catastrófico"),CONCATENATE("R45C",'Mapa final'!$R$136),"")</f>
        <v/>
      </c>
      <c r="W50" s="44" t="str">
        <f>IF(AND('Mapa final'!$AB$137="Muy Alta",'Mapa final'!$AD$137="Catastrófico"),CONCATENATE("R45C",'Mapa final'!$R$137),"")</f>
        <v/>
      </c>
      <c r="X50" s="100" t="str">
        <f>IF(AND('Mapa final'!$AB$138="Muy Alta",'Mapa final'!$AD$138="Catastrófico"),CONCATENATE("R45C",'Mapa final'!$R$138),"")</f>
        <v/>
      </c>
      <c r="Y50" s="56"/>
      <c r="Z50" s="294"/>
      <c r="AA50" s="295"/>
      <c r="AB50" s="295"/>
      <c r="AC50" s="295"/>
      <c r="AD50" s="295"/>
      <c r="AE50" s="29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35">
      <c r="A51" s="56"/>
      <c r="B51" s="300"/>
      <c r="C51" s="300"/>
      <c r="D51" s="301"/>
      <c r="E51" s="289"/>
      <c r="F51" s="290"/>
      <c r="G51" s="290"/>
      <c r="H51" s="290"/>
      <c r="I51" s="288"/>
      <c r="J51" s="105" t="str">
        <f>IF(AND('Mapa final'!$AB$139="Muy Alta",'Mapa final'!$AD$139="Leve"),CONCATENATE("R46C",'Mapa final'!$R$139),"")</f>
        <v/>
      </c>
      <c r="K51" s="42" t="str">
        <f>IF(AND('Mapa final'!$AB$140="Muy Alta",'Mapa final'!$AD$140="Leve"),CONCATENATE("R46C",'Mapa final'!$R$140),"")</f>
        <v/>
      </c>
      <c r="L51" s="106" t="str">
        <f>IF(AND('Mapa final'!$AB$141="Muy Alta",'Mapa final'!$AD$141="Leve"),CONCATENATE("R46C",'Mapa final'!$R$141),"")</f>
        <v/>
      </c>
      <c r="M51" s="105" t="str">
        <f>IF(AND('Mapa final'!$AB$139="Muy Alta",'Mapa final'!$AD$139="Menor"),CONCATENATE("R46C",'Mapa final'!$R$139),"")</f>
        <v/>
      </c>
      <c r="N51" s="42" t="str">
        <f>IF(AND('Mapa final'!$AB$140="Muy Alta",'Mapa final'!$AD$140="Menor"),CONCATENATE("R46C",'Mapa final'!$R$140),"")</f>
        <v/>
      </c>
      <c r="O51" s="106" t="str">
        <f>IF(AND('Mapa final'!$AB$141="Muy Alta",'Mapa final'!$AD$141="Menor"),CONCATENATE("R46C",'Mapa final'!$R$141),"")</f>
        <v/>
      </c>
      <c r="P51" s="105" t="str">
        <f>IF(AND('Mapa final'!$AB$139="Muy Alta",'Mapa final'!$AD$139="Moderado"),CONCATENATE("R46C",'Mapa final'!$R$139),"")</f>
        <v/>
      </c>
      <c r="Q51" s="42" t="str">
        <f>IF(AND('Mapa final'!$AB$140="Muy Alta",'Mapa final'!$AD$140="Moderado"),CONCATENATE("R46C",'Mapa final'!$R$140),"")</f>
        <v/>
      </c>
      <c r="R51" s="106" t="str">
        <f>IF(AND('Mapa final'!$AB$141="Muy Alta",'Mapa final'!$AD$141="Moderado"),CONCATENATE("R46C",'Mapa final'!$R$141),"")</f>
        <v/>
      </c>
      <c r="S51" s="105" t="str">
        <f>IF(AND('Mapa final'!$AB$139="Muy Alta",'Mapa final'!$AD$139="Mayor"),CONCATENATE("R46C",'Mapa final'!$R$139),"")</f>
        <v/>
      </c>
      <c r="T51" s="42" t="str">
        <f>IF(AND('Mapa final'!$AB$140="Muy Alta",'Mapa final'!$AD$140="Mayor"),CONCATENATE("R46C",'Mapa final'!$R$140),"")</f>
        <v/>
      </c>
      <c r="U51" s="106" t="str">
        <f>IF(AND('Mapa final'!$AB$141="Muy Alta",'Mapa final'!$AD$141="Mayor"),CONCATENATE("R46C",'Mapa final'!$R$141),"")</f>
        <v/>
      </c>
      <c r="V51" s="43" t="str">
        <f>IF(AND('Mapa final'!$AB$139="Muy Alta",'Mapa final'!$AD$139="Catastrófico"),CONCATENATE("R46C",'Mapa final'!$R$139),"")</f>
        <v/>
      </c>
      <c r="W51" s="44" t="str">
        <f>IF(AND('Mapa final'!$AB$140="Muy Alta",'Mapa final'!$AD$140="Catastrófico"),CONCATENATE("R46C",'Mapa final'!$R$140),"")</f>
        <v/>
      </c>
      <c r="X51" s="100" t="str">
        <f>IF(AND('Mapa final'!$AB$141="Muy Alta",'Mapa final'!$AD$141="Catastrófico"),CONCATENATE("R46C",'Mapa final'!$R$141),"")</f>
        <v/>
      </c>
      <c r="Y51" s="56"/>
      <c r="Z51" s="294"/>
      <c r="AA51" s="295"/>
      <c r="AB51" s="295"/>
      <c r="AC51" s="295"/>
      <c r="AD51" s="295"/>
      <c r="AE51" s="29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35">
      <c r="A52" s="56"/>
      <c r="B52" s="300"/>
      <c r="C52" s="300"/>
      <c r="D52" s="301"/>
      <c r="E52" s="289"/>
      <c r="F52" s="290"/>
      <c r="G52" s="290"/>
      <c r="H52" s="290"/>
      <c r="I52" s="288"/>
      <c r="J52" s="105" t="str">
        <f>IF(AND('Mapa final'!$AB$142="Muy Alta",'Mapa final'!$AD$142="Leve"),CONCATENATE("R47C",'Mapa final'!$R$142),"")</f>
        <v/>
      </c>
      <c r="K52" s="42" t="str">
        <f>IF(AND('Mapa final'!$AB$143="Muy Alta",'Mapa final'!$AD$143="Leve"),CONCATENATE("R47C",'Mapa final'!$R$143),"")</f>
        <v/>
      </c>
      <c r="L52" s="106" t="str">
        <f>IF(AND('Mapa final'!$AB$144="Muy Alta",'Mapa final'!$AD$144="Leve"),CONCATENATE("R47C",'Mapa final'!$R$144),"")</f>
        <v/>
      </c>
      <c r="M52" s="105" t="str">
        <f>IF(AND('Mapa final'!$AB$142="Muy Alta",'Mapa final'!$AD$142="Menor"),CONCATENATE("R47C",'Mapa final'!$R$142),"")</f>
        <v/>
      </c>
      <c r="N52" s="42" t="str">
        <f>IF(AND('Mapa final'!$AB$143="Muy Alta",'Mapa final'!$AD$143="Menor"),CONCATENATE("R47C",'Mapa final'!$R$143),"")</f>
        <v/>
      </c>
      <c r="O52" s="106" t="str">
        <f>IF(AND('Mapa final'!$AB$144="Muy Alta",'Mapa final'!$AD$144="Menor"),CONCATENATE("R47C",'Mapa final'!$R$144),"")</f>
        <v/>
      </c>
      <c r="P52" s="105" t="str">
        <f>IF(AND('Mapa final'!$AB$142="Muy Alta",'Mapa final'!$AD$142="Moderado"),CONCATENATE("R47C",'Mapa final'!$R$142),"")</f>
        <v/>
      </c>
      <c r="Q52" s="42" t="str">
        <f>IF(AND('Mapa final'!$AB$143="Muy Alta",'Mapa final'!$AD$143="Moderado"),CONCATENATE("R47C",'Mapa final'!$R$143),"")</f>
        <v/>
      </c>
      <c r="R52" s="106" t="str">
        <f>IF(AND('Mapa final'!$AB$144="Muy Alta",'Mapa final'!$AD$144="Moderado"),CONCATENATE("R47C",'Mapa final'!$R$144),"")</f>
        <v/>
      </c>
      <c r="S52" s="105" t="str">
        <f>IF(AND('Mapa final'!$AB$142="Muy Alta",'Mapa final'!$AD$142="Mayor"),CONCATENATE("R47C",'Mapa final'!$R$142),"")</f>
        <v/>
      </c>
      <c r="T52" s="42" t="str">
        <f>IF(AND('Mapa final'!$AB$143="Muy Alta",'Mapa final'!$AD$143="Mayor"),CONCATENATE("R47C",'Mapa final'!$R$143),"")</f>
        <v/>
      </c>
      <c r="U52" s="106" t="str">
        <f>IF(AND('Mapa final'!$AB$144="Muy Alta",'Mapa final'!$AD$144="Mayor"),CONCATENATE("R47C",'Mapa final'!$R$144),"")</f>
        <v/>
      </c>
      <c r="V52" s="43" t="str">
        <f>IF(AND('Mapa final'!$AB$142="Muy Alta",'Mapa final'!$AD$142="Catastrófico"),CONCATENATE("R47C",'Mapa final'!$R$142),"")</f>
        <v/>
      </c>
      <c r="W52" s="44" t="str">
        <f>IF(AND('Mapa final'!$AB$143="Muy Alta",'Mapa final'!$AD$143="Catastrófico"),CONCATENATE("R47C",'Mapa final'!$R$143),"")</f>
        <v/>
      </c>
      <c r="X52" s="100" t="str">
        <f>IF(AND('Mapa final'!$AB$144="Muy Alta",'Mapa final'!$AD$144="Catastrófico"),CONCATENATE("R47C",'Mapa final'!$R$144),"")</f>
        <v/>
      </c>
      <c r="Y52" s="56"/>
      <c r="Z52" s="294"/>
      <c r="AA52" s="295"/>
      <c r="AB52" s="295"/>
      <c r="AC52" s="295"/>
      <c r="AD52" s="295"/>
      <c r="AE52" s="29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35">
      <c r="A53" s="56"/>
      <c r="B53" s="300"/>
      <c r="C53" s="300"/>
      <c r="D53" s="301"/>
      <c r="E53" s="289"/>
      <c r="F53" s="290"/>
      <c r="G53" s="290"/>
      <c r="H53" s="290"/>
      <c r="I53" s="288"/>
      <c r="J53" s="105" t="str">
        <f>IF(AND('Mapa final'!$AB$145="Muy Alta",'Mapa final'!$AD$145="Leve"),CONCATENATE("R48C",'Mapa final'!$R$145),"")</f>
        <v/>
      </c>
      <c r="K53" s="42" t="str">
        <f>IF(AND('Mapa final'!$AB$146="Muy Alta",'Mapa final'!$AD$146="Leve"),CONCATENATE("R48C",'Mapa final'!$R$146),"")</f>
        <v/>
      </c>
      <c r="L53" s="106" t="str">
        <f>IF(AND('Mapa final'!$AB$147="Muy Alta",'Mapa final'!$AD$147="Leve"),CONCATENATE("R48C",'Mapa final'!$R$147),"")</f>
        <v/>
      </c>
      <c r="M53" s="105" t="str">
        <f>IF(AND('Mapa final'!$AB$145="Muy Alta",'Mapa final'!$AD$145="Menor"),CONCATENATE("R48C",'Mapa final'!$R$145),"")</f>
        <v/>
      </c>
      <c r="N53" s="42" t="str">
        <f>IF(AND('Mapa final'!$AB$146="Muy Alta",'Mapa final'!$AD$146="Menor"),CONCATENATE("R48C",'Mapa final'!$R$146),"")</f>
        <v/>
      </c>
      <c r="O53" s="106" t="str">
        <f>IF(AND('Mapa final'!$AB$147="Muy Alta",'Mapa final'!$AD$147="Menor"),CONCATENATE("R48C",'Mapa final'!$R$147),"")</f>
        <v/>
      </c>
      <c r="P53" s="105" t="str">
        <f>IF(AND('Mapa final'!$AB$145="Muy Alta",'Mapa final'!$AD$145="Moderado"),CONCATENATE("R48C",'Mapa final'!$R$145),"")</f>
        <v/>
      </c>
      <c r="Q53" s="42" t="str">
        <f>IF(AND('Mapa final'!$AB$146="Muy Alta",'Mapa final'!$AD$146="Moderado"),CONCATENATE("R48C",'Mapa final'!$R$146),"")</f>
        <v/>
      </c>
      <c r="R53" s="106" t="str">
        <f>IF(AND('Mapa final'!$AB$147="Muy Alta",'Mapa final'!$AD$147="Moderado"),CONCATENATE("R48C",'Mapa final'!$R$147),"")</f>
        <v/>
      </c>
      <c r="S53" s="105" t="str">
        <f>IF(AND('Mapa final'!$AB$145="Muy Alta",'Mapa final'!$AD$145="Mayor"),CONCATENATE("R48C",'Mapa final'!$R$145),"")</f>
        <v/>
      </c>
      <c r="T53" s="42" t="str">
        <f>IF(AND('Mapa final'!$AB$146="Muy Alta",'Mapa final'!$AD$146="Mayor"),CONCATENATE("R48C",'Mapa final'!$R$146),"")</f>
        <v/>
      </c>
      <c r="U53" s="106" t="str">
        <f>IF(AND('Mapa final'!$AB$147="Muy Alta",'Mapa final'!$AD$147="Mayor"),CONCATENATE("R48C",'Mapa final'!$R$147),"")</f>
        <v/>
      </c>
      <c r="V53" s="43" t="str">
        <f>IF(AND('Mapa final'!$AB$145="Muy Alta",'Mapa final'!$AD$145="Catastrófico"),CONCATENATE("R48C",'Mapa final'!$R$145),"")</f>
        <v/>
      </c>
      <c r="W53" s="44" t="str">
        <f>IF(AND('Mapa final'!$AB$146="Muy Alta",'Mapa final'!$AD$146="Catastrófico"),CONCATENATE("R48C",'Mapa final'!$R$146),"")</f>
        <v/>
      </c>
      <c r="X53" s="100" t="str">
        <f>IF(AND('Mapa final'!$AB$147="Muy Alta",'Mapa final'!$AD$147="Catastrófico"),CONCATENATE("R48C",'Mapa final'!$R$147),"")</f>
        <v/>
      </c>
      <c r="Y53" s="56"/>
      <c r="Z53" s="294"/>
      <c r="AA53" s="295"/>
      <c r="AB53" s="295"/>
      <c r="AC53" s="295"/>
      <c r="AD53" s="295"/>
      <c r="AE53" s="29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35">
      <c r="A54" s="56"/>
      <c r="B54" s="300"/>
      <c r="C54" s="300"/>
      <c r="D54" s="301"/>
      <c r="E54" s="289"/>
      <c r="F54" s="290"/>
      <c r="G54" s="290"/>
      <c r="H54" s="290"/>
      <c r="I54" s="288"/>
      <c r="J54" s="105" t="str">
        <f>IF(AND('Mapa final'!$AB$148="Muy Alta",'Mapa final'!$AD$148="Leve"),CONCATENATE("R49C",'Mapa final'!$R$148),"")</f>
        <v/>
      </c>
      <c r="K54" s="42" t="str">
        <f>IF(AND('Mapa final'!$AB$149="Muy Alta",'Mapa final'!$AD$149="Leve"),CONCATENATE("R49C",'Mapa final'!$R$149),"")</f>
        <v/>
      </c>
      <c r="L54" s="106" t="str">
        <f>IF(AND('Mapa final'!$AB$150="Muy Alta",'Mapa final'!$AD$150="Leve"),CONCATENATE("R49C",'Mapa final'!$R$150),"")</f>
        <v/>
      </c>
      <c r="M54" s="105" t="str">
        <f>IF(AND('Mapa final'!$AB$148="Muy Alta",'Mapa final'!$AD$148="Menor"),CONCATENATE("R49C",'Mapa final'!$R$148),"")</f>
        <v/>
      </c>
      <c r="N54" s="42" t="str">
        <f>IF(AND('Mapa final'!$AB$149="Muy Alta",'Mapa final'!$AD$149="Menor"),CONCATENATE("R49C",'Mapa final'!$R$149),"")</f>
        <v/>
      </c>
      <c r="O54" s="106" t="str">
        <f>IF(AND('Mapa final'!$AB$150="Muy Alta",'Mapa final'!$AD$150="Menor"),CONCATENATE("R49C",'Mapa final'!$R$150),"")</f>
        <v/>
      </c>
      <c r="P54" s="105" t="str">
        <f>IF(AND('Mapa final'!$AB$148="Muy Alta",'Mapa final'!$AD$148="Moderado"),CONCATENATE("R49C",'Mapa final'!$R$148),"")</f>
        <v/>
      </c>
      <c r="Q54" s="42" t="str">
        <f>IF(AND('Mapa final'!$AB$149="Muy Alta",'Mapa final'!$AD$149="Moderado"),CONCATENATE("R49C",'Mapa final'!$R$149),"")</f>
        <v/>
      </c>
      <c r="R54" s="106" t="str">
        <f>IF(AND('Mapa final'!$AB$150="Muy Alta",'Mapa final'!$AD$150="Moderado"),CONCATENATE("R49C",'Mapa final'!$R$150),"")</f>
        <v/>
      </c>
      <c r="S54" s="105" t="str">
        <f>IF(AND('Mapa final'!$AB$148="Muy Alta",'Mapa final'!$AD$148="Mayor"),CONCATENATE("R49C",'Mapa final'!$R$148),"")</f>
        <v/>
      </c>
      <c r="T54" s="42" t="str">
        <f>IF(AND('Mapa final'!$AB$149="Muy Alta",'Mapa final'!$AD$149="Mayor"),CONCATENATE("R49C",'Mapa final'!$R$149),"")</f>
        <v/>
      </c>
      <c r="U54" s="106" t="str">
        <f>IF(AND('Mapa final'!$AB$150="Muy Alta",'Mapa final'!$AD$150="Mayor"),CONCATENATE("R49C",'Mapa final'!$R$150),"")</f>
        <v/>
      </c>
      <c r="V54" s="43" t="str">
        <f>IF(AND('Mapa final'!$AB$148="Muy Alta",'Mapa final'!$AD$148="Catastrófico"),CONCATENATE("R49C",'Mapa final'!$R$148),"")</f>
        <v/>
      </c>
      <c r="W54" s="44" t="str">
        <f>IF(AND('Mapa final'!$AB$149="Muy Alta",'Mapa final'!$AD$149="Catastrófico"),CONCATENATE("R49C",'Mapa final'!$R$149),"")</f>
        <v/>
      </c>
      <c r="X54" s="100" t="str">
        <f>IF(AND('Mapa final'!$AB$150="Muy Alta",'Mapa final'!$AD$150="Catastrófico"),CONCATENATE("R49C",'Mapa final'!$R$150),"")</f>
        <v/>
      </c>
      <c r="Y54" s="56"/>
      <c r="Z54" s="294"/>
      <c r="AA54" s="295"/>
      <c r="AB54" s="295"/>
      <c r="AC54" s="295"/>
      <c r="AD54" s="295"/>
      <c r="AE54" s="29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4">
      <c r="A55" s="56"/>
      <c r="B55" s="300"/>
      <c r="C55" s="300"/>
      <c r="D55" s="301"/>
      <c r="E55" s="289"/>
      <c r="F55" s="290"/>
      <c r="G55" s="290"/>
      <c r="H55" s="290"/>
      <c r="I55" s="288"/>
      <c r="J55" s="105" t="str">
        <f>IF(AND('Mapa final'!$AB$151="Muy Alta",'Mapa final'!$AD$151="Leve"),CONCATENATE("R50C",'Mapa final'!$R$151),"")</f>
        <v/>
      </c>
      <c r="K55" s="42" t="str">
        <f>IF(AND('Mapa final'!$AB$152="Muy Alta",'Mapa final'!$AD$152="Leve"),CONCATENATE("R50C",'Mapa final'!$R$152),"")</f>
        <v/>
      </c>
      <c r="L55" s="106" t="str">
        <f>IF(AND('Mapa final'!$AB$153="Muy Alta",'Mapa final'!$AD$153="Leve"),CONCATENATE("R50C",'Mapa final'!$R$153),"")</f>
        <v/>
      </c>
      <c r="M55" s="105" t="str">
        <f>IF(AND('Mapa final'!$AB$151="Muy Alta",'Mapa final'!$AD$151="Menor"),CONCATENATE("R50C",'Mapa final'!$R$151),"")</f>
        <v/>
      </c>
      <c r="N55" s="42" t="str">
        <f>IF(AND('Mapa final'!$AB$152="Muy Alta",'Mapa final'!$AD$152="Menor"),CONCATENATE("R50C",'Mapa final'!$R$152),"")</f>
        <v/>
      </c>
      <c r="O55" s="106" t="str">
        <f>IF(AND('Mapa final'!$AB$153="Muy Alta",'Mapa final'!$AD$153="Menor"),CONCATENATE("R50C",'Mapa final'!$R$153),"")</f>
        <v/>
      </c>
      <c r="P55" s="105" t="str">
        <f>IF(AND('Mapa final'!$AB$151="Muy Alta",'Mapa final'!$AD$151="Moderado"),CONCATENATE("R50C",'Mapa final'!$R$151),"")</f>
        <v/>
      </c>
      <c r="Q55" s="42" t="str">
        <f>IF(AND('Mapa final'!$AB$152="Muy Alta",'Mapa final'!$AD$152="Moderado"),CONCATENATE("R50C",'Mapa final'!$R$152),"")</f>
        <v/>
      </c>
      <c r="R55" s="106" t="str">
        <f>IF(AND('Mapa final'!$AB$153="Muy Alta",'Mapa final'!$AD$153="Moderado"),CONCATENATE("R50C",'Mapa final'!$R$153),"")</f>
        <v/>
      </c>
      <c r="S55" s="107" t="str">
        <f>IF(AND('Mapa final'!$AB$151="Muy Alta",'Mapa final'!$AD$151="Mayor"),CONCATENATE("R50C",'Mapa final'!$R$151),"")</f>
        <v/>
      </c>
      <c r="T55" s="108" t="str">
        <f>IF(AND('Mapa final'!$AB$152="Muy Alta",'Mapa final'!$AD$152="Mayor"),CONCATENATE("R50C",'Mapa final'!$R$152),"")</f>
        <v/>
      </c>
      <c r="U55" s="109" t="str">
        <f>IF(AND('Mapa final'!$AB$153="Muy Alta",'Mapa final'!$AD$153="Mayor"),CONCATENATE("R50C",'Mapa final'!$R$153),"")</f>
        <v/>
      </c>
      <c r="V55" s="45" t="str">
        <f>IF(AND('Mapa final'!$AB$151="Muy Alta",'Mapa final'!$AD$151="Catastrófico"),CONCATENATE("R50C",'Mapa final'!$R$151),"")</f>
        <v/>
      </c>
      <c r="W55" s="46" t="str">
        <f>IF(AND('Mapa final'!$AB$152="Muy Alta",'Mapa final'!$AD$152="Catastrófico"),CONCATENATE("R50C",'Mapa final'!$R$152),"")</f>
        <v/>
      </c>
      <c r="X55" s="101" t="str">
        <f>IF(AND('Mapa final'!$AB$153="Muy Alta",'Mapa final'!$AD$153="Catastrófico"),CONCATENATE("R50C",'Mapa final'!$R$153),"")</f>
        <v/>
      </c>
      <c r="Y55" s="56"/>
      <c r="Z55" s="294"/>
      <c r="AA55" s="295"/>
      <c r="AB55" s="295"/>
      <c r="AC55" s="295"/>
      <c r="AD55" s="295"/>
      <c r="AE55" s="29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35">
      <c r="A56" s="56"/>
      <c r="B56" s="300"/>
      <c r="C56" s="300"/>
      <c r="D56" s="301"/>
      <c r="E56" s="285" t="s">
        <v>106</v>
      </c>
      <c r="F56" s="286"/>
      <c r="G56" s="286"/>
      <c r="H56" s="286"/>
      <c r="I56" s="286"/>
      <c r="J56" s="47" t="str">
        <f>IF(AND('Mapa final'!$AB$7="Alta",'Mapa final'!$AD$7="Leve"),CONCATENATE("R1C",'Mapa final'!$R$7),"")</f>
        <v/>
      </c>
      <c r="K56" s="48" t="str">
        <f>IF(AND('Mapa final'!$AB$8="Alta",'Mapa final'!$AD$8="Leve"),CONCATENATE("R1C",'Mapa final'!$R$8),"")</f>
        <v/>
      </c>
      <c r="L56" s="110" t="str">
        <f>IF(AND('Mapa final'!$AB$9="Alta",'Mapa final'!$AD$9="Leve"),CONCATENATE("R1C",'Mapa final'!$R$9),"")</f>
        <v/>
      </c>
      <c r="M56" s="47" t="str">
        <f>IF(AND('Mapa final'!$AB$7="Alta",'Mapa final'!$AD$7="Menor"),CONCATENATE("R1C",'Mapa final'!$R$7),"")</f>
        <v/>
      </c>
      <c r="N56" s="48" t="str">
        <f>IF(AND('Mapa final'!$AB$8="Alta",'Mapa final'!$AD$8="Menor"),CONCATENATE("R1C",'Mapa final'!$R$8),"")</f>
        <v/>
      </c>
      <c r="O56" s="110" t="str">
        <f>IF(AND('Mapa final'!$AB$9="Alta",'Mapa final'!$AD$9="Menor"),CONCATENATE("R1C",'Mapa final'!$R$9),"")</f>
        <v/>
      </c>
      <c r="P56" s="102" t="str">
        <f>IF(AND('Mapa final'!$AB$7="Alta",'Mapa final'!$AD$7="Moderado"),CONCATENATE("R1C",'Mapa final'!$R$7),"")</f>
        <v/>
      </c>
      <c r="Q56" s="103" t="str">
        <f>IF(AND('Mapa final'!$AB$8="Alta",'Mapa final'!$AD$8="Moderado"),CONCATENATE("R1C",'Mapa final'!$R$8),"")</f>
        <v/>
      </c>
      <c r="R56" s="104" t="str">
        <f>IF(AND('Mapa final'!$AB$9="Alta",'Mapa final'!$AD$9="Moderado"),CONCATENATE("R1C",'Mapa final'!$R$9),"")</f>
        <v/>
      </c>
      <c r="S56" s="102" t="str">
        <f>IF(AND('Mapa final'!$AB$7="Alta",'Mapa final'!$AD$7="Mayor"),CONCATENATE("R1C",'Mapa final'!$R$7),"")</f>
        <v/>
      </c>
      <c r="T56" s="103" t="str">
        <f>IF(AND('Mapa final'!$AB$8="Alta",'Mapa final'!$AD$8="Mayor"),CONCATENATE("R1C",'Mapa final'!$R$8),"")</f>
        <v/>
      </c>
      <c r="U56" s="104" t="str">
        <f>IF(AND('Mapa final'!$AB$9="Alta",'Mapa final'!$AD$9="Mayor"),CONCATENATE("R1C",'Mapa final'!$R$9),"")</f>
        <v/>
      </c>
      <c r="V56" s="40" t="str">
        <f>IF(AND('Mapa final'!$AB$7="Alta",'Mapa final'!$AD$7="Catastrófico"),CONCATENATE("R1C",'Mapa final'!$R$7),"")</f>
        <v/>
      </c>
      <c r="W56" s="41" t="str">
        <f>IF(AND('Mapa final'!$AB$8="Alta",'Mapa final'!$AD$8="Catastrófico"),CONCATENATE("R1C",'Mapa final'!$R$8),"")</f>
        <v/>
      </c>
      <c r="X56" s="99" t="str">
        <f>IF(AND('Mapa final'!$AB$9="Alta",'Mapa final'!$AD$9="Catastrófico"),CONCATENATE("R1C",'Mapa final'!$R$9),"")</f>
        <v/>
      </c>
      <c r="Y56" s="56"/>
      <c r="Z56" s="279" t="s">
        <v>74</v>
      </c>
      <c r="AA56" s="280"/>
      <c r="AB56" s="280"/>
      <c r="AC56" s="280"/>
      <c r="AD56" s="280"/>
      <c r="AE56" s="281"/>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35">
      <c r="A57" s="56"/>
      <c r="B57" s="300"/>
      <c r="C57" s="300"/>
      <c r="D57" s="301"/>
      <c r="E57" s="287"/>
      <c r="F57" s="288"/>
      <c r="G57" s="288"/>
      <c r="H57" s="288"/>
      <c r="I57" s="288"/>
      <c r="J57" s="49" t="str">
        <f>IF(AND('Mapa final'!$AB$10="Alta",'Mapa final'!$AD$10="Leve"),CONCATENATE("R2C",'Mapa final'!$R$10),"")</f>
        <v/>
      </c>
      <c r="K57" s="50" t="str">
        <f>IF(AND('Mapa final'!$AB$11="Alta",'Mapa final'!$AD$11="Leve"),CONCATENATE("R2C",'Mapa final'!$R$11),"")</f>
        <v/>
      </c>
      <c r="L57" s="111" t="str">
        <f>IF(AND('Mapa final'!$AB$12="Alta",'Mapa final'!$AD$12="Leve"),CONCATENATE("R2C",'Mapa final'!$R$12),"")</f>
        <v/>
      </c>
      <c r="M57" s="49" t="str">
        <f>IF(AND('Mapa final'!$AB$10="Alta",'Mapa final'!$AD$10="Menor"),CONCATENATE("R2C",'Mapa final'!$R$10),"")</f>
        <v/>
      </c>
      <c r="N57" s="50" t="str">
        <f>IF(AND('Mapa final'!$AB$11="Alta",'Mapa final'!$AD$11="Menor"),CONCATENATE("R2C",'Mapa final'!$R$11),"")</f>
        <v/>
      </c>
      <c r="O57" s="111" t="str">
        <f>IF(AND('Mapa final'!$AB$12="Alta",'Mapa final'!$AD$12="Menor"),CONCATENATE("R2C",'Mapa final'!$R$12),"")</f>
        <v/>
      </c>
      <c r="P57" s="105" t="str">
        <f>IF(AND('Mapa final'!$AB$10="Alta",'Mapa final'!$AD$10="Moderado"),CONCATENATE("R2C",'Mapa final'!$R$10),"")</f>
        <v/>
      </c>
      <c r="Q57" s="42" t="str">
        <f>IF(AND('Mapa final'!$AB$11="Alta",'Mapa final'!$AD$11="Moderado"),CONCATENATE("R2C",'Mapa final'!$R$11),"")</f>
        <v/>
      </c>
      <c r="R57" s="106" t="str">
        <f>IF(AND('Mapa final'!$AB$12="Alta",'Mapa final'!$AD$12="Moderado"),CONCATENATE("R2C",'Mapa final'!$R$12),"")</f>
        <v/>
      </c>
      <c r="S57" s="105" t="str">
        <f>IF(AND('Mapa final'!$AB$10="Alta",'Mapa final'!$AD$10="Mayor"),CONCATENATE("R2C",'Mapa final'!$R$10),"")</f>
        <v/>
      </c>
      <c r="T57" s="42" t="str">
        <f>IF(AND('Mapa final'!$AB$11="Alta",'Mapa final'!$AD$11="Mayor"),CONCATENATE("R2C",'Mapa final'!$R$11),"")</f>
        <v/>
      </c>
      <c r="U57" s="106" t="str">
        <f>IF(AND('Mapa final'!$AB$12="Alta",'Mapa final'!$AD$12="Mayor"),CONCATENATE("R2C",'Mapa final'!$R$12),"")</f>
        <v/>
      </c>
      <c r="V57" s="43" t="str">
        <f>IF(AND('Mapa final'!$AB$10="Alta",'Mapa final'!$AD$10="Catastrófico"),CONCATENATE("R2C",'Mapa final'!$R$10),"")</f>
        <v/>
      </c>
      <c r="W57" s="44" t="str">
        <f>IF(AND('Mapa final'!$AB$11="Alta",'Mapa final'!$AD$11="Catastrófico"),CONCATENATE("R2C",'Mapa final'!$R$11),"")</f>
        <v/>
      </c>
      <c r="X57" s="100" t="str">
        <f>IF(AND('Mapa final'!$AB$12="Alta",'Mapa final'!$AD$12="Catastrófico"),CONCATENATE("R2C",'Mapa final'!$R$12),"")</f>
        <v/>
      </c>
      <c r="Y57" s="56"/>
      <c r="Z57" s="282"/>
      <c r="AA57" s="283"/>
      <c r="AB57" s="283"/>
      <c r="AC57" s="283"/>
      <c r="AD57" s="283"/>
      <c r="AE57" s="284"/>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35">
      <c r="A58" s="56"/>
      <c r="B58" s="300"/>
      <c r="C58" s="300"/>
      <c r="D58" s="301"/>
      <c r="E58" s="289"/>
      <c r="F58" s="290"/>
      <c r="G58" s="290"/>
      <c r="H58" s="290"/>
      <c r="I58" s="288"/>
      <c r="J58" s="49" t="str">
        <f>IF(AND('Mapa final'!$AB$13="Alta",'Mapa final'!$AD$13="Leve"),CONCATENATE("R3C",'Mapa final'!$R$13),"")</f>
        <v/>
      </c>
      <c r="K58" s="50" t="str">
        <f>IF(AND('Mapa final'!$AB$14="Alta",'Mapa final'!$AD$14="Leve"),CONCATENATE("R3C",'Mapa final'!$R$14),"")</f>
        <v/>
      </c>
      <c r="L58" s="111" t="str">
        <f>IF(AND('Mapa final'!$AB$15="Alta",'Mapa final'!$AD$15="Leve"),CONCATENATE("R3C",'Mapa final'!$R$15),"")</f>
        <v/>
      </c>
      <c r="M58" s="49" t="str">
        <f>IF(AND('Mapa final'!$AB$13="Alta",'Mapa final'!$AD$13="Menor"),CONCATENATE("R3C",'Mapa final'!$R$13),"")</f>
        <v/>
      </c>
      <c r="N58" s="50" t="str">
        <f>IF(AND('Mapa final'!$AB$14="Alta",'Mapa final'!$AD$14="Menor"),CONCATENATE("R3C",'Mapa final'!$R$14),"")</f>
        <v/>
      </c>
      <c r="O58" s="111" t="str">
        <f>IF(AND('Mapa final'!$AB$15="Alta",'Mapa final'!$AD$15="Menor"),CONCATENATE("R3C",'Mapa final'!$R$15),"")</f>
        <v/>
      </c>
      <c r="P58" s="105" t="str">
        <f>IF(AND('Mapa final'!$AB$13="Alta",'Mapa final'!$AD$13="Moderado"),CONCATENATE("R3C",'Mapa final'!$R$13),"")</f>
        <v/>
      </c>
      <c r="Q58" s="42" t="str">
        <f>IF(AND('Mapa final'!$AB$14="Alta",'Mapa final'!$AD$14="Moderado"),CONCATENATE("R3C",'Mapa final'!$R$14),"")</f>
        <v/>
      </c>
      <c r="R58" s="106" t="str">
        <f>IF(AND('Mapa final'!$AB$15="Alta",'Mapa final'!$AD$15="Moderado"),CONCATENATE("R3C",'Mapa final'!$R$15),"")</f>
        <v/>
      </c>
      <c r="S58" s="105" t="str">
        <f>IF(AND('Mapa final'!$AB$13="Alta",'Mapa final'!$AD$13="Mayor"),CONCATENATE("R3C",'Mapa final'!$R$13),"")</f>
        <v/>
      </c>
      <c r="T58" s="42" t="str">
        <f>IF(AND('Mapa final'!$AB$14="Alta",'Mapa final'!$AD$14="Mayor"),CONCATENATE("R3C",'Mapa final'!$R$14),"")</f>
        <v/>
      </c>
      <c r="U58" s="106" t="str">
        <f>IF(AND('Mapa final'!$AB$15="Alta",'Mapa final'!$AD$15="Mayor"),CONCATENATE("R3C",'Mapa final'!$R$15),"")</f>
        <v/>
      </c>
      <c r="V58" s="43" t="str">
        <f>IF(AND('Mapa final'!$AB$13="Alta",'Mapa final'!$AD$13="Catastrófico"),CONCATENATE("R3C",'Mapa final'!$R$13),"")</f>
        <v/>
      </c>
      <c r="W58" s="44" t="str">
        <f>IF(AND('Mapa final'!$AB$14="Alta",'Mapa final'!$AD$14="Catastrófico"),CONCATENATE("R3C",'Mapa final'!$R$14),"")</f>
        <v/>
      </c>
      <c r="X58" s="100" t="str">
        <f>IF(AND('Mapa final'!$AB$15="Alta",'Mapa final'!$AD$15="Catastrófico"),CONCATENATE("R3C",'Mapa final'!$R$15),"")</f>
        <v/>
      </c>
      <c r="Y58" s="56"/>
      <c r="Z58" s="282"/>
      <c r="AA58" s="283"/>
      <c r="AB58" s="283"/>
      <c r="AC58" s="283"/>
      <c r="AD58" s="283"/>
      <c r="AE58" s="284"/>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35">
      <c r="A59" s="56"/>
      <c r="B59" s="300"/>
      <c r="C59" s="300"/>
      <c r="D59" s="301"/>
      <c r="E59" s="289"/>
      <c r="F59" s="290"/>
      <c r="G59" s="290"/>
      <c r="H59" s="290"/>
      <c r="I59" s="288"/>
      <c r="J59" s="49" t="e">
        <f>IF(AND('Mapa final'!#REF!="Alta",'Mapa final'!#REF!="Leve"),CONCATENATE("R4C",'Mapa final'!#REF!),"")</f>
        <v>#REF!</v>
      </c>
      <c r="K59" s="50" t="e">
        <f>IF(AND('Mapa final'!#REF!="Alta",'Mapa final'!#REF!="Leve"),CONCATENATE("R4C",'Mapa final'!#REF!),"")</f>
        <v>#REF!</v>
      </c>
      <c r="L59" s="111" t="e">
        <f>IF(AND('Mapa final'!#REF!="Alta",'Mapa final'!#REF!="Leve"),CONCATENATE("R4C",'Mapa final'!#REF!),"")</f>
        <v>#REF!</v>
      </c>
      <c r="M59" s="49" t="e">
        <f>IF(AND('Mapa final'!#REF!="Alta",'Mapa final'!#REF!="Menor"),CONCATENATE("R4C",'Mapa final'!#REF!),"")</f>
        <v>#REF!</v>
      </c>
      <c r="N59" s="50" t="e">
        <f>IF(AND('Mapa final'!#REF!="Alta",'Mapa final'!#REF!="Menor"),CONCATENATE("R4C",'Mapa final'!#REF!),"")</f>
        <v>#REF!</v>
      </c>
      <c r="O59" s="111" t="e">
        <f>IF(AND('Mapa final'!#REF!="Alta",'Mapa final'!#REF!="Menor"),CONCATENATE("R4C",'Mapa final'!#REF!),"")</f>
        <v>#REF!</v>
      </c>
      <c r="P59" s="105" t="e">
        <f>IF(AND('Mapa final'!#REF!="Alta",'Mapa final'!#REF!="Moderado"),CONCATENATE("R4C",'Mapa final'!#REF!),"")</f>
        <v>#REF!</v>
      </c>
      <c r="Q59" s="42" t="e">
        <f>IF(AND('Mapa final'!#REF!="Alta",'Mapa final'!#REF!="Moderado"),CONCATENATE("R4C",'Mapa final'!#REF!),"")</f>
        <v>#REF!</v>
      </c>
      <c r="R59" s="106" t="e">
        <f>IF(AND('Mapa final'!#REF!="Alta",'Mapa final'!#REF!="Moderado"),CONCATENATE("R4C",'Mapa final'!#REF!),"")</f>
        <v>#REF!</v>
      </c>
      <c r="S59" s="105" t="e">
        <f>IF(AND('Mapa final'!#REF!="Alta",'Mapa final'!#REF!="Mayor"),CONCATENATE("R4C",'Mapa final'!#REF!),"")</f>
        <v>#REF!</v>
      </c>
      <c r="T59" s="42" t="e">
        <f>IF(AND('Mapa final'!#REF!="Alta",'Mapa final'!#REF!="Mayor"),CONCATENATE("R4C",'Mapa final'!#REF!),"")</f>
        <v>#REF!</v>
      </c>
      <c r="U59" s="106"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100" t="e">
        <f>IF(AND('Mapa final'!#REF!="Alta",'Mapa final'!#REF!="Catastrófico"),CONCATENATE("R4C",'Mapa final'!#REF!),"")</f>
        <v>#REF!</v>
      </c>
      <c r="Y59" s="56"/>
      <c r="Z59" s="282"/>
      <c r="AA59" s="283"/>
      <c r="AB59" s="283"/>
      <c r="AC59" s="283"/>
      <c r="AD59" s="283"/>
      <c r="AE59" s="284"/>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35">
      <c r="A60" s="56"/>
      <c r="B60" s="300"/>
      <c r="C60" s="300"/>
      <c r="D60" s="301"/>
      <c r="E60" s="289"/>
      <c r="F60" s="290"/>
      <c r="G60" s="290"/>
      <c r="H60" s="290"/>
      <c r="I60" s="288"/>
      <c r="J60" s="49" t="str">
        <f>IF(AND('Mapa final'!$AB$16="Alta",'Mapa final'!$AD$16="Leve"),CONCATENATE("R5C",'Mapa final'!$R$16),"")</f>
        <v/>
      </c>
      <c r="K60" s="50" t="str">
        <f>IF(AND('Mapa final'!$AB$17="Alta",'Mapa final'!$AD$17="Leve"),CONCATENATE("R5C",'Mapa final'!$R$17),"")</f>
        <v/>
      </c>
      <c r="L60" s="111" t="str">
        <f>IF(AND('Mapa final'!$AB$18="Alta",'Mapa final'!$AD$18="Leve"),CONCATENATE("R5C",'Mapa final'!$R$18),"")</f>
        <v/>
      </c>
      <c r="M60" s="49" t="str">
        <f>IF(AND('Mapa final'!$AB$16="Alta",'Mapa final'!$AD$16="Menor"),CONCATENATE("R5C",'Mapa final'!$R$16),"")</f>
        <v/>
      </c>
      <c r="N60" s="50" t="str">
        <f>IF(AND('Mapa final'!$AB$17="Alta",'Mapa final'!$AD$17="Menor"),CONCATENATE("R5C",'Mapa final'!$R$17),"")</f>
        <v/>
      </c>
      <c r="O60" s="111" t="str">
        <f>IF(AND('Mapa final'!$AB$18="Alta",'Mapa final'!$AD$18="Menor"),CONCATENATE("R5C",'Mapa final'!$R$18),"")</f>
        <v/>
      </c>
      <c r="P60" s="105" t="str">
        <f>IF(AND('Mapa final'!$AB$16="Alta",'Mapa final'!$AD$16="Moderado"),CONCATENATE("R5C",'Mapa final'!$R$16),"")</f>
        <v/>
      </c>
      <c r="Q60" s="42" t="str">
        <f>IF(AND('Mapa final'!$AB$17="Alta",'Mapa final'!$AD$17="Moderado"),CONCATENATE("R5C",'Mapa final'!$R$17),"")</f>
        <v/>
      </c>
      <c r="R60" s="106" t="str">
        <f>IF(AND('Mapa final'!$AB$18="Alta",'Mapa final'!$AD$18="Moderado"),CONCATENATE("R5C",'Mapa final'!$R$18),"")</f>
        <v/>
      </c>
      <c r="S60" s="105" t="str">
        <f>IF(AND('Mapa final'!$AB$16="Alta",'Mapa final'!$AD$16="Mayor"),CONCATENATE("R5C",'Mapa final'!$R$16),"")</f>
        <v/>
      </c>
      <c r="T60" s="42" t="str">
        <f>IF(AND('Mapa final'!$AB$17="Alta",'Mapa final'!$AD$17="Mayor"),CONCATENATE("R5C",'Mapa final'!$R$17),"")</f>
        <v/>
      </c>
      <c r="U60" s="106" t="str">
        <f>IF(AND('Mapa final'!$AB$18="Alta",'Mapa final'!$AD$18="Mayor"),CONCATENATE("R5C",'Mapa final'!$R$18),"")</f>
        <v/>
      </c>
      <c r="V60" s="43" t="str">
        <f>IF(AND('Mapa final'!$AB$16="Alta",'Mapa final'!$AD$16="Catastrófico"),CONCATENATE("R5C",'Mapa final'!$R$16),"")</f>
        <v/>
      </c>
      <c r="W60" s="44" t="str">
        <f>IF(AND('Mapa final'!$AB$17="Alta",'Mapa final'!$AD$17="Catastrófico"),CONCATENATE("R5C",'Mapa final'!$R$17),"")</f>
        <v/>
      </c>
      <c r="X60" s="100" t="str">
        <f>IF(AND('Mapa final'!$AB$18="Alta",'Mapa final'!$AD$18="Catastrófico"),CONCATENATE("R5C",'Mapa final'!$R$18),"")</f>
        <v/>
      </c>
      <c r="Y60" s="56"/>
      <c r="Z60" s="282"/>
      <c r="AA60" s="283"/>
      <c r="AB60" s="283"/>
      <c r="AC60" s="283"/>
      <c r="AD60" s="283"/>
      <c r="AE60" s="284"/>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35">
      <c r="A61" s="56"/>
      <c r="B61" s="300"/>
      <c r="C61" s="300"/>
      <c r="D61" s="301"/>
      <c r="E61" s="289"/>
      <c r="F61" s="290"/>
      <c r="G61" s="290"/>
      <c r="H61" s="290"/>
      <c r="I61" s="288"/>
      <c r="J61" s="49" t="str">
        <f>IF(AND('Mapa final'!$AB$19="Alta",'Mapa final'!$AD$19="Leve"),CONCATENATE("R6C",'Mapa final'!$R$19),"")</f>
        <v/>
      </c>
      <c r="K61" s="50" t="str">
        <f>IF(AND('Mapa final'!$AB$20="Alta",'Mapa final'!$AD$20="Leve"),CONCATENATE("R6C",'Mapa final'!$R$20),"")</f>
        <v/>
      </c>
      <c r="L61" s="111" t="str">
        <f>IF(AND('Mapa final'!$AB$21="Alta",'Mapa final'!$AD$21="Leve"),CONCATENATE("R6C",'Mapa final'!$R$21),"")</f>
        <v/>
      </c>
      <c r="M61" s="49" t="str">
        <f>IF(AND('Mapa final'!$AB$19="Alta",'Mapa final'!$AD$19="Menor"),CONCATENATE("R6C",'Mapa final'!$R$19),"")</f>
        <v/>
      </c>
      <c r="N61" s="50" t="str">
        <f>IF(AND('Mapa final'!$AB$20="Alta",'Mapa final'!$AD$20="Menor"),CONCATENATE("R6C",'Mapa final'!$R$20),"")</f>
        <v/>
      </c>
      <c r="O61" s="111" t="str">
        <f>IF(AND('Mapa final'!$AB$21="Alta",'Mapa final'!$AD$21="Menor"),CONCATENATE("R6C",'Mapa final'!$R$21),"")</f>
        <v/>
      </c>
      <c r="P61" s="105" t="str">
        <f>IF(AND('Mapa final'!$AB$19="Alta",'Mapa final'!$AD$19="Moderado"),CONCATENATE("R6C",'Mapa final'!$R$19),"")</f>
        <v/>
      </c>
      <c r="Q61" s="42" t="str">
        <f>IF(AND('Mapa final'!$AB$20="Alta",'Mapa final'!$AD$20="Moderado"),CONCATENATE("R6C",'Mapa final'!$R$20),"")</f>
        <v/>
      </c>
      <c r="R61" s="106" t="str">
        <f>IF(AND('Mapa final'!$AB$21="Alta",'Mapa final'!$AD$21="Moderado"),CONCATENATE("R6C",'Mapa final'!$R$21),"")</f>
        <v/>
      </c>
      <c r="S61" s="105" t="str">
        <f>IF(AND('Mapa final'!$AB$19="Alta",'Mapa final'!$AD$19="Mayor"),CONCATENATE("R6C",'Mapa final'!$R$19),"")</f>
        <v/>
      </c>
      <c r="T61" s="42" t="str">
        <f>IF(AND('Mapa final'!$AB$20="Alta",'Mapa final'!$AD$20="Mayor"),CONCATENATE("R6C",'Mapa final'!$R$20),"")</f>
        <v/>
      </c>
      <c r="U61" s="106" t="str">
        <f>IF(AND('Mapa final'!$AB$21="Alta",'Mapa final'!$AD$21="Mayor"),CONCATENATE("R6C",'Mapa final'!$R$21),"")</f>
        <v/>
      </c>
      <c r="V61" s="43" t="str">
        <f>IF(AND('Mapa final'!$AB$19="Alta",'Mapa final'!$AD$19="Catastrófico"),CONCATENATE("R6C",'Mapa final'!$R$19),"")</f>
        <v/>
      </c>
      <c r="W61" s="44" t="str">
        <f>IF(AND('Mapa final'!$AB$20="Alta",'Mapa final'!$AD$20="Catastrófico"),CONCATENATE("R6C",'Mapa final'!$R$20),"")</f>
        <v/>
      </c>
      <c r="X61" s="100" t="str">
        <f>IF(AND('Mapa final'!$AB$21="Alta",'Mapa final'!$AD$21="Catastrófico"),CONCATENATE("R6C",'Mapa final'!$R$21),"")</f>
        <v/>
      </c>
      <c r="Y61" s="56"/>
      <c r="Z61" s="282"/>
      <c r="AA61" s="283"/>
      <c r="AB61" s="283"/>
      <c r="AC61" s="283"/>
      <c r="AD61" s="283"/>
      <c r="AE61" s="284"/>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35">
      <c r="A62" s="56"/>
      <c r="B62" s="300"/>
      <c r="C62" s="300"/>
      <c r="D62" s="301"/>
      <c r="E62" s="289"/>
      <c r="F62" s="290"/>
      <c r="G62" s="290"/>
      <c r="H62" s="290"/>
      <c r="I62" s="288"/>
      <c r="J62" s="49" t="str">
        <f>IF(AND('Mapa final'!$AB$22="Alta",'Mapa final'!$AD$22="Leve"),CONCATENATE("R7C",'Mapa final'!$R$22),"")</f>
        <v/>
      </c>
      <c r="K62" s="50" t="str">
        <f>IF(AND('Mapa final'!$AB$23="Alta",'Mapa final'!$AD$23="Leve"),CONCATENATE("R7C",'Mapa final'!$R$23),"")</f>
        <v/>
      </c>
      <c r="L62" s="111" t="str">
        <f>IF(AND('Mapa final'!$AB$24="Alta",'Mapa final'!$AD$24="Leve"),CONCATENATE("R7C",'Mapa final'!$R$24),"")</f>
        <v/>
      </c>
      <c r="M62" s="49" t="str">
        <f>IF(AND('Mapa final'!$AB$22="Alta",'Mapa final'!$AD$22="Menor"),CONCATENATE("R7C",'Mapa final'!$R$22),"")</f>
        <v/>
      </c>
      <c r="N62" s="50" t="str">
        <f>IF(AND('Mapa final'!$AB$23="Alta",'Mapa final'!$AD$23="Menor"),CONCATENATE("R7C",'Mapa final'!$R$23),"")</f>
        <v/>
      </c>
      <c r="O62" s="111" t="str">
        <f>IF(AND('Mapa final'!$AB$24="Alta",'Mapa final'!$AD$24="Menor"),CONCATENATE("R7C",'Mapa final'!$R$24),"")</f>
        <v/>
      </c>
      <c r="P62" s="105" t="str">
        <f>IF(AND('Mapa final'!$AB$22="Alta",'Mapa final'!$AD$22="Moderado"),CONCATENATE("R7C",'Mapa final'!$R$22),"")</f>
        <v/>
      </c>
      <c r="Q62" s="42" t="str">
        <f>IF(AND('Mapa final'!$AB$23="Alta",'Mapa final'!$AD$23="Moderado"),CONCATENATE("R7C",'Mapa final'!$R$23),"")</f>
        <v/>
      </c>
      <c r="R62" s="106" t="str">
        <f>IF(AND('Mapa final'!$AB$24="Alta",'Mapa final'!$AD$24="Moderado"),CONCATENATE("R7C",'Mapa final'!$R$24),"")</f>
        <v/>
      </c>
      <c r="S62" s="105" t="str">
        <f>IF(AND('Mapa final'!$AB$22="Alta",'Mapa final'!$AD$22="Mayor"),CONCATENATE("R7C",'Mapa final'!$R$22),"")</f>
        <v/>
      </c>
      <c r="T62" s="42" t="str">
        <f>IF(AND('Mapa final'!$AB$23="Alta",'Mapa final'!$AD$23="Mayor"),CONCATENATE("R7C",'Mapa final'!$R$23),"")</f>
        <v/>
      </c>
      <c r="U62" s="106" t="str">
        <f>IF(AND('Mapa final'!$AB$24="Alta",'Mapa final'!$AD$24="Mayor"),CONCATENATE("R7C",'Mapa final'!$R$24),"")</f>
        <v/>
      </c>
      <c r="V62" s="43" t="str">
        <f>IF(AND('Mapa final'!$AB$22="Alta",'Mapa final'!$AD$22="Catastrófico"),CONCATENATE("R7C",'Mapa final'!$R$22),"")</f>
        <v/>
      </c>
      <c r="W62" s="44" t="str">
        <f>IF(AND('Mapa final'!$AB$23="Alta",'Mapa final'!$AD$23="Catastrófico"),CONCATENATE("R7C",'Mapa final'!$R$23),"")</f>
        <v/>
      </c>
      <c r="X62" s="100" t="str">
        <f>IF(AND('Mapa final'!$AB$24="Alta",'Mapa final'!$AD$24="Catastrófico"),CONCATENATE("R7C",'Mapa final'!$R$24),"")</f>
        <v/>
      </c>
      <c r="Y62" s="56"/>
      <c r="Z62" s="282"/>
      <c r="AA62" s="283"/>
      <c r="AB62" s="283"/>
      <c r="AC62" s="283"/>
      <c r="AD62" s="283"/>
      <c r="AE62" s="284"/>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35">
      <c r="A63" s="56"/>
      <c r="B63" s="300"/>
      <c r="C63" s="300"/>
      <c r="D63" s="301"/>
      <c r="E63" s="289"/>
      <c r="F63" s="290"/>
      <c r="G63" s="290"/>
      <c r="H63" s="290"/>
      <c r="I63" s="288"/>
      <c r="J63" s="49" t="str">
        <f>IF(AND('Mapa final'!$AB$25="Alta",'Mapa final'!$AD$25="Leve"),CONCATENATE("R8C",'Mapa final'!$R$25),"")</f>
        <v/>
      </c>
      <c r="K63" s="50" t="str">
        <f>IF(AND('Mapa final'!$AB$26="Alta",'Mapa final'!$AD$26="Leve"),CONCATENATE("R8C",'Mapa final'!$R$26),"")</f>
        <v/>
      </c>
      <c r="L63" s="111" t="str">
        <f>IF(AND('Mapa final'!$AB$27="Alta",'Mapa final'!$AD$27="Leve"),CONCATENATE("R8C",'Mapa final'!$R$27),"")</f>
        <v/>
      </c>
      <c r="M63" s="49" t="str">
        <f>IF(AND('Mapa final'!$AB$25="Alta",'Mapa final'!$AD$25="Menor"),CONCATENATE("R8C",'Mapa final'!$R$25),"")</f>
        <v/>
      </c>
      <c r="N63" s="50" t="str">
        <f>IF(AND('Mapa final'!$AB$26="Alta",'Mapa final'!$AD$26="Menor"),CONCATENATE("R8C",'Mapa final'!$R$26),"")</f>
        <v/>
      </c>
      <c r="O63" s="111" t="str">
        <f>IF(AND('Mapa final'!$AB$27="Alta",'Mapa final'!$AD$27="Menor"),CONCATENATE("R8C",'Mapa final'!$R$27),"")</f>
        <v/>
      </c>
      <c r="P63" s="105" t="str">
        <f>IF(AND('Mapa final'!$AB$25="Alta",'Mapa final'!$AD$25="Moderado"),CONCATENATE("R8C",'Mapa final'!$R$25),"")</f>
        <v/>
      </c>
      <c r="Q63" s="42" t="str">
        <f>IF(AND('Mapa final'!$AB$26="Alta",'Mapa final'!$AD$26="Moderado"),CONCATENATE("R8C",'Mapa final'!$R$26),"")</f>
        <v/>
      </c>
      <c r="R63" s="106" t="str">
        <f>IF(AND('Mapa final'!$AB$27="Alta",'Mapa final'!$AD$27="Moderado"),CONCATENATE("R8C",'Mapa final'!$R$27),"")</f>
        <v/>
      </c>
      <c r="S63" s="105" t="str">
        <f>IF(AND('Mapa final'!$AB$25="Alta",'Mapa final'!$AD$25="Mayor"),CONCATENATE("R8C",'Mapa final'!$R$25),"")</f>
        <v/>
      </c>
      <c r="T63" s="42" t="str">
        <f>IF(AND('Mapa final'!$AB$26="Alta",'Mapa final'!$AD$26="Mayor"),CONCATENATE("R8C",'Mapa final'!$R$26),"")</f>
        <v/>
      </c>
      <c r="U63" s="106" t="str">
        <f>IF(AND('Mapa final'!$AB$27="Alta",'Mapa final'!$AD$27="Mayor"),CONCATENATE("R8C",'Mapa final'!$R$27),"")</f>
        <v/>
      </c>
      <c r="V63" s="43" t="str">
        <f>IF(AND('Mapa final'!$AB$25="Alta",'Mapa final'!$AD$25="Catastrófico"),CONCATENATE("R8C",'Mapa final'!$R$25),"")</f>
        <v/>
      </c>
      <c r="W63" s="44" t="str">
        <f>IF(AND('Mapa final'!$AB$26="Alta",'Mapa final'!$AD$26="Catastrófico"),CONCATENATE("R8C",'Mapa final'!$R$26),"")</f>
        <v/>
      </c>
      <c r="X63" s="100" t="str">
        <f>IF(AND('Mapa final'!$AB$27="Alta",'Mapa final'!$AD$27="Catastrófico"),CONCATENATE("R8C",'Mapa final'!$R$27),"")</f>
        <v/>
      </c>
      <c r="Y63" s="56"/>
      <c r="Z63" s="282"/>
      <c r="AA63" s="283"/>
      <c r="AB63" s="283"/>
      <c r="AC63" s="283"/>
      <c r="AD63" s="283"/>
      <c r="AE63" s="284"/>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35">
      <c r="A64" s="56"/>
      <c r="B64" s="300"/>
      <c r="C64" s="300"/>
      <c r="D64" s="301"/>
      <c r="E64" s="289"/>
      <c r="F64" s="290"/>
      <c r="G64" s="290"/>
      <c r="H64" s="290"/>
      <c r="I64" s="288"/>
      <c r="J64" s="49" t="str">
        <f>IF(AND('Mapa final'!$AB$28="Alta",'Mapa final'!$AD$28="Leve"),CONCATENATE("R9C",'Mapa final'!$R$28),"")</f>
        <v/>
      </c>
      <c r="K64" s="50" t="str">
        <f>IF(AND('Mapa final'!$AB$29="Alta",'Mapa final'!$AD$29="Leve"),CONCATENATE("R9C",'Mapa final'!$R$29),"")</f>
        <v/>
      </c>
      <c r="L64" s="111" t="str">
        <f>IF(AND('Mapa final'!$AB$30="Alta",'Mapa final'!$AD$30="Leve"),CONCATENATE("R9C",'Mapa final'!$R$30),"")</f>
        <v/>
      </c>
      <c r="M64" s="49" t="str">
        <f>IF(AND('Mapa final'!$AB$28="Alta",'Mapa final'!$AD$28="Menor"),CONCATENATE("R9C",'Mapa final'!$R$28),"")</f>
        <v/>
      </c>
      <c r="N64" s="50" t="str">
        <f>IF(AND('Mapa final'!$AB$29="Alta",'Mapa final'!$AD$29="Menor"),CONCATENATE("R9C",'Mapa final'!$R$29),"")</f>
        <v/>
      </c>
      <c r="O64" s="111" t="str">
        <f>IF(AND('Mapa final'!$AB$30="Alta",'Mapa final'!$AD$30="Menor"),CONCATENATE("R9C",'Mapa final'!$R$30),"")</f>
        <v/>
      </c>
      <c r="P64" s="105" t="str">
        <f>IF(AND('Mapa final'!$AB$28="Alta",'Mapa final'!$AD$28="Moderado"),CONCATENATE("R9C",'Mapa final'!$R$28),"")</f>
        <v/>
      </c>
      <c r="Q64" s="42" t="str">
        <f>IF(AND('Mapa final'!$AB$29="Alta",'Mapa final'!$AD$29="Moderado"),CONCATENATE("R9C",'Mapa final'!$R$29),"")</f>
        <v/>
      </c>
      <c r="R64" s="106" t="str">
        <f>IF(AND('Mapa final'!$AB$30="Alta",'Mapa final'!$AD$30="Moderado"),CONCATENATE("R9C",'Mapa final'!$R$30),"")</f>
        <v/>
      </c>
      <c r="S64" s="105" t="str">
        <f>IF(AND('Mapa final'!$AB$28="Alta",'Mapa final'!$AD$28="Mayor"),CONCATENATE("R9C",'Mapa final'!$R$28),"")</f>
        <v/>
      </c>
      <c r="T64" s="42" t="str">
        <f>IF(AND('Mapa final'!$AB$29="Alta",'Mapa final'!$AD$29="Mayor"),CONCATENATE("R9C",'Mapa final'!$R$29),"")</f>
        <v/>
      </c>
      <c r="U64" s="106" t="str">
        <f>IF(AND('Mapa final'!$AB$30="Alta",'Mapa final'!$AD$30="Mayor"),CONCATENATE("R9C",'Mapa final'!$R$30),"")</f>
        <v/>
      </c>
      <c r="V64" s="43" t="str">
        <f>IF(AND('Mapa final'!$AB$28="Alta",'Mapa final'!$AD$28="Catastrófico"),CONCATENATE("R9C",'Mapa final'!$R$28),"")</f>
        <v/>
      </c>
      <c r="W64" s="44" t="str">
        <f>IF(AND('Mapa final'!$AB$29="Alta",'Mapa final'!$AD$29="Catastrófico"),CONCATENATE("R9C",'Mapa final'!$R$29),"")</f>
        <v/>
      </c>
      <c r="X64" s="100" t="str">
        <f>IF(AND('Mapa final'!$AB$30="Alta",'Mapa final'!$AD$30="Catastrófico"),CONCATENATE("R9C",'Mapa final'!$R$30),"")</f>
        <v/>
      </c>
      <c r="Y64" s="56"/>
      <c r="Z64" s="282"/>
      <c r="AA64" s="283"/>
      <c r="AB64" s="283"/>
      <c r="AC64" s="283"/>
      <c r="AD64" s="283"/>
      <c r="AE64" s="284"/>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35">
      <c r="A65" s="56"/>
      <c r="B65" s="300"/>
      <c r="C65" s="300"/>
      <c r="D65" s="301"/>
      <c r="E65" s="289"/>
      <c r="F65" s="290"/>
      <c r="G65" s="290"/>
      <c r="H65" s="290"/>
      <c r="I65" s="288"/>
      <c r="J65" s="49" t="str">
        <f>IF(AND('Mapa final'!$AB$31="Alta",'Mapa final'!$AD$31="Leve"),CONCATENATE("R10C",'Mapa final'!$R$31),"")</f>
        <v/>
      </c>
      <c r="K65" s="50" t="str">
        <f>IF(AND('Mapa final'!$AB$32="Alta",'Mapa final'!$AD$32="Leve"),CONCATENATE("R10C",'Mapa final'!$R$32),"")</f>
        <v/>
      </c>
      <c r="L65" s="111" t="str">
        <f>IF(AND('Mapa final'!$AB$33="Alta",'Mapa final'!$AD$33="Leve"),CONCATENATE("R10C",'Mapa final'!$R$33),"")</f>
        <v/>
      </c>
      <c r="M65" s="49" t="str">
        <f>IF(AND('Mapa final'!$AB$31="Alta",'Mapa final'!$AD$31="Menor"),CONCATENATE("R10C",'Mapa final'!$R$31),"")</f>
        <v/>
      </c>
      <c r="N65" s="50" t="str">
        <f>IF(AND('Mapa final'!$AB$32="Alta",'Mapa final'!$AD$32="Menor"),CONCATENATE("R10C",'Mapa final'!$R$32),"")</f>
        <v/>
      </c>
      <c r="O65" s="111" t="str">
        <f>IF(AND('Mapa final'!$AB$33="Alta",'Mapa final'!$AD$33="Menor"),CONCATENATE("R10C",'Mapa final'!$R$33),"")</f>
        <v/>
      </c>
      <c r="P65" s="105" t="str">
        <f>IF(AND('Mapa final'!$AB$31="Alta",'Mapa final'!$AD$31="Moderado"),CONCATENATE("R10C",'Mapa final'!$R$31),"")</f>
        <v/>
      </c>
      <c r="Q65" s="42" t="str">
        <f>IF(AND('Mapa final'!$AB$32="Alta",'Mapa final'!$AD$32="Moderado"),CONCATENATE("R10C",'Mapa final'!$R$32),"")</f>
        <v/>
      </c>
      <c r="R65" s="106" t="str">
        <f>IF(AND('Mapa final'!$AB$33="Alta",'Mapa final'!$AD$33="Moderado"),CONCATENATE("R10C",'Mapa final'!$R$33),"")</f>
        <v/>
      </c>
      <c r="S65" s="105" t="str">
        <f>IF(AND('Mapa final'!$AB$31="Alta",'Mapa final'!$AD$31="Mayor"),CONCATENATE("R10C",'Mapa final'!$R$31),"")</f>
        <v/>
      </c>
      <c r="T65" s="42" t="str">
        <f>IF(AND('Mapa final'!$AB$32="Alta",'Mapa final'!$AD$32="Mayor"),CONCATENATE("R10C",'Mapa final'!$R$32),"")</f>
        <v/>
      </c>
      <c r="U65" s="106" t="str">
        <f>IF(AND('Mapa final'!$AB$33="Alta",'Mapa final'!$AD$33="Mayor"),CONCATENATE("R10C",'Mapa final'!$R$33),"")</f>
        <v/>
      </c>
      <c r="V65" s="43" t="str">
        <f>IF(AND('Mapa final'!$AB$31="Alta",'Mapa final'!$AD$31="Catastrófico"),CONCATENATE("R10C",'Mapa final'!$R$31),"")</f>
        <v/>
      </c>
      <c r="W65" s="44" t="str">
        <f>IF(AND('Mapa final'!$AB$32="Alta",'Mapa final'!$AD$32="Catastrófico"),CONCATENATE("R10C",'Mapa final'!$R$32),"")</f>
        <v/>
      </c>
      <c r="X65" s="100" t="str">
        <f>IF(AND('Mapa final'!$AB$33="Alta",'Mapa final'!$AD$33="Catastrófico"),CONCATENATE("R10C",'Mapa final'!$R$33),"")</f>
        <v/>
      </c>
      <c r="Y65" s="56"/>
      <c r="Z65" s="282"/>
      <c r="AA65" s="283"/>
      <c r="AB65" s="283"/>
      <c r="AC65" s="283"/>
      <c r="AD65" s="283"/>
      <c r="AE65" s="284"/>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35">
      <c r="A66" s="56"/>
      <c r="B66" s="300"/>
      <c r="C66" s="300"/>
      <c r="D66" s="301"/>
      <c r="E66" s="289"/>
      <c r="F66" s="290"/>
      <c r="G66" s="290"/>
      <c r="H66" s="290"/>
      <c r="I66" s="288"/>
      <c r="J66" s="49" t="str">
        <f>IF(AND('Mapa final'!$AB$34="Alta",'Mapa final'!$AD$34="Leve"),CONCATENATE("R11C",'Mapa final'!$R$34),"")</f>
        <v/>
      </c>
      <c r="K66" s="50" t="str">
        <f>IF(AND('Mapa final'!$AB$35="Alta",'Mapa final'!$AD$35="Leve"),CONCATENATE("R11C",'Mapa final'!$R$35),"")</f>
        <v/>
      </c>
      <c r="L66" s="111" t="str">
        <f>IF(AND('Mapa final'!$AB$36="Alta",'Mapa final'!$AD$36="Leve"),CONCATENATE("R11C",'Mapa final'!$R$36),"")</f>
        <v/>
      </c>
      <c r="M66" s="49" t="str">
        <f>IF(AND('Mapa final'!$AB$34="Alta",'Mapa final'!$AD$34="Menor"),CONCATENATE("R11C",'Mapa final'!$R$34),"")</f>
        <v/>
      </c>
      <c r="N66" s="50" t="str">
        <f>IF(AND('Mapa final'!$AB$35="Alta",'Mapa final'!$AD$35="Menor"),CONCATENATE("R11C",'Mapa final'!$R$35),"")</f>
        <v/>
      </c>
      <c r="O66" s="111" t="str">
        <f>IF(AND('Mapa final'!$AB$36="Alta",'Mapa final'!$AD$36="Menor"),CONCATENATE("R11C",'Mapa final'!$R$36),"")</f>
        <v/>
      </c>
      <c r="P66" s="105" t="str">
        <f>IF(AND('Mapa final'!$AB$34="Alta",'Mapa final'!$AD$34="Moderado"),CONCATENATE("R11C",'Mapa final'!$R$34),"")</f>
        <v/>
      </c>
      <c r="Q66" s="42" t="str">
        <f>IF(AND('Mapa final'!$AB$35="Alta",'Mapa final'!$AD$35="Moderado"),CONCATENATE("R11C",'Mapa final'!$R$35),"")</f>
        <v/>
      </c>
      <c r="R66" s="106" t="str">
        <f>IF(AND('Mapa final'!$AB$36="Alta",'Mapa final'!$AD$36="Moderado"),CONCATENATE("R11C",'Mapa final'!$R$36),"")</f>
        <v/>
      </c>
      <c r="S66" s="105" t="str">
        <f>IF(AND('Mapa final'!$AB$34="Alta",'Mapa final'!$AD$34="Mayor"),CONCATENATE("R11C",'Mapa final'!$R$34),"")</f>
        <v/>
      </c>
      <c r="T66" s="42" t="str">
        <f>IF(AND('Mapa final'!$AB$35="Alta",'Mapa final'!$AD$35="Mayor"),CONCATENATE("R11C",'Mapa final'!$R$35),"")</f>
        <v/>
      </c>
      <c r="U66" s="106" t="str">
        <f>IF(AND('Mapa final'!$AB$36="Alta",'Mapa final'!$AD$36="Mayor"),CONCATENATE("R11C",'Mapa final'!$R$36),"")</f>
        <v/>
      </c>
      <c r="V66" s="43" t="str">
        <f>IF(AND('Mapa final'!$AB$34="Alta",'Mapa final'!$AD$34="Catastrófico"),CONCATENATE("R11C",'Mapa final'!$R$34),"")</f>
        <v/>
      </c>
      <c r="W66" s="44" t="str">
        <f>IF(AND('Mapa final'!$AB$35="Alta",'Mapa final'!$AD$35="Catastrófico"),CONCATENATE("R11C",'Mapa final'!$R$35),"")</f>
        <v/>
      </c>
      <c r="X66" s="100" t="str">
        <f>IF(AND('Mapa final'!$AB$36="Alta",'Mapa final'!$AD$36="Catastrófico"),CONCATENATE("R11C",'Mapa final'!$R$36),"")</f>
        <v/>
      </c>
      <c r="Y66" s="56"/>
      <c r="Z66" s="282"/>
      <c r="AA66" s="283"/>
      <c r="AB66" s="283"/>
      <c r="AC66" s="283"/>
      <c r="AD66" s="283"/>
      <c r="AE66" s="284"/>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35">
      <c r="A67" s="56"/>
      <c r="B67" s="300"/>
      <c r="C67" s="300"/>
      <c r="D67" s="301"/>
      <c r="E67" s="289"/>
      <c r="F67" s="290"/>
      <c r="G67" s="290"/>
      <c r="H67" s="290"/>
      <c r="I67" s="288"/>
      <c r="J67" s="49" t="str">
        <f>IF(AND('Mapa final'!$AB$37="Alta",'Mapa final'!$AD$37="Leve"),CONCATENATE("R12C",'Mapa final'!$R$37),"")</f>
        <v/>
      </c>
      <c r="K67" s="50" t="str">
        <f>IF(AND('Mapa final'!$AB$38="Alta",'Mapa final'!$AD$38="Leve"),CONCATENATE("R12C",'Mapa final'!$R$38),"")</f>
        <v/>
      </c>
      <c r="L67" s="111" t="str">
        <f>IF(AND('Mapa final'!$AB$39="Alta",'Mapa final'!$AD$39="Leve"),CONCATENATE("R12C",'Mapa final'!$R$39),"")</f>
        <v/>
      </c>
      <c r="M67" s="49" t="str">
        <f>IF(AND('Mapa final'!$AB$37="Alta",'Mapa final'!$AD$37="Menor"),CONCATENATE("R12C",'Mapa final'!$R$37),"")</f>
        <v/>
      </c>
      <c r="N67" s="50" t="str">
        <f>IF(AND('Mapa final'!$AB$38="Alta",'Mapa final'!$AD$38="Menor"),CONCATENATE("R12C",'Mapa final'!$R$38),"")</f>
        <v/>
      </c>
      <c r="O67" s="111" t="str">
        <f>IF(AND('Mapa final'!$AB$39="Alta",'Mapa final'!$AD$39="Menor"),CONCATENATE("R12C",'Mapa final'!$R$39),"")</f>
        <v/>
      </c>
      <c r="P67" s="105" t="str">
        <f>IF(AND('Mapa final'!$AB$37="Alta",'Mapa final'!$AD$37="Moderado"),CONCATENATE("R12C",'Mapa final'!$R$37),"")</f>
        <v/>
      </c>
      <c r="Q67" s="42" t="str">
        <f>IF(AND('Mapa final'!$AB$38="Alta",'Mapa final'!$AD$38="Moderado"),CONCATENATE("R12C",'Mapa final'!$R$38),"")</f>
        <v/>
      </c>
      <c r="R67" s="106" t="str">
        <f>IF(AND('Mapa final'!$AB$39="Alta",'Mapa final'!$AD$39="Moderado"),CONCATENATE("R12C",'Mapa final'!$R$39),"")</f>
        <v/>
      </c>
      <c r="S67" s="105" t="str">
        <f>IF(AND('Mapa final'!$AB$37="Alta",'Mapa final'!$AD$37="Mayor"),CONCATENATE("R12C",'Mapa final'!$R$37),"")</f>
        <v/>
      </c>
      <c r="T67" s="42" t="str">
        <f>IF(AND('Mapa final'!$AB$38="Alta",'Mapa final'!$AD$38="Mayor"),CONCATENATE("R12C",'Mapa final'!$R$38),"")</f>
        <v/>
      </c>
      <c r="U67" s="106" t="str">
        <f>IF(AND('Mapa final'!$AB$39="Alta",'Mapa final'!$AD$39="Mayor"),CONCATENATE("R12C",'Mapa final'!$R$39),"")</f>
        <v/>
      </c>
      <c r="V67" s="43" t="str">
        <f>IF(AND('Mapa final'!$AB$37="Alta",'Mapa final'!$AD$37="Catastrófico"),CONCATENATE("R12C",'Mapa final'!$R$37),"")</f>
        <v/>
      </c>
      <c r="W67" s="44" t="str">
        <f>IF(AND('Mapa final'!$AB$38="Alta",'Mapa final'!$AD$38="Catastrófico"),CONCATENATE("R12C",'Mapa final'!$R$38),"")</f>
        <v/>
      </c>
      <c r="X67" s="100" t="str">
        <f>IF(AND('Mapa final'!$AB$39="Alta",'Mapa final'!$AD$39="Catastrófico"),CONCATENATE("R12C",'Mapa final'!$R$39),"")</f>
        <v/>
      </c>
      <c r="Y67" s="56"/>
      <c r="Z67" s="282"/>
      <c r="AA67" s="283"/>
      <c r="AB67" s="283"/>
      <c r="AC67" s="283"/>
      <c r="AD67" s="283"/>
      <c r="AE67" s="284"/>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35">
      <c r="A68" s="56"/>
      <c r="B68" s="300"/>
      <c r="C68" s="300"/>
      <c r="D68" s="301"/>
      <c r="E68" s="289"/>
      <c r="F68" s="290"/>
      <c r="G68" s="290"/>
      <c r="H68" s="290"/>
      <c r="I68" s="288"/>
      <c r="J68" s="49" t="str">
        <f>IF(AND('Mapa final'!$AB$40="Alta",'Mapa final'!$AD$40="Leve"),CONCATENATE("R13C",'Mapa final'!$R$40),"")</f>
        <v/>
      </c>
      <c r="K68" s="50" t="str">
        <f>IF(AND('Mapa final'!$AB$41="Alta",'Mapa final'!$AD$41="Leve"),CONCATENATE("R13C",'Mapa final'!$R$41),"")</f>
        <v/>
      </c>
      <c r="L68" s="111" t="str">
        <f>IF(AND('Mapa final'!$AB$42="Alta",'Mapa final'!$AD$42="Leve"),CONCATENATE("R13C",'Mapa final'!$R$42),"")</f>
        <v/>
      </c>
      <c r="M68" s="49" t="str">
        <f>IF(AND('Mapa final'!$AB$40="Alta",'Mapa final'!$AD$40="Menor"),CONCATENATE("R13C",'Mapa final'!$R$40),"")</f>
        <v/>
      </c>
      <c r="N68" s="50" t="str">
        <f>IF(AND('Mapa final'!$AB$41="Alta",'Mapa final'!$AD$41="Menor"),CONCATENATE("R13C",'Mapa final'!$R$41),"")</f>
        <v/>
      </c>
      <c r="O68" s="111" t="str">
        <f>IF(AND('Mapa final'!$AB$42="Alta",'Mapa final'!$AD$42="Menor"),CONCATENATE("R13C",'Mapa final'!$R$42),"")</f>
        <v/>
      </c>
      <c r="P68" s="105" t="str">
        <f>IF(AND('Mapa final'!$AB$40="Alta",'Mapa final'!$AD$40="Moderado"),CONCATENATE("R13C",'Mapa final'!$R$40),"")</f>
        <v/>
      </c>
      <c r="Q68" s="42" t="str">
        <f>IF(AND('Mapa final'!$AB$41="Alta",'Mapa final'!$AD$41="Moderado"),CONCATENATE("R13C",'Mapa final'!$R$41),"")</f>
        <v/>
      </c>
      <c r="R68" s="106" t="str">
        <f>IF(AND('Mapa final'!$AB$42="Alta",'Mapa final'!$AD$42="Moderado"),CONCATENATE("R13C",'Mapa final'!$R$42),"")</f>
        <v/>
      </c>
      <c r="S68" s="105" t="str">
        <f>IF(AND('Mapa final'!$AB$40="Alta",'Mapa final'!$AD$40="Mayor"),CONCATENATE("R13C",'Mapa final'!$R$40),"")</f>
        <v/>
      </c>
      <c r="T68" s="42" t="str">
        <f>IF(AND('Mapa final'!$AB$41="Alta",'Mapa final'!$AD$41="Mayor"),CONCATENATE("R13C",'Mapa final'!$R$41),"")</f>
        <v/>
      </c>
      <c r="U68" s="106" t="str">
        <f>IF(AND('Mapa final'!$AB$42="Alta",'Mapa final'!$AD$42="Mayor"),CONCATENATE("R13C",'Mapa final'!$R$42),"")</f>
        <v/>
      </c>
      <c r="V68" s="43" t="str">
        <f>IF(AND('Mapa final'!$AB$40="Alta",'Mapa final'!$AD$40="Catastrófico"),CONCATENATE("R13C",'Mapa final'!$R$40),"")</f>
        <v/>
      </c>
      <c r="W68" s="44" t="str">
        <f>IF(AND('Mapa final'!$AB$41="Alta",'Mapa final'!$AD$41="Catastrófico"),CONCATENATE("R13C",'Mapa final'!$R$41),"")</f>
        <v/>
      </c>
      <c r="X68" s="100" t="str">
        <f>IF(AND('Mapa final'!$AB$42="Alta",'Mapa final'!$AD$42="Catastrófico"),CONCATENATE("R13C",'Mapa final'!$R$42),"")</f>
        <v/>
      </c>
      <c r="Y68" s="56"/>
      <c r="Z68" s="282"/>
      <c r="AA68" s="283"/>
      <c r="AB68" s="283"/>
      <c r="AC68" s="283"/>
      <c r="AD68" s="283"/>
      <c r="AE68" s="284"/>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35">
      <c r="A69" s="56"/>
      <c r="B69" s="300"/>
      <c r="C69" s="300"/>
      <c r="D69" s="301"/>
      <c r="E69" s="289"/>
      <c r="F69" s="290"/>
      <c r="G69" s="290"/>
      <c r="H69" s="290"/>
      <c r="I69" s="288"/>
      <c r="J69" s="49" t="str">
        <f>IF(AND('Mapa final'!$AB$43="Alta",'Mapa final'!$AD$43="Leve"),CONCATENATE("R14C",'Mapa final'!$R$43),"")</f>
        <v/>
      </c>
      <c r="K69" s="50" t="str">
        <f>IF(AND('Mapa final'!$AB$44="Alta",'Mapa final'!$AD$44="Leve"),CONCATENATE("R14C",'Mapa final'!$R$44),"")</f>
        <v/>
      </c>
      <c r="L69" s="111" t="str">
        <f>IF(AND('Mapa final'!$AB$45="Alta",'Mapa final'!$AD$45="Leve"),CONCATENATE("R14C",'Mapa final'!$R$45),"")</f>
        <v/>
      </c>
      <c r="M69" s="49" t="str">
        <f>IF(AND('Mapa final'!$AB$43="Alta",'Mapa final'!$AD$43="Menor"),CONCATENATE("R14C",'Mapa final'!$R$43),"")</f>
        <v/>
      </c>
      <c r="N69" s="50" t="str">
        <f>IF(AND('Mapa final'!$AB$44="Alta",'Mapa final'!$AD$44="Menor"),CONCATENATE("R14C",'Mapa final'!$R$44),"")</f>
        <v/>
      </c>
      <c r="O69" s="111" t="str">
        <f>IF(AND('Mapa final'!$AB$45="Alta",'Mapa final'!$AD$45="Menor"),CONCATENATE("R14C",'Mapa final'!$R$45),"")</f>
        <v/>
      </c>
      <c r="P69" s="105" t="str">
        <f>IF(AND('Mapa final'!$AB$43="Alta",'Mapa final'!$AD$43="Moderado"),CONCATENATE("R14C",'Mapa final'!$R$43),"")</f>
        <v/>
      </c>
      <c r="Q69" s="42" t="str">
        <f>IF(AND('Mapa final'!$AB$44="Alta",'Mapa final'!$AD$44="Moderado"),CONCATENATE("R14C",'Mapa final'!$R$44),"")</f>
        <v/>
      </c>
      <c r="R69" s="106" t="str">
        <f>IF(AND('Mapa final'!$AB$45="Alta",'Mapa final'!$AD$45="Moderado"),CONCATENATE("R14C",'Mapa final'!$R$45),"")</f>
        <v/>
      </c>
      <c r="S69" s="105" t="str">
        <f>IF(AND('Mapa final'!$AB$43="Alta",'Mapa final'!$AD$43="Mayor"),CONCATENATE("R14C",'Mapa final'!$R$43),"")</f>
        <v/>
      </c>
      <c r="T69" s="42" t="str">
        <f>IF(AND('Mapa final'!$AB$44="Alta",'Mapa final'!$AD$44="Mayor"),CONCATENATE("R14C",'Mapa final'!$R$44),"")</f>
        <v/>
      </c>
      <c r="U69" s="106" t="str">
        <f>IF(AND('Mapa final'!$AB$45="Alta",'Mapa final'!$AD$45="Mayor"),CONCATENATE("R14C",'Mapa final'!$R$45),"")</f>
        <v/>
      </c>
      <c r="V69" s="43" t="str">
        <f>IF(AND('Mapa final'!$AB$43="Alta",'Mapa final'!$AD$43="Catastrófico"),CONCATENATE("R14C",'Mapa final'!$R$43),"")</f>
        <v/>
      </c>
      <c r="W69" s="44" t="str">
        <f>IF(AND('Mapa final'!$AB$44="Alta",'Mapa final'!$AD$44="Catastrófico"),CONCATENATE("R14C",'Mapa final'!$R$44),"")</f>
        <v/>
      </c>
      <c r="X69" s="100" t="str">
        <f>IF(AND('Mapa final'!$AB$45="Alta",'Mapa final'!$AD$45="Catastrófico"),CONCATENATE("R14C",'Mapa final'!$R$45),"")</f>
        <v/>
      </c>
      <c r="Y69" s="56"/>
      <c r="Z69" s="282"/>
      <c r="AA69" s="283"/>
      <c r="AB69" s="283"/>
      <c r="AC69" s="283"/>
      <c r="AD69" s="283"/>
      <c r="AE69" s="284"/>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35">
      <c r="A70" s="56"/>
      <c r="B70" s="300"/>
      <c r="C70" s="300"/>
      <c r="D70" s="301"/>
      <c r="E70" s="289"/>
      <c r="F70" s="290"/>
      <c r="G70" s="290"/>
      <c r="H70" s="290"/>
      <c r="I70" s="288"/>
      <c r="J70" s="49" t="str">
        <f>IF(AND('Mapa final'!$AB$46="Alta",'Mapa final'!$AD$46="Leve"),CONCATENATE("R15C",'Mapa final'!$R$46),"")</f>
        <v/>
      </c>
      <c r="K70" s="50" t="str">
        <f>IF(AND('Mapa final'!$AB$47="Alta",'Mapa final'!$AD$47="Leve"),CONCATENATE("R15C",'Mapa final'!$R$47),"")</f>
        <v/>
      </c>
      <c r="L70" s="111" t="str">
        <f>IF(AND('Mapa final'!$AB$48="Alta",'Mapa final'!$AD$48="Leve"),CONCATENATE("R15C",'Mapa final'!$R$48),"")</f>
        <v/>
      </c>
      <c r="M70" s="49" t="str">
        <f>IF(AND('Mapa final'!$AB$46="Alta",'Mapa final'!$AD$46="Menor"),CONCATENATE("R15C",'Mapa final'!$R$46),"")</f>
        <v/>
      </c>
      <c r="N70" s="50" t="str">
        <f>IF(AND('Mapa final'!$AB$47="Alta",'Mapa final'!$AD$47="Menor"),CONCATENATE("R15C",'Mapa final'!$R$47),"")</f>
        <v/>
      </c>
      <c r="O70" s="111" t="str">
        <f>IF(AND('Mapa final'!$AB$48="Alta",'Mapa final'!$AD$48="Menor"),CONCATENATE("R15C",'Mapa final'!$R$48),"")</f>
        <v/>
      </c>
      <c r="P70" s="105" t="str">
        <f>IF(AND('Mapa final'!$AB$46="Alta",'Mapa final'!$AD$46="Moderado"),CONCATENATE("R15C",'Mapa final'!$R$46),"")</f>
        <v/>
      </c>
      <c r="Q70" s="42" t="str">
        <f>IF(AND('Mapa final'!$AB$47="Alta",'Mapa final'!$AD$47="Moderado"),CONCATENATE("R15C",'Mapa final'!$R$47),"")</f>
        <v/>
      </c>
      <c r="R70" s="106" t="str">
        <f>IF(AND('Mapa final'!$AB$48="Alta",'Mapa final'!$AD$48="Moderado"),CONCATENATE("R15C",'Mapa final'!$R$48),"")</f>
        <v/>
      </c>
      <c r="S70" s="105" t="str">
        <f>IF(AND('Mapa final'!$AB$46="Alta",'Mapa final'!$AD$46="Mayor"),CONCATENATE("R15C",'Mapa final'!$R$46),"")</f>
        <v/>
      </c>
      <c r="T70" s="42" t="str">
        <f>IF(AND('Mapa final'!$AB$47="Alta",'Mapa final'!$AD$47="Mayor"),CONCATENATE("R15C",'Mapa final'!$R$47),"")</f>
        <v/>
      </c>
      <c r="U70" s="106" t="str">
        <f>IF(AND('Mapa final'!$AB$48="Alta",'Mapa final'!$AD$48="Mayor"),CONCATENATE("R15C",'Mapa final'!$R$48),"")</f>
        <v/>
      </c>
      <c r="V70" s="43" t="str">
        <f>IF(AND('Mapa final'!$AB$46="Alta",'Mapa final'!$AD$46="Catastrófico"),CONCATENATE("R15C",'Mapa final'!$R$46),"")</f>
        <v/>
      </c>
      <c r="W70" s="44" t="str">
        <f>IF(AND('Mapa final'!$AB$47="Alta",'Mapa final'!$AD$47="Catastrófico"),CONCATENATE("R15C",'Mapa final'!$R$47),"")</f>
        <v/>
      </c>
      <c r="X70" s="100" t="str">
        <f>IF(AND('Mapa final'!$AB$48="Alta",'Mapa final'!$AD$48="Catastrófico"),CONCATENATE("R15C",'Mapa final'!$R$48),"")</f>
        <v/>
      </c>
      <c r="Y70" s="56"/>
      <c r="Z70" s="282"/>
      <c r="AA70" s="283"/>
      <c r="AB70" s="283"/>
      <c r="AC70" s="283"/>
      <c r="AD70" s="283"/>
      <c r="AE70" s="284"/>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35">
      <c r="A71" s="56"/>
      <c r="B71" s="300"/>
      <c r="C71" s="300"/>
      <c r="D71" s="301"/>
      <c r="E71" s="289"/>
      <c r="F71" s="290"/>
      <c r="G71" s="290"/>
      <c r="H71" s="290"/>
      <c r="I71" s="288"/>
      <c r="J71" s="49" t="str">
        <f>IF(AND('Mapa final'!$AB$49="Alta",'Mapa final'!$AD$49="Leve"),CONCATENATE("R16C",'Mapa final'!$R$49),"")</f>
        <v/>
      </c>
      <c r="K71" s="50" t="str">
        <f>IF(AND('Mapa final'!$AB$50="Alta",'Mapa final'!$AD$50="Leve"),CONCATENATE("R16C",'Mapa final'!$R$50),"")</f>
        <v/>
      </c>
      <c r="L71" s="111" t="str">
        <f>IF(AND('Mapa final'!$AB$51="Alta",'Mapa final'!$AD$51="Leve"),CONCATENATE("R16C",'Mapa final'!$R$51),"")</f>
        <v/>
      </c>
      <c r="M71" s="49" t="str">
        <f>IF(AND('Mapa final'!$AB$49="Alta",'Mapa final'!$AD$49="Menor"),CONCATENATE("R16C",'Mapa final'!$R$49),"")</f>
        <v/>
      </c>
      <c r="N71" s="50" t="str">
        <f>IF(AND('Mapa final'!$AB$50="Alta",'Mapa final'!$AD$50="Menor"),CONCATENATE("R16C",'Mapa final'!$R$50),"")</f>
        <v/>
      </c>
      <c r="O71" s="111" t="str">
        <f>IF(AND('Mapa final'!$AB$51="Alta",'Mapa final'!$AD$51="Menor"),CONCATENATE("R16C",'Mapa final'!$R$51),"")</f>
        <v/>
      </c>
      <c r="P71" s="105" t="str">
        <f>IF(AND('Mapa final'!$AB$49="Alta",'Mapa final'!$AD$49="Moderado"),CONCATENATE("R16C",'Mapa final'!$R$49),"")</f>
        <v/>
      </c>
      <c r="Q71" s="42" t="str">
        <f>IF(AND('Mapa final'!$AB$50="Alta",'Mapa final'!$AD$50="Moderado"),CONCATENATE("R16C",'Mapa final'!$R$50),"")</f>
        <v/>
      </c>
      <c r="R71" s="106" t="str">
        <f>IF(AND('Mapa final'!$AB$51="Alta",'Mapa final'!$AD$51="Moderado"),CONCATENATE("R16C",'Mapa final'!$R$51),"")</f>
        <v/>
      </c>
      <c r="S71" s="105" t="str">
        <f>IF(AND('Mapa final'!$AB$49="Alta",'Mapa final'!$AD$49="Mayor"),CONCATENATE("R16C",'Mapa final'!$R$49),"")</f>
        <v/>
      </c>
      <c r="T71" s="42" t="str">
        <f>IF(AND('Mapa final'!$AB$50="Alta",'Mapa final'!$AD$50="Mayor"),CONCATENATE("R16C",'Mapa final'!$R$50),"")</f>
        <v/>
      </c>
      <c r="U71" s="106" t="str">
        <f>IF(AND('Mapa final'!$AB$51="Alta",'Mapa final'!$AD$51="Mayor"),CONCATENATE("R16C",'Mapa final'!$R$51),"")</f>
        <v/>
      </c>
      <c r="V71" s="43" t="str">
        <f>IF(AND('Mapa final'!$AB$49="Alta",'Mapa final'!$AD$49="Catastrófico"),CONCATENATE("R16C",'Mapa final'!$R$49),"")</f>
        <v/>
      </c>
      <c r="W71" s="44" t="str">
        <f>IF(AND('Mapa final'!$AB$50="Alta",'Mapa final'!$AD$50="Catastrófico"),CONCATENATE("R16C",'Mapa final'!$R$50),"")</f>
        <v/>
      </c>
      <c r="X71" s="100" t="str">
        <f>IF(AND('Mapa final'!$AB$51="Alta",'Mapa final'!$AD$51="Catastrófico"),CONCATENATE("R16C",'Mapa final'!$R$51),"")</f>
        <v/>
      </c>
      <c r="Y71" s="56"/>
      <c r="Z71" s="282"/>
      <c r="AA71" s="283"/>
      <c r="AB71" s="283"/>
      <c r="AC71" s="283"/>
      <c r="AD71" s="283"/>
      <c r="AE71" s="284"/>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35">
      <c r="A72" s="56"/>
      <c r="B72" s="300"/>
      <c r="C72" s="300"/>
      <c r="D72" s="301"/>
      <c r="E72" s="289"/>
      <c r="F72" s="290"/>
      <c r="G72" s="290"/>
      <c r="H72" s="290"/>
      <c r="I72" s="288"/>
      <c r="J72" s="49" t="str">
        <f>IF(AND('Mapa final'!$AB$52="Alta",'Mapa final'!$AD$52="Leve"),CONCATENATE("R17C",'Mapa final'!$R$52),"")</f>
        <v/>
      </c>
      <c r="K72" s="50" t="str">
        <f>IF(AND('Mapa final'!$AB$53="Alta",'Mapa final'!$AD$53="Leve"),CONCATENATE("R17C",'Mapa final'!$R$53),"")</f>
        <v/>
      </c>
      <c r="L72" s="111" t="str">
        <f>IF(AND('Mapa final'!$AB$54="Alta",'Mapa final'!$AD$54="Leve"),CONCATENATE("R17C",'Mapa final'!$R$54),"")</f>
        <v/>
      </c>
      <c r="M72" s="49" t="str">
        <f>IF(AND('Mapa final'!$AB$52="Alta",'Mapa final'!$AD$52="Menor"),CONCATENATE("R17C",'Mapa final'!$R$52),"")</f>
        <v/>
      </c>
      <c r="N72" s="50" t="str">
        <f>IF(AND('Mapa final'!$AB$53="Alta",'Mapa final'!$AD$53="Menor"),CONCATENATE("R17C",'Mapa final'!$R$53),"")</f>
        <v/>
      </c>
      <c r="O72" s="111" t="str">
        <f>IF(AND('Mapa final'!$AB$54="Alta",'Mapa final'!$AD$54="Menor"),CONCATENATE("R17C",'Mapa final'!$R$54),"")</f>
        <v/>
      </c>
      <c r="P72" s="105" t="str">
        <f>IF(AND('Mapa final'!$AB$52="Alta",'Mapa final'!$AD$52="Moderado"),CONCATENATE("R17C",'Mapa final'!$R$52),"")</f>
        <v/>
      </c>
      <c r="Q72" s="42" t="str">
        <f>IF(AND('Mapa final'!$AB$53="Alta",'Mapa final'!$AD$53="Moderado"),CONCATENATE("R17C",'Mapa final'!$R$53),"")</f>
        <v/>
      </c>
      <c r="R72" s="106" t="str">
        <f>IF(AND('Mapa final'!$AB$54="Alta",'Mapa final'!$AD$54="Moderado"),CONCATENATE("R17C",'Mapa final'!$R$54),"")</f>
        <v/>
      </c>
      <c r="S72" s="105" t="str">
        <f>IF(AND('Mapa final'!$AB$52="Alta",'Mapa final'!$AD$52="Mayor"),CONCATENATE("R17C",'Mapa final'!$R$52),"")</f>
        <v/>
      </c>
      <c r="T72" s="42" t="str">
        <f>IF(AND('Mapa final'!$AB$53="Alta",'Mapa final'!$AD$53="Mayor"),CONCATENATE("R17C",'Mapa final'!$R$53),"")</f>
        <v/>
      </c>
      <c r="U72" s="106" t="str">
        <f>IF(AND('Mapa final'!$AB$54="Alta",'Mapa final'!$AD$54="Mayor"),CONCATENATE("R17C",'Mapa final'!$R$54),"")</f>
        <v/>
      </c>
      <c r="V72" s="43" t="str">
        <f>IF(AND('Mapa final'!$AB$52="Alta",'Mapa final'!$AD$52="Catastrófico"),CONCATENATE("R17C",'Mapa final'!$R$52),"")</f>
        <v/>
      </c>
      <c r="W72" s="44" t="str">
        <f>IF(AND('Mapa final'!$AB$53="Alta",'Mapa final'!$AD$53="Catastrófico"),CONCATENATE("R17C",'Mapa final'!$R$53),"")</f>
        <v/>
      </c>
      <c r="X72" s="100" t="str">
        <f>IF(AND('Mapa final'!$AB$54="Alta",'Mapa final'!$AD$54="Catastrófico"),CONCATENATE("R17C",'Mapa final'!$R$54),"")</f>
        <v/>
      </c>
      <c r="Y72" s="56"/>
      <c r="Z72" s="282"/>
      <c r="AA72" s="283"/>
      <c r="AB72" s="283"/>
      <c r="AC72" s="283"/>
      <c r="AD72" s="283"/>
      <c r="AE72" s="284"/>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35">
      <c r="A73" s="56"/>
      <c r="B73" s="300"/>
      <c r="C73" s="300"/>
      <c r="D73" s="301"/>
      <c r="E73" s="289"/>
      <c r="F73" s="290"/>
      <c r="G73" s="290"/>
      <c r="H73" s="290"/>
      <c r="I73" s="288"/>
      <c r="J73" s="49" t="str">
        <f>IF(AND('Mapa final'!$AB$55="Alta",'Mapa final'!$AD$55="Leve"),CONCATENATE("R18C",'Mapa final'!$R$55),"")</f>
        <v/>
      </c>
      <c r="K73" s="50" t="str">
        <f>IF(AND('Mapa final'!$AB$56="Alta",'Mapa final'!$AD$56="Leve"),CONCATENATE("R18C",'Mapa final'!$R$56),"")</f>
        <v/>
      </c>
      <c r="L73" s="111" t="str">
        <f>IF(AND('Mapa final'!$AB$57="Alta",'Mapa final'!$AD$57="Leve"),CONCATENATE("R18C",'Mapa final'!$R$57),"")</f>
        <v/>
      </c>
      <c r="M73" s="49" t="str">
        <f>IF(AND('Mapa final'!$AB$55="Alta",'Mapa final'!$AD$55="Menor"),CONCATENATE("R18C",'Mapa final'!$R$55),"")</f>
        <v/>
      </c>
      <c r="N73" s="50" t="str">
        <f>IF(AND('Mapa final'!$AB$56="Alta",'Mapa final'!$AD$56="Menor"),CONCATENATE("R18C",'Mapa final'!$R$56),"")</f>
        <v/>
      </c>
      <c r="O73" s="111" t="str">
        <f>IF(AND('Mapa final'!$AB$57="Alta",'Mapa final'!$AD$57="Menor"),CONCATENATE("R18C",'Mapa final'!$R$57),"")</f>
        <v/>
      </c>
      <c r="P73" s="105" t="str">
        <f>IF(AND('Mapa final'!$AB$55="Alta",'Mapa final'!$AD$55="Moderado"),CONCATENATE("R18C",'Mapa final'!$R$55),"")</f>
        <v/>
      </c>
      <c r="Q73" s="42" t="str">
        <f>IF(AND('Mapa final'!$AB$56="Alta",'Mapa final'!$AD$56="Moderado"),CONCATENATE("R18C",'Mapa final'!$R$56),"")</f>
        <v/>
      </c>
      <c r="R73" s="106" t="str">
        <f>IF(AND('Mapa final'!$AB$57="Alta",'Mapa final'!$AD$57="Moderado"),CONCATENATE("R18C",'Mapa final'!$R$57),"")</f>
        <v/>
      </c>
      <c r="S73" s="105" t="str">
        <f>IF(AND('Mapa final'!$AB$55="Alta",'Mapa final'!$AD$55="Mayor"),CONCATENATE("R18C",'Mapa final'!$R$55),"")</f>
        <v/>
      </c>
      <c r="T73" s="42" t="str">
        <f>IF(AND('Mapa final'!$AB$56="Alta",'Mapa final'!$AD$56="Mayor"),CONCATENATE("R18C",'Mapa final'!$R$56),"")</f>
        <v/>
      </c>
      <c r="U73" s="106" t="str">
        <f>IF(AND('Mapa final'!$AB$57="Alta",'Mapa final'!$AD$57="Mayor"),CONCATENATE("R18C",'Mapa final'!$R$57),"")</f>
        <v/>
      </c>
      <c r="V73" s="43" t="str">
        <f>IF(AND('Mapa final'!$AB$55="Alta",'Mapa final'!$AD$55="Catastrófico"),CONCATENATE("R18C",'Mapa final'!$R$55),"")</f>
        <v/>
      </c>
      <c r="W73" s="44" t="str">
        <f>IF(AND('Mapa final'!$AB$56="Alta",'Mapa final'!$AD$56="Catastrófico"),CONCATENATE("R18C",'Mapa final'!$R$56),"")</f>
        <v/>
      </c>
      <c r="X73" s="100" t="str">
        <f>IF(AND('Mapa final'!$AB$57="Alta",'Mapa final'!$AD$57="Catastrófico"),CONCATENATE("R18C",'Mapa final'!$R$57),"")</f>
        <v/>
      </c>
      <c r="Y73" s="56"/>
      <c r="Z73" s="282"/>
      <c r="AA73" s="283"/>
      <c r="AB73" s="283"/>
      <c r="AC73" s="283"/>
      <c r="AD73" s="283"/>
      <c r="AE73" s="284"/>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35">
      <c r="A74" s="56"/>
      <c r="B74" s="300"/>
      <c r="C74" s="300"/>
      <c r="D74" s="301"/>
      <c r="E74" s="289"/>
      <c r="F74" s="290"/>
      <c r="G74" s="290"/>
      <c r="H74" s="290"/>
      <c r="I74" s="288"/>
      <c r="J74" s="49" t="str">
        <f>IF(AND('Mapa final'!$AB$58="Alta",'Mapa final'!$AD$58="Leve"),CONCATENATE("R19C",'Mapa final'!$R$58),"")</f>
        <v/>
      </c>
      <c r="K74" s="50" t="str">
        <f>IF(AND('Mapa final'!$AB$59="Alta",'Mapa final'!$AD$59="Leve"),CONCATENATE("R19C",'Mapa final'!$R$59),"")</f>
        <v/>
      </c>
      <c r="L74" s="111" t="str">
        <f>IF(AND('Mapa final'!$AB$60="Alta",'Mapa final'!$AD$60="Leve"),CONCATENATE("R19C",'Mapa final'!$R$60),"")</f>
        <v/>
      </c>
      <c r="M74" s="49" t="str">
        <f>IF(AND('Mapa final'!$AB$58="Alta",'Mapa final'!$AD$58="Menor"),CONCATENATE("R19C",'Mapa final'!$R$58),"")</f>
        <v/>
      </c>
      <c r="N74" s="50" t="str">
        <f>IF(AND('Mapa final'!$AB$59="Alta",'Mapa final'!$AD$59="Menor"),CONCATENATE("R19C",'Mapa final'!$R$59),"")</f>
        <v/>
      </c>
      <c r="O74" s="111" t="str">
        <f>IF(AND('Mapa final'!$AB$60="Alta",'Mapa final'!$AD$60="Menor"),CONCATENATE("R19C",'Mapa final'!$R$60),"")</f>
        <v/>
      </c>
      <c r="P74" s="105" t="str">
        <f>IF(AND('Mapa final'!$AB$58="Alta",'Mapa final'!$AD$58="Moderado"),CONCATENATE("R19C",'Mapa final'!$R$58),"")</f>
        <v/>
      </c>
      <c r="Q74" s="42" t="str">
        <f>IF(AND('Mapa final'!$AB$59="Alta",'Mapa final'!$AD$59="Moderado"),CONCATENATE("R19C",'Mapa final'!$R$59),"")</f>
        <v/>
      </c>
      <c r="R74" s="106" t="str">
        <f>IF(AND('Mapa final'!$AB$60="Alta",'Mapa final'!$AD$60="Moderado"),CONCATENATE("R19C",'Mapa final'!$R$60),"")</f>
        <v/>
      </c>
      <c r="S74" s="105" t="str">
        <f>IF(AND('Mapa final'!$AB$58="Alta",'Mapa final'!$AD$58="Mayor"),CONCATENATE("R19C",'Mapa final'!$R$58),"")</f>
        <v/>
      </c>
      <c r="T74" s="42" t="str">
        <f>IF(AND('Mapa final'!$AB$59="Alta",'Mapa final'!$AD$59="Mayor"),CONCATENATE("R19C",'Mapa final'!$R$59),"")</f>
        <v/>
      </c>
      <c r="U74" s="106" t="str">
        <f>IF(AND('Mapa final'!$AB$60="Alta",'Mapa final'!$AD$60="Mayor"),CONCATENATE("R19C",'Mapa final'!$R$60),"")</f>
        <v/>
      </c>
      <c r="V74" s="43" t="str">
        <f>IF(AND('Mapa final'!$AB$58="Alta",'Mapa final'!$AD$58="Catastrófico"),CONCATENATE("R19C",'Mapa final'!$R$58),"")</f>
        <v/>
      </c>
      <c r="W74" s="44" t="str">
        <f>IF(AND('Mapa final'!$AB$59="Alta",'Mapa final'!$AD$59="Catastrófico"),CONCATENATE("R19C",'Mapa final'!$R$59),"")</f>
        <v/>
      </c>
      <c r="X74" s="100" t="str">
        <f>IF(AND('Mapa final'!$AB$60="Alta",'Mapa final'!$AD$60="Catastrófico"),CONCATENATE("R19C",'Mapa final'!$R$60),"")</f>
        <v/>
      </c>
      <c r="Y74" s="56"/>
      <c r="Z74" s="282"/>
      <c r="AA74" s="283"/>
      <c r="AB74" s="283"/>
      <c r="AC74" s="283"/>
      <c r="AD74" s="283"/>
      <c r="AE74" s="284"/>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35">
      <c r="A75" s="56"/>
      <c r="B75" s="300"/>
      <c r="C75" s="300"/>
      <c r="D75" s="301"/>
      <c r="E75" s="289"/>
      <c r="F75" s="290"/>
      <c r="G75" s="290"/>
      <c r="H75" s="290"/>
      <c r="I75" s="288"/>
      <c r="J75" s="49" t="str">
        <f>IF(AND('Mapa final'!$AB$61="Alta",'Mapa final'!$AD$61="Leve"),CONCATENATE("R20C",'Mapa final'!$R$61),"")</f>
        <v/>
      </c>
      <c r="K75" s="50" t="str">
        <f>IF(AND('Mapa final'!$AB$62="Alta",'Mapa final'!$AD$62="Leve"),CONCATENATE("R20C",'Mapa final'!$R$62),"")</f>
        <v/>
      </c>
      <c r="L75" s="111" t="str">
        <f>IF(AND('Mapa final'!$AB$63="Alta",'Mapa final'!$AD$63="Leve"),CONCATENATE("R20C",'Mapa final'!$R$63),"")</f>
        <v/>
      </c>
      <c r="M75" s="49" t="str">
        <f>IF(AND('Mapa final'!$AB$61="Alta",'Mapa final'!$AD$61="Menor"),CONCATENATE("R20C",'Mapa final'!$R$61),"")</f>
        <v/>
      </c>
      <c r="N75" s="50" t="str">
        <f>IF(AND('Mapa final'!$AB$62="Alta",'Mapa final'!$AD$62="Menor"),CONCATENATE("R20C",'Mapa final'!$R$62),"")</f>
        <v/>
      </c>
      <c r="O75" s="111" t="str">
        <f>IF(AND('Mapa final'!$AB$63="Alta",'Mapa final'!$AD$63="Menor"),CONCATENATE("R20C",'Mapa final'!$R$63),"")</f>
        <v/>
      </c>
      <c r="P75" s="105" t="str">
        <f>IF(AND('Mapa final'!$AB$61="Alta",'Mapa final'!$AD$61="Moderado"),CONCATENATE("R20C",'Mapa final'!$R$61),"")</f>
        <v/>
      </c>
      <c r="Q75" s="42" t="str">
        <f>IF(AND('Mapa final'!$AB$62="Alta",'Mapa final'!$AD$62="Moderado"),CONCATENATE("R20C",'Mapa final'!$R$62),"")</f>
        <v/>
      </c>
      <c r="R75" s="106" t="str">
        <f>IF(AND('Mapa final'!$AB$63="Alta",'Mapa final'!$AD$63="Moderado"),CONCATENATE("R20C",'Mapa final'!$R$63),"")</f>
        <v/>
      </c>
      <c r="S75" s="105" t="str">
        <f>IF(AND('Mapa final'!$AB$61="Alta",'Mapa final'!$AD$61="Mayor"),CONCATENATE("R20C",'Mapa final'!$R$61),"")</f>
        <v/>
      </c>
      <c r="T75" s="42" t="str">
        <f>IF(AND('Mapa final'!$AB$62="Alta",'Mapa final'!$AD$62="Mayor"),CONCATENATE("R20C",'Mapa final'!$R$62),"")</f>
        <v/>
      </c>
      <c r="U75" s="106" t="str">
        <f>IF(AND('Mapa final'!$AB$63="Alta",'Mapa final'!$AD$63="Mayor"),CONCATENATE("R20C",'Mapa final'!$R$63),"")</f>
        <v/>
      </c>
      <c r="V75" s="43" t="str">
        <f>IF(AND('Mapa final'!$AB$61="Alta",'Mapa final'!$AD$61="Catastrófico"),CONCATENATE("R20C",'Mapa final'!$R$61),"")</f>
        <v/>
      </c>
      <c r="W75" s="44" t="str">
        <f>IF(AND('Mapa final'!$AB$62="Alta",'Mapa final'!$AD$62="Catastrófico"),CONCATENATE("R20C",'Mapa final'!$R$62),"")</f>
        <v/>
      </c>
      <c r="X75" s="100" t="str">
        <f>IF(AND('Mapa final'!$AB$63="Alta",'Mapa final'!$AD$63="Catastrófico"),CONCATENATE("R20C",'Mapa final'!$R$63),"")</f>
        <v/>
      </c>
      <c r="Y75" s="56"/>
      <c r="Z75" s="282"/>
      <c r="AA75" s="283"/>
      <c r="AB75" s="283"/>
      <c r="AC75" s="283"/>
      <c r="AD75" s="283"/>
      <c r="AE75" s="284"/>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35">
      <c r="A76" s="56"/>
      <c r="B76" s="300"/>
      <c r="C76" s="300"/>
      <c r="D76" s="301"/>
      <c r="E76" s="289"/>
      <c r="F76" s="290"/>
      <c r="G76" s="290"/>
      <c r="H76" s="290"/>
      <c r="I76" s="288"/>
      <c r="J76" s="49" t="str">
        <f>IF(AND('Mapa final'!$AB$64="Alta",'Mapa final'!$AD$64="Leve"),CONCATENATE("R21C",'Mapa final'!$R$64),"")</f>
        <v/>
      </c>
      <c r="K76" s="50" t="str">
        <f>IF(AND('Mapa final'!$AB$65="Alta",'Mapa final'!$AD$65="Leve"),CONCATENATE("R21C",'Mapa final'!$R$65),"")</f>
        <v/>
      </c>
      <c r="L76" s="111" t="str">
        <f>IF(AND('Mapa final'!$AB$66="Alta",'Mapa final'!$AD$66="Leve"),CONCATENATE("R21C",'Mapa final'!$R$66),"")</f>
        <v/>
      </c>
      <c r="M76" s="49" t="str">
        <f>IF(AND('Mapa final'!$AB$64="Alta",'Mapa final'!$AD$64="Menor"),CONCATENATE("R21C",'Mapa final'!$R$64),"")</f>
        <v/>
      </c>
      <c r="N76" s="50" t="str">
        <f>IF(AND('Mapa final'!$AB$65="Alta",'Mapa final'!$AD$65="Menor"),CONCATENATE("R21C",'Mapa final'!$R$65),"")</f>
        <v/>
      </c>
      <c r="O76" s="111" t="str">
        <f>IF(AND('Mapa final'!$AB$66="Alta",'Mapa final'!$AD$66="Menor"),CONCATENATE("R21C",'Mapa final'!$R$66),"")</f>
        <v/>
      </c>
      <c r="P76" s="105" t="str">
        <f>IF(AND('Mapa final'!$AB$64="Alta",'Mapa final'!$AD$64="Moderado"),CONCATENATE("R21C",'Mapa final'!$R$64),"")</f>
        <v/>
      </c>
      <c r="Q76" s="42" t="str">
        <f>IF(AND('Mapa final'!$AB$65="Alta",'Mapa final'!$AD$65="Moderado"),CONCATENATE("R21C",'Mapa final'!$R$65),"")</f>
        <v/>
      </c>
      <c r="R76" s="106" t="str">
        <f>IF(AND('Mapa final'!$AB$66="Alta",'Mapa final'!$AD$66="Moderado"),CONCATENATE("R21C",'Mapa final'!$R$66),"")</f>
        <v/>
      </c>
      <c r="S76" s="105" t="str">
        <f>IF(AND('Mapa final'!$AB$64="Alta",'Mapa final'!$AD$64="Mayor"),CONCATENATE("R21C",'Mapa final'!$R$64),"")</f>
        <v/>
      </c>
      <c r="T76" s="42" t="str">
        <f>IF(AND('Mapa final'!$AB$65="Alta",'Mapa final'!$AD$65="Mayor"),CONCATENATE("R21C",'Mapa final'!$R$65),"")</f>
        <v/>
      </c>
      <c r="U76" s="106" t="str">
        <f>IF(AND('Mapa final'!$AB$66="Alta",'Mapa final'!$AD$66="Mayor"),CONCATENATE("R21C",'Mapa final'!$R$66),"")</f>
        <v/>
      </c>
      <c r="V76" s="43" t="str">
        <f>IF(AND('Mapa final'!$AB$64="Alta",'Mapa final'!$AD$64="Catastrófico"),CONCATENATE("R21C",'Mapa final'!$R$64),"")</f>
        <v/>
      </c>
      <c r="W76" s="44" t="str">
        <f>IF(AND('Mapa final'!$AB$65="Alta",'Mapa final'!$AD$65="Catastrófico"),CONCATENATE("R21C",'Mapa final'!$R$65),"")</f>
        <v/>
      </c>
      <c r="X76" s="100" t="str">
        <f>IF(AND('Mapa final'!$AB$66="Alta",'Mapa final'!$AD$66="Catastrófico"),CONCATENATE("R21C",'Mapa final'!$R$66),"")</f>
        <v/>
      </c>
      <c r="Y76" s="56"/>
      <c r="Z76" s="282"/>
      <c r="AA76" s="283"/>
      <c r="AB76" s="283"/>
      <c r="AC76" s="283"/>
      <c r="AD76" s="283"/>
      <c r="AE76" s="284"/>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35">
      <c r="A77" s="56"/>
      <c r="B77" s="300"/>
      <c r="C77" s="300"/>
      <c r="D77" s="301"/>
      <c r="E77" s="289"/>
      <c r="F77" s="290"/>
      <c r="G77" s="290"/>
      <c r="H77" s="290"/>
      <c r="I77" s="288"/>
      <c r="J77" s="49" t="str">
        <f>IF(AND('Mapa final'!$AB$67="Alta",'Mapa final'!$AD$67="Leve"),CONCATENATE("R22C",'Mapa final'!$R$67),"")</f>
        <v/>
      </c>
      <c r="K77" s="50" t="str">
        <f>IF(AND('Mapa final'!$AB$68="Alta",'Mapa final'!$AD$68="Leve"),CONCATENATE("R22C",'Mapa final'!$R$68),"")</f>
        <v/>
      </c>
      <c r="L77" s="111" t="str">
        <f>IF(AND('Mapa final'!$AB$69="Alta",'Mapa final'!$AD$69="Leve"),CONCATENATE("R22C",'Mapa final'!$R$69),"")</f>
        <v/>
      </c>
      <c r="M77" s="49" t="str">
        <f>IF(AND('Mapa final'!$AB$67="Alta",'Mapa final'!$AD$67="Menor"),CONCATENATE("R22C",'Mapa final'!$R$67),"")</f>
        <v/>
      </c>
      <c r="N77" s="50" t="str">
        <f>IF(AND('Mapa final'!$AB$68="Alta",'Mapa final'!$AD$68="Menor"),CONCATENATE("R22C",'Mapa final'!$R$68),"")</f>
        <v/>
      </c>
      <c r="O77" s="111" t="str">
        <f>IF(AND('Mapa final'!$AB$69="Alta",'Mapa final'!$AD$69="Menor"),CONCATENATE("R22C",'Mapa final'!$R$69),"")</f>
        <v/>
      </c>
      <c r="P77" s="105" t="str">
        <f>IF(AND('Mapa final'!$AB$67="Alta",'Mapa final'!$AD$67="Moderado"),CONCATENATE("R22C",'Mapa final'!$R$67),"")</f>
        <v/>
      </c>
      <c r="Q77" s="42" t="str">
        <f>IF(AND('Mapa final'!$AB$68="Alta",'Mapa final'!$AD$68="Moderado"),CONCATENATE("R22C",'Mapa final'!$R$68),"")</f>
        <v/>
      </c>
      <c r="R77" s="106" t="str">
        <f>IF(AND('Mapa final'!$AB$69="Alta",'Mapa final'!$AD$69="Moderado"),CONCATENATE("R22C",'Mapa final'!$R$69),"")</f>
        <v/>
      </c>
      <c r="S77" s="105" t="str">
        <f>IF(AND('Mapa final'!$AB$67="Alta",'Mapa final'!$AD$67="Mayor"),CONCATENATE("R22C",'Mapa final'!$R$67),"")</f>
        <v/>
      </c>
      <c r="T77" s="42" t="str">
        <f>IF(AND('Mapa final'!$AB$68="Alta",'Mapa final'!$AD$68="Mayor"),CONCATENATE("R22C",'Mapa final'!$R$68),"")</f>
        <v/>
      </c>
      <c r="U77" s="106" t="str">
        <f>IF(AND('Mapa final'!$AB$69="Alta",'Mapa final'!$AD$69="Mayor"),CONCATENATE("R22C",'Mapa final'!$R$69),"")</f>
        <v/>
      </c>
      <c r="V77" s="43" t="str">
        <f>IF(AND('Mapa final'!$AB$67="Alta",'Mapa final'!$AD$67="Catastrófico"),CONCATENATE("R22C",'Mapa final'!$R$67),"")</f>
        <v/>
      </c>
      <c r="W77" s="44" t="str">
        <f>IF(AND('Mapa final'!$AB$68="Alta",'Mapa final'!$AD$68="Catastrófico"),CONCATENATE("R22C",'Mapa final'!$R$68),"")</f>
        <v/>
      </c>
      <c r="X77" s="100" t="str">
        <f>IF(AND('Mapa final'!$AB$69="Alta",'Mapa final'!$AD$69="Catastrófico"),CONCATENATE("R22C",'Mapa final'!$R$69),"")</f>
        <v/>
      </c>
      <c r="Y77" s="56"/>
      <c r="Z77" s="282"/>
      <c r="AA77" s="283"/>
      <c r="AB77" s="283"/>
      <c r="AC77" s="283"/>
      <c r="AD77" s="283"/>
      <c r="AE77" s="284"/>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35">
      <c r="A78" s="56"/>
      <c r="B78" s="300"/>
      <c r="C78" s="300"/>
      <c r="D78" s="301"/>
      <c r="E78" s="289"/>
      <c r="F78" s="290"/>
      <c r="G78" s="290"/>
      <c r="H78" s="290"/>
      <c r="I78" s="288"/>
      <c r="J78" s="49" t="str">
        <f>IF(AND('Mapa final'!$AB$73="Alta",'Mapa final'!$AD$73="Leve"),CONCATENATE("R23C",'Mapa final'!$R$73),"")</f>
        <v/>
      </c>
      <c r="K78" s="50" t="str">
        <f>IF(AND('Mapa final'!$AB$74="Alta",'Mapa final'!$AD$74="Leve"),CONCATENATE("R23C",'Mapa final'!$R$74),"")</f>
        <v/>
      </c>
      <c r="L78" s="111" t="str">
        <f>IF(AND('Mapa final'!$AB$75="Alta",'Mapa final'!$AD$75="Leve"),CONCATENATE("R23C",'Mapa final'!$R$75),"")</f>
        <v/>
      </c>
      <c r="M78" s="49" t="str">
        <f>IF(AND('Mapa final'!$AB$73="Alta",'Mapa final'!$AD$73="Menor"),CONCATENATE("R23C",'Mapa final'!$R$73),"")</f>
        <v/>
      </c>
      <c r="N78" s="50" t="str">
        <f>IF(AND('Mapa final'!$AB$74="Alta",'Mapa final'!$AD$74="Menor"),CONCATENATE("R23C",'Mapa final'!$R$74),"")</f>
        <v/>
      </c>
      <c r="O78" s="111" t="str">
        <f>IF(AND('Mapa final'!$AB$75="Alta",'Mapa final'!$AD$75="Menor"),CONCATENATE("R23C",'Mapa final'!$R$75),"")</f>
        <v/>
      </c>
      <c r="P78" s="105" t="str">
        <f>IF(AND('Mapa final'!$AB$73="Alta",'Mapa final'!$AD$73="Moderado"),CONCATENATE("R23C",'Mapa final'!$R$73),"")</f>
        <v/>
      </c>
      <c r="Q78" s="42" t="str">
        <f>IF(AND('Mapa final'!$AB$74="Alta",'Mapa final'!$AD$74="Moderado"),CONCATENATE("R23C",'Mapa final'!$R$74),"")</f>
        <v/>
      </c>
      <c r="R78" s="106" t="str">
        <f>IF(AND('Mapa final'!$AB$75="Alta",'Mapa final'!$AD$75="Moderado"),CONCATENATE("R23C",'Mapa final'!$R$75),"")</f>
        <v/>
      </c>
      <c r="S78" s="105" t="str">
        <f>IF(AND('Mapa final'!$AB$73="Alta",'Mapa final'!$AD$73="Mayor"),CONCATENATE("R23C",'Mapa final'!$R$73),"")</f>
        <v/>
      </c>
      <c r="T78" s="42" t="str">
        <f>IF(AND('Mapa final'!$AB$74="Alta",'Mapa final'!$AD$74="Mayor"),CONCATENATE("R23C",'Mapa final'!$R$74),"")</f>
        <v/>
      </c>
      <c r="U78" s="106" t="str">
        <f>IF(AND('Mapa final'!$AB$75="Alta",'Mapa final'!$AD$75="Mayor"),CONCATENATE("R23C",'Mapa final'!$R$75),"")</f>
        <v/>
      </c>
      <c r="V78" s="43" t="str">
        <f>IF(AND('Mapa final'!$AB$73="Alta",'Mapa final'!$AD$73="Catastrófico"),CONCATENATE("R23C",'Mapa final'!$R$73),"")</f>
        <v/>
      </c>
      <c r="W78" s="44" t="str">
        <f>IF(AND('Mapa final'!$AB$74="Alta",'Mapa final'!$AD$74="Catastrófico"),CONCATENATE("R23C",'Mapa final'!$R$74),"")</f>
        <v/>
      </c>
      <c r="X78" s="100" t="str">
        <f>IF(AND('Mapa final'!$AB$75="Alta",'Mapa final'!$AD$75="Catastrófico"),CONCATENATE("R23C",'Mapa final'!$R$75),"")</f>
        <v/>
      </c>
      <c r="Y78" s="56"/>
      <c r="Z78" s="282"/>
      <c r="AA78" s="283"/>
      <c r="AB78" s="283"/>
      <c r="AC78" s="283"/>
      <c r="AD78" s="283"/>
      <c r="AE78" s="284"/>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35">
      <c r="A79" s="56"/>
      <c r="B79" s="300"/>
      <c r="C79" s="300"/>
      <c r="D79" s="301"/>
      <c r="E79" s="289"/>
      <c r="F79" s="290"/>
      <c r="G79" s="290"/>
      <c r="H79" s="290"/>
      <c r="I79" s="288"/>
      <c r="J79" s="49" t="str">
        <f>IF(AND('Mapa final'!$AB$76="Alta",'Mapa final'!$AD$76="Leve"),CONCATENATE("R24C",'Mapa final'!$R$76),"")</f>
        <v/>
      </c>
      <c r="K79" s="50" t="str">
        <f>IF(AND('Mapa final'!$AB$77="Alta",'Mapa final'!$AD$77="Leve"),CONCATENATE("R24C",'Mapa final'!$R$77),"")</f>
        <v/>
      </c>
      <c r="L79" s="111" t="str">
        <f>IF(AND('Mapa final'!$AB$78="Alta",'Mapa final'!$AD$78="Leve"),CONCATENATE("R24C",'Mapa final'!$R$78),"")</f>
        <v/>
      </c>
      <c r="M79" s="49" t="str">
        <f>IF(AND('Mapa final'!$AB$76="Alta",'Mapa final'!$AD$76="Menor"),CONCATENATE("R24C",'Mapa final'!$R$76),"")</f>
        <v/>
      </c>
      <c r="N79" s="50" t="str">
        <f>IF(AND('Mapa final'!$AB$77="Alta",'Mapa final'!$AD$77="Menor"),CONCATENATE("R24C",'Mapa final'!$R$77),"")</f>
        <v/>
      </c>
      <c r="O79" s="111" t="str">
        <f>IF(AND('Mapa final'!$AB$78="Alta",'Mapa final'!$AD$78="Menor"),CONCATENATE("R24C",'Mapa final'!$R$78),"")</f>
        <v/>
      </c>
      <c r="P79" s="105" t="str">
        <f>IF(AND('Mapa final'!$AB$76="Alta",'Mapa final'!$AD$76="Moderado"),CONCATENATE("R24C",'Mapa final'!$R$76),"")</f>
        <v/>
      </c>
      <c r="Q79" s="42" t="str">
        <f>IF(AND('Mapa final'!$AB$77="Alta",'Mapa final'!$AD$77="Moderado"),CONCATENATE("R24C",'Mapa final'!$R$77),"")</f>
        <v/>
      </c>
      <c r="R79" s="106" t="str">
        <f>IF(AND('Mapa final'!$AB$78="Alta",'Mapa final'!$AD$78="Moderado"),CONCATENATE("R24C",'Mapa final'!$R$78),"")</f>
        <v/>
      </c>
      <c r="S79" s="105" t="str">
        <f>IF(AND('Mapa final'!$AB$76="Alta",'Mapa final'!$AD$76="Mayor"),CONCATENATE("R24C",'Mapa final'!$R$76),"")</f>
        <v/>
      </c>
      <c r="T79" s="42" t="str">
        <f>IF(AND('Mapa final'!$AB$77="Alta",'Mapa final'!$AD$77="Mayor"),CONCATENATE("R24C",'Mapa final'!$R$77),"")</f>
        <v/>
      </c>
      <c r="U79" s="106" t="str">
        <f>IF(AND('Mapa final'!$AB$78="Alta",'Mapa final'!$AD$78="Mayor"),CONCATENATE("R24C",'Mapa final'!$R$78),"")</f>
        <v/>
      </c>
      <c r="V79" s="43" t="str">
        <f>IF(AND('Mapa final'!$AB$76="Alta",'Mapa final'!$AD$76="Catastrófico"),CONCATENATE("R24C",'Mapa final'!$R$76),"")</f>
        <v/>
      </c>
      <c r="W79" s="44" t="str">
        <f>IF(AND('Mapa final'!$AB$77="Alta",'Mapa final'!$AD$77="Catastrófico"),CONCATENATE("R24C",'Mapa final'!$R$77),"")</f>
        <v/>
      </c>
      <c r="X79" s="100" t="str">
        <f>IF(AND('Mapa final'!$AB$78="Alta",'Mapa final'!$AD$78="Catastrófico"),CONCATENATE("R24C",'Mapa final'!$R$78),"")</f>
        <v/>
      </c>
      <c r="Y79" s="56"/>
      <c r="Z79" s="282"/>
      <c r="AA79" s="283"/>
      <c r="AB79" s="283"/>
      <c r="AC79" s="283"/>
      <c r="AD79" s="283"/>
      <c r="AE79" s="284"/>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35">
      <c r="A80" s="56"/>
      <c r="B80" s="300"/>
      <c r="C80" s="300"/>
      <c r="D80" s="301"/>
      <c r="E80" s="289"/>
      <c r="F80" s="290"/>
      <c r="G80" s="290"/>
      <c r="H80" s="290"/>
      <c r="I80" s="288"/>
      <c r="J80" s="49" t="str">
        <f>IF(AND('Mapa final'!$AB$79="Alta",'Mapa final'!$AD$79="Leve"),CONCATENATE("R25C",'Mapa final'!$R$79),"")</f>
        <v/>
      </c>
      <c r="K80" s="50" t="str">
        <f>IF(AND('Mapa final'!$AB$80="Alta",'Mapa final'!$AD$80="Leve"),CONCATENATE("R25C",'Mapa final'!$R$80),"")</f>
        <v/>
      </c>
      <c r="L80" s="111" t="str">
        <f>IF(AND('Mapa final'!$AB$81="Alta",'Mapa final'!$AD$81="Leve"),CONCATENATE("R25C",'Mapa final'!$R$81),"")</f>
        <v/>
      </c>
      <c r="M80" s="49" t="str">
        <f>IF(AND('Mapa final'!$AB$79="Alta",'Mapa final'!$AD$79="Menor"),CONCATENATE("R25C",'Mapa final'!$R$79),"")</f>
        <v/>
      </c>
      <c r="N80" s="50" t="str">
        <f>IF(AND('Mapa final'!$AB$80="Alta",'Mapa final'!$AD$80="Menor"),CONCATENATE("R25C",'Mapa final'!$R$80),"")</f>
        <v/>
      </c>
      <c r="O80" s="111" t="str">
        <f>IF(AND('Mapa final'!$AB$81="Alta",'Mapa final'!$AD$81="Menor"),CONCATENATE("R25C",'Mapa final'!$R$81),"")</f>
        <v/>
      </c>
      <c r="P80" s="105" t="str">
        <f>IF(AND('Mapa final'!$AB$79="Alta",'Mapa final'!$AD$79="Moderado"),CONCATENATE("R25C",'Mapa final'!$R$79),"")</f>
        <v/>
      </c>
      <c r="Q80" s="42" t="str">
        <f>IF(AND('Mapa final'!$AB$80="Alta",'Mapa final'!$AD$80="Moderado"),CONCATENATE("R25C",'Mapa final'!$R$80),"")</f>
        <v/>
      </c>
      <c r="R80" s="106" t="str">
        <f>IF(AND('Mapa final'!$AB$81="Alta",'Mapa final'!$AD$81="Moderado"),CONCATENATE("R25C",'Mapa final'!$R$81),"")</f>
        <v/>
      </c>
      <c r="S80" s="105" t="str">
        <f>IF(AND('Mapa final'!$AB$79="Alta",'Mapa final'!$AD$79="Mayor"),CONCATENATE("R25C",'Mapa final'!$R$79),"")</f>
        <v/>
      </c>
      <c r="T80" s="42" t="str">
        <f>IF(AND('Mapa final'!$AB$80="Alta",'Mapa final'!$AD$80="Mayor"),CONCATENATE("R25C",'Mapa final'!$R$80),"")</f>
        <v/>
      </c>
      <c r="U80" s="106" t="str">
        <f>IF(AND('Mapa final'!$AB$81="Alta",'Mapa final'!$AD$81="Mayor"),CONCATENATE("R25C",'Mapa final'!$R$81),"")</f>
        <v/>
      </c>
      <c r="V80" s="43" t="str">
        <f>IF(AND('Mapa final'!$AB$79="Alta",'Mapa final'!$AD$79="Catastrófico"),CONCATENATE("R25C",'Mapa final'!$R$79),"")</f>
        <v/>
      </c>
      <c r="W80" s="44" t="str">
        <f>IF(AND('Mapa final'!$AB$80="Alta",'Mapa final'!$AD$80="Catastrófico"),CONCATENATE("R25C",'Mapa final'!$R$80),"")</f>
        <v/>
      </c>
      <c r="X80" s="100" t="str">
        <f>IF(AND('Mapa final'!$AB$81="Alta",'Mapa final'!$AD$81="Catastrófico"),CONCATENATE("R25C",'Mapa final'!$R$81),"")</f>
        <v/>
      </c>
      <c r="Y80" s="56"/>
      <c r="Z80" s="282"/>
      <c r="AA80" s="283"/>
      <c r="AB80" s="283"/>
      <c r="AC80" s="283"/>
      <c r="AD80" s="283"/>
      <c r="AE80" s="284"/>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35">
      <c r="A81" s="56"/>
      <c r="B81" s="300"/>
      <c r="C81" s="300"/>
      <c r="D81" s="301"/>
      <c r="E81" s="289"/>
      <c r="F81" s="290"/>
      <c r="G81" s="290"/>
      <c r="H81" s="290"/>
      <c r="I81" s="288"/>
      <c r="J81" s="49" t="str">
        <f>IF(AND('Mapa final'!$AB$82="Alta",'Mapa final'!$AD$82="Leve"),CONCATENATE("R26C",'Mapa final'!$R$82),"")</f>
        <v/>
      </c>
      <c r="K81" s="50" t="str">
        <f>IF(AND('Mapa final'!$AB$83="Alta",'Mapa final'!$AD$83="Leve"),CONCATENATE("R26C",'Mapa final'!$R$83),"")</f>
        <v/>
      </c>
      <c r="L81" s="111" t="str">
        <f>IF(AND('Mapa final'!$AB$84="Alta",'Mapa final'!$AD$84="Leve"),CONCATENATE("R26C",'Mapa final'!$R$84),"")</f>
        <v/>
      </c>
      <c r="M81" s="49" t="str">
        <f>IF(AND('Mapa final'!$AB$82="Alta",'Mapa final'!$AD$82="Menor"),CONCATENATE("R26C",'Mapa final'!$R$82),"")</f>
        <v/>
      </c>
      <c r="N81" s="50" t="str">
        <f>IF(AND('Mapa final'!$AB$83="Alta",'Mapa final'!$AD$83="Menor"),CONCATENATE("R26C",'Mapa final'!$R$83),"")</f>
        <v/>
      </c>
      <c r="O81" s="111" t="str">
        <f>IF(AND('Mapa final'!$AB$84="Alta",'Mapa final'!$AD$84="Menor"),CONCATENATE("R26C",'Mapa final'!$R$84),"")</f>
        <v/>
      </c>
      <c r="P81" s="105" t="str">
        <f>IF(AND('Mapa final'!$AB$82="Alta",'Mapa final'!$AD$82="Moderado"),CONCATENATE("R26C",'Mapa final'!$R$82),"")</f>
        <v/>
      </c>
      <c r="Q81" s="42" t="str">
        <f>IF(AND('Mapa final'!$AB$83="Alta",'Mapa final'!$AD$83="Moderado"),CONCATENATE("R26C",'Mapa final'!$R$83),"")</f>
        <v/>
      </c>
      <c r="R81" s="106" t="str">
        <f>IF(AND('Mapa final'!$AB$84="Alta",'Mapa final'!$AD$84="Moderado"),CONCATENATE("R26C",'Mapa final'!$R$84),"")</f>
        <v/>
      </c>
      <c r="S81" s="105" t="str">
        <f>IF(AND('Mapa final'!$AB$82="Alta",'Mapa final'!$AD$82="Mayor"),CONCATENATE("R26C",'Mapa final'!$R$82),"")</f>
        <v/>
      </c>
      <c r="T81" s="42" t="str">
        <f>IF(AND('Mapa final'!$AB$83="Alta",'Mapa final'!$AD$83="Mayor"),CONCATENATE("R26C",'Mapa final'!$R$83),"")</f>
        <v/>
      </c>
      <c r="U81" s="106" t="str">
        <f>IF(AND('Mapa final'!$AB$84="Alta",'Mapa final'!$AD$84="Mayor"),CONCATENATE("R26C",'Mapa final'!$R$84),"")</f>
        <v/>
      </c>
      <c r="V81" s="43" t="str">
        <f>IF(AND('Mapa final'!$AB$82="Alta",'Mapa final'!$AD$82="Catastrófico"),CONCATENATE("R26C",'Mapa final'!$R$82),"")</f>
        <v/>
      </c>
      <c r="W81" s="44" t="str">
        <f>IF(AND('Mapa final'!$AB$83="Alta",'Mapa final'!$AD$83="Catastrófico"),CONCATENATE("R26C",'Mapa final'!$R$83),"")</f>
        <v/>
      </c>
      <c r="X81" s="100" t="str">
        <f>IF(AND('Mapa final'!$AB$84="Alta",'Mapa final'!$AD$84="Catastrófico"),CONCATENATE("R26C",'Mapa final'!$R$84),"")</f>
        <v/>
      </c>
      <c r="Y81" s="56"/>
      <c r="Z81" s="282"/>
      <c r="AA81" s="283"/>
      <c r="AB81" s="283"/>
      <c r="AC81" s="283"/>
      <c r="AD81" s="283"/>
      <c r="AE81" s="284"/>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35">
      <c r="A82" s="56"/>
      <c r="B82" s="300"/>
      <c r="C82" s="300"/>
      <c r="D82" s="301"/>
      <c r="E82" s="289"/>
      <c r="F82" s="290"/>
      <c r="G82" s="290"/>
      <c r="H82" s="290"/>
      <c r="I82" s="288"/>
      <c r="J82" s="49" t="str">
        <f>IF(AND('Mapa final'!$AB$85="Alta",'Mapa final'!$AD$85="Leve"),CONCATENATE("R27C",'Mapa final'!$R$85),"")</f>
        <v/>
      </c>
      <c r="K82" s="50" t="str">
        <f>IF(AND('Mapa final'!$AB$86="Alta",'Mapa final'!$AD$86="Leve"),CONCATENATE("R27C",'Mapa final'!$R$86),"")</f>
        <v/>
      </c>
      <c r="L82" s="111" t="str">
        <f>IF(AND('Mapa final'!$AB$87="Alta",'Mapa final'!$AD$87="Leve"),CONCATENATE("R27C",'Mapa final'!$R$87),"")</f>
        <v/>
      </c>
      <c r="M82" s="49" t="str">
        <f>IF(AND('Mapa final'!$AB$85="Alta",'Mapa final'!$AD$85="Menor"),CONCATENATE("R27C",'Mapa final'!$R$85),"")</f>
        <v/>
      </c>
      <c r="N82" s="50" t="str">
        <f>IF(AND('Mapa final'!$AB$86="Alta",'Mapa final'!$AD$86="Menor"),CONCATENATE("R27C",'Mapa final'!$R$86),"")</f>
        <v/>
      </c>
      <c r="O82" s="111" t="str">
        <f>IF(AND('Mapa final'!$AB$87="Alta",'Mapa final'!$AD$87="Menor"),CONCATENATE("R27C",'Mapa final'!$R$87),"")</f>
        <v/>
      </c>
      <c r="P82" s="105" t="str">
        <f>IF(AND('Mapa final'!$AB$85="Alta",'Mapa final'!$AD$85="Moderado"),CONCATENATE("R27C",'Mapa final'!$R$85),"")</f>
        <v/>
      </c>
      <c r="Q82" s="42" t="str">
        <f>IF(AND('Mapa final'!$AB$86="Alta",'Mapa final'!$AD$86="Moderado"),CONCATENATE("R27C",'Mapa final'!$R$86),"")</f>
        <v/>
      </c>
      <c r="R82" s="106" t="str">
        <f>IF(AND('Mapa final'!$AB$87="Alta",'Mapa final'!$AD$87="Moderado"),CONCATENATE("R27C",'Mapa final'!$R$87),"")</f>
        <v/>
      </c>
      <c r="S82" s="105" t="str">
        <f>IF(AND('Mapa final'!$AB$85="Alta",'Mapa final'!$AD$85="Mayor"),CONCATENATE("R27C",'Mapa final'!$R$85),"")</f>
        <v/>
      </c>
      <c r="T82" s="42" t="str">
        <f>IF(AND('Mapa final'!$AB$86="Alta",'Mapa final'!$AD$86="Mayor"),CONCATENATE("R27C",'Mapa final'!$R$86),"")</f>
        <v/>
      </c>
      <c r="U82" s="106" t="str">
        <f>IF(AND('Mapa final'!$AB$87="Alta",'Mapa final'!$AD$87="Mayor"),CONCATENATE("R27C",'Mapa final'!$R$87),"")</f>
        <v/>
      </c>
      <c r="V82" s="43" t="str">
        <f>IF(AND('Mapa final'!$AB$85="Alta",'Mapa final'!$AD$85="Catastrófico"),CONCATENATE("R27C",'Mapa final'!$R$85),"")</f>
        <v/>
      </c>
      <c r="W82" s="44" t="str">
        <f>IF(AND('Mapa final'!$AB$86="Alta",'Mapa final'!$AD$86="Catastrófico"),CONCATENATE("R27C",'Mapa final'!$R$86),"")</f>
        <v/>
      </c>
      <c r="X82" s="100" t="str">
        <f>IF(AND('Mapa final'!$AB$87="Alta",'Mapa final'!$AD$87="Catastrófico"),CONCATENATE("R27C",'Mapa final'!$R$87),"")</f>
        <v/>
      </c>
      <c r="Y82" s="56"/>
      <c r="Z82" s="282"/>
      <c r="AA82" s="283"/>
      <c r="AB82" s="283"/>
      <c r="AC82" s="283"/>
      <c r="AD82" s="283"/>
      <c r="AE82" s="284"/>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35">
      <c r="A83" s="56"/>
      <c r="B83" s="300"/>
      <c r="C83" s="300"/>
      <c r="D83" s="301"/>
      <c r="E83" s="289"/>
      <c r="F83" s="290"/>
      <c r="G83" s="290"/>
      <c r="H83" s="290"/>
      <c r="I83" s="288"/>
      <c r="J83" s="49" t="str">
        <f>IF(AND('Mapa final'!$AB$88="Alta",'Mapa final'!$AD$88="Leve"),CONCATENATE("R28C",'Mapa final'!$R$88),"")</f>
        <v/>
      </c>
      <c r="K83" s="50" t="str">
        <f>IF(AND('Mapa final'!$AB$89="Alta",'Mapa final'!$AD$89="Leve"),CONCATENATE("R28C",'Mapa final'!$R$89),"")</f>
        <v/>
      </c>
      <c r="L83" s="111" t="str">
        <f>IF(AND('Mapa final'!$AB$90="Alta",'Mapa final'!$AD$90="Leve"),CONCATENATE("R28C",'Mapa final'!$R$90),"")</f>
        <v/>
      </c>
      <c r="M83" s="49" t="str">
        <f>IF(AND('Mapa final'!$AB$88="Alta",'Mapa final'!$AD$88="Menor"),CONCATENATE("R28C",'Mapa final'!$R$88),"")</f>
        <v/>
      </c>
      <c r="N83" s="50" t="str">
        <f>IF(AND('Mapa final'!$AB$89="Alta",'Mapa final'!$AD$89="Menor"),CONCATENATE("R28C",'Mapa final'!$R$89),"")</f>
        <v/>
      </c>
      <c r="O83" s="111" t="str">
        <f>IF(AND('Mapa final'!$AB$90="Alta",'Mapa final'!$AD$90="Menor"),CONCATENATE("R28C",'Mapa final'!$R$90),"")</f>
        <v/>
      </c>
      <c r="P83" s="105" t="str">
        <f>IF(AND('Mapa final'!$AB$88="Alta",'Mapa final'!$AD$88="Moderado"),CONCATENATE("R28C",'Mapa final'!$R$88),"")</f>
        <v/>
      </c>
      <c r="Q83" s="42" t="str">
        <f>IF(AND('Mapa final'!$AB$89="Alta",'Mapa final'!$AD$89="Moderado"),CONCATENATE("R28C",'Mapa final'!$R$89),"")</f>
        <v/>
      </c>
      <c r="R83" s="106" t="str">
        <f>IF(AND('Mapa final'!$AB$90="Alta",'Mapa final'!$AD$90="Moderado"),CONCATENATE("R28C",'Mapa final'!$R$90),"")</f>
        <v/>
      </c>
      <c r="S83" s="105" t="str">
        <f>IF(AND('Mapa final'!$AB$88="Alta",'Mapa final'!$AD$88="Mayor"),CONCATENATE("R28C",'Mapa final'!$R$88),"")</f>
        <v/>
      </c>
      <c r="T83" s="42" t="str">
        <f>IF(AND('Mapa final'!$AB$89="Alta",'Mapa final'!$AD$89="Mayor"),CONCATENATE("R28C",'Mapa final'!$R$89),"")</f>
        <v/>
      </c>
      <c r="U83" s="106" t="str">
        <f>IF(AND('Mapa final'!$AB$90="Alta",'Mapa final'!$AD$90="Mayor"),CONCATENATE("R28C",'Mapa final'!$R$90),"")</f>
        <v/>
      </c>
      <c r="V83" s="43" t="str">
        <f>IF(AND('Mapa final'!$AB$88="Alta",'Mapa final'!$AD$88="Catastrófico"),CONCATENATE("R28C",'Mapa final'!$R$88),"")</f>
        <v/>
      </c>
      <c r="W83" s="44" t="str">
        <f>IF(AND('Mapa final'!$AB$89="Alta",'Mapa final'!$AD$89="Catastrófico"),CONCATENATE("R28C",'Mapa final'!$R$89),"")</f>
        <v/>
      </c>
      <c r="X83" s="100" t="str">
        <f>IF(AND('Mapa final'!$AB$90="Alta",'Mapa final'!$AD$90="Catastrófico"),CONCATENATE("R28C",'Mapa final'!$R$90),"")</f>
        <v/>
      </c>
      <c r="Y83" s="56"/>
      <c r="Z83" s="282"/>
      <c r="AA83" s="283"/>
      <c r="AB83" s="283"/>
      <c r="AC83" s="283"/>
      <c r="AD83" s="283"/>
      <c r="AE83" s="284"/>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35">
      <c r="A84" s="56"/>
      <c r="B84" s="300"/>
      <c r="C84" s="300"/>
      <c r="D84" s="301"/>
      <c r="E84" s="289"/>
      <c r="F84" s="290"/>
      <c r="G84" s="290"/>
      <c r="H84" s="290"/>
      <c r="I84" s="288"/>
      <c r="J84" s="49" t="str">
        <f>IF(AND('Mapa final'!$AB$91="Alta",'Mapa final'!$AD$91="Leve"),CONCATENATE("R29C",'Mapa final'!$R$91),"")</f>
        <v/>
      </c>
      <c r="K84" s="50" t="str">
        <f>IF(AND('Mapa final'!$AB$92="Alta",'Mapa final'!$AD$92="Leve"),CONCATENATE("R29C",'Mapa final'!$R$92),"")</f>
        <v/>
      </c>
      <c r="L84" s="111" t="str">
        <f>IF(AND('Mapa final'!$AB$93="Alta",'Mapa final'!$AD$93="Leve"),CONCATENATE("R29C",'Mapa final'!$R$93),"")</f>
        <v/>
      </c>
      <c r="M84" s="49" t="str">
        <f>IF(AND('Mapa final'!$AB$91="Alta",'Mapa final'!$AD$91="Menor"),CONCATENATE("R29C",'Mapa final'!$R$91),"")</f>
        <v/>
      </c>
      <c r="N84" s="50" t="str">
        <f>IF(AND('Mapa final'!$AB$92="Alta",'Mapa final'!$AD$92="Menor"),CONCATENATE("R29C",'Mapa final'!$R$92),"")</f>
        <v/>
      </c>
      <c r="O84" s="111" t="str">
        <f>IF(AND('Mapa final'!$AB$93="Alta",'Mapa final'!$AD$93="Menor"),CONCATENATE("R29C",'Mapa final'!$R$93),"")</f>
        <v/>
      </c>
      <c r="P84" s="105" t="str">
        <f>IF(AND('Mapa final'!$AB$91="Alta",'Mapa final'!$AD$91="Moderado"),CONCATENATE("R29C",'Mapa final'!$R$91),"")</f>
        <v/>
      </c>
      <c r="Q84" s="42" t="str">
        <f>IF(AND('Mapa final'!$AB$92="Alta",'Mapa final'!$AD$92="Moderado"),CONCATENATE("R29C",'Mapa final'!$R$92),"")</f>
        <v/>
      </c>
      <c r="R84" s="106" t="str">
        <f>IF(AND('Mapa final'!$AB$93="Alta",'Mapa final'!$AD$93="Moderado"),CONCATENATE("R29C",'Mapa final'!$R$93),"")</f>
        <v/>
      </c>
      <c r="S84" s="105" t="str">
        <f>IF(AND('Mapa final'!$AB$91="Alta",'Mapa final'!$AD$91="Mayor"),CONCATENATE("R29C",'Mapa final'!$R$91),"")</f>
        <v/>
      </c>
      <c r="T84" s="42" t="str">
        <f>IF(AND('Mapa final'!$AB$92="Alta",'Mapa final'!$AD$92="Mayor"),CONCATENATE("R29C",'Mapa final'!$R$92),"")</f>
        <v/>
      </c>
      <c r="U84" s="106" t="str">
        <f>IF(AND('Mapa final'!$AB$93="Alta",'Mapa final'!$AD$93="Mayor"),CONCATENATE("R29C",'Mapa final'!$R$93),"")</f>
        <v/>
      </c>
      <c r="V84" s="43" t="str">
        <f>IF(AND('Mapa final'!$AB$91="Alta",'Mapa final'!$AD$91="Catastrófico"),CONCATENATE("R29C",'Mapa final'!$R$91),"")</f>
        <v/>
      </c>
      <c r="W84" s="44" t="str">
        <f>IF(AND('Mapa final'!$AB$92="Alta",'Mapa final'!$AD$92="Catastrófico"),CONCATENATE("R29C",'Mapa final'!$R$92),"")</f>
        <v/>
      </c>
      <c r="X84" s="100" t="str">
        <f>IF(AND('Mapa final'!$AB$93="Alta",'Mapa final'!$AD$93="Catastrófico"),CONCATENATE("R29C",'Mapa final'!$R$93),"")</f>
        <v/>
      </c>
      <c r="Y84" s="56"/>
      <c r="Z84" s="282"/>
      <c r="AA84" s="283"/>
      <c r="AB84" s="283"/>
      <c r="AC84" s="283"/>
      <c r="AD84" s="283"/>
      <c r="AE84" s="284"/>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35">
      <c r="A85" s="56"/>
      <c r="B85" s="300"/>
      <c r="C85" s="300"/>
      <c r="D85" s="301"/>
      <c r="E85" s="289"/>
      <c r="F85" s="290"/>
      <c r="G85" s="290"/>
      <c r="H85" s="290"/>
      <c r="I85" s="288"/>
      <c r="J85" s="49" t="str">
        <f>IF(AND('Mapa final'!$AB$94="Alta",'Mapa final'!$AD$94="Leve"),CONCATENATE("R30C",'Mapa final'!$R$94),"")</f>
        <v/>
      </c>
      <c r="K85" s="50" t="str">
        <f>IF(AND('Mapa final'!$AB$95="Alta",'Mapa final'!$AD$95="Leve"),CONCATENATE("R30C",'Mapa final'!$R$95),"")</f>
        <v/>
      </c>
      <c r="L85" s="111" t="str">
        <f>IF(AND('Mapa final'!$AB$96="Alta",'Mapa final'!$AD$96="Leve"),CONCATENATE("R30C",'Mapa final'!$R$96),"")</f>
        <v/>
      </c>
      <c r="M85" s="49" t="str">
        <f>IF(AND('Mapa final'!$AB$94="Alta",'Mapa final'!$AD$94="Menor"),CONCATENATE("R30C",'Mapa final'!$R$94),"")</f>
        <v/>
      </c>
      <c r="N85" s="50" t="str">
        <f>IF(AND('Mapa final'!$AB$95="Alta",'Mapa final'!$AD$95="Menor"),CONCATENATE("R30C",'Mapa final'!$R$95),"")</f>
        <v/>
      </c>
      <c r="O85" s="111" t="str">
        <f>IF(AND('Mapa final'!$AB$96="Alta",'Mapa final'!$AD$96="Menor"),CONCATENATE("R30C",'Mapa final'!$R$96),"")</f>
        <v/>
      </c>
      <c r="P85" s="105" t="str">
        <f>IF(AND('Mapa final'!$AB$94="Alta",'Mapa final'!$AD$94="Moderado"),CONCATENATE("R30C",'Mapa final'!$R$94),"")</f>
        <v/>
      </c>
      <c r="Q85" s="42" t="str">
        <f>IF(AND('Mapa final'!$AB$95="Alta",'Mapa final'!$AD$95="Moderado"),CONCATENATE("R30C",'Mapa final'!$R$95),"")</f>
        <v/>
      </c>
      <c r="R85" s="106" t="str">
        <f>IF(AND('Mapa final'!$AB$96="Alta",'Mapa final'!$AD$96="Moderado"),CONCATENATE("R30C",'Mapa final'!$R$96),"")</f>
        <v/>
      </c>
      <c r="S85" s="105" t="str">
        <f>IF(AND('Mapa final'!$AB$94="Alta",'Mapa final'!$AD$94="Mayor"),CONCATENATE("R30C",'Mapa final'!$R$94),"")</f>
        <v/>
      </c>
      <c r="T85" s="42" t="str">
        <f>IF(AND('Mapa final'!$AB$95="Alta",'Mapa final'!$AD$95="Mayor"),CONCATENATE("R30C",'Mapa final'!$R$95),"")</f>
        <v/>
      </c>
      <c r="U85" s="106" t="str">
        <f>IF(AND('Mapa final'!$AB$96="Alta",'Mapa final'!$AD$96="Mayor"),CONCATENATE("R30C",'Mapa final'!$R$96),"")</f>
        <v/>
      </c>
      <c r="V85" s="43" t="str">
        <f>IF(AND('Mapa final'!$AB$94="Alta",'Mapa final'!$AD$94="Catastrófico"),CONCATENATE("R30C",'Mapa final'!$R$94),"")</f>
        <v/>
      </c>
      <c r="W85" s="44" t="str">
        <f>IF(AND('Mapa final'!$AB$95="Alta",'Mapa final'!$AD$95="Catastrófico"),CONCATENATE("R30C",'Mapa final'!$R$95),"")</f>
        <v/>
      </c>
      <c r="X85" s="100" t="str">
        <f>IF(AND('Mapa final'!$AB$96="Alta",'Mapa final'!$AD$96="Catastrófico"),CONCATENATE("R30C",'Mapa final'!$R$96),"")</f>
        <v/>
      </c>
      <c r="Y85" s="56"/>
      <c r="Z85" s="282"/>
      <c r="AA85" s="283"/>
      <c r="AB85" s="283"/>
      <c r="AC85" s="283"/>
      <c r="AD85" s="283"/>
      <c r="AE85" s="284"/>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35">
      <c r="A86" s="56"/>
      <c r="B86" s="300"/>
      <c r="C86" s="300"/>
      <c r="D86" s="301"/>
      <c r="E86" s="289"/>
      <c r="F86" s="290"/>
      <c r="G86" s="290"/>
      <c r="H86" s="290"/>
      <c r="I86" s="288"/>
      <c r="J86" s="49" t="str">
        <f>IF(AND('Mapa final'!$AB$97="Alta",'Mapa final'!$AD$97="Leve"),CONCATENATE("R31C",'Mapa final'!$R$97),"")</f>
        <v/>
      </c>
      <c r="K86" s="50" t="str">
        <f>IF(AND('Mapa final'!$AB$98="Alta",'Mapa final'!$AD$98="Leve"),CONCATENATE("R31C",'Mapa final'!$R$98),"")</f>
        <v/>
      </c>
      <c r="L86" s="111" t="str">
        <f>IF(AND('Mapa final'!$AB$99="Alta",'Mapa final'!$AD$99="Leve"),CONCATENATE("R31C",'Mapa final'!$R$99),"")</f>
        <v/>
      </c>
      <c r="M86" s="49" t="str">
        <f>IF(AND('Mapa final'!$AB$97="Alta",'Mapa final'!$AD$97="Menor"),CONCATENATE("R31C",'Mapa final'!$R$97),"")</f>
        <v/>
      </c>
      <c r="N86" s="50" t="str">
        <f>IF(AND('Mapa final'!$AB$98="Alta",'Mapa final'!$AD$98="Menor"),CONCATENATE("R31C",'Mapa final'!$R$98),"")</f>
        <v/>
      </c>
      <c r="O86" s="111" t="str">
        <f>IF(AND('Mapa final'!$AB$99="Alta",'Mapa final'!$AD$99="Menor"),CONCATENATE("R31C",'Mapa final'!$R$99),"")</f>
        <v/>
      </c>
      <c r="P86" s="105" t="str">
        <f>IF(AND('Mapa final'!$AB$97="Alta",'Mapa final'!$AD$97="Moderado"),CONCATENATE("R31C",'Mapa final'!$R$97),"")</f>
        <v/>
      </c>
      <c r="Q86" s="42" t="str">
        <f>IF(AND('Mapa final'!$AB$98="Alta",'Mapa final'!$AD$98="Moderado"),CONCATENATE("R31C",'Mapa final'!$R$98),"")</f>
        <v/>
      </c>
      <c r="R86" s="106" t="str">
        <f>IF(AND('Mapa final'!$AB$99="Alta",'Mapa final'!$AD$99="Moderado"),CONCATENATE("R31C",'Mapa final'!$R$99),"")</f>
        <v/>
      </c>
      <c r="S86" s="105" t="str">
        <f>IF(AND('Mapa final'!$AB$97="Alta",'Mapa final'!$AD$97="Mayor"),CONCATENATE("R31C",'Mapa final'!$R$97),"")</f>
        <v/>
      </c>
      <c r="T86" s="42" t="str">
        <f>IF(AND('Mapa final'!$AB$98="Alta",'Mapa final'!$AD$98="Mayor"),CONCATENATE("R31C",'Mapa final'!$R$98),"")</f>
        <v/>
      </c>
      <c r="U86" s="106" t="str">
        <f>IF(AND('Mapa final'!$AB$99="Alta",'Mapa final'!$AD$99="Mayor"),CONCATENATE("R31C",'Mapa final'!$R$99),"")</f>
        <v/>
      </c>
      <c r="V86" s="43" t="str">
        <f>IF(AND('Mapa final'!$AB$97="Alta",'Mapa final'!$AD$97="Catastrófico"),CONCATENATE("R31C",'Mapa final'!$R$97),"")</f>
        <v/>
      </c>
      <c r="W86" s="44" t="str">
        <f>IF(AND('Mapa final'!$AB$98="Alta",'Mapa final'!$AD$98="Catastrófico"),CONCATENATE("R31C",'Mapa final'!$R$98),"")</f>
        <v/>
      </c>
      <c r="X86" s="100" t="str">
        <f>IF(AND('Mapa final'!$AB$99="Alta",'Mapa final'!$AD$99="Catastrófico"),CONCATENATE("R31C",'Mapa final'!$R$99),"")</f>
        <v/>
      </c>
      <c r="Y86" s="56"/>
      <c r="Z86" s="282"/>
      <c r="AA86" s="283"/>
      <c r="AB86" s="283"/>
      <c r="AC86" s="283"/>
      <c r="AD86" s="283"/>
      <c r="AE86" s="284"/>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35">
      <c r="A87" s="56"/>
      <c r="B87" s="300"/>
      <c r="C87" s="300"/>
      <c r="D87" s="301"/>
      <c r="E87" s="289"/>
      <c r="F87" s="290"/>
      <c r="G87" s="290"/>
      <c r="H87" s="290"/>
      <c r="I87" s="288"/>
      <c r="J87" s="49" t="e">
        <f>IF(AND('Mapa final'!#REF!="Alta",'Mapa final'!#REF!="Leve"),CONCATENATE("R32C",'Mapa final'!#REF!),"")</f>
        <v>#REF!</v>
      </c>
      <c r="K87" s="50" t="e">
        <f>IF(AND('Mapa final'!#REF!="Alta",'Mapa final'!#REF!="Leve"),CONCATENATE("R32C",'Mapa final'!#REF!),"")</f>
        <v>#REF!</v>
      </c>
      <c r="L87" s="111" t="e">
        <f>IF(AND('Mapa final'!#REF!="Alta",'Mapa final'!#REF!="Leve"),CONCATENATE("R32C",'Mapa final'!#REF!),"")</f>
        <v>#REF!</v>
      </c>
      <c r="M87" s="49" t="e">
        <f>IF(AND('Mapa final'!#REF!="Alta",'Mapa final'!#REF!="Menor"),CONCATENATE("R32C",'Mapa final'!#REF!),"")</f>
        <v>#REF!</v>
      </c>
      <c r="N87" s="50" t="e">
        <f>IF(AND('Mapa final'!#REF!="Alta",'Mapa final'!#REF!="Menor"),CONCATENATE("R32C",'Mapa final'!#REF!),"")</f>
        <v>#REF!</v>
      </c>
      <c r="O87" s="111" t="e">
        <f>IF(AND('Mapa final'!#REF!="Alta",'Mapa final'!#REF!="Menor"),CONCATENATE("R32C",'Mapa final'!#REF!),"")</f>
        <v>#REF!</v>
      </c>
      <c r="P87" s="105" t="e">
        <f>IF(AND('Mapa final'!#REF!="Alta",'Mapa final'!#REF!="Moderado"),CONCATENATE("R32C",'Mapa final'!#REF!),"")</f>
        <v>#REF!</v>
      </c>
      <c r="Q87" s="42" t="e">
        <f>IF(AND('Mapa final'!#REF!="Alta",'Mapa final'!#REF!="Moderado"),CONCATENATE("R32C",'Mapa final'!#REF!),"")</f>
        <v>#REF!</v>
      </c>
      <c r="R87" s="42" t="e">
        <f>IF(AND('Mapa final'!#REF!="Alta",'Mapa final'!#REF!="Moderado"),CONCATENATE("R32C",'Mapa final'!#REF!),"")</f>
        <v>#REF!</v>
      </c>
      <c r="S87" s="105" t="e">
        <f>IF(AND('Mapa final'!#REF!="Alta",'Mapa final'!#REF!="Mayor"),CONCATENATE("R32C",'Mapa final'!#REF!),"")</f>
        <v>#REF!</v>
      </c>
      <c r="T87" s="42" t="e">
        <f>IF(AND('Mapa final'!#REF!="Alta",'Mapa final'!#REF!="Mayor"),CONCATENATE("R32C",'Mapa final'!#REF!),"")</f>
        <v>#REF!</v>
      </c>
      <c r="U87" s="106" t="e">
        <f>IF(AND('Mapa final'!#REF!="Alta",'Mapa final'!#REF!="Mayor"),CONCATENATE("R32C",'Mapa final'!#REF!),"")</f>
        <v>#REF!</v>
      </c>
      <c r="V87" s="43" t="e">
        <f>IF(AND('Mapa final'!#REF!="Alta",'Mapa final'!#REF!="Catastrófico"),CONCATENATE("R32C",'Mapa final'!#REF!),"")</f>
        <v>#REF!</v>
      </c>
      <c r="W87" s="44" t="e">
        <f>IF(AND('Mapa final'!#REF!="Alta",'Mapa final'!#REF!="Catastrófico"),CONCATENATE("R32C",'Mapa final'!#REF!),"")</f>
        <v>#REF!</v>
      </c>
      <c r="X87" s="100" t="e">
        <f>IF(AND('Mapa final'!#REF!="Alta",'Mapa final'!#REF!="Catastrófico"),CONCATENATE("R32C",'Mapa final'!#REF!),"")</f>
        <v>#REF!</v>
      </c>
      <c r="Y87" s="56"/>
      <c r="Z87" s="282"/>
      <c r="AA87" s="283"/>
      <c r="AB87" s="283"/>
      <c r="AC87" s="283"/>
      <c r="AD87" s="283"/>
      <c r="AE87" s="284"/>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35">
      <c r="A88" s="56"/>
      <c r="B88" s="300"/>
      <c r="C88" s="300"/>
      <c r="D88" s="301"/>
      <c r="E88" s="289"/>
      <c r="F88" s="290"/>
      <c r="G88" s="290"/>
      <c r="H88" s="290"/>
      <c r="I88" s="288"/>
      <c r="J88" s="49" t="str">
        <f>IF(AND('Mapa final'!$AB$100="Alta",'Mapa final'!$AD$100="Leve"),CONCATENATE("R33C",'Mapa final'!$R$100),"")</f>
        <v/>
      </c>
      <c r="K88" s="50" t="str">
        <f>IF(AND('Mapa final'!$AB$101="Alta",'Mapa final'!$AD$101="Leve"),CONCATENATE("R33C",'Mapa final'!$R$101),"")</f>
        <v/>
      </c>
      <c r="L88" s="111" t="str">
        <f>IF(AND('Mapa final'!$AB$102="Alta",'Mapa final'!$AD$102="Leve"),CONCATENATE("R33C",'Mapa final'!$R$102),"")</f>
        <v/>
      </c>
      <c r="M88" s="49" t="str">
        <f>IF(AND('Mapa final'!$AB$100="Alta",'Mapa final'!$AD$100="Menor"),CONCATENATE("R33C",'Mapa final'!$R$100),"")</f>
        <v/>
      </c>
      <c r="N88" s="50" t="str">
        <f>IF(AND('Mapa final'!$AB$101="Alta",'Mapa final'!$AD$101="Menor"),CONCATENATE("R33C",'Mapa final'!$R$101),"")</f>
        <v/>
      </c>
      <c r="O88" s="111" t="str">
        <f>IF(AND('Mapa final'!$AB$102="Alta",'Mapa final'!$AD$102="Menor"),CONCATENATE("R33C",'Mapa final'!$R$102),"")</f>
        <v/>
      </c>
      <c r="P88" s="105" t="str">
        <f>IF(AND('Mapa final'!$AB$100="Alta",'Mapa final'!$AD$100="Moderado"),CONCATENATE("R33C",'Mapa final'!$R$100),"")</f>
        <v/>
      </c>
      <c r="Q88" s="42" t="str">
        <f>IF(AND('Mapa final'!$AB$101="Alta",'Mapa final'!$AD$101="Moderado"),CONCATENATE("R33C",'Mapa final'!$R$101),"")</f>
        <v/>
      </c>
      <c r="R88" s="42" t="str">
        <f>IF(AND('Mapa final'!$AB$102="Alta",'Mapa final'!$AD$102="Moderado"),CONCATENATE("R33C",'Mapa final'!$R$102),"")</f>
        <v/>
      </c>
      <c r="S88" s="105" t="str">
        <f>IF(AND('Mapa final'!$AB$100="Alta",'Mapa final'!$AD$100="Mayor"),CONCATENATE("R33C",'Mapa final'!$R$100),"")</f>
        <v/>
      </c>
      <c r="T88" s="42" t="str">
        <f>IF(AND('Mapa final'!$AB$101="Alta",'Mapa final'!$AD$101="Mayor"),CONCATENATE("R33C",'Mapa final'!$R$101),"")</f>
        <v/>
      </c>
      <c r="U88" s="106" t="str">
        <f>IF(AND('Mapa final'!$AB$102="Alta",'Mapa final'!$AD$102="Mayor"),CONCATENATE("R33C",'Mapa final'!$R$102),"")</f>
        <v/>
      </c>
      <c r="V88" s="43" t="str">
        <f>IF(AND('Mapa final'!$AB$100="Alta",'Mapa final'!$AD$100="Catastrófico"),CONCATENATE("R33C",'Mapa final'!$R$100),"")</f>
        <v/>
      </c>
      <c r="W88" s="44" t="str">
        <f>IF(AND('Mapa final'!$AB$101="Alta",'Mapa final'!$AD$101="Catastrófico"),CONCATENATE("R33C",'Mapa final'!$R$101),"")</f>
        <v/>
      </c>
      <c r="X88" s="100" t="str">
        <f>IF(AND('Mapa final'!$AB$102="Alta",'Mapa final'!$AD$102="Catastrófico"),CONCATENATE("R33C",'Mapa final'!$R$102),"")</f>
        <v/>
      </c>
      <c r="Y88" s="56"/>
      <c r="Z88" s="282"/>
      <c r="AA88" s="283"/>
      <c r="AB88" s="283"/>
      <c r="AC88" s="283"/>
      <c r="AD88" s="283"/>
      <c r="AE88" s="284"/>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35">
      <c r="A89" s="56"/>
      <c r="B89" s="300"/>
      <c r="C89" s="300"/>
      <c r="D89" s="301"/>
      <c r="E89" s="289"/>
      <c r="F89" s="290"/>
      <c r="G89" s="290"/>
      <c r="H89" s="290"/>
      <c r="I89" s="288"/>
      <c r="J89" s="49" t="str">
        <f>IF(AND('Mapa final'!$AB$103="Alta",'Mapa final'!$AD$103="Leve"),CONCATENATE("R34C",'Mapa final'!$R$103),"")</f>
        <v/>
      </c>
      <c r="K89" s="50" t="str">
        <f>IF(AND('Mapa final'!$AB$104="Alta",'Mapa final'!$AD$104="Leve"),CONCATENATE("R34C",'Mapa final'!$R$104),"")</f>
        <v/>
      </c>
      <c r="L89" s="111" t="str">
        <f>IF(AND('Mapa final'!$AB$105="Alta",'Mapa final'!$AD$105="Leve"),CONCATENATE("R34C",'Mapa final'!$R$105),"")</f>
        <v/>
      </c>
      <c r="M89" s="49" t="str">
        <f>IF(AND('Mapa final'!$AB$103="Alta",'Mapa final'!$AD$103="Menor"),CONCATENATE("R34C",'Mapa final'!$R$103),"")</f>
        <v/>
      </c>
      <c r="N89" s="50" t="str">
        <f>IF(AND('Mapa final'!$AB$104="Alta",'Mapa final'!$AD$104="Menor"),CONCATENATE("R34C",'Mapa final'!$R$104),"")</f>
        <v/>
      </c>
      <c r="O89" s="111" t="str">
        <f>IF(AND('Mapa final'!$AB$105="Alta",'Mapa final'!$AD$105="Menor"),CONCATENATE("R34C",'Mapa final'!$R$105),"")</f>
        <v/>
      </c>
      <c r="P89" s="105" t="str">
        <f>IF(AND('Mapa final'!$AB$103="Alta",'Mapa final'!$AD$103="Moderado"),CONCATENATE("R34C",'Mapa final'!$R$103),"")</f>
        <v/>
      </c>
      <c r="Q89" s="42" t="str">
        <f>IF(AND('Mapa final'!$AB$104="Alta",'Mapa final'!$AD$104="Moderado"),CONCATENATE("R34C",'Mapa final'!$R$104),"")</f>
        <v/>
      </c>
      <c r="R89" s="106" t="str">
        <f>IF(AND('Mapa final'!$AB$105="Alta",'Mapa final'!$AD$105="Moderado"),CONCATENATE("R34C",'Mapa final'!$R$105),"")</f>
        <v/>
      </c>
      <c r="S89" s="105" t="str">
        <f>IF(AND('Mapa final'!$AB$103="Alta",'Mapa final'!$AD$103="Mayor"),CONCATENATE("R34C",'Mapa final'!$R$103),"")</f>
        <v/>
      </c>
      <c r="T89" s="42" t="str">
        <f>IF(AND('Mapa final'!$AB$104="Alta",'Mapa final'!$AD$104="Mayor"),CONCATENATE("R34C",'Mapa final'!$R$104),"")</f>
        <v/>
      </c>
      <c r="U89" s="106" t="str">
        <f>IF(AND('Mapa final'!$AB$105="Alta",'Mapa final'!$AD$105="Mayor"),CONCATENATE("R34C",'Mapa final'!$R$105),"")</f>
        <v/>
      </c>
      <c r="V89" s="43" t="str">
        <f>IF(AND('Mapa final'!$AB$103="Alta",'Mapa final'!$AD$103="Catastrófico"),CONCATENATE("R34C",'Mapa final'!$R$103),"")</f>
        <v/>
      </c>
      <c r="W89" s="44" t="str">
        <f>IF(AND('Mapa final'!$AB$104="Alta",'Mapa final'!$AD$104="Catastrófico"),CONCATENATE("R34C",'Mapa final'!$R$104),"")</f>
        <v/>
      </c>
      <c r="X89" s="100" t="str">
        <f>IF(AND('Mapa final'!$AB$105="Alta",'Mapa final'!$AD$105="Catastrófico"),CONCATENATE("R34C",'Mapa final'!$R$105),"")</f>
        <v/>
      </c>
      <c r="Y89" s="56"/>
      <c r="Z89" s="282"/>
      <c r="AA89" s="283"/>
      <c r="AB89" s="283"/>
      <c r="AC89" s="283"/>
      <c r="AD89" s="283"/>
      <c r="AE89" s="284"/>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35">
      <c r="A90" s="56"/>
      <c r="B90" s="300"/>
      <c r="C90" s="300"/>
      <c r="D90" s="301"/>
      <c r="E90" s="289"/>
      <c r="F90" s="290"/>
      <c r="G90" s="290"/>
      <c r="H90" s="290"/>
      <c r="I90" s="288"/>
      <c r="J90" s="49" t="str">
        <f>IF(AND('Mapa final'!$AB$106="Alta",'Mapa final'!$AD$106="Leve"),CONCATENATE("R35C",'Mapa final'!$R$106),"")</f>
        <v/>
      </c>
      <c r="K90" s="50" t="str">
        <f>IF(AND('Mapa final'!$AB$107="Alta",'Mapa final'!$AD$107="Leve"),CONCATENATE("R35C",'Mapa final'!$R$107),"")</f>
        <v/>
      </c>
      <c r="L90" s="111" t="str">
        <f>IF(AND('Mapa final'!$AB$108="Alta",'Mapa final'!$AD$108="Leve"),CONCATENATE("R35C",'Mapa final'!$R$108),"")</f>
        <v/>
      </c>
      <c r="M90" s="49" t="str">
        <f>IF(AND('Mapa final'!$AB$106="Alta",'Mapa final'!$AD$106="Menor"),CONCATENATE("R35C",'Mapa final'!$R$106),"")</f>
        <v/>
      </c>
      <c r="N90" s="50" t="str">
        <f>IF(AND('Mapa final'!$AB$107="Alta",'Mapa final'!$AD$107="Menor"),CONCATENATE("R35C",'Mapa final'!$R$107),"")</f>
        <v/>
      </c>
      <c r="O90" s="111" t="str">
        <f>IF(AND('Mapa final'!$AB$108="Alta",'Mapa final'!$AD$108="Menor"),CONCATENATE("R35C",'Mapa final'!$R$108),"")</f>
        <v/>
      </c>
      <c r="P90" s="105" t="str">
        <f>IF(AND('Mapa final'!$AB$106="Alta",'Mapa final'!$AD$106="Moderado"),CONCATENATE("R35C",'Mapa final'!$R$106),"")</f>
        <v/>
      </c>
      <c r="Q90" s="42" t="str">
        <f>IF(AND('Mapa final'!$AB$107="Alta",'Mapa final'!$AD$107="Moderado"),CONCATENATE("R35C",'Mapa final'!$R$107),"")</f>
        <v/>
      </c>
      <c r="R90" s="106" t="str">
        <f>IF(AND('Mapa final'!$AB$108="Alta",'Mapa final'!$AD$108="Moderado"),CONCATENATE("R35C",'Mapa final'!$R$108),"")</f>
        <v/>
      </c>
      <c r="S90" s="105" t="str">
        <f>IF(AND('Mapa final'!$AB$106="Alta",'Mapa final'!$AD$106="Mayor"),CONCATENATE("R35C",'Mapa final'!$R$106),"")</f>
        <v/>
      </c>
      <c r="T90" s="42" t="str">
        <f>IF(AND('Mapa final'!$AB$107="Alta",'Mapa final'!$AD$107="Mayor"),CONCATENATE("R35C",'Mapa final'!$R$107),"")</f>
        <v/>
      </c>
      <c r="U90" s="106" t="str">
        <f>IF(AND('Mapa final'!$AB$108="Alta",'Mapa final'!$AD$108="Mayor"),CONCATENATE("R35C",'Mapa final'!$R$108),"")</f>
        <v/>
      </c>
      <c r="V90" s="43" t="str">
        <f>IF(AND('Mapa final'!$AB$106="Alta",'Mapa final'!$AD$106="Catastrófico"),CONCATENATE("R35C",'Mapa final'!$R$106),"")</f>
        <v/>
      </c>
      <c r="W90" s="44" t="str">
        <f>IF(AND('Mapa final'!$AB$107="Alta",'Mapa final'!$AD$107="Catastrófico"),CONCATENATE("R35C",'Mapa final'!$R$107),"")</f>
        <v/>
      </c>
      <c r="X90" s="100" t="str">
        <f>IF(AND('Mapa final'!$AB$108="Alta",'Mapa final'!$AD$108="Catastrófico"),CONCATENATE("R35C",'Mapa final'!$R$108),"")</f>
        <v/>
      </c>
      <c r="Y90" s="56"/>
      <c r="Z90" s="282"/>
      <c r="AA90" s="283"/>
      <c r="AB90" s="283"/>
      <c r="AC90" s="283"/>
      <c r="AD90" s="283"/>
      <c r="AE90" s="284"/>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35">
      <c r="A91" s="56"/>
      <c r="B91" s="300"/>
      <c r="C91" s="300"/>
      <c r="D91" s="301"/>
      <c r="E91" s="289"/>
      <c r="F91" s="290"/>
      <c r="G91" s="290"/>
      <c r="H91" s="290"/>
      <c r="I91" s="288"/>
      <c r="J91" s="49" t="str">
        <f>IF(AND('Mapa final'!$AB$109="Alta",'Mapa final'!$AD$109="Leve"),CONCATENATE("R36C",'Mapa final'!$R$109),"")</f>
        <v/>
      </c>
      <c r="K91" s="50" t="str">
        <f>IF(AND('Mapa final'!$AB$110="Alta",'Mapa final'!$AD$110="Leve"),CONCATENATE("R36C",'Mapa final'!$R$110),"")</f>
        <v/>
      </c>
      <c r="L91" s="111" t="str">
        <f>IF(AND('Mapa final'!$AB$111="Alta",'Mapa final'!$AD$111="Leve"),CONCATENATE("R36C",'Mapa final'!$R$111),"")</f>
        <v/>
      </c>
      <c r="M91" s="49" t="str">
        <f>IF(AND('Mapa final'!$AB$109="Alta",'Mapa final'!$AD$109="Menor"),CONCATENATE("R36C",'Mapa final'!$R$109),"")</f>
        <v/>
      </c>
      <c r="N91" s="50" t="str">
        <f>IF(AND('Mapa final'!$AB$110="Alta",'Mapa final'!$AD$110="Menor"),CONCATENATE("R36C",'Mapa final'!$R$110),"")</f>
        <v/>
      </c>
      <c r="O91" s="111" t="str">
        <f>IF(AND('Mapa final'!$AB$111="Alta",'Mapa final'!$AD$111="Menor"),CONCATENATE("R36C",'Mapa final'!$R$111),"")</f>
        <v/>
      </c>
      <c r="P91" s="105" t="str">
        <f>IF(AND('Mapa final'!$AB$109="Alta",'Mapa final'!$AD$109="Moderado"),CONCATENATE("R36C",'Mapa final'!$R$109),"")</f>
        <v/>
      </c>
      <c r="Q91" s="42" t="str">
        <f>IF(AND('Mapa final'!$AB$110="Alta",'Mapa final'!$AD$110="Moderado"),CONCATENATE("R36C",'Mapa final'!$R$110),"")</f>
        <v/>
      </c>
      <c r="R91" s="106" t="str">
        <f>IF(AND('Mapa final'!$AB$111="Alta",'Mapa final'!$AD$111="Moderado"),CONCATENATE("R36C",'Mapa final'!$R$111),"")</f>
        <v/>
      </c>
      <c r="S91" s="105" t="str">
        <f>IF(AND('Mapa final'!$AB$109="Alta",'Mapa final'!$AD$109="Mayor"),CONCATENATE("R36C",'Mapa final'!$R$109),"")</f>
        <v/>
      </c>
      <c r="T91" s="42" t="str">
        <f>IF(AND('Mapa final'!$AB$110="Alta",'Mapa final'!$AD$110="Mayor"),CONCATENATE("R36C",'Mapa final'!$R$110),"")</f>
        <v/>
      </c>
      <c r="U91" s="106" t="str">
        <f>IF(AND('Mapa final'!$AB$111="Alta",'Mapa final'!$AD$111="Mayor"),CONCATENATE("R36C",'Mapa final'!$R$111),"")</f>
        <v/>
      </c>
      <c r="V91" s="43" t="str">
        <f>IF(AND('Mapa final'!$AB$109="Alta",'Mapa final'!$AD$109="Catastrófico"),CONCATENATE("R36C",'Mapa final'!$R$109),"")</f>
        <v/>
      </c>
      <c r="W91" s="44" t="str">
        <f>IF(AND('Mapa final'!$AB$110="Alta",'Mapa final'!$AD$110="Catastrófico"),CONCATENATE("R36C",'Mapa final'!$R$110),"")</f>
        <v/>
      </c>
      <c r="X91" s="100" t="str">
        <f>IF(AND('Mapa final'!$AB$111="Alta",'Mapa final'!$AD$111="Catastrófico"),CONCATENATE("R36C",'Mapa final'!$R$111),"")</f>
        <v/>
      </c>
      <c r="Y91" s="56"/>
      <c r="Z91" s="282"/>
      <c r="AA91" s="283"/>
      <c r="AB91" s="283"/>
      <c r="AC91" s="283"/>
      <c r="AD91" s="283"/>
      <c r="AE91" s="284"/>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35">
      <c r="A92" s="56"/>
      <c r="B92" s="300"/>
      <c r="C92" s="300"/>
      <c r="D92" s="301"/>
      <c r="E92" s="289"/>
      <c r="F92" s="290"/>
      <c r="G92" s="290"/>
      <c r="H92" s="290"/>
      <c r="I92" s="288"/>
      <c r="J92" s="49" t="str">
        <f>IF(AND('Mapa final'!$AB$112="Alta",'Mapa final'!$AD$112="Leve"),CONCATENATE("R37C",'Mapa final'!$R$112),"")</f>
        <v/>
      </c>
      <c r="K92" s="50" t="str">
        <f>IF(AND('Mapa final'!$AB$113="Alta",'Mapa final'!$AD$113="Leve"),CONCATENATE("R37C",'Mapa final'!$R$113),"")</f>
        <v/>
      </c>
      <c r="L92" s="111" t="str">
        <f>IF(AND('Mapa final'!$AB$114="Alta",'Mapa final'!$AD$114="Leve"),CONCATENATE("R37C",'Mapa final'!$R$114),"")</f>
        <v/>
      </c>
      <c r="M92" s="49" t="str">
        <f>IF(AND('Mapa final'!$AB$112="Alta",'Mapa final'!$AD$112="Menor"),CONCATENATE("R37C",'Mapa final'!$R$112),"")</f>
        <v/>
      </c>
      <c r="N92" s="50" t="str">
        <f>IF(AND('Mapa final'!$AB$113="Alta",'Mapa final'!$AD$113="Menor"),CONCATENATE("R37C",'Mapa final'!$R$113),"")</f>
        <v/>
      </c>
      <c r="O92" s="111" t="str">
        <f>IF(AND('Mapa final'!$AB$114="Alta",'Mapa final'!$AD$114="Menor"),CONCATENATE("R37C",'Mapa final'!$R$114),"")</f>
        <v/>
      </c>
      <c r="P92" s="105" t="str">
        <f>IF(AND('Mapa final'!$AB$112="Alta",'Mapa final'!$AD$112="Moderado"),CONCATENATE("R37C",'Mapa final'!$R$112),"")</f>
        <v/>
      </c>
      <c r="Q92" s="42" t="str">
        <f>IF(AND('Mapa final'!$AB$113="Alta",'Mapa final'!$AD$113="Moderado"),CONCATENATE("R37C",'Mapa final'!$R$113),"")</f>
        <v/>
      </c>
      <c r="R92" s="106" t="str">
        <f>IF(AND('Mapa final'!$AB$114="Alta",'Mapa final'!$AD$114="Moderado"),CONCATENATE("R37C",'Mapa final'!$R$114),"")</f>
        <v/>
      </c>
      <c r="S92" s="105" t="str">
        <f>IF(AND('Mapa final'!$AB$112="Alta",'Mapa final'!$AD$112="Mayor"),CONCATENATE("R37C",'Mapa final'!$R$112),"")</f>
        <v/>
      </c>
      <c r="T92" s="42" t="str">
        <f>IF(AND('Mapa final'!$AB$113="Alta",'Mapa final'!$AD$113="Mayor"),CONCATENATE("R37C",'Mapa final'!$R$113),"")</f>
        <v/>
      </c>
      <c r="U92" s="106" t="str">
        <f>IF(AND('Mapa final'!$AB$114="Alta",'Mapa final'!$AD$114="Mayor"),CONCATENATE("R37C",'Mapa final'!$R$114),"")</f>
        <v/>
      </c>
      <c r="V92" s="43" t="str">
        <f>IF(AND('Mapa final'!$AB$112="Alta",'Mapa final'!$AD$112="Catastrófico"),CONCATENATE("R37C",'Mapa final'!$R$112),"")</f>
        <v/>
      </c>
      <c r="W92" s="44" t="str">
        <f>IF(AND('Mapa final'!$AB$113="Alta",'Mapa final'!$AD$113="Catastrófico"),CONCATENATE("R37C",'Mapa final'!$R$113),"")</f>
        <v/>
      </c>
      <c r="X92" s="100" t="str">
        <f>IF(AND('Mapa final'!$AB$114="Alta",'Mapa final'!$AD$114="Catastrófico"),CONCATENATE("R37C",'Mapa final'!$R$114),"")</f>
        <v/>
      </c>
      <c r="Y92" s="56"/>
      <c r="Z92" s="282"/>
      <c r="AA92" s="283"/>
      <c r="AB92" s="283"/>
      <c r="AC92" s="283"/>
      <c r="AD92" s="283"/>
      <c r="AE92" s="284"/>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35">
      <c r="A93" s="56"/>
      <c r="B93" s="300"/>
      <c r="C93" s="300"/>
      <c r="D93" s="301"/>
      <c r="E93" s="289"/>
      <c r="F93" s="290"/>
      <c r="G93" s="290"/>
      <c r="H93" s="290"/>
      <c r="I93" s="288"/>
      <c r="J93" s="49" t="str">
        <f>IF(AND('Mapa final'!$AB$115="Alta",'Mapa final'!$AD$115="Leve"),CONCATENATE("R38C",'Mapa final'!$R$115),"")</f>
        <v/>
      </c>
      <c r="K93" s="50" t="str">
        <f>IF(AND('Mapa final'!$AB$116="Alta",'Mapa final'!$AD$116="Leve"),CONCATENATE("R38C",'Mapa final'!$R$116),"")</f>
        <v/>
      </c>
      <c r="L93" s="111" t="str">
        <f>IF(AND('Mapa final'!$AB$117="Alta",'Mapa final'!$AD$117="Leve"),CONCATENATE("R38C",'Mapa final'!$R$117),"")</f>
        <v/>
      </c>
      <c r="M93" s="49" t="str">
        <f>IF(AND('Mapa final'!$AB$115="Alta",'Mapa final'!$AD$115="Menor"),CONCATENATE("R38C",'Mapa final'!$R$115),"")</f>
        <v/>
      </c>
      <c r="N93" s="50" t="str">
        <f>IF(AND('Mapa final'!$AB$116="Alta",'Mapa final'!$AD$116="Menor"),CONCATENATE("R38C",'Mapa final'!$R$116),"")</f>
        <v/>
      </c>
      <c r="O93" s="111" t="str">
        <f>IF(AND('Mapa final'!$AB$117="Alta",'Mapa final'!$AD$117="Menor"),CONCATENATE("R38C",'Mapa final'!$R$117),"")</f>
        <v/>
      </c>
      <c r="P93" s="105" t="str">
        <f>IF(AND('Mapa final'!$AB$115="Alta",'Mapa final'!$AD$115="Moderado"),CONCATENATE("R38C",'Mapa final'!$R$115),"")</f>
        <v/>
      </c>
      <c r="Q93" s="42" t="str">
        <f>IF(AND('Mapa final'!$AB$116="Alta",'Mapa final'!$AD$116="Moderado"),CONCATENATE("R38C",'Mapa final'!$R$116),"")</f>
        <v/>
      </c>
      <c r="R93" s="106" t="str">
        <f>IF(AND('Mapa final'!$AB$117="Alta",'Mapa final'!$AD$117="Moderado"),CONCATENATE("R38C",'Mapa final'!$R$117),"")</f>
        <v/>
      </c>
      <c r="S93" s="105" t="str">
        <f>IF(AND('Mapa final'!$AB$115="Alta",'Mapa final'!$AD$115="Mayor"),CONCATENATE("R38C",'Mapa final'!$R$115),"")</f>
        <v/>
      </c>
      <c r="T93" s="42" t="str">
        <f>IF(AND('Mapa final'!$AB$116="Alta",'Mapa final'!$AD$116="Mayor"),CONCATENATE("R38C",'Mapa final'!$R$116),"")</f>
        <v/>
      </c>
      <c r="U93" s="106" t="str">
        <f>IF(AND('Mapa final'!$AB$117="Alta",'Mapa final'!$AD$117="Mayor"),CONCATENATE("R38C",'Mapa final'!$R$117),"")</f>
        <v/>
      </c>
      <c r="V93" s="43" t="str">
        <f>IF(AND('Mapa final'!$AB$115="Alta",'Mapa final'!$AD$115="Catastrófico"),CONCATENATE("R38C",'Mapa final'!$R$115),"")</f>
        <v/>
      </c>
      <c r="W93" s="44" t="str">
        <f>IF(AND('Mapa final'!$AB$116="Alta",'Mapa final'!$AD$116="Catastrófico"),CONCATENATE("R38C",'Mapa final'!$R$116),"")</f>
        <v/>
      </c>
      <c r="X93" s="100" t="str">
        <f>IF(AND('Mapa final'!$AB$117="Alta",'Mapa final'!$AD$117="Catastrófico"),CONCATENATE("R38C",'Mapa final'!$R$117),"")</f>
        <v/>
      </c>
      <c r="Y93" s="56"/>
      <c r="Z93" s="282"/>
      <c r="AA93" s="283"/>
      <c r="AB93" s="283"/>
      <c r="AC93" s="283"/>
      <c r="AD93" s="283"/>
      <c r="AE93" s="284"/>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35">
      <c r="A94" s="56"/>
      <c r="B94" s="300"/>
      <c r="C94" s="300"/>
      <c r="D94" s="301"/>
      <c r="E94" s="289"/>
      <c r="F94" s="290"/>
      <c r="G94" s="290"/>
      <c r="H94" s="290"/>
      <c r="I94" s="288"/>
      <c r="J94" s="49" t="str">
        <f>IF(AND('Mapa final'!$AB$118="Alta",'Mapa final'!$AD$118="Leve"),CONCATENATE("R39C",'Mapa final'!$R$118),"")</f>
        <v/>
      </c>
      <c r="K94" s="50" t="str">
        <f>IF(AND('Mapa final'!$AB$119="Alta",'Mapa final'!$AD$119="Leve"),CONCATENATE("R39C",'Mapa final'!$R$119),"")</f>
        <v/>
      </c>
      <c r="L94" s="111" t="str">
        <f>IF(AND('Mapa final'!$AB$120="Alta",'Mapa final'!$AD$120="Leve"),CONCATENATE("R39C",'Mapa final'!$R$120),"")</f>
        <v/>
      </c>
      <c r="M94" s="49" t="str">
        <f>IF(AND('Mapa final'!$AB$118="Alta",'Mapa final'!$AD$118="Menor"),CONCATENATE("R39C",'Mapa final'!$R$118),"")</f>
        <v/>
      </c>
      <c r="N94" s="50" t="str">
        <f>IF(AND('Mapa final'!$AB$119="Alta",'Mapa final'!$AD$119="Menor"),CONCATENATE("R39C",'Mapa final'!$R$119),"")</f>
        <v/>
      </c>
      <c r="O94" s="111" t="str">
        <f>IF(AND('Mapa final'!$AB$120="Alta",'Mapa final'!$AD$120="Menor"),CONCATENATE("R39C",'Mapa final'!$R$120),"")</f>
        <v/>
      </c>
      <c r="P94" s="105" t="str">
        <f>IF(AND('Mapa final'!$AB$118="Alta",'Mapa final'!$AD$118="Moderado"),CONCATENATE("R39C",'Mapa final'!$R$118),"")</f>
        <v/>
      </c>
      <c r="Q94" s="42" t="str">
        <f>IF(AND('Mapa final'!$AB$119="Alta",'Mapa final'!$AD$119="Moderado"),CONCATENATE("R39C",'Mapa final'!$R$119),"")</f>
        <v/>
      </c>
      <c r="R94" s="106" t="str">
        <f>IF(AND('Mapa final'!$AB$120="Alta",'Mapa final'!$AD$120="Moderado"),CONCATENATE("R39C",'Mapa final'!$R$120),"")</f>
        <v/>
      </c>
      <c r="S94" s="105" t="str">
        <f>IF(AND('Mapa final'!$AB$118="Alta",'Mapa final'!$AD$118="Mayor"),CONCATENATE("R39C",'Mapa final'!$R$118),"")</f>
        <v/>
      </c>
      <c r="T94" s="42" t="str">
        <f>IF(AND('Mapa final'!$AB$119="Alta",'Mapa final'!$AD$119="Mayor"),CONCATENATE("R39C",'Mapa final'!$R$119),"")</f>
        <v/>
      </c>
      <c r="U94" s="106" t="str">
        <f>IF(AND('Mapa final'!$AB$120="Alta",'Mapa final'!$AD$120="Mayor"),CONCATENATE("R39C",'Mapa final'!$R$120),"")</f>
        <v/>
      </c>
      <c r="V94" s="43" t="str">
        <f>IF(AND('Mapa final'!$AB$118="Alta",'Mapa final'!$AD$118="Catastrófico"),CONCATENATE("R39C",'Mapa final'!$R$118),"")</f>
        <v/>
      </c>
      <c r="W94" s="44" t="str">
        <f>IF(AND('Mapa final'!$AB$119="Alta",'Mapa final'!$AD$119="Catastrófico"),CONCATENATE("R39C",'Mapa final'!$R$119),"")</f>
        <v/>
      </c>
      <c r="X94" s="100" t="str">
        <f>IF(AND('Mapa final'!$AB$120="Alta",'Mapa final'!$AD$120="Catastrófico"),CONCATENATE("R39C",'Mapa final'!$R$120),"")</f>
        <v/>
      </c>
      <c r="Y94" s="56"/>
      <c r="Z94" s="282"/>
      <c r="AA94" s="283"/>
      <c r="AB94" s="283"/>
      <c r="AC94" s="283"/>
      <c r="AD94" s="283"/>
      <c r="AE94" s="284"/>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35">
      <c r="A95" s="56"/>
      <c r="B95" s="300"/>
      <c r="C95" s="300"/>
      <c r="D95" s="301"/>
      <c r="E95" s="289"/>
      <c r="F95" s="290"/>
      <c r="G95" s="290"/>
      <c r="H95" s="290"/>
      <c r="I95" s="288"/>
      <c r="J95" s="49" t="str">
        <f>IF(AND('Mapa final'!$AB$121="Alta",'Mapa final'!$AD$121="Leve"),CONCATENATE("R40C",'Mapa final'!$R$121),"")</f>
        <v/>
      </c>
      <c r="K95" s="50" t="str">
        <f>IF(AND('Mapa final'!$AB$122="Alta",'Mapa final'!$AD$122="Leve"),CONCATENATE("R40C",'Mapa final'!$R$122),"")</f>
        <v/>
      </c>
      <c r="L95" s="111" t="str">
        <f>IF(AND('Mapa final'!$AB$123="Alta",'Mapa final'!$AD$123="Leve"),CONCATENATE("R40C",'Mapa final'!$R$123),"")</f>
        <v/>
      </c>
      <c r="M95" s="49" t="str">
        <f>IF(AND('Mapa final'!$AB$121="Alta",'Mapa final'!$AD$121="Menor"),CONCATENATE("R40C",'Mapa final'!$R$121),"")</f>
        <v/>
      </c>
      <c r="N95" s="50" t="str">
        <f>IF(AND('Mapa final'!$AB$122="Alta",'Mapa final'!$AD$122="Menor"),CONCATENATE("R40C",'Mapa final'!$R$122),"")</f>
        <v/>
      </c>
      <c r="O95" s="111" t="str">
        <f>IF(AND('Mapa final'!$AB$123="Alta",'Mapa final'!$AD$123="Menor"),CONCATENATE("R40C",'Mapa final'!$R$123),"")</f>
        <v/>
      </c>
      <c r="P95" s="105" t="str">
        <f>IF(AND('Mapa final'!$AB$121="Alta",'Mapa final'!$AD$121="Moderado"),CONCATENATE("R40C",'Mapa final'!$R$121),"")</f>
        <v/>
      </c>
      <c r="Q95" s="42" t="str">
        <f>IF(AND('Mapa final'!$AB$122="Alta",'Mapa final'!$AD$122="Moderado"),CONCATENATE("R40C",'Mapa final'!$R$122),"")</f>
        <v/>
      </c>
      <c r="R95" s="106" t="str">
        <f>IF(AND('Mapa final'!$AB$123="Alta",'Mapa final'!$AD$123="Moderado"),CONCATENATE("R40C",'Mapa final'!$R$123),"")</f>
        <v/>
      </c>
      <c r="S95" s="105" t="str">
        <f>IF(AND('Mapa final'!$AB$121="Alta",'Mapa final'!$AD$121="Mayor"),CONCATENATE("R40C",'Mapa final'!$R$121),"")</f>
        <v/>
      </c>
      <c r="T95" s="42" t="str">
        <f>IF(AND('Mapa final'!$AB$122="Alta",'Mapa final'!$AD$122="Mayor"),CONCATENATE("R40C",'Mapa final'!$R$122),"")</f>
        <v/>
      </c>
      <c r="U95" s="106" t="str">
        <f>IF(AND('Mapa final'!$AB$123="Alta",'Mapa final'!$AD$123="Mayor"),CONCATENATE("R40C",'Mapa final'!$R$123),"")</f>
        <v/>
      </c>
      <c r="V95" s="43" t="str">
        <f>IF(AND('Mapa final'!$AB$121="Alta",'Mapa final'!$AD$121="Catastrófico"),CONCATENATE("R40C",'Mapa final'!$R$121),"")</f>
        <v/>
      </c>
      <c r="W95" s="44" t="str">
        <f>IF(AND('Mapa final'!$AB$122="Alta",'Mapa final'!$AD$122="Catastrófico"),CONCATENATE("R40C",'Mapa final'!$R$122),"")</f>
        <v/>
      </c>
      <c r="X95" s="100" t="str">
        <f>IF(AND('Mapa final'!$AB$123="Alta",'Mapa final'!$AD$123="Catastrófico"),CONCATENATE("R40C",'Mapa final'!$R$123),"")</f>
        <v/>
      </c>
      <c r="Y95" s="56"/>
      <c r="Z95" s="282"/>
      <c r="AA95" s="283"/>
      <c r="AB95" s="283"/>
      <c r="AC95" s="283"/>
      <c r="AD95" s="283"/>
      <c r="AE95" s="284"/>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35">
      <c r="A96" s="56"/>
      <c r="B96" s="300"/>
      <c r="C96" s="300"/>
      <c r="D96" s="301"/>
      <c r="E96" s="289"/>
      <c r="F96" s="290"/>
      <c r="G96" s="290"/>
      <c r="H96" s="290"/>
      <c r="I96" s="288"/>
      <c r="J96" s="49" t="str">
        <f>IF(AND('Mapa final'!$AB$124="Alta",'Mapa final'!$AD$124="Leve"),CONCATENATE("R41C",'Mapa final'!$R$124),"")</f>
        <v/>
      </c>
      <c r="K96" s="50" t="str">
        <f>IF(AND('Mapa final'!$AB$125="Alta",'Mapa final'!$AD$125="Leve"),CONCATENATE("R41C",'Mapa final'!$R$125),"")</f>
        <v/>
      </c>
      <c r="L96" s="111" t="str">
        <f>IF(AND('Mapa final'!$AB$126="Alta",'Mapa final'!$AD$126="Leve"),CONCATENATE("R41C",'Mapa final'!$R$126),"")</f>
        <v/>
      </c>
      <c r="M96" s="49" t="str">
        <f>IF(AND('Mapa final'!$AB$124="Alta",'Mapa final'!$AD$124="Menor"),CONCATENATE("R41C",'Mapa final'!$R$124),"")</f>
        <v/>
      </c>
      <c r="N96" s="50" t="str">
        <f>IF(AND('Mapa final'!$AB$125="Alta",'Mapa final'!$AD$125="Menor"),CONCATENATE("R41C",'Mapa final'!$R$125),"")</f>
        <v/>
      </c>
      <c r="O96" s="111" t="str">
        <f>IF(AND('Mapa final'!$AB$126="Alta",'Mapa final'!$AD$126="Menor"),CONCATENATE("R41C",'Mapa final'!$R$126),"")</f>
        <v/>
      </c>
      <c r="P96" s="105" t="str">
        <f>IF(AND('Mapa final'!$AB$124="Alta",'Mapa final'!$AD$124="Moderado"),CONCATENATE("R41C",'Mapa final'!$R$124),"")</f>
        <v/>
      </c>
      <c r="Q96" s="42" t="str">
        <f>IF(AND('Mapa final'!$AB$125="Alta",'Mapa final'!$AD$125="Moderado"),CONCATENATE("R41C",'Mapa final'!$R$125),"")</f>
        <v/>
      </c>
      <c r="R96" s="106" t="str">
        <f>IF(AND('Mapa final'!$AB$126="Alta",'Mapa final'!$AD$126="Moderado"),CONCATENATE("R41C",'Mapa final'!$R$126),"")</f>
        <v/>
      </c>
      <c r="S96" s="105" t="str">
        <f>IF(AND('Mapa final'!$AB$124="Alta",'Mapa final'!$AD$124="Mayor"),CONCATENATE("R41C",'Mapa final'!$R$124),"")</f>
        <v/>
      </c>
      <c r="T96" s="42" t="str">
        <f>IF(AND('Mapa final'!$AB$125="Alta",'Mapa final'!$AD$125="Mayor"),CONCATENATE("R41C",'Mapa final'!$R$125),"")</f>
        <v/>
      </c>
      <c r="U96" s="106" t="str">
        <f>IF(AND('Mapa final'!$AB$126="Alta",'Mapa final'!$AD$126="Mayor"),CONCATENATE("R41C",'Mapa final'!$R$126),"")</f>
        <v/>
      </c>
      <c r="V96" s="43" t="str">
        <f>IF(AND('Mapa final'!$AB$124="Alta",'Mapa final'!$AD$124="Catastrófico"),CONCATENATE("R41C",'Mapa final'!$R$124),"")</f>
        <v/>
      </c>
      <c r="W96" s="44" t="str">
        <f>IF(AND('Mapa final'!$AB$125="Alta",'Mapa final'!$AD$125="Catastrófico"),CONCATENATE("R41C",'Mapa final'!$R$125),"")</f>
        <v/>
      </c>
      <c r="X96" s="100" t="str">
        <f>IF(AND('Mapa final'!$AB$126="Alta",'Mapa final'!$AD$126="Catastrófico"),CONCATENATE("R41C",'Mapa final'!$R$126),"")</f>
        <v/>
      </c>
      <c r="Y96" s="56"/>
      <c r="Z96" s="282"/>
      <c r="AA96" s="283"/>
      <c r="AB96" s="283"/>
      <c r="AC96" s="283"/>
      <c r="AD96" s="283"/>
      <c r="AE96" s="284"/>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35">
      <c r="A97" s="56"/>
      <c r="B97" s="300"/>
      <c r="C97" s="300"/>
      <c r="D97" s="301"/>
      <c r="E97" s="289"/>
      <c r="F97" s="290"/>
      <c r="G97" s="290"/>
      <c r="H97" s="290"/>
      <c r="I97" s="288"/>
      <c r="J97" s="49" t="str">
        <f>IF(AND('Mapa final'!$AB$127="Alta",'Mapa final'!$AD$127="Leve"),CONCATENATE("R42C",'Mapa final'!$R$127),"")</f>
        <v/>
      </c>
      <c r="K97" s="50" t="str">
        <f>IF(AND('Mapa final'!$AB$128="Alta",'Mapa final'!$AD$128="Leve"),CONCATENATE("R42C",'Mapa final'!$R$128),"")</f>
        <v/>
      </c>
      <c r="L97" s="111" t="str">
        <f>IF(AND('Mapa final'!$AB$129="Alta",'Mapa final'!$AD$129="Leve"),CONCATENATE("R42C",'Mapa final'!$R$129),"")</f>
        <v/>
      </c>
      <c r="M97" s="49" t="str">
        <f>IF(AND('Mapa final'!$AB$127="Alta",'Mapa final'!$AD$127="Menor"),CONCATENATE("R42C",'Mapa final'!$R$127),"")</f>
        <v/>
      </c>
      <c r="N97" s="50" t="str">
        <f>IF(AND('Mapa final'!$AB$128="Alta",'Mapa final'!$AD$128="Menor"),CONCATENATE("R42C",'Mapa final'!$R$128),"")</f>
        <v/>
      </c>
      <c r="O97" s="111" t="str">
        <f>IF(AND('Mapa final'!$AB$129="Alta",'Mapa final'!$AD$129="Menor"),CONCATENATE("R42C",'Mapa final'!$R$129),"")</f>
        <v/>
      </c>
      <c r="P97" s="105" t="str">
        <f>IF(AND('Mapa final'!$AB$127="Alta",'Mapa final'!$AD$127="Moderado"),CONCATENATE("R42C",'Mapa final'!$R$127),"")</f>
        <v/>
      </c>
      <c r="Q97" s="42" t="str">
        <f>IF(AND('Mapa final'!$AB$128="Alta",'Mapa final'!$AD$128="Moderado"),CONCATENATE("R42C",'Mapa final'!$R$128),"")</f>
        <v/>
      </c>
      <c r="R97" s="106" t="str">
        <f>IF(AND('Mapa final'!$AB$129="Alta",'Mapa final'!$AD$129="Moderado"),CONCATENATE("R42C",'Mapa final'!$R$129),"")</f>
        <v/>
      </c>
      <c r="S97" s="105" t="str">
        <f>IF(AND('Mapa final'!$AB$127="Alta",'Mapa final'!$AD$127="Mayor"),CONCATENATE("R42C",'Mapa final'!$R$127),"")</f>
        <v/>
      </c>
      <c r="T97" s="42" t="str">
        <f>IF(AND('Mapa final'!$AB$128="Alta",'Mapa final'!$AD$128="Mayor"),CONCATENATE("R42C",'Mapa final'!$R$128),"")</f>
        <v/>
      </c>
      <c r="U97" s="106" t="str">
        <f>IF(AND('Mapa final'!$AB$129="Alta",'Mapa final'!$AD$129="Mayor"),CONCATENATE("R42C",'Mapa final'!$R$129),"")</f>
        <v/>
      </c>
      <c r="V97" s="43" t="str">
        <f>IF(AND('Mapa final'!$AB$127="Alta",'Mapa final'!$AD$127="Catastrófico"),CONCATENATE("R42C",'Mapa final'!$R$127),"")</f>
        <v/>
      </c>
      <c r="W97" s="44" t="str">
        <f>IF(AND('Mapa final'!$AB$128="Alta",'Mapa final'!$AD$128="Catastrófico"),CONCATENATE("R42C",'Mapa final'!$R$128),"")</f>
        <v/>
      </c>
      <c r="X97" s="100" t="str">
        <f>IF(AND('Mapa final'!$AB$129="Alta",'Mapa final'!$AD$129="Catastrófico"),CONCATENATE("R42C",'Mapa final'!$R$129),"")</f>
        <v/>
      </c>
      <c r="Y97" s="56"/>
      <c r="Z97" s="282"/>
      <c r="AA97" s="283"/>
      <c r="AB97" s="283"/>
      <c r="AC97" s="283"/>
      <c r="AD97" s="283"/>
      <c r="AE97" s="284"/>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35">
      <c r="A98" s="56"/>
      <c r="B98" s="300"/>
      <c r="C98" s="300"/>
      <c r="D98" s="301"/>
      <c r="E98" s="289"/>
      <c r="F98" s="290"/>
      <c r="G98" s="290"/>
      <c r="H98" s="290"/>
      <c r="I98" s="288"/>
      <c r="J98" s="49" t="str">
        <f>IF(AND('Mapa final'!$AB$130="Alta",'Mapa final'!$AD$130="Leve"),CONCATENATE("R43C",'Mapa final'!$R$130),"")</f>
        <v/>
      </c>
      <c r="K98" s="50" t="str">
        <f>IF(AND('Mapa final'!$AB$131="Alta",'Mapa final'!$AD$131="Leve"),CONCATENATE("R43C",'Mapa final'!$R$131),"")</f>
        <v/>
      </c>
      <c r="L98" s="111" t="str">
        <f>IF(AND('Mapa final'!$AB$132="Alta",'Mapa final'!$AD$132="Leve"),CONCATENATE("R43C",'Mapa final'!$R$132),"")</f>
        <v/>
      </c>
      <c r="M98" s="49" t="str">
        <f>IF(AND('Mapa final'!$AB$130="Alta",'Mapa final'!$AD$130="Menor"),CONCATENATE("R43C",'Mapa final'!$R$130),"")</f>
        <v/>
      </c>
      <c r="N98" s="50" t="str">
        <f>IF(AND('Mapa final'!$AB$131="Alta",'Mapa final'!$AD$131="Menor"),CONCATENATE("R43C",'Mapa final'!$R$131),"")</f>
        <v/>
      </c>
      <c r="O98" s="111" t="str">
        <f>IF(AND('Mapa final'!$AB$132="Alta",'Mapa final'!$AD$132="Menor"),CONCATENATE("R43C",'Mapa final'!$R$132),"")</f>
        <v/>
      </c>
      <c r="P98" s="105" t="str">
        <f>IF(AND('Mapa final'!$AB$130="Alta",'Mapa final'!$AD$130="Moderado"),CONCATENATE("R43C",'Mapa final'!$R$130),"")</f>
        <v/>
      </c>
      <c r="Q98" s="42" t="str">
        <f>IF(AND('Mapa final'!$AB$131="Alta",'Mapa final'!$AD$131="Moderado"),CONCATENATE("R43C",'Mapa final'!$R$131),"")</f>
        <v/>
      </c>
      <c r="R98" s="106" t="str">
        <f>IF(AND('Mapa final'!$AB$132="Alta",'Mapa final'!$AD$132="Moderado"),CONCATENATE("R43C",'Mapa final'!$R$132),"")</f>
        <v/>
      </c>
      <c r="S98" s="105" t="str">
        <f>IF(AND('Mapa final'!$AB$130="Alta",'Mapa final'!$AD$130="Mayor"),CONCATENATE("R43C",'Mapa final'!$R$130),"")</f>
        <v/>
      </c>
      <c r="T98" s="42" t="str">
        <f>IF(AND('Mapa final'!$AB$131="Alta",'Mapa final'!$AD$131="Mayor"),CONCATENATE("R43C",'Mapa final'!$R$131),"")</f>
        <v/>
      </c>
      <c r="U98" s="106" t="str">
        <f>IF(AND('Mapa final'!$AB$132="Alta",'Mapa final'!$AD$132="Mayor"),CONCATENATE("R43C",'Mapa final'!$R$132),"")</f>
        <v/>
      </c>
      <c r="V98" s="43" t="str">
        <f>IF(AND('Mapa final'!$AB$130="Alta",'Mapa final'!$AD$130="Catastrófico"),CONCATENATE("R43C",'Mapa final'!$R$130),"")</f>
        <v/>
      </c>
      <c r="W98" s="44" t="str">
        <f>IF(AND('Mapa final'!$AB$131="Alta",'Mapa final'!$AD$131="Catastrófico"),CONCATENATE("R43C",'Mapa final'!$R$131),"")</f>
        <v/>
      </c>
      <c r="X98" s="100" t="str">
        <f>IF(AND('Mapa final'!$AB$132="Alta",'Mapa final'!$AD$132="Catastrófico"),CONCATENATE("R43C",'Mapa final'!$R$132),"")</f>
        <v/>
      </c>
      <c r="Y98" s="56"/>
      <c r="Z98" s="282"/>
      <c r="AA98" s="283"/>
      <c r="AB98" s="283"/>
      <c r="AC98" s="283"/>
      <c r="AD98" s="283"/>
      <c r="AE98" s="284"/>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35">
      <c r="A99" s="56"/>
      <c r="B99" s="300"/>
      <c r="C99" s="300"/>
      <c r="D99" s="301"/>
      <c r="E99" s="289"/>
      <c r="F99" s="290"/>
      <c r="G99" s="290"/>
      <c r="H99" s="290"/>
      <c r="I99" s="288"/>
      <c r="J99" s="49" t="str">
        <f>IF(AND('Mapa final'!$AB$133="Alta",'Mapa final'!$AD$133="Leve"),CONCATENATE("R44C",'Mapa final'!$R$133),"")</f>
        <v/>
      </c>
      <c r="K99" s="50" t="str">
        <f>IF(AND('Mapa final'!$AB$134="Alta",'Mapa final'!$AD$134="Leve"),CONCATENATE("R44C",'Mapa final'!$R$134),"")</f>
        <v/>
      </c>
      <c r="L99" s="111" t="str">
        <f>IF(AND('Mapa final'!$AB$135="Alta",'Mapa final'!$AD$135="Leve"),CONCATENATE("R44C",'Mapa final'!$R$135),"")</f>
        <v/>
      </c>
      <c r="M99" s="49" t="str">
        <f>IF(AND('Mapa final'!$AB$133="Alta",'Mapa final'!$AD$133="Menor"),CONCATENATE("R44C",'Mapa final'!$R$133),"")</f>
        <v/>
      </c>
      <c r="N99" s="50" t="str">
        <f>IF(AND('Mapa final'!$AB$134="Alta",'Mapa final'!$AD$134="Menor"),CONCATENATE("R44C",'Mapa final'!$R$134),"")</f>
        <v/>
      </c>
      <c r="O99" s="111" t="str">
        <f>IF(AND('Mapa final'!$AB$135="Alta",'Mapa final'!$AD$135="Menor"),CONCATENATE("R44C",'Mapa final'!$R$135),"")</f>
        <v/>
      </c>
      <c r="P99" s="105" t="str">
        <f>IF(AND('Mapa final'!$AB$133="Alta",'Mapa final'!$AD$133="Moderado"),CONCATENATE("R44C",'Mapa final'!$R$133),"")</f>
        <v/>
      </c>
      <c r="Q99" s="42" t="str">
        <f>IF(AND('Mapa final'!$AB$134="Alta",'Mapa final'!$AD$134="Moderado"),CONCATENATE("R44C",'Mapa final'!$R$134),"")</f>
        <v/>
      </c>
      <c r="R99" s="106" t="str">
        <f>IF(AND('Mapa final'!$AB$135="Alta",'Mapa final'!$AD$135="Moderado"),CONCATENATE("R44C",'Mapa final'!$R$135),"")</f>
        <v/>
      </c>
      <c r="S99" s="105" t="str">
        <f>IF(AND('Mapa final'!$AB$133="Alta",'Mapa final'!$AD$133="Mayor"),CONCATENATE("R44C",'Mapa final'!$R$133),"")</f>
        <v/>
      </c>
      <c r="T99" s="42" t="str">
        <f>IF(AND('Mapa final'!$AB$134="Alta",'Mapa final'!$AD$134="Mayor"),CONCATENATE("R44C",'Mapa final'!$R$134),"")</f>
        <v/>
      </c>
      <c r="U99" s="106" t="str">
        <f>IF(AND('Mapa final'!$AB$135="Alta",'Mapa final'!$AD$135="Mayor"),CONCATENATE("R44C",'Mapa final'!$R$135),"")</f>
        <v/>
      </c>
      <c r="V99" s="43" t="str">
        <f>IF(AND('Mapa final'!$AB$133="Alta",'Mapa final'!$AD$133="Catastrófico"),CONCATENATE("R44C",'Mapa final'!$R$133),"")</f>
        <v/>
      </c>
      <c r="W99" s="44" t="str">
        <f>IF(AND('Mapa final'!$AB$134="Alta",'Mapa final'!$AD$134="Catastrófico"),CONCATENATE("R44C",'Mapa final'!$R$134),"")</f>
        <v/>
      </c>
      <c r="X99" s="100" t="str">
        <f>IF(AND('Mapa final'!$AB$135="Alta",'Mapa final'!$AD$135="Catastrófico"),CONCATENATE("R44C",'Mapa final'!$R$135),"")</f>
        <v/>
      </c>
      <c r="Y99" s="56"/>
      <c r="Z99" s="282"/>
      <c r="AA99" s="283"/>
      <c r="AB99" s="283"/>
      <c r="AC99" s="283"/>
      <c r="AD99" s="283"/>
      <c r="AE99" s="284"/>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35">
      <c r="A100" s="56"/>
      <c r="B100" s="300"/>
      <c r="C100" s="300"/>
      <c r="D100" s="301"/>
      <c r="E100" s="289"/>
      <c r="F100" s="290"/>
      <c r="G100" s="290"/>
      <c r="H100" s="290"/>
      <c r="I100" s="288"/>
      <c r="J100" s="49" t="str">
        <f>IF(AND('Mapa final'!$AB$136="Alta",'Mapa final'!$AD$136="Leve"),CONCATENATE("R45C",'Mapa final'!$R$136),"")</f>
        <v/>
      </c>
      <c r="K100" s="50" t="str">
        <f>IF(AND('Mapa final'!$AB$137="Alta",'Mapa final'!$AD$137="Leve"),CONCATENATE("R45C",'Mapa final'!$R$137),"")</f>
        <v/>
      </c>
      <c r="L100" s="111" t="str">
        <f>IF(AND('Mapa final'!$AB$138="Alta",'Mapa final'!$AD$138="Leve"),CONCATENATE("R45C",'Mapa final'!$R$138),"")</f>
        <v/>
      </c>
      <c r="M100" s="49" t="str">
        <f>IF(AND('Mapa final'!$AB$136="Alta",'Mapa final'!$AD$136="Menor"),CONCATENATE("R45C",'Mapa final'!$R$136),"")</f>
        <v/>
      </c>
      <c r="N100" s="50" t="str">
        <f>IF(AND('Mapa final'!$AB$137="Alta",'Mapa final'!$AD$137="Menor"),CONCATENATE("R45C",'Mapa final'!$R$137),"")</f>
        <v/>
      </c>
      <c r="O100" s="111" t="str">
        <f>IF(AND('Mapa final'!$AB$138="Alta",'Mapa final'!$AD$138="Menor"),CONCATENATE("R45C",'Mapa final'!$R$138),"")</f>
        <v/>
      </c>
      <c r="P100" s="105" t="str">
        <f>IF(AND('Mapa final'!$AB$136="Alta",'Mapa final'!$AD$136="Moderado"),CONCATENATE("R45C",'Mapa final'!$R$136),"")</f>
        <v/>
      </c>
      <c r="Q100" s="42" t="str">
        <f>IF(AND('Mapa final'!$AB$137="Alta",'Mapa final'!$AD$137="Moderado"),CONCATENATE("R45C",'Mapa final'!$R$137),"")</f>
        <v/>
      </c>
      <c r="R100" s="106" t="str">
        <f>IF(AND('Mapa final'!$AB$138="Alta",'Mapa final'!$AD$138="Moderado"),CONCATENATE("R45C",'Mapa final'!$R$138),"")</f>
        <v/>
      </c>
      <c r="S100" s="105" t="str">
        <f>IF(AND('Mapa final'!$AB$136="Alta",'Mapa final'!$AD$136="Mayor"),CONCATENATE("R45C",'Mapa final'!$R$136),"")</f>
        <v/>
      </c>
      <c r="T100" s="42" t="str">
        <f>IF(AND('Mapa final'!$AB$137="Alta",'Mapa final'!$AD$137="Mayor"),CONCATENATE("R45C",'Mapa final'!$R$137),"")</f>
        <v/>
      </c>
      <c r="U100" s="106" t="str">
        <f>IF(AND('Mapa final'!$AB$138="Alta",'Mapa final'!$AD$138="Mayor"),CONCATENATE("R45C",'Mapa final'!$R$138),"")</f>
        <v/>
      </c>
      <c r="V100" s="43" t="str">
        <f>IF(AND('Mapa final'!$AB$136="Alta",'Mapa final'!$AD$136="Catastrófico"),CONCATENATE("R45C",'Mapa final'!$R$136),"")</f>
        <v/>
      </c>
      <c r="W100" s="44" t="str">
        <f>IF(AND('Mapa final'!$AB$137="Alta",'Mapa final'!$AD$137="Catastrófico"),CONCATENATE("R45C",'Mapa final'!$R$137),"")</f>
        <v/>
      </c>
      <c r="X100" s="100" t="str">
        <f>IF(AND('Mapa final'!$AB$138="Alta",'Mapa final'!$AD$138="Catastrófico"),CONCATENATE("R45C",'Mapa final'!$R$138),"")</f>
        <v/>
      </c>
      <c r="Y100" s="56"/>
      <c r="Z100" s="282"/>
      <c r="AA100" s="283"/>
      <c r="AB100" s="283"/>
      <c r="AC100" s="283"/>
      <c r="AD100" s="283"/>
      <c r="AE100" s="284"/>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35">
      <c r="A101" s="56"/>
      <c r="B101" s="300"/>
      <c r="C101" s="300"/>
      <c r="D101" s="301"/>
      <c r="E101" s="289"/>
      <c r="F101" s="290"/>
      <c r="G101" s="290"/>
      <c r="H101" s="290"/>
      <c r="I101" s="288"/>
      <c r="J101" s="49" t="str">
        <f>IF(AND('Mapa final'!$AB$139="Alta",'Mapa final'!$AD$139="Leve"),CONCATENATE("R46C",'Mapa final'!$R$139),"")</f>
        <v/>
      </c>
      <c r="K101" s="50" t="str">
        <f>IF(AND('Mapa final'!$AB$140="Alta",'Mapa final'!$AD$140="Leve"),CONCATENATE("R46C",'Mapa final'!$R$140),"")</f>
        <v/>
      </c>
      <c r="L101" s="111" t="str">
        <f>IF(AND('Mapa final'!$AB$141="Alta",'Mapa final'!$AD$141="Leve"),CONCATENATE("R46C",'Mapa final'!$R$141),"")</f>
        <v/>
      </c>
      <c r="M101" s="49" t="str">
        <f>IF(AND('Mapa final'!$AB$139="Alta",'Mapa final'!$AD$139="Menor"),CONCATENATE("R46C",'Mapa final'!$R$139),"")</f>
        <v/>
      </c>
      <c r="N101" s="50" t="str">
        <f>IF(AND('Mapa final'!$AB$140="Alta",'Mapa final'!$AD$140="Menor"),CONCATENATE("R46C",'Mapa final'!$R$140),"")</f>
        <v/>
      </c>
      <c r="O101" s="111" t="str">
        <f>IF(AND('Mapa final'!$AB$141="Alta",'Mapa final'!$AD$141="Menor"),CONCATENATE("R46C",'Mapa final'!$R$141),"")</f>
        <v/>
      </c>
      <c r="P101" s="105" t="str">
        <f>IF(AND('Mapa final'!$AB$139="Alta",'Mapa final'!$AD$139="Moderado"),CONCATENATE("R46C",'Mapa final'!$R$139),"")</f>
        <v/>
      </c>
      <c r="Q101" s="42" t="str">
        <f>IF(AND('Mapa final'!$AB$140="Alta",'Mapa final'!$AD$140="Moderado"),CONCATENATE("R46C",'Mapa final'!$R$140),"")</f>
        <v/>
      </c>
      <c r="R101" s="106" t="str">
        <f>IF(AND('Mapa final'!$AB$141="Alta",'Mapa final'!$AD$141="Moderado"),CONCATENATE("R46C",'Mapa final'!$R$141),"")</f>
        <v/>
      </c>
      <c r="S101" s="105" t="str">
        <f>IF(AND('Mapa final'!$AB$139="Alta",'Mapa final'!$AD$139="Mayor"),CONCATENATE("R46C",'Mapa final'!$R$139),"")</f>
        <v/>
      </c>
      <c r="T101" s="42" t="str">
        <f>IF(AND('Mapa final'!$AB$140="Alta",'Mapa final'!$AD$140="Mayor"),CONCATENATE("R46C",'Mapa final'!$R$140),"")</f>
        <v/>
      </c>
      <c r="U101" s="106" t="str">
        <f>IF(AND('Mapa final'!$AB$141="Alta",'Mapa final'!$AD$141="Mayor"),CONCATENATE("R46C",'Mapa final'!$R$141),"")</f>
        <v/>
      </c>
      <c r="V101" s="43" t="str">
        <f>IF(AND('Mapa final'!$AB$139="Alta",'Mapa final'!$AD$139="Catastrófico"),CONCATENATE("R46C",'Mapa final'!$R$139),"")</f>
        <v/>
      </c>
      <c r="W101" s="44" t="str">
        <f>IF(AND('Mapa final'!$AB$140="Alta",'Mapa final'!$AD$140="Catastrófico"),CONCATENATE("R46C",'Mapa final'!$R$140),"")</f>
        <v/>
      </c>
      <c r="X101" s="100" t="str">
        <f>IF(AND('Mapa final'!$AB$141="Alta",'Mapa final'!$AD$141="Catastrófico"),CONCATENATE("R46C",'Mapa final'!$R$141),"")</f>
        <v/>
      </c>
      <c r="Y101" s="56"/>
      <c r="Z101" s="282"/>
      <c r="AA101" s="283"/>
      <c r="AB101" s="283"/>
      <c r="AC101" s="283"/>
      <c r="AD101" s="283"/>
      <c r="AE101" s="284"/>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35">
      <c r="A102" s="56"/>
      <c r="B102" s="300"/>
      <c r="C102" s="300"/>
      <c r="D102" s="301"/>
      <c r="E102" s="289"/>
      <c r="F102" s="290"/>
      <c r="G102" s="290"/>
      <c r="H102" s="290"/>
      <c r="I102" s="288"/>
      <c r="J102" s="49" t="str">
        <f>IF(AND('Mapa final'!$AB$142="Alta",'Mapa final'!$AD$142="Leve"),CONCATENATE("R47C",'Mapa final'!$R$142),"")</f>
        <v/>
      </c>
      <c r="K102" s="50" t="str">
        <f>IF(AND('Mapa final'!$AB$143="Alta",'Mapa final'!$AD$143="Leve"),CONCATENATE("R47C",'Mapa final'!$R$143),"")</f>
        <v/>
      </c>
      <c r="L102" s="111" t="str">
        <f>IF(AND('Mapa final'!$AB$144="Alta",'Mapa final'!$AD$144="Leve"),CONCATENATE("R47C",'Mapa final'!$R$144),"")</f>
        <v/>
      </c>
      <c r="M102" s="49" t="str">
        <f>IF(AND('Mapa final'!$AB$142="Alta",'Mapa final'!$AD$142="Menor"),CONCATENATE("R47C",'Mapa final'!$R$142),"")</f>
        <v/>
      </c>
      <c r="N102" s="50" t="str">
        <f>IF(AND('Mapa final'!$AB$143="Alta",'Mapa final'!$AD$143="Menor"),CONCATENATE("R47C",'Mapa final'!$R$143),"")</f>
        <v/>
      </c>
      <c r="O102" s="111" t="str">
        <f>IF(AND('Mapa final'!$AB$144="Alta",'Mapa final'!$AD$144="Menor"),CONCATENATE("R47C",'Mapa final'!$R$144),"")</f>
        <v/>
      </c>
      <c r="P102" s="105" t="str">
        <f>IF(AND('Mapa final'!$AB$142="Alta",'Mapa final'!$AD$142="Moderado"),CONCATENATE("R47C",'Mapa final'!$R$142),"")</f>
        <v/>
      </c>
      <c r="Q102" s="42" t="str">
        <f>IF(AND('Mapa final'!$AB$143="Alta",'Mapa final'!$AD$143="Moderado"),CONCATENATE("R47C",'Mapa final'!$R$143),"")</f>
        <v/>
      </c>
      <c r="R102" s="106" t="str">
        <f>IF(AND('Mapa final'!$AB$144="Alta",'Mapa final'!$AD$144="Moderado"),CONCATENATE("R47C",'Mapa final'!$R$144),"")</f>
        <v/>
      </c>
      <c r="S102" s="105" t="str">
        <f>IF(AND('Mapa final'!$AB$142="Alta",'Mapa final'!$AD$142="Mayor"),CONCATENATE("R47C",'Mapa final'!$R$142),"")</f>
        <v/>
      </c>
      <c r="T102" s="42" t="str">
        <f>IF(AND('Mapa final'!$AB$143="Alta",'Mapa final'!$AD$143="Mayor"),CONCATENATE("R47C",'Mapa final'!$R$143),"")</f>
        <v/>
      </c>
      <c r="U102" s="106" t="str">
        <f>IF(AND('Mapa final'!$AB$144="Alta",'Mapa final'!$AD$144="Mayor"),CONCATENATE("R47C",'Mapa final'!$R$144),"")</f>
        <v/>
      </c>
      <c r="V102" s="43" t="str">
        <f>IF(AND('Mapa final'!$AB$142="Alta",'Mapa final'!$AD$142="Catastrófico"),CONCATENATE("R47C",'Mapa final'!$R$142),"")</f>
        <v/>
      </c>
      <c r="W102" s="44" t="str">
        <f>IF(AND('Mapa final'!$AB$143="Alta",'Mapa final'!$AD$143="Catastrófico"),CONCATENATE("R47C",'Mapa final'!$R$143),"")</f>
        <v/>
      </c>
      <c r="X102" s="100" t="str">
        <f>IF(AND('Mapa final'!$AB$144="Alta",'Mapa final'!$AD$144="Catastrófico"),CONCATENATE("R47C",'Mapa final'!$R$144),"")</f>
        <v/>
      </c>
      <c r="Y102" s="56"/>
      <c r="Z102" s="282"/>
      <c r="AA102" s="283"/>
      <c r="AB102" s="283"/>
      <c r="AC102" s="283"/>
      <c r="AD102" s="283"/>
      <c r="AE102" s="284"/>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35">
      <c r="A103" s="56"/>
      <c r="B103" s="300"/>
      <c r="C103" s="300"/>
      <c r="D103" s="301"/>
      <c r="E103" s="289"/>
      <c r="F103" s="290"/>
      <c r="G103" s="290"/>
      <c r="H103" s="290"/>
      <c r="I103" s="288"/>
      <c r="J103" s="49" t="str">
        <f>IF(AND('Mapa final'!$AB$145="Alta",'Mapa final'!$AD$145="Leve"),CONCATENATE("R48C",'Mapa final'!$R$145),"")</f>
        <v/>
      </c>
      <c r="K103" s="50" t="str">
        <f>IF(AND('Mapa final'!$AB$146="Alta",'Mapa final'!$AD$146="Leve"),CONCATENATE("R48C",'Mapa final'!$R$146),"")</f>
        <v/>
      </c>
      <c r="L103" s="111" t="str">
        <f>IF(AND('Mapa final'!$AB$147="Alta",'Mapa final'!$AD$147="Leve"),CONCATENATE("R48C",'Mapa final'!$R$147),"")</f>
        <v/>
      </c>
      <c r="M103" s="49" t="str">
        <f>IF(AND('Mapa final'!$AB$145="Alta",'Mapa final'!$AD$145="Menor"),CONCATENATE("R48C",'Mapa final'!$R$145),"")</f>
        <v/>
      </c>
      <c r="N103" s="50" t="str">
        <f>IF(AND('Mapa final'!$AB$146="Alta",'Mapa final'!$AD$146="Menor"),CONCATENATE("R48C",'Mapa final'!$R$146),"")</f>
        <v/>
      </c>
      <c r="O103" s="111" t="str">
        <f>IF(AND('Mapa final'!$AB$147="Alta",'Mapa final'!$AD$147="Menor"),CONCATENATE("R48C",'Mapa final'!$R$147),"")</f>
        <v/>
      </c>
      <c r="P103" s="105" t="str">
        <f>IF(AND('Mapa final'!$AB$145="Alta",'Mapa final'!$AD$145="Moderado"),CONCATENATE("R48C",'Mapa final'!$R$145),"")</f>
        <v/>
      </c>
      <c r="Q103" s="42" t="str">
        <f>IF(AND('Mapa final'!$AB$146="Alta",'Mapa final'!$AD$146="Moderado"),CONCATENATE("R48C",'Mapa final'!$R$146),"")</f>
        <v/>
      </c>
      <c r="R103" s="106" t="str">
        <f>IF(AND('Mapa final'!$AB$147="Alta",'Mapa final'!$AD$147="Moderado"),CONCATENATE("R48C",'Mapa final'!$R$147),"")</f>
        <v/>
      </c>
      <c r="S103" s="105" t="str">
        <f>IF(AND('Mapa final'!$AB$145="Alta",'Mapa final'!$AD$145="Mayor"),CONCATENATE("R48C",'Mapa final'!$R$145),"")</f>
        <v/>
      </c>
      <c r="T103" s="42" t="str">
        <f>IF(AND('Mapa final'!$AB$146="Alta",'Mapa final'!$AD$146="Mayor"),CONCATENATE("R48C",'Mapa final'!$R$146),"")</f>
        <v/>
      </c>
      <c r="U103" s="106" t="str">
        <f>IF(AND('Mapa final'!$AB$147="Alta",'Mapa final'!$AD$147="Mayor"),CONCATENATE("R48C",'Mapa final'!$R$147),"")</f>
        <v/>
      </c>
      <c r="V103" s="43" t="str">
        <f>IF(AND('Mapa final'!$AB$145="Alta",'Mapa final'!$AD$145="Catastrófico"),CONCATENATE("R48C",'Mapa final'!$R$145),"")</f>
        <v/>
      </c>
      <c r="W103" s="44" t="str">
        <f>IF(AND('Mapa final'!$AB$146="Alta",'Mapa final'!$AD$146="Catastrófico"),CONCATENATE("R48C",'Mapa final'!$R$146),"")</f>
        <v/>
      </c>
      <c r="X103" s="100" t="str">
        <f>IF(AND('Mapa final'!$AB$147="Alta",'Mapa final'!$AD$147="Catastrófico"),CONCATENATE("R48C",'Mapa final'!$R$147),"")</f>
        <v/>
      </c>
      <c r="Y103" s="56"/>
      <c r="Z103" s="282"/>
      <c r="AA103" s="283"/>
      <c r="AB103" s="283"/>
      <c r="AC103" s="283"/>
      <c r="AD103" s="283"/>
      <c r="AE103" s="284"/>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35">
      <c r="A104" s="56"/>
      <c r="B104" s="300"/>
      <c r="C104" s="300"/>
      <c r="D104" s="301"/>
      <c r="E104" s="289"/>
      <c r="F104" s="290"/>
      <c r="G104" s="290"/>
      <c r="H104" s="290"/>
      <c r="I104" s="288"/>
      <c r="J104" s="49" t="str">
        <f>IF(AND('Mapa final'!$AB$148="Alta",'Mapa final'!$AD$148="Leve"),CONCATENATE("R49C",'Mapa final'!$R$148),"")</f>
        <v/>
      </c>
      <c r="K104" s="50" t="str">
        <f>IF(AND('Mapa final'!$AB$149="Alta",'Mapa final'!$AD$149="Leve"),CONCATENATE("R49C",'Mapa final'!$R$149),"")</f>
        <v/>
      </c>
      <c r="L104" s="111" t="str">
        <f>IF(AND('Mapa final'!$AB$150="Alta",'Mapa final'!$AD$150="Leve"),CONCATENATE("R49C",'Mapa final'!$R$150),"")</f>
        <v/>
      </c>
      <c r="M104" s="49" t="str">
        <f>IF(AND('Mapa final'!$AB$148="Alta",'Mapa final'!$AD$148="Menor"),CONCATENATE("R49C",'Mapa final'!$R$148),"")</f>
        <v/>
      </c>
      <c r="N104" s="50" t="str">
        <f>IF(AND('Mapa final'!$AB$149="Alta",'Mapa final'!$AD$149="Menor"),CONCATENATE("R49C",'Mapa final'!$R$149),"")</f>
        <v/>
      </c>
      <c r="O104" s="111" t="str">
        <f>IF(AND('Mapa final'!$AB$150="Alta",'Mapa final'!$AD$150="Menor"),CONCATENATE("R49C",'Mapa final'!$R$150),"")</f>
        <v/>
      </c>
      <c r="P104" s="105" t="str">
        <f>IF(AND('Mapa final'!$AB$148="Alta",'Mapa final'!$AD$148="Moderado"),CONCATENATE("R49C",'Mapa final'!$R$148),"")</f>
        <v/>
      </c>
      <c r="Q104" s="42" t="str">
        <f>IF(AND('Mapa final'!$AB$149="Alta",'Mapa final'!$AD$149="Moderado"),CONCATENATE("R49C",'Mapa final'!$R$149),"")</f>
        <v/>
      </c>
      <c r="R104" s="106" t="str">
        <f>IF(AND('Mapa final'!$AB$150="Alta",'Mapa final'!$AD$150="Moderado"),CONCATENATE("R49C",'Mapa final'!$R$150),"")</f>
        <v/>
      </c>
      <c r="S104" s="105" t="str">
        <f>IF(AND('Mapa final'!$AB$148="Alta",'Mapa final'!$AD$148="Mayor"),CONCATENATE("R49C",'Mapa final'!$R$148),"")</f>
        <v/>
      </c>
      <c r="T104" s="42" t="str">
        <f>IF(AND('Mapa final'!$AB$149="Alta",'Mapa final'!$AD$149="Mayor"),CONCATENATE("R49C",'Mapa final'!$R$149),"")</f>
        <v/>
      </c>
      <c r="U104" s="106" t="str">
        <f>IF(AND('Mapa final'!$AB$150="Alta",'Mapa final'!$AD$150="Mayor"),CONCATENATE("R49C",'Mapa final'!$R$150),"")</f>
        <v/>
      </c>
      <c r="V104" s="43" t="str">
        <f>IF(AND('Mapa final'!$AB$148="Alta",'Mapa final'!$AD$148="Catastrófico"),CONCATENATE("R49C",'Mapa final'!$R$148),"")</f>
        <v/>
      </c>
      <c r="W104" s="44" t="str">
        <f>IF(AND('Mapa final'!$AB$149="Alta",'Mapa final'!$AD$149="Catastrófico"),CONCATENATE("R49C",'Mapa final'!$R$149),"")</f>
        <v/>
      </c>
      <c r="X104" s="100" t="str">
        <f>IF(AND('Mapa final'!$AB$150="Alta",'Mapa final'!$AD$150="Catastrófico"),CONCATENATE("R49C",'Mapa final'!$R$150),"")</f>
        <v/>
      </c>
      <c r="Y104" s="56"/>
      <c r="Z104" s="282"/>
      <c r="AA104" s="283"/>
      <c r="AB104" s="283"/>
      <c r="AC104" s="283"/>
      <c r="AD104" s="283"/>
      <c r="AE104" s="284"/>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4">
      <c r="A105" s="56"/>
      <c r="B105" s="300"/>
      <c r="C105" s="300"/>
      <c r="D105" s="301"/>
      <c r="E105" s="289"/>
      <c r="F105" s="290"/>
      <c r="G105" s="290"/>
      <c r="H105" s="290"/>
      <c r="I105" s="288"/>
      <c r="J105" s="51" t="str">
        <f>IF(AND('Mapa final'!$AB$151="Alta",'Mapa final'!$AD$151="Leve"),CONCATENATE("R50C",'Mapa final'!$R$151),"")</f>
        <v/>
      </c>
      <c r="K105" s="52" t="str">
        <f>IF(AND('Mapa final'!$AB$152="Alta",'Mapa final'!$AD$152="Leve"),CONCATENATE("R50C",'Mapa final'!$R$152),"")</f>
        <v/>
      </c>
      <c r="L105" s="112" t="str">
        <f>IF(AND('Mapa final'!$AB$153="Alta",'Mapa final'!$AD$153="Leve"),CONCATENATE("R50C",'Mapa final'!$R$153),"")</f>
        <v/>
      </c>
      <c r="M105" s="51" t="str">
        <f>IF(AND('Mapa final'!$AB$151="Alta",'Mapa final'!$AD$151="Menor"),CONCATENATE("R50C",'Mapa final'!$R$151),"")</f>
        <v/>
      </c>
      <c r="N105" s="52" t="str">
        <f>IF(AND('Mapa final'!$AB$152="Alta",'Mapa final'!$AD$152="Menor"),CONCATENATE("R50C",'Mapa final'!$R$152),"")</f>
        <v/>
      </c>
      <c r="O105" s="112" t="str">
        <f>IF(AND('Mapa final'!$AB$153="Alta",'Mapa final'!$AD$153="Menor"),CONCATENATE("R50C",'Mapa final'!$R$153),"")</f>
        <v/>
      </c>
      <c r="P105" s="105" t="str">
        <f>IF(AND('Mapa final'!$AB$151="Alta",'Mapa final'!$AD$151="Moderado"),CONCATENATE("R50C",'Mapa final'!$R$151),"")</f>
        <v/>
      </c>
      <c r="Q105" s="42" t="str">
        <f>IF(AND('Mapa final'!$AB$152="Alta",'Mapa final'!$AD$152="Moderado"),CONCATENATE("R50C",'Mapa final'!$R$152),"")</f>
        <v/>
      </c>
      <c r="R105" s="106" t="str">
        <f>IF(AND('Mapa final'!$AB$153="Alta",'Mapa final'!$AD$153="Moderado"),CONCATENATE("R50C",'Mapa final'!$R$153),"")</f>
        <v/>
      </c>
      <c r="S105" s="107" t="str">
        <f>IF(AND('Mapa final'!$AB$151="Alta",'Mapa final'!$AD$151="Mayor"),CONCATENATE("R50C",'Mapa final'!$R$151),"")</f>
        <v/>
      </c>
      <c r="T105" s="108" t="str">
        <f>IF(AND('Mapa final'!$AB$152="Alta",'Mapa final'!$AD$152="Mayor"),CONCATENATE("R50C",'Mapa final'!$R$152),"")</f>
        <v/>
      </c>
      <c r="U105" s="109" t="str">
        <f>IF(AND('Mapa final'!$AB$153="Alta",'Mapa final'!$AD$153="Mayor"),CONCATENATE("R50C",'Mapa final'!$R$153),"")</f>
        <v/>
      </c>
      <c r="V105" s="45" t="str">
        <f>IF(AND('Mapa final'!$AB$151="Alta",'Mapa final'!$AD$151="Catastrófico"),CONCATENATE("R50C",'Mapa final'!$R$151),"")</f>
        <v/>
      </c>
      <c r="W105" s="46" t="str">
        <f>IF(AND('Mapa final'!$AB$152="Alta",'Mapa final'!$AD$152="Catastrófico"),CONCATENATE("R50C",'Mapa final'!$R$152),"")</f>
        <v/>
      </c>
      <c r="X105" s="101" t="str">
        <f>IF(AND('Mapa final'!$AB$153="Alta",'Mapa final'!$AD$153="Catastrófico"),CONCATENATE("R50C",'Mapa final'!$R$153),"")</f>
        <v/>
      </c>
      <c r="Y105" s="56"/>
      <c r="Z105" s="282"/>
      <c r="AA105" s="283"/>
      <c r="AB105" s="283"/>
      <c r="AC105" s="283"/>
      <c r="AD105" s="283"/>
      <c r="AE105" s="284"/>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35">
      <c r="A106" s="56"/>
      <c r="B106" s="300"/>
      <c r="C106" s="300"/>
      <c r="D106" s="301"/>
      <c r="E106" s="285" t="s">
        <v>108</v>
      </c>
      <c r="F106" s="286"/>
      <c r="G106" s="286"/>
      <c r="H106" s="286"/>
      <c r="I106" s="286"/>
      <c r="J106" s="47" t="str">
        <f>IF(AND('Mapa final'!$AB$7="Media",'Mapa final'!$AD$7="Leve"),CONCATENATE("R1C",'Mapa final'!$R$7),"")</f>
        <v/>
      </c>
      <c r="K106" s="48" t="str">
        <f>IF(AND('Mapa final'!$AB$8="Media",'Mapa final'!$AD$8="Leve"),CONCATENATE("R1C",'Mapa final'!$R$8),"")</f>
        <v/>
      </c>
      <c r="L106" s="110" t="str">
        <f>IF(AND('Mapa final'!$AB$9="Media",'Mapa final'!$AD$9="Leve"),CONCATENATE("R1C",'Mapa final'!$R$9),"")</f>
        <v/>
      </c>
      <c r="M106" s="47" t="str">
        <f>IF(AND('Mapa final'!$AB$7="Media",'Mapa final'!$AD$7="Menor"),CONCATENATE("R1C",'Mapa final'!$R$7),"")</f>
        <v/>
      </c>
      <c r="N106" s="48" t="str">
        <f>IF(AND('Mapa final'!$AB$8="Media",'Mapa final'!$AD$8="Menor"),CONCATENATE("R1C",'Mapa final'!$R$8),"")</f>
        <v/>
      </c>
      <c r="O106" s="110" t="str">
        <f>IF(AND('Mapa final'!$AB$9="Media",'Mapa final'!$AD$9="Menor"),CONCATENATE("R1C",'Mapa final'!$R$9),"")</f>
        <v/>
      </c>
      <c r="P106" s="47" t="str">
        <f>IF(AND('Mapa final'!$AB$7="Media",'Mapa final'!$AD$7="Moderado"),CONCATENATE("R1C",'Mapa final'!$R$7),"")</f>
        <v/>
      </c>
      <c r="Q106" s="48" t="str">
        <f>IF(AND('Mapa final'!$AB$8="Media",'Mapa final'!$AD$8="Moderado"),CONCATENATE("R1C",'Mapa final'!$R$8),"")</f>
        <v/>
      </c>
      <c r="R106" s="110" t="str">
        <f>IF(AND('Mapa final'!$AB$9="Media",'Mapa final'!$AD$9="Moderado"),CONCATENATE("R1C",'Mapa final'!$R$9),"")</f>
        <v/>
      </c>
      <c r="S106" s="102" t="str">
        <f>IF(AND('Mapa final'!$AB$7="Media",'Mapa final'!$AD$7="Mayor"),CONCATENATE("R1C",'Mapa final'!$R$7),"")</f>
        <v/>
      </c>
      <c r="T106" s="103" t="str">
        <f>IF(AND('Mapa final'!$AB$8="Media",'Mapa final'!$AD$8="Mayor"),CONCATENATE("R1C",'Mapa final'!$R$8),"")</f>
        <v/>
      </c>
      <c r="U106" s="104" t="str">
        <f>IF(AND('Mapa final'!$AB$9="Media",'Mapa final'!$AD$9="Mayor"),CONCATENATE("R1C",'Mapa final'!$R$9),"")</f>
        <v/>
      </c>
      <c r="V106" s="40" t="str">
        <f>IF(AND('Mapa final'!$AB$7="Media",'Mapa final'!$AD$7="Catastrófico"),CONCATENATE("R1C",'Mapa final'!$R$7),"")</f>
        <v/>
      </c>
      <c r="W106" s="41" t="str">
        <f>IF(AND('Mapa final'!$AB$8="Media",'Mapa final'!$AD$8="Catastrófico"),CONCATENATE("R1C",'Mapa final'!$R$8),"")</f>
        <v/>
      </c>
      <c r="X106" s="99" t="str">
        <f>IF(AND('Mapa final'!$AB$9="Media",'Mapa final'!$AD$9="Catastrófico"),CONCATENATE("R1C",'Mapa final'!$R$9),"")</f>
        <v/>
      </c>
      <c r="Y106" s="56"/>
      <c r="Z106" s="308" t="s">
        <v>75</v>
      </c>
      <c r="AA106" s="309"/>
      <c r="AB106" s="309"/>
      <c r="AC106" s="309"/>
      <c r="AD106" s="309"/>
      <c r="AE106" s="310"/>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35">
      <c r="A107" s="56"/>
      <c r="B107" s="300"/>
      <c r="C107" s="300"/>
      <c r="D107" s="301"/>
      <c r="E107" s="287"/>
      <c r="F107" s="288"/>
      <c r="G107" s="288"/>
      <c r="H107" s="288"/>
      <c r="I107" s="288"/>
      <c r="J107" s="49" t="str">
        <f>IF(AND('Mapa final'!$AB$10="Media",'Mapa final'!$AD$10="Leve"),CONCATENATE("R2C",'Mapa final'!$R$10),"")</f>
        <v/>
      </c>
      <c r="K107" s="50" t="str">
        <f>IF(AND('Mapa final'!$AB$11="Media",'Mapa final'!$AD$11="Leve"),CONCATENATE("R2C",'Mapa final'!$R$11),"")</f>
        <v/>
      </c>
      <c r="L107" s="111" t="str">
        <f>IF(AND('Mapa final'!$AB$12="Media",'Mapa final'!$AD$12="Leve"),CONCATENATE("R2C",'Mapa final'!$R$12),"")</f>
        <v/>
      </c>
      <c r="M107" s="49" t="str">
        <f>IF(AND('Mapa final'!$AB$10="Media",'Mapa final'!$AD$10="Menor"),CONCATENATE("R2C",'Mapa final'!$R$10),"")</f>
        <v/>
      </c>
      <c r="N107" s="50" t="str">
        <f>IF(AND('Mapa final'!$AB$11="Media",'Mapa final'!$AD$11="Menor"),CONCATENATE("R2C",'Mapa final'!$R$11),"")</f>
        <v/>
      </c>
      <c r="O107" s="111" t="str">
        <f>IF(AND('Mapa final'!$AB$12="Media",'Mapa final'!$AD$12="Menor"),CONCATENATE("R2C",'Mapa final'!$R$12),"")</f>
        <v/>
      </c>
      <c r="P107" s="49" t="str">
        <f>IF(AND('Mapa final'!$AB$10="Media",'Mapa final'!$AD$10="Moderado"),CONCATENATE("R2C",'Mapa final'!$R$10),"")</f>
        <v/>
      </c>
      <c r="Q107" s="50" t="str">
        <f>IF(AND('Mapa final'!$AB$11="Media",'Mapa final'!$AD$11="Moderado"),CONCATENATE("R2C",'Mapa final'!$R$11),"")</f>
        <v/>
      </c>
      <c r="R107" s="111" t="str">
        <f>IF(AND('Mapa final'!$AB$12="Media",'Mapa final'!$AD$12="Moderado"),CONCATENATE("R2C",'Mapa final'!$R$12),"")</f>
        <v/>
      </c>
      <c r="S107" s="105" t="str">
        <f>IF(AND('Mapa final'!$AB$10="Media",'Mapa final'!$AD$10="Mayor"),CONCATENATE("R2C",'Mapa final'!$R$10),"")</f>
        <v/>
      </c>
      <c r="T107" s="42" t="str">
        <f>IF(AND('Mapa final'!$AB$11="Media",'Mapa final'!$AD$11="Mayor"),CONCATENATE("R2C",'Mapa final'!$R$11),"")</f>
        <v/>
      </c>
      <c r="U107" s="106" t="str">
        <f>IF(AND('Mapa final'!$AB$12="Media",'Mapa final'!$AD$12="Mayor"),CONCATENATE("R2C",'Mapa final'!$R$12),"")</f>
        <v/>
      </c>
      <c r="V107" s="43" t="str">
        <f>IF(AND('Mapa final'!$AB$10="Media",'Mapa final'!$AD$10="Catastrófico"),CONCATENATE("R2C",'Mapa final'!$R$10),"")</f>
        <v/>
      </c>
      <c r="W107" s="44" t="str">
        <f>IF(AND('Mapa final'!$AB$11="Media",'Mapa final'!$AD$11="Catastrófico"),CONCATENATE("R2C",'Mapa final'!$R$11),"")</f>
        <v/>
      </c>
      <c r="X107" s="100" t="str">
        <f>IF(AND('Mapa final'!$AB$12="Media",'Mapa final'!$AD$12="Catastrófico"),CONCATENATE("R2C",'Mapa final'!$R$12),"")</f>
        <v/>
      </c>
      <c r="Y107" s="56"/>
      <c r="Z107" s="311"/>
      <c r="AA107" s="312"/>
      <c r="AB107" s="312"/>
      <c r="AC107" s="312"/>
      <c r="AD107" s="312"/>
      <c r="AE107" s="313"/>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35">
      <c r="A108" s="56"/>
      <c r="B108" s="300"/>
      <c r="C108" s="300"/>
      <c r="D108" s="301"/>
      <c r="E108" s="289"/>
      <c r="F108" s="290"/>
      <c r="G108" s="290"/>
      <c r="H108" s="290"/>
      <c r="I108" s="288"/>
      <c r="J108" s="49" t="str">
        <f>IF(AND('Mapa final'!$AB$13="Media",'Mapa final'!$AD$13="Leve"),CONCATENATE("R3C",'Mapa final'!$R$13),"")</f>
        <v/>
      </c>
      <c r="K108" s="50" t="str">
        <f>IF(AND('Mapa final'!$AB$14="Media",'Mapa final'!$AD$14="Leve"),CONCATENATE("R3C",'Mapa final'!$R$14),"")</f>
        <v/>
      </c>
      <c r="L108" s="111" t="str">
        <f>IF(AND('Mapa final'!$AB$15="Media",'Mapa final'!$AD$15="Leve"),CONCATENATE("R3C",'Mapa final'!$R$15),"")</f>
        <v/>
      </c>
      <c r="M108" s="49" t="str">
        <f>IF(AND('Mapa final'!$AB$13="Media",'Mapa final'!$AD$13="Menor"),CONCATENATE("R3C",'Mapa final'!$R$13),"")</f>
        <v/>
      </c>
      <c r="N108" s="50" t="str">
        <f>IF(AND('Mapa final'!$AB$14="Media",'Mapa final'!$AD$14="Menor"),CONCATENATE("R3C",'Mapa final'!$R$14),"")</f>
        <v/>
      </c>
      <c r="O108" s="111" t="str">
        <f>IF(AND('Mapa final'!$AB$15="Media",'Mapa final'!$AD$15="Menor"),CONCATENATE("R3C",'Mapa final'!$R$15),"")</f>
        <v/>
      </c>
      <c r="P108" s="49" t="str">
        <f>IF(AND('Mapa final'!$AB$13="Media",'Mapa final'!$AD$13="Moderado"),CONCATENATE("R3C",'Mapa final'!$R$13),"")</f>
        <v>R3C1</v>
      </c>
      <c r="Q108" s="50" t="str">
        <f>IF(AND('Mapa final'!$AB$14="Media",'Mapa final'!$AD$14="Moderado"),CONCATENATE("R3C",'Mapa final'!$R$14),"")</f>
        <v/>
      </c>
      <c r="R108" s="111" t="str">
        <f>IF(AND('Mapa final'!$AB$15="Media",'Mapa final'!$AD$15="Moderado"),CONCATENATE("R3C",'Mapa final'!$R$15),"")</f>
        <v/>
      </c>
      <c r="S108" s="105" t="str">
        <f>IF(AND('Mapa final'!$AB$13="Media",'Mapa final'!$AD$13="Mayor"),CONCATENATE("R3C",'Mapa final'!$R$13),"")</f>
        <v/>
      </c>
      <c r="T108" s="42" t="str">
        <f>IF(AND('Mapa final'!$AB$14="Media",'Mapa final'!$AD$14="Mayor"),CONCATENATE("R3C",'Mapa final'!$R$14),"")</f>
        <v/>
      </c>
      <c r="U108" s="106" t="str">
        <f>IF(AND('Mapa final'!$AB$15="Media",'Mapa final'!$AD$15="Mayor"),CONCATENATE("R3C",'Mapa final'!$R$15),"")</f>
        <v/>
      </c>
      <c r="V108" s="43" t="str">
        <f>IF(AND('Mapa final'!$AB$13="Media",'Mapa final'!$AD$13="Catastrófico"),CONCATENATE("R3C",'Mapa final'!$R$13),"")</f>
        <v/>
      </c>
      <c r="W108" s="44" t="str">
        <f>IF(AND('Mapa final'!$AB$14="Media",'Mapa final'!$AD$14="Catastrófico"),CONCATENATE("R3C",'Mapa final'!$R$14),"")</f>
        <v/>
      </c>
      <c r="X108" s="100" t="str">
        <f>IF(AND('Mapa final'!$AB$15="Media",'Mapa final'!$AD$15="Catastrófico"),CONCATENATE("R3C",'Mapa final'!$R$15),"")</f>
        <v/>
      </c>
      <c r="Y108" s="56"/>
      <c r="Z108" s="311"/>
      <c r="AA108" s="312"/>
      <c r="AB108" s="312"/>
      <c r="AC108" s="312"/>
      <c r="AD108" s="312"/>
      <c r="AE108" s="313"/>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35">
      <c r="A109" s="56"/>
      <c r="B109" s="300"/>
      <c r="C109" s="300"/>
      <c r="D109" s="301"/>
      <c r="E109" s="289"/>
      <c r="F109" s="290"/>
      <c r="G109" s="290"/>
      <c r="H109" s="290"/>
      <c r="I109" s="288"/>
      <c r="J109" s="49" t="e">
        <f>IF(AND('Mapa final'!#REF!="Media",'Mapa final'!#REF!="Leve"),CONCATENATE("R4C",'Mapa final'!#REF!),"")</f>
        <v>#REF!</v>
      </c>
      <c r="K109" s="50" t="e">
        <f>IF(AND('Mapa final'!#REF!="Media",'Mapa final'!#REF!="Leve"),CONCATENATE("R4C",'Mapa final'!#REF!),"")</f>
        <v>#REF!</v>
      </c>
      <c r="L109" s="111"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1"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1" t="e">
        <f>IF(AND('Mapa final'!#REF!="Media",'Mapa final'!#REF!="Moderado"),CONCATENATE("R4C",'Mapa final'!#REF!),"")</f>
        <v>#REF!</v>
      </c>
      <c r="S109" s="105" t="e">
        <f>IF(AND('Mapa final'!#REF!="Media",'Mapa final'!#REF!="Mayor"),CONCATENATE("R4C",'Mapa final'!#REF!),"")</f>
        <v>#REF!</v>
      </c>
      <c r="T109" s="42" t="e">
        <f>IF(AND('Mapa final'!#REF!="Media",'Mapa final'!#REF!="Mayor"),CONCATENATE("R4C",'Mapa final'!#REF!),"")</f>
        <v>#REF!</v>
      </c>
      <c r="U109" s="106"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100" t="e">
        <f>IF(AND('Mapa final'!#REF!="Media",'Mapa final'!#REF!="Catastrófico"),CONCATENATE("R4C",'Mapa final'!#REF!),"")</f>
        <v>#REF!</v>
      </c>
      <c r="Y109" s="56"/>
      <c r="Z109" s="311"/>
      <c r="AA109" s="312"/>
      <c r="AB109" s="312"/>
      <c r="AC109" s="312"/>
      <c r="AD109" s="312"/>
      <c r="AE109" s="313"/>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35">
      <c r="A110" s="56"/>
      <c r="B110" s="300"/>
      <c r="C110" s="300"/>
      <c r="D110" s="301"/>
      <c r="E110" s="289"/>
      <c r="F110" s="290"/>
      <c r="G110" s="290"/>
      <c r="H110" s="290"/>
      <c r="I110" s="288"/>
      <c r="J110" s="49" t="str">
        <f>IF(AND('Mapa final'!$AB$16="Media",'Mapa final'!$AD$16="Leve"),CONCATENATE("R5C",'Mapa final'!$R$16),"")</f>
        <v/>
      </c>
      <c r="K110" s="50" t="str">
        <f>IF(AND('Mapa final'!$AB$17="Media",'Mapa final'!$AD$17="Leve"),CONCATENATE("R5C",'Mapa final'!$R$17),"")</f>
        <v/>
      </c>
      <c r="L110" s="111" t="str">
        <f>IF(AND('Mapa final'!$AB$18="Media",'Mapa final'!$AD$18="Leve"),CONCATENATE("R5C",'Mapa final'!$R$18),"")</f>
        <v/>
      </c>
      <c r="M110" s="49" t="str">
        <f>IF(AND('Mapa final'!$AB$16="Media",'Mapa final'!$AD$16="Menor"),CONCATENATE("R5C",'Mapa final'!$R$16),"")</f>
        <v/>
      </c>
      <c r="N110" s="50" t="str">
        <f>IF(AND('Mapa final'!$AB$17="Media",'Mapa final'!$AD$17="Menor"),CONCATENATE("R5C",'Mapa final'!$R$17),"")</f>
        <v/>
      </c>
      <c r="O110" s="111" t="str">
        <f>IF(AND('Mapa final'!$AB$18="Media",'Mapa final'!$AD$18="Menor"),CONCATENATE("R5C",'Mapa final'!$R$18),"")</f>
        <v/>
      </c>
      <c r="P110" s="49" t="str">
        <f>IF(AND('Mapa final'!$AB$16="Media",'Mapa final'!$AD$16="Moderado"),CONCATENATE("R5C",'Mapa final'!$R$16),"")</f>
        <v>R5C1</v>
      </c>
      <c r="Q110" s="50" t="str">
        <f>IF(AND('Mapa final'!$AB$17="Media",'Mapa final'!$AD$17="Moderado"),CONCATENATE("R5C",'Mapa final'!$R$17),"")</f>
        <v/>
      </c>
      <c r="R110" s="111" t="str">
        <f>IF(AND('Mapa final'!$AB$18="Media",'Mapa final'!$AD$18="Moderado"),CONCATENATE("R5C",'Mapa final'!$R$18),"")</f>
        <v/>
      </c>
      <c r="S110" s="105" t="str">
        <f>IF(AND('Mapa final'!$AB$16="Media",'Mapa final'!$AD$16="Mayor"),CONCATENATE("R5C",'Mapa final'!$R$16),"")</f>
        <v/>
      </c>
      <c r="T110" s="42" t="str">
        <f>IF(AND('Mapa final'!$AB$17="Media",'Mapa final'!$AD$17="Mayor"),CONCATENATE("R5C",'Mapa final'!$R$17),"")</f>
        <v/>
      </c>
      <c r="U110" s="106" t="str">
        <f>IF(AND('Mapa final'!$AB$18="Media",'Mapa final'!$AD$18="Mayor"),CONCATENATE("R5C",'Mapa final'!$R$18),"")</f>
        <v/>
      </c>
      <c r="V110" s="43" t="str">
        <f>IF(AND('Mapa final'!$AB$16="Media",'Mapa final'!$AD$16="Catastrófico"),CONCATENATE("R5C",'Mapa final'!$R$16),"")</f>
        <v/>
      </c>
      <c r="W110" s="44" t="str">
        <f>IF(AND('Mapa final'!$AB$17="Media",'Mapa final'!$AD$17="Catastrófico"),CONCATENATE("R5C",'Mapa final'!$R$17),"")</f>
        <v/>
      </c>
      <c r="X110" s="100" t="str">
        <f>IF(AND('Mapa final'!$AB$18="Media",'Mapa final'!$AD$18="Catastrófico"),CONCATENATE("R5C",'Mapa final'!$R$18),"")</f>
        <v/>
      </c>
      <c r="Y110" s="56"/>
      <c r="Z110" s="311"/>
      <c r="AA110" s="312"/>
      <c r="AB110" s="312"/>
      <c r="AC110" s="312"/>
      <c r="AD110" s="312"/>
      <c r="AE110" s="313"/>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35">
      <c r="A111" s="56"/>
      <c r="B111" s="300"/>
      <c r="C111" s="300"/>
      <c r="D111" s="301"/>
      <c r="E111" s="289"/>
      <c r="F111" s="290"/>
      <c r="G111" s="290"/>
      <c r="H111" s="290"/>
      <c r="I111" s="288"/>
      <c r="J111" s="49" t="str">
        <f>IF(AND('Mapa final'!$AB$19="Media",'Mapa final'!$AD$19="Leve"),CONCATENATE("R6C",'Mapa final'!$R$19),"")</f>
        <v/>
      </c>
      <c r="K111" s="50" t="str">
        <f>IF(AND('Mapa final'!$AB$20="Media",'Mapa final'!$AD$20="Leve"),CONCATENATE("R6C",'Mapa final'!$R$20),"")</f>
        <v/>
      </c>
      <c r="L111" s="111" t="str">
        <f>IF(AND('Mapa final'!$AB$21="Media",'Mapa final'!$AD$21="Leve"),CONCATENATE("R6C",'Mapa final'!$R$21),"")</f>
        <v/>
      </c>
      <c r="M111" s="49" t="str">
        <f>IF(AND('Mapa final'!$AB$19="Media",'Mapa final'!$AD$19="Menor"),CONCATENATE("R6C",'Mapa final'!$R$19),"")</f>
        <v/>
      </c>
      <c r="N111" s="50" t="str">
        <f>IF(AND('Mapa final'!$AB$20="Media",'Mapa final'!$AD$20="Menor"),CONCATENATE("R6C",'Mapa final'!$R$20),"")</f>
        <v/>
      </c>
      <c r="O111" s="111" t="str">
        <f>IF(AND('Mapa final'!$AB$21="Media",'Mapa final'!$AD$21="Menor"),CONCATENATE("R6C",'Mapa final'!$R$21),"")</f>
        <v/>
      </c>
      <c r="P111" s="49" t="str">
        <f>IF(AND('Mapa final'!$AB$19="Media",'Mapa final'!$AD$19="Moderado"),CONCATENATE("R6C",'Mapa final'!$R$19),"")</f>
        <v/>
      </c>
      <c r="Q111" s="50" t="str">
        <f>IF(AND('Mapa final'!$AB$20="Media",'Mapa final'!$AD$20="Moderado"),CONCATENATE("R6C",'Mapa final'!$R$20),"")</f>
        <v/>
      </c>
      <c r="R111" s="111" t="str">
        <f>IF(AND('Mapa final'!$AB$21="Media",'Mapa final'!$AD$21="Moderado"),CONCATENATE("R6C",'Mapa final'!$R$21),"")</f>
        <v/>
      </c>
      <c r="S111" s="105" t="str">
        <f>IF(AND('Mapa final'!$AB$19="Media",'Mapa final'!$AD$19="Mayor"),CONCATENATE("R6C",'Mapa final'!$R$19),"")</f>
        <v/>
      </c>
      <c r="T111" s="42" t="str">
        <f>IF(AND('Mapa final'!$AB$20="Media",'Mapa final'!$AD$20="Mayor"),CONCATENATE("R6C",'Mapa final'!$R$20),"")</f>
        <v/>
      </c>
      <c r="U111" s="106" t="str">
        <f>IF(AND('Mapa final'!$AB$21="Media",'Mapa final'!$AD$21="Mayor"),CONCATENATE("R6C",'Mapa final'!$R$21),"")</f>
        <v/>
      </c>
      <c r="V111" s="43" t="str">
        <f>IF(AND('Mapa final'!$AB$19="Media",'Mapa final'!$AD$19="Catastrófico"),CONCATENATE("R6C",'Mapa final'!$R$19),"")</f>
        <v/>
      </c>
      <c r="W111" s="44" t="str">
        <f>IF(AND('Mapa final'!$AB$20="Media",'Mapa final'!$AD$20="Catastrófico"),CONCATENATE("R6C",'Mapa final'!$R$20),"")</f>
        <v/>
      </c>
      <c r="X111" s="100" t="str">
        <f>IF(AND('Mapa final'!$AB$21="Media",'Mapa final'!$AD$21="Catastrófico"),CONCATENATE("R6C",'Mapa final'!$R$21),"")</f>
        <v/>
      </c>
      <c r="Y111" s="56"/>
      <c r="Z111" s="311"/>
      <c r="AA111" s="312"/>
      <c r="AB111" s="312"/>
      <c r="AC111" s="312"/>
      <c r="AD111" s="312"/>
      <c r="AE111" s="313"/>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35">
      <c r="A112" s="56"/>
      <c r="B112" s="300"/>
      <c r="C112" s="300"/>
      <c r="D112" s="301"/>
      <c r="E112" s="289"/>
      <c r="F112" s="290"/>
      <c r="G112" s="290"/>
      <c r="H112" s="290"/>
      <c r="I112" s="288"/>
      <c r="J112" s="49" t="str">
        <f>IF(AND('Mapa final'!$AB$22="Media",'Mapa final'!$AD$22="Leve"),CONCATENATE("R7C",'Mapa final'!$R$22),"")</f>
        <v/>
      </c>
      <c r="K112" s="50" t="str">
        <f>IF(AND('Mapa final'!$AB$23="Media",'Mapa final'!$AD$23="Leve"),CONCATENATE("R7C",'Mapa final'!$R$23),"")</f>
        <v/>
      </c>
      <c r="L112" s="111" t="str">
        <f>IF(AND('Mapa final'!$AB$24="Media",'Mapa final'!$AD$24="Leve"),CONCATENATE("R7C",'Mapa final'!$R$24),"")</f>
        <v/>
      </c>
      <c r="M112" s="49" t="str">
        <f>IF(AND('Mapa final'!$AB$22="Media",'Mapa final'!$AD$22="Menor"),CONCATENATE("R7C",'Mapa final'!$R$22),"")</f>
        <v/>
      </c>
      <c r="N112" s="50" t="str">
        <f>IF(AND('Mapa final'!$AB$23="Media",'Mapa final'!$AD$23="Menor"),CONCATENATE("R7C",'Mapa final'!$R$23),"")</f>
        <v/>
      </c>
      <c r="O112" s="111" t="str">
        <f>IF(AND('Mapa final'!$AB$24="Media",'Mapa final'!$AD$24="Menor"),CONCATENATE("R7C",'Mapa final'!$R$24),"")</f>
        <v/>
      </c>
      <c r="P112" s="49" t="str">
        <f>IF(AND('Mapa final'!$AB$22="Media",'Mapa final'!$AD$22="Moderado"),CONCATENATE("R7C",'Mapa final'!$R$22),"")</f>
        <v/>
      </c>
      <c r="Q112" s="50" t="str">
        <f>IF(AND('Mapa final'!$AB$23="Media",'Mapa final'!$AD$23="Moderado"),CONCATENATE("R7C",'Mapa final'!$R$23),"")</f>
        <v/>
      </c>
      <c r="R112" s="111" t="str">
        <f>IF(AND('Mapa final'!$AB$24="Media",'Mapa final'!$AD$24="Moderado"),CONCATENATE("R7C",'Mapa final'!$R$24),"")</f>
        <v/>
      </c>
      <c r="S112" s="105" t="str">
        <f>IF(AND('Mapa final'!$AB$22="Media",'Mapa final'!$AD$22="Mayor"),CONCATENATE("R7C",'Mapa final'!$R$22),"")</f>
        <v/>
      </c>
      <c r="T112" s="42" t="str">
        <f>IF(AND('Mapa final'!$AB$23="Media",'Mapa final'!$AD$23="Mayor"),CONCATENATE("R7C",'Mapa final'!$R$23),"")</f>
        <v/>
      </c>
      <c r="U112" s="106" t="str">
        <f>IF(AND('Mapa final'!$AB$24="Media",'Mapa final'!$AD$24="Mayor"),CONCATENATE("R7C",'Mapa final'!$R$24),"")</f>
        <v/>
      </c>
      <c r="V112" s="43" t="str">
        <f>IF(AND('Mapa final'!$AB$22="Media",'Mapa final'!$AD$22="Catastrófico"),CONCATENATE("R7C",'Mapa final'!$R$22),"")</f>
        <v/>
      </c>
      <c r="W112" s="44" t="str">
        <f>IF(AND('Mapa final'!$AB$23="Media",'Mapa final'!$AD$23="Catastrófico"),CONCATENATE("R7C",'Mapa final'!$R$23),"")</f>
        <v/>
      </c>
      <c r="X112" s="100" t="str">
        <f>IF(AND('Mapa final'!$AB$24="Media",'Mapa final'!$AD$24="Catastrófico"),CONCATENATE("R7C",'Mapa final'!$R$24),"")</f>
        <v/>
      </c>
      <c r="Y112" s="56"/>
      <c r="Z112" s="311"/>
      <c r="AA112" s="312"/>
      <c r="AB112" s="312"/>
      <c r="AC112" s="312"/>
      <c r="AD112" s="312"/>
      <c r="AE112" s="313"/>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35">
      <c r="A113" s="56"/>
      <c r="B113" s="300"/>
      <c r="C113" s="300"/>
      <c r="D113" s="301"/>
      <c r="E113" s="289"/>
      <c r="F113" s="290"/>
      <c r="G113" s="290"/>
      <c r="H113" s="290"/>
      <c r="I113" s="288"/>
      <c r="J113" s="49" t="str">
        <f>IF(AND('Mapa final'!$AB$25="Media",'Mapa final'!$AD$25="Leve"),CONCATENATE("R8C",'Mapa final'!$R$25),"")</f>
        <v/>
      </c>
      <c r="K113" s="50" t="str">
        <f>IF(AND('Mapa final'!$AB$26="Media",'Mapa final'!$AD$26="Leve"),CONCATENATE("R8C",'Mapa final'!$R$26),"")</f>
        <v/>
      </c>
      <c r="L113" s="111" t="str">
        <f>IF(AND('Mapa final'!$AB$27="Media",'Mapa final'!$AD$27="Leve"),CONCATENATE("R8C",'Mapa final'!$R$27),"")</f>
        <v/>
      </c>
      <c r="M113" s="49" t="str">
        <f>IF(AND('Mapa final'!$AB$25="Media",'Mapa final'!$AD$25="Menor"),CONCATENATE("R8C",'Mapa final'!$R$25),"")</f>
        <v/>
      </c>
      <c r="N113" s="50" t="str">
        <f>IF(AND('Mapa final'!$AB$26="Media",'Mapa final'!$AD$26="Menor"),CONCATENATE("R8C",'Mapa final'!$R$26),"")</f>
        <v/>
      </c>
      <c r="O113" s="111" t="str">
        <f>IF(AND('Mapa final'!$AB$27="Media",'Mapa final'!$AD$27="Menor"),CONCATENATE("R8C",'Mapa final'!$R$27),"")</f>
        <v/>
      </c>
      <c r="P113" s="49" t="str">
        <f>IF(AND('Mapa final'!$AB$25="Media",'Mapa final'!$AD$25="Moderado"),CONCATENATE("R8C",'Mapa final'!$R$25),"")</f>
        <v>R8C1</v>
      </c>
      <c r="Q113" s="50" t="str">
        <f>IF(AND('Mapa final'!$AB$26="Media",'Mapa final'!$AD$26="Moderado"),CONCATENATE("R8C",'Mapa final'!$R$26),"")</f>
        <v/>
      </c>
      <c r="R113" s="111" t="str">
        <f>IF(AND('Mapa final'!$AB$27="Media",'Mapa final'!$AD$27="Moderado"),CONCATENATE("R8C",'Mapa final'!$R$27),"")</f>
        <v/>
      </c>
      <c r="S113" s="105" t="str">
        <f>IF(AND('Mapa final'!$AB$25="Media",'Mapa final'!$AD$25="Mayor"),CONCATENATE("R8C",'Mapa final'!$R$25),"")</f>
        <v/>
      </c>
      <c r="T113" s="42" t="str">
        <f>IF(AND('Mapa final'!$AB$26="Media",'Mapa final'!$AD$26="Mayor"),CONCATENATE("R8C",'Mapa final'!$R$26),"")</f>
        <v/>
      </c>
      <c r="U113" s="106" t="str">
        <f>IF(AND('Mapa final'!$AB$27="Media",'Mapa final'!$AD$27="Mayor"),CONCATENATE("R8C",'Mapa final'!$R$27),"")</f>
        <v/>
      </c>
      <c r="V113" s="43" t="str">
        <f>IF(AND('Mapa final'!$AB$25="Media",'Mapa final'!$AD$25="Catastrófico"),CONCATENATE("R8C",'Mapa final'!$R$25),"")</f>
        <v/>
      </c>
      <c r="W113" s="44" t="str">
        <f>IF(AND('Mapa final'!$AB$26="Media",'Mapa final'!$AD$26="Catastrófico"),CONCATENATE("R8C",'Mapa final'!$R$26),"")</f>
        <v/>
      </c>
      <c r="X113" s="100" t="str">
        <f>IF(AND('Mapa final'!$AB$27="Media",'Mapa final'!$AD$27="Catastrófico"),CONCATENATE("R8C",'Mapa final'!$R$27),"")</f>
        <v/>
      </c>
      <c r="Y113" s="56"/>
      <c r="Z113" s="311"/>
      <c r="AA113" s="312"/>
      <c r="AB113" s="312"/>
      <c r="AC113" s="312"/>
      <c r="AD113" s="312"/>
      <c r="AE113" s="313"/>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35">
      <c r="A114" s="56"/>
      <c r="B114" s="300"/>
      <c r="C114" s="300"/>
      <c r="D114" s="301"/>
      <c r="E114" s="289"/>
      <c r="F114" s="290"/>
      <c r="G114" s="290"/>
      <c r="H114" s="290"/>
      <c r="I114" s="288"/>
      <c r="J114" s="49" t="str">
        <f>IF(AND('Mapa final'!$AB$28="Media",'Mapa final'!$AD$28="Leve"),CONCATENATE("R9C",'Mapa final'!$R$28),"")</f>
        <v/>
      </c>
      <c r="K114" s="50" t="str">
        <f>IF(AND('Mapa final'!$AB$29="Media",'Mapa final'!$AD$29="Leve"),CONCATENATE("R9C",'Mapa final'!$R$29),"")</f>
        <v/>
      </c>
      <c r="L114" s="111" t="str">
        <f>IF(AND('Mapa final'!$AB$30="Media",'Mapa final'!$AD$30="Leve"),CONCATENATE("R9C",'Mapa final'!$R$30),"")</f>
        <v/>
      </c>
      <c r="M114" s="49" t="str">
        <f>IF(AND('Mapa final'!$AB$28="Media",'Mapa final'!$AD$28="Menor"),CONCATENATE("R9C",'Mapa final'!$R$28),"")</f>
        <v/>
      </c>
      <c r="N114" s="50" t="str">
        <f>IF(AND('Mapa final'!$AB$29="Media",'Mapa final'!$AD$29="Menor"),CONCATENATE("R9C",'Mapa final'!$R$29),"")</f>
        <v/>
      </c>
      <c r="O114" s="111" t="str">
        <f>IF(AND('Mapa final'!$AB$30="Media",'Mapa final'!$AD$30="Menor"),CONCATENATE("R9C",'Mapa final'!$R$30),"")</f>
        <v/>
      </c>
      <c r="P114" s="49" t="str">
        <f>IF(AND('Mapa final'!$AB$28="Media",'Mapa final'!$AD$28="Moderado"),CONCATENATE("R9C",'Mapa final'!$R$28),"")</f>
        <v/>
      </c>
      <c r="Q114" s="50" t="str">
        <f>IF(AND('Mapa final'!$AB$29="Media",'Mapa final'!$AD$29="Moderado"),CONCATENATE("R9C",'Mapa final'!$R$29),"")</f>
        <v/>
      </c>
      <c r="R114" s="111" t="str">
        <f>IF(AND('Mapa final'!$AB$30="Media",'Mapa final'!$AD$30="Moderado"),CONCATENATE("R9C",'Mapa final'!$R$30),"")</f>
        <v/>
      </c>
      <c r="S114" s="105" t="str">
        <f>IF(AND('Mapa final'!$AB$28="Media",'Mapa final'!$AD$28="Mayor"),CONCATENATE("R9C",'Mapa final'!$R$28),"")</f>
        <v>R9C1</v>
      </c>
      <c r="T114" s="42" t="str">
        <f>IF(AND('Mapa final'!$AB$29="Media",'Mapa final'!$AD$29="Mayor"),CONCATENATE("R9C",'Mapa final'!$R$29),"")</f>
        <v/>
      </c>
      <c r="U114" s="106" t="str">
        <f>IF(AND('Mapa final'!$AB$30="Media",'Mapa final'!$AD$30="Mayor"),CONCATENATE("R9C",'Mapa final'!$R$30),"")</f>
        <v/>
      </c>
      <c r="V114" s="43" t="str">
        <f>IF(AND('Mapa final'!$AB$28="Media",'Mapa final'!$AD$28="Catastrófico"),CONCATENATE("R9C",'Mapa final'!$R$28),"")</f>
        <v/>
      </c>
      <c r="W114" s="44" t="str">
        <f>IF(AND('Mapa final'!$AB$29="Media",'Mapa final'!$AD$29="Catastrófico"),CONCATENATE("R9C",'Mapa final'!$R$29),"")</f>
        <v/>
      </c>
      <c r="X114" s="100" t="str">
        <f>IF(AND('Mapa final'!$AB$30="Media",'Mapa final'!$AD$30="Catastrófico"),CONCATENATE("R9C",'Mapa final'!$R$30),"")</f>
        <v/>
      </c>
      <c r="Y114" s="56"/>
      <c r="Z114" s="311"/>
      <c r="AA114" s="312"/>
      <c r="AB114" s="312"/>
      <c r="AC114" s="312"/>
      <c r="AD114" s="312"/>
      <c r="AE114" s="313"/>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35">
      <c r="A115" s="56"/>
      <c r="B115" s="300"/>
      <c r="C115" s="300"/>
      <c r="D115" s="301"/>
      <c r="E115" s="289"/>
      <c r="F115" s="290"/>
      <c r="G115" s="290"/>
      <c r="H115" s="290"/>
      <c r="I115" s="288"/>
      <c r="J115" s="49" t="str">
        <f>IF(AND('Mapa final'!$AB$31="Media",'Mapa final'!$AD$31="Leve"),CONCATENATE("R10C",'Mapa final'!$R$31),"")</f>
        <v/>
      </c>
      <c r="K115" s="50" t="str">
        <f>IF(AND('Mapa final'!$AB$32="Media",'Mapa final'!$AD$32="Leve"),CONCATENATE("R10C",'Mapa final'!$R$32),"")</f>
        <v/>
      </c>
      <c r="L115" s="111" t="str">
        <f>IF(AND('Mapa final'!$AB$33="Media",'Mapa final'!$AD$33="Leve"),CONCATENATE("R10C",'Mapa final'!$R$33),"")</f>
        <v/>
      </c>
      <c r="M115" s="49" t="str">
        <f>IF(AND('Mapa final'!$AB$31="Media",'Mapa final'!$AD$31="Menor"),CONCATENATE("R10C",'Mapa final'!$R$31),"")</f>
        <v/>
      </c>
      <c r="N115" s="50" t="str">
        <f>IF(AND('Mapa final'!$AB$32="Media",'Mapa final'!$AD$32="Menor"),CONCATENATE("R10C",'Mapa final'!$R$32),"")</f>
        <v/>
      </c>
      <c r="O115" s="111" t="str">
        <f>IF(AND('Mapa final'!$AB$33="Media",'Mapa final'!$AD$33="Menor"),CONCATENATE("R10C",'Mapa final'!$R$33),"")</f>
        <v/>
      </c>
      <c r="P115" s="49" t="str">
        <f>IF(AND('Mapa final'!$AB$31="Media",'Mapa final'!$AD$31="Moderado"),CONCATENATE("R10C",'Mapa final'!$R$31),"")</f>
        <v>R10C1</v>
      </c>
      <c r="Q115" s="50" t="str">
        <f>IF(AND('Mapa final'!$AB$32="Media",'Mapa final'!$AD$32="Moderado"),CONCATENATE("R10C",'Mapa final'!$R$32),"")</f>
        <v/>
      </c>
      <c r="R115" s="111" t="str">
        <f>IF(AND('Mapa final'!$AB$33="Media",'Mapa final'!$AD$33="Moderado"),CONCATENATE("R10C",'Mapa final'!$R$33),"")</f>
        <v/>
      </c>
      <c r="S115" s="105" t="str">
        <f>IF(AND('Mapa final'!$AB$31="Media",'Mapa final'!$AD$31="Mayor"),CONCATENATE("R10C",'Mapa final'!$R$31),"")</f>
        <v/>
      </c>
      <c r="T115" s="42" t="str">
        <f>IF(AND('Mapa final'!$AB$32="Media",'Mapa final'!$AD$32="Mayor"),CONCATENATE("R10C",'Mapa final'!$R$32),"")</f>
        <v/>
      </c>
      <c r="U115" s="106" t="str">
        <f>IF(AND('Mapa final'!$AB$33="Media",'Mapa final'!$AD$33="Mayor"),CONCATENATE("R10C",'Mapa final'!$R$33),"")</f>
        <v/>
      </c>
      <c r="V115" s="43" t="str">
        <f>IF(AND('Mapa final'!$AB$31="Media",'Mapa final'!$AD$31="Catastrófico"),CONCATENATE("R10C",'Mapa final'!$R$31),"")</f>
        <v/>
      </c>
      <c r="W115" s="44" t="str">
        <f>IF(AND('Mapa final'!$AB$32="Media",'Mapa final'!$AD$32="Catastrófico"),CONCATENATE("R10C",'Mapa final'!$R$32),"")</f>
        <v/>
      </c>
      <c r="X115" s="100" t="str">
        <f>IF(AND('Mapa final'!$AB$33="Media",'Mapa final'!$AD$33="Catastrófico"),CONCATENATE("R10C",'Mapa final'!$R$33),"")</f>
        <v/>
      </c>
      <c r="Y115" s="56"/>
      <c r="Z115" s="311"/>
      <c r="AA115" s="312"/>
      <c r="AB115" s="312"/>
      <c r="AC115" s="312"/>
      <c r="AD115" s="312"/>
      <c r="AE115" s="313"/>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35">
      <c r="A116" s="56"/>
      <c r="B116" s="300"/>
      <c r="C116" s="300"/>
      <c r="D116" s="301"/>
      <c r="E116" s="289"/>
      <c r="F116" s="290"/>
      <c r="G116" s="290"/>
      <c r="H116" s="290"/>
      <c r="I116" s="288"/>
      <c r="J116" s="49" t="str">
        <f>IF(AND('Mapa final'!$AB$34="Media",'Mapa final'!$AD$34="Leve"),CONCATENATE("R11C",'Mapa final'!$R$34),"")</f>
        <v/>
      </c>
      <c r="K116" s="50" t="str">
        <f>IF(AND('Mapa final'!$AB$35="Media",'Mapa final'!$AD$35="Leve"),CONCATENATE("R11C",'Mapa final'!$R$35),"")</f>
        <v/>
      </c>
      <c r="L116" s="111" t="str">
        <f>IF(AND('Mapa final'!$AB$36="Media",'Mapa final'!$AD$36="Leve"),CONCATENATE("R11C",'Mapa final'!$R$36),"")</f>
        <v/>
      </c>
      <c r="M116" s="49" t="str">
        <f>IF(AND('Mapa final'!$AB$34="Media",'Mapa final'!$AD$34="Menor"),CONCATENATE("R11C",'Mapa final'!$R$34),"")</f>
        <v/>
      </c>
      <c r="N116" s="50" t="str">
        <f>IF(AND('Mapa final'!$AB$35="Media",'Mapa final'!$AD$35="Menor"),CONCATENATE("R11C",'Mapa final'!$R$35),"")</f>
        <v/>
      </c>
      <c r="O116" s="111" t="str">
        <f>IF(AND('Mapa final'!$AB$36="Media",'Mapa final'!$AD$36="Menor"),CONCATENATE("R11C",'Mapa final'!$R$36),"")</f>
        <v/>
      </c>
      <c r="P116" s="49" t="str">
        <f>IF(AND('Mapa final'!$AB$34="Media",'Mapa final'!$AD$34="Moderado"),CONCATENATE("R11C",'Mapa final'!$R$34),"")</f>
        <v/>
      </c>
      <c r="Q116" s="50" t="str">
        <f>IF(AND('Mapa final'!$AB$35="Media",'Mapa final'!$AD$35="Moderado"),CONCATENATE("R11C",'Mapa final'!$R$35),"")</f>
        <v/>
      </c>
      <c r="R116" s="111" t="str">
        <f>IF(AND('Mapa final'!$AB$36="Media",'Mapa final'!$AD$36="Moderado"),CONCATENATE("R11C",'Mapa final'!$R$36),"")</f>
        <v/>
      </c>
      <c r="S116" s="105" t="str">
        <f>IF(AND('Mapa final'!$AB$34="Media",'Mapa final'!$AD$34="Mayor"),CONCATENATE("R11C",'Mapa final'!$R$34),"")</f>
        <v/>
      </c>
      <c r="T116" s="42" t="str">
        <f>IF(AND('Mapa final'!$AB$35="Media",'Mapa final'!$AD$35="Mayor"),CONCATENATE("R11C",'Mapa final'!$R$35),"")</f>
        <v/>
      </c>
      <c r="U116" s="106" t="str">
        <f>IF(AND('Mapa final'!$AB$36="Media",'Mapa final'!$AD$36="Mayor"),CONCATENATE("R11C",'Mapa final'!$R$36),"")</f>
        <v/>
      </c>
      <c r="V116" s="43" t="str">
        <f>IF(AND('Mapa final'!$AB$34="Media",'Mapa final'!$AD$34="Catastrófico"),CONCATENATE("R11C",'Mapa final'!$R$34),"")</f>
        <v/>
      </c>
      <c r="W116" s="44" t="str">
        <f>IF(AND('Mapa final'!$AB$35="Media",'Mapa final'!$AD$35="Catastrófico"),CONCATENATE("R11C",'Mapa final'!$R$35),"")</f>
        <v/>
      </c>
      <c r="X116" s="100" t="str">
        <f>IF(AND('Mapa final'!$AB$36="Media",'Mapa final'!$AD$36="Catastrófico"),CONCATENATE("R11C",'Mapa final'!$R$36),"")</f>
        <v/>
      </c>
      <c r="Y116" s="56"/>
      <c r="Z116" s="311"/>
      <c r="AA116" s="312"/>
      <c r="AB116" s="312"/>
      <c r="AC116" s="312"/>
      <c r="AD116" s="312"/>
      <c r="AE116" s="313"/>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35">
      <c r="A117" s="56"/>
      <c r="B117" s="300"/>
      <c r="C117" s="300"/>
      <c r="D117" s="301"/>
      <c r="E117" s="289"/>
      <c r="F117" s="290"/>
      <c r="G117" s="290"/>
      <c r="H117" s="290"/>
      <c r="I117" s="288"/>
      <c r="J117" s="49" t="str">
        <f>IF(AND('Mapa final'!$AB$37="Media",'Mapa final'!$AD$37="Leve"),CONCATENATE("R12C",'Mapa final'!$R$37),"")</f>
        <v/>
      </c>
      <c r="K117" s="50" t="str">
        <f>IF(AND('Mapa final'!$AB$38="Media",'Mapa final'!$AD$38="Leve"),CONCATENATE("R12C",'Mapa final'!$R$38),"")</f>
        <v/>
      </c>
      <c r="L117" s="111" t="str">
        <f>IF(AND('Mapa final'!$AB$39="Media",'Mapa final'!$AD$39="Leve"),CONCATENATE("R12C",'Mapa final'!$R$39),"")</f>
        <v/>
      </c>
      <c r="M117" s="49" t="str">
        <f>IF(AND('Mapa final'!$AB$37="Media",'Mapa final'!$AD$37="Menor"),CONCATENATE("R12C",'Mapa final'!$R$37),"")</f>
        <v/>
      </c>
      <c r="N117" s="50" t="str">
        <f>IF(AND('Mapa final'!$AB$38="Media",'Mapa final'!$AD$38="Menor"),CONCATENATE("R12C",'Mapa final'!$R$38),"")</f>
        <v/>
      </c>
      <c r="O117" s="111" t="str">
        <f>IF(AND('Mapa final'!$AB$39="Media",'Mapa final'!$AD$39="Menor"),CONCATENATE("R12C",'Mapa final'!$R$39),"")</f>
        <v/>
      </c>
      <c r="P117" s="49" t="str">
        <f>IF(AND('Mapa final'!$AB$37="Media",'Mapa final'!$AD$37="Moderado"),CONCATENATE("R12C",'Mapa final'!$R$37),"")</f>
        <v/>
      </c>
      <c r="Q117" s="50" t="str">
        <f>IF(AND('Mapa final'!$AB$38="Media",'Mapa final'!$AD$38="Moderado"),CONCATENATE("R12C",'Mapa final'!$R$38),"")</f>
        <v/>
      </c>
      <c r="R117" s="111" t="str">
        <f>IF(AND('Mapa final'!$AB$39="Media",'Mapa final'!$AD$39="Moderado"),CONCATENATE("R12C",'Mapa final'!$R$39),"")</f>
        <v/>
      </c>
      <c r="S117" s="105" t="str">
        <f>IF(AND('Mapa final'!$AB$37="Media",'Mapa final'!$AD$37="Mayor"),CONCATENATE("R12C",'Mapa final'!$R$37),"")</f>
        <v/>
      </c>
      <c r="T117" s="42" t="str">
        <f>IF(AND('Mapa final'!$AB$38="Media",'Mapa final'!$AD$38="Mayor"),CONCATENATE("R12C",'Mapa final'!$R$38),"")</f>
        <v/>
      </c>
      <c r="U117" s="106" t="str">
        <f>IF(AND('Mapa final'!$AB$39="Media",'Mapa final'!$AD$39="Mayor"),CONCATENATE("R12C",'Mapa final'!$R$39),"")</f>
        <v/>
      </c>
      <c r="V117" s="43" t="str">
        <f>IF(AND('Mapa final'!$AB$37="Media",'Mapa final'!$AD$37="Catastrófico"),CONCATENATE("R12C",'Mapa final'!$R$37),"")</f>
        <v/>
      </c>
      <c r="W117" s="44" t="str">
        <f>IF(AND('Mapa final'!$AB$38="Media",'Mapa final'!$AD$38="Catastrófico"),CONCATENATE("R12C",'Mapa final'!$R$38),"")</f>
        <v/>
      </c>
      <c r="X117" s="100" t="str">
        <f>IF(AND('Mapa final'!$AB$39="Media",'Mapa final'!$AD$39="Catastrófico"),CONCATENATE("R12C",'Mapa final'!$R$39),"")</f>
        <v/>
      </c>
      <c r="Y117" s="56"/>
      <c r="Z117" s="311"/>
      <c r="AA117" s="312"/>
      <c r="AB117" s="312"/>
      <c r="AC117" s="312"/>
      <c r="AD117" s="312"/>
      <c r="AE117" s="313"/>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35">
      <c r="A118" s="56"/>
      <c r="B118" s="300"/>
      <c r="C118" s="300"/>
      <c r="D118" s="301"/>
      <c r="E118" s="289"/>
      <c r="F118" s="290"/>
      <c r="G118" s="290"/>
      <c r="H118" s="290"/>
      <c r="I118" s="288"/>
      <c r="J118" s="49" t="str">
        <f>IF(AND('Mapa final'!$AB$40="Media",'Mapa final'!$AD$40="Leve"),CONCATENATE("R13C",'Mapa final'!$R$40),"")</f>
        <v/>
      </c>
      <c r="K118" s="50" t="str">
        <f>IF(AND('Mapa final'!$AB$41="Media",'Mapa final'!$AD$41="Leve"),CONCATENATE("R13C",'Mapa final'!$R$41),"")</f>
        <v/>
      </c>
      <c r="L118" s="111" t="str">
        <f>IF(AND('Mapa final'!$AB$42="Media",'Mapa final'!$AD$42="Leve"),CONCATENATE("R13C",'Mapa final'!$R$42),"")</f>
        <v/>
      </c>
      <c r="M118" s="49" t="str">
        <f>IF(AND('Mapa final'!$AB$40="Media",'Mapa final'!$AD$40="Menor"),CONCATENATE("R13C",'Mapa final'!$R$40),"")</f>
        <v/>
      </c>
      <c r="N118" s="50" t="str">
        <f>IF(AND('Mapa final'!$AB$41="Media",'Mapa final'!$AD$41="Menor"),CONCATENATE("R13C",'Mapa final'!$R$41),"")</f>
        <v/>
      </c>
      <c r="O118" s="111" t="str">
        <f>IF(AND('Mapa final'!$AB$42="Media",'Mapa final'!$AD$42="Menor"),CONCATENATE("R13C",'Mapa final'!$R$42),"")</f>
        <v/>
      </c>
      <c r="P118" s="49" t="str">
        <f>IF(AND('Mapa final'!$AB$40="Media",'Mapa final'!$AD$40="Moderado"),CONCATENATE("R13C",'Mapa final'!$R$40),"")</f>
        <v/>
      </c>
      <c r="Q118" s="50" t="str">
        <f>IF(AND('Mapa final'!$AB$41="Media",'Mapa final'!$AD$41="Moderado"),CONCATENATE("R13C",'Mapa final'!$R$41),"")</f>
        <v/>
      </c>
      <c r="R118" s="111" t="str">
        <f>IF(AND('Mapa final'!$AB$42="Media",'Mapa final'!$AD$42="Moderado"),CONCATENATE("R13C",'Mapa final'!$R$42),"")</f>
        <v/>
      </c>
      <c r="S118" s="105" t="str">
        <f>IF(AND('Mapa final'!$AB$40="Media",'Mapa final'!$AD$40="Mayor"),CONCATENATE("R13C",'Mapa final'!$R$40),"")</f>
        <v/>
      </c>
      <c r="T118" s="42" t="str">
        <f>IF(AND('Mapa final'!$AB$41="Media",'Mapa final'!$AD$41="Mayor"),CONCATENATE("R13C",'Mapa final'!$R$41),"")</f>
        <v/>
      </c>
      <c r="U118" s="106" t="str">
        <f>IF(AND('Mapa final'!$AB$42="Media",'Mapa final'!$AD$42="Mayor"),CONCATENATE("R13C",'Mapa final'!$R$42),"")</f>
        <v/>
      </c>
      <c r="V118" s="43" t="str">
        <f>IF(AND('Mapa final'!$AB$40="Media",'Mapa final'!$AD$40="Catastrófico"),CONCATENATE("R13C",'Mapa final'!$R$40),"")</f>
        <v/>
      </c>
      <c r="W118" s="44" t="str">
        <f>IF(AND('Mapa final'!$AB$41="Media",'Mapa final'!$AD$41="Catastrófico"),CONCATENATE("R13C",'Mapa final'!$R$41),"")</f>
        <v/>
      </c>
      <c r="X118" s="100" t="str">
        <f>IF(AND('Mapa final'!$AB$42="Media",'Mapa final'!$AD$42="Catastrófico"),CONCATENATE("R13C",'Mapa final'!$R$42),"")</f>
        <v/>
      </c>
      <c r="Y118" s="56"/>
      <c r="Z118" s="311"/>
      <c r="AA118" s="312"/>
      <c r="AB118" s="312"/>
      <c r="AC118" s="312"/>
      <c r="AD118" s="312"/>
      <c r="AE118" s="313"/>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35">
      <c r="A119" s="56"/>
      <c r="B119" s="300"/>
      <c r="C119" s="300"/>
      <c r="D119" s="301"/>
      <c r="E119" s="289"/>
      <c r="F119" s="290"/>
      <c r="G119" s="290"/>
      <c r="H119" s="290"/>
      <c r="I119" s="288"/>
      <c r="J119" s="49" t="str">
        <f>IF(AND('Mapa final'!$AB$43="Media",'Mapa final'!$AD$43="Leve"),CONCATENATE("R14C",'Mapa final'!$R$43),"")</f>
        <v/>
      </c>
      <c r="K119" s="50" t="str">
        <f>IF(AND('Mapa final'!$AB$44="Media",'Mapa final'!$AD$44="Leve"),CONCATENATE("R14C",'Mapa final'!$R$44),"")</f>
        <v/>
      </c>
      <c r="L119" s="111" t="str">
        <f>IF(AND('Mapa final'!$AB$45="Media",'Mapa final'!$AD$45="Leve"),CONCATENATE("R14C",'Mapa final'!$R$45),"")</f>
        <v/>
      </c>
      <c r="M119" s="49" t="str">
        <f>IF(AND('Mapa final'!$AB$43="Media",'Mapa final'!$AD$43="Menor"),CONCATENATE("R14C",'Mapa final'!$R$43),"")</f>
        <v/>
      </c>
      <c r="N119" s="50" t="str">
        <f>IF(AND('Mapa final'!$AB$44="Media",'Mapa final'!$AD$44="Menor"),CONCATENATE("R14C",'Mapa final'!$R$44),"")</f>
        <v/>
      </c>
      <c r="O119" s="111" t="str">
        <f>IF(AND('Mapa final'!$AB$45="Media",'Mapa final'!$AD$45="Menor"),CONCATENATE("R14C",'Mapa final'!$R$45),"")</f>
        <v/>
      </c>
      <c r="P119" s="49" t="str">
        <f>IF(AND('Mapa final'!$AB$43="Media",'Mapa final'!$AD$43="Moderado"),CONCATENATE("R14C",'Mapa final'!$R$43),"")</f>
        <v/>
      </c>
      <c r="Q119" s="50" t="str">
        <f>IF(AND('Mapa final'!$AB$44="Media",'Mapa final'!$AD$44="Moderado"),CONCATENATE("R14C",'Mapa final'!$R$44),"")</f>
        <v/>
      </c>
      <c r="R119" s="111" t="str">
        <f>IF(AND('Mapa final'!$AB$45="Media",'Mapa final'!$AD$45="Moderado"),CONCATENATE("R14C",'Mapa final'!$R$45),"")</f>
        <v/>
      </c>
      <c r="S119" s="105" t="str">
        <f>IF(AND('Mapa final'!$AB$43="Media",'Mapa final'!$AD$43="Mayor"),CONCATENATE("R14C",'Mapa final'!$R$43),"")</f>
        <v/>
      </c>
      <c r="T119" s="42" t="str">
        <f>IF(AND('Mapa final'!$AB$44="Media",'Mapa final'!$AD$44="Mayor"),CONCATENATE("R14C",'Mapa final'!$R$44),"")</f>
        <v/>
      </c>
      <c r="U119" s="106" t="str">
        <f>IF(AND('Mapa final'!$AB$45="Media",'Mapa final'!$AD$45="Mayor"),CONCATENATE("R14C",'Mapa final'!$R$45),"")</f>
        <v/>
      </c>
      <c r="V119" s="43" t="str">
        <f>IF(AND('Mapa final'!$AB$43="Media",'Mapa final'!$AD$43="Catastrófico"),CONCATENATE("R14C",'Mapa final'!$R$43),"")</f>
        <v/>
      </c>
      <c r="W119" s="44" t="str">
        <f>IF(AND('Mapa final'!$AB$44="Media",'Mapa final'!$AD$44="Catastrófico"),CONCATENATE("R14C",'Mapa final'!$R$44),"")</f>
        <v/>
      </c>
      <c r="X119" s="100" t="str">
        <f>IF(AND('Mapa final'!$AB$45="Media",'Mapa final'!$AD$45="Catastrófico"),CONCATENATE("R14C",'Mapa final'!$R$45),"")</f>
        <v/>
      </c>
      <c r="Y119" s="56"/>
      <c r="Z119" s="311"/>
      <c r="AA119" s="312"/>
      <c r="AB119" s="312"/>
      <c r="AC119" s="312"/>
      <c r="AD119" s="312"/>
      <c r="AE119" s="313"/>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35">
      <c r="A120" s="56"/>
      <c r="B120" s="300"/>
      <c r="C120" s="300"/>
      <c r="D120" s="301"/>
      <c r="E120" s="289"/>
      <c r="F120" s="290"/>
      <c r="G120" s="290"/>
      <c r="H120" s="290"/>
      <c r="I120" s="288"/>
      <c r="J120" s="49" t="str">
        <f>IF(AND('Mapa final'!$AB$46="Media",'Mapa final'!$AD$46="Leve"),CONCATENATE("R15C",'Mapa final'!$R$46),"")</f>
        <v/>
      </c>
      <c r="K120" s="50" t="str">
        <f>IF(AND('Mapa final'!$AB$47="Media",'Mapa final'!$AD$47="Leve"),CONCATENATE("R15C",'Mapa final'!$R$47),"")</f>
        <v/>
      </c>
      <c r="L120" s="111" t="str">
        <f>IF(AND('Mapa final'!$AB$48="Media",'Mapa final'!$AD$48="Leve"),CONCATENATE("R15C",'Mapa final'!$R$48),"")</f>
        <v/>
      </c>
      <c r="M120" s="49" t="str">
        <f>IF(AND('Mapa final'!$AB$46="Media",'Mapa final'!$AD$46="Menor"),CONCATENATE("R15C",'Mapa final'!$R$46),"")</f>
        <v/>
      </c>
      <c r="N120" s="50" t="str">
        <f>IF(AND('Mapa final'!$AB$47="Media",'Mapa final'!$AD$47="Menor"),CONCATENATE("R15C",'Mapa final'!$R$47),"")</f>
        <v/>
      </c>
      <c r="O120" s="111" t="str">
        <f>IF(AND('Mapa final'!$AB$48="Media",'Mapa final'!$AD$48="Menor"),CONCATENATE("R15C",'Mapa final'!$R$48),"")</f>
        <v/>
      </c>
      <c r="P120" s="49" t="str">
        <f>IF(AND('Mapa final'!$AB$46="Media",'Mapa final'!$AD$46="Moderado"),CONCATENATE("R15C",'Mapa final'!$R$46),"")</f>
        <v>R15C1</v>
      </c>
      <c r="Q120" s="50" t="str">
        <f>IF(AND('Mapa final'!$AB$47="Media",'Mapa final'!$AD$47="Moderado"),CONCATENATE("R15C",'Mapa final'!$R$47),"")</f>
        <v/>
      </c>
      <c r="R120" s="111" t="str">
        <f>IF(AND('Mapa final'!$AB$48="Media",'Mapa final'!$AD$48="Moderado"),CONCATENATE("R15C",'Mapa final'!$R$48),"")</f>
        <v/>
      </c>
      <c r="S120" s="105" t="str">
        <f>IF(AND('Mapa final'!$AB$46="Media",'Mapa final'!$AD$46="Mayor"),CONCATENATE("R15C",'Mapa final'!$R$46),"")</f>
        <v/>
      </c>
      <c r="T120" s="42" t="str">
        <f>IF(AND('Mapa final'!$AB$47="Media",'Mapa final'!$AD$47="Mayor"),CONCATENATE("R15C",'Mapa final'!$R$47),"")</f>
        <v/>
      </c>
      <c r="U120" s="106" t="str">
        <f>IF(AND('Mapa final'!$AB$48="Media",'Mapa final'!$AD$48="Mayor"),CONCATENATE("R15C",'Mapa final'!$R$48),"")</f>
        <v/>
      </c>
      <c r="V120" s="43" t="str">
        <f>IF(AND('Mapa final'!$AB$46="Media",'Mapa final'!$AD$46="Catastrófico"),CONCATENATE("R15C",'Mapa final'!$R$46),"")</f>
        <v/>
      </c>
      <c r="W120" s="44" t="str">
        <f>IF(AND('Mapa final'!$AB$47="Media",'Mapa final'!$AD$47="Catastrófico"),CONCATENATE("R15C",'Mapa final'!$R$47),"")</f>
        <v/>
      </c>
      <c r="X120" s="100" t="str">
        <f>IF(AND('Mapa final'!$AB$48="Media",'Mapa final'!$AD$48="Catastrófico"),CONCATENATE("R15C",'Mapa final'!$R$48),"")</f>
        <v/>
      </c>
      <c r="Y120" s="56"/>
      <c r="Z120" s="311"/>
      <c r="AA120" s="312"/>
      <c r="AB120" s="312"/>
      <c r="AC120" s="312"/>
      <c r="AD120" s="312"/>
      <c r="AE120" s="313"/>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35">
      <c r="A121" s="56"/>
      <c r="B121" s="300"/>
      <c r="C121" s="300"/>
      <c r="D121" s="301"/>
      <c r="E121" s="289"/>
      <c r="F121" s="290"/>
      <c r="G121" s="290"/>
      <c r="H121" s="290"/>
      <c r="I121" s="288"/>
      <c r="J121" s="49" t="str">
        <f>IF(AND('Mapa final'!$AB$49="Media",'Mapa final'!$AD$49="Leve"),CONCATENATE("R16C",'Mapa final'!$R$49),"")</f>
        <v/>
      </c>
      <c r="K121" s="50" t="str">
        <f>IF(AND('Mapa final'!$AB$50="Media",'Mapa final'!$AD$50="Leve"),CONCATENATE("R16C",'Mapa final'!$R$50),"")</f>
        <v/>
      </c>
      <c r="L121" s="111" t="str">
        <f>IF(AND('Mapa final'!$AB$51="Media",'Mapa final'!$AD$51="Leve"),CONCATENATE("R16C",'Mapa final'!$R$51),"")</f>
        <v/>
      </c>
      <c r="M121" s="49" t="str">
        <f>IF(AND('Mapa final'!$AB$49="Media",'Mapa final'!$AD$49="Menor"),CONCATENATE("R16C",'Mapa final'!$R$49),"")</f>
        <v/>
      </c>
      <c r="N121" s="50" t="str">
        <f>IF(AND('Mapa final'!$AB$50="Media",'Mapa final'!$AD$50="Menor"),CONCATENATE("R16C",'Mapa final'!$R$50),"")</f>
        <v/>
      </c>
      <c r="O121" s="111" t="str">
        <f>IF(AND('Mapa final'!$AB$51="Media",'Mapa final'!$AD$51="Menor"),CONCATENATE("R16C",'Mapa final'!$R$51),"")</f>
        <v/>
      </c>
      <c r="P121" s="49" t="str">
        <f>IF(AND('Mapa final'!$AB$49="Media",'Mapa final'!$AD$49="Moderado"),CONCATENATE("R16C",'Mapa final'!$R$49),"")</f>
        <v/>
      </c>
      <c r="Q121" s="50" t="str">
        <f>IF(AND('Mapa final'!$AB$50="Media",'Mapa final'!$AD$50="Moderado"),CONCATENATE("R16C",'Mapa final'!$R$50),"")</f>
        <v/>
      </c>
      <c r="R121" s="111" t="str">
        <f>IF(AND('Mapa final'!$AB$51="Media",'Mapa final'!$AD$51="Moderado"),CONCATENATE("R16C",'Mapa final'!$R$51),"")</f>
        <v/>
      </c>
      <c r="S121" s="105" t="str">
        <f>IF(AND('Mapa final'!$AB$49="Media",'Mapa final'!$AD$49="Mayor"),CONCATENATE("R16C",'Mapa final'!$R$49),"")</f>
        <v/>
      </c>
      <c r="T121" s="42" t="str">
        <f>IF(AND('Mapa final'!$AB$50="Media",'Mapa final'!$AD$50="Mayor"),CONCATENATE("R16C",'Mapa final'!$R$50),"")</f>
        <v/>
      </c>
      <c r="U121" s="106" t="str">
        <f>IF(AND('Mapa final'!$AB$51="Media",'Mapa final'!$AD$51="Mayor"),CONCATENATE("R16C",'Mapa final'!$R$51),"")</f>
        <v/>
      </c>
      <c r="V121" s="43" t="str">
        <f>IF(AND('Mapa final'!$AB$49="Media",'Mapa final'!$AD$49="Catastrófico"),CONCATENATE("R16C",'Mapa final'!$R$49),"")</f>
        <v/>
      </c>
      <c r="W121" s="44" t="str">
        <f>IF(AND('Mapa final'!$AB$50="Media",'Mapa final'!$AD$50="Catastrófico"),CONCATENATE("R16C",'Mapa final'!$R$50),"")</f>
        <v/>
      </c>
      <c r="X121" s="100" t="str">
        <f>IF(AND('Mapa final'!$AB$51="Media",'Mapa final'!$AD$51="Catastrófico"),CONCATENATE("R16C",'Mapa final'!$R$51),"")</f>
        <v/>
      </c>
      <c r="Y121" s="56"/>
      <c r="Z121" s="311"/>
      <c r="AA121" s="312"/>
      <c r="AB121" s="312"/>
      <c r="AC121" s="312"/>
      <c r="AD121" s="312"/>
      <c r="AE121" s="313"/>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35">
      <c r="A122" s="56"/>
      <c r="B122" s="300"/>
      <c r="C122" s="300"/>
      <c r="D122" s="301"/>
      <c r="E122" s="289"/>
      <c r="F122" s="290"/>
      <c r="G122" s="290"/>
      <c r="H122" s="290"/>
      <c r="I122" s="288"/>
      <c r="J122" s="49" t="str">
        <f>IF(AND('Mapa final'!$AB$52="Media",'Mapa final'!$AD$52="Leve"),CONCATENATE("R17C",'Mapa final'!$R$52),"")</f>
        <v/>
      </c>
      <c r="K122" s="50" t="str">
        <f>IF(AND('Mapa final'!$AB$53="Media",'Mapa final'!$AD$53="Leve"),CONCATENATE("R17C",'Mapa final'!$R$53),"")</f>
        <v/>
      </c>
      <c r="L122" s="111" t="str">
        <f>IF(AND('Mapa final'!$AB$54="Media",'Mapa final'!$AD$54="Leve"),CONCATENATE("R17C",'Mapa final'!$R$54),"")</f>
        <v/>
      </c>
      <c r="M122" s="49" t="str">
        <f>IF(AND('Mapa final'!$AB$52="Media",'Mapa final'!$AD$52="Menor"),CONCATENATE("R17C",'Mapa final'!$R$52),"")</f>
        <v/>
      </c>
      <c r="N122" s="50" t="str">
        <f>IF(AND('Mapa final'!$AB$53="Media",'Mapa final'!$AD$53="Menor"),CONCATENATE("R17C",'Mapa final'!$R$53),"")</f>
        <v/>
      </c>
      <c r="O122" s="111" t="str">
        <f>IF(AND('Mapa final'!$AB$54="Media",'Mapa final'!$AD$54="Menor"),CONCATENATE("R17C",'Mapa final'!$R$54),"")</f>
        <v/>
      </c>
      <c r="P122" s="49" t="str">
        <f>IF(AND('Mapa final'!$AB$52="Media",'Mapa final'!$AD$52="Moderado"),CONCATENATE("R17C",'Mapa final'!$R$52),"")</f>
        <v/>
      </c>
      <c r="Q122" s="50" t="str">
        <f>IF(AND('Mapa final'!$AB$53="Media",'Mapa final'!$AD$53="Moderado"),CONCATENATE("R17C",'Mapa final'!$R$53),"")</f>
        <v/>
      </c>
      <c r="R122" s="111" t="str">
        <f>IF(AND('Mapa final'!$AB$54="Media",'Mapa final'!$AD$54="Moderado"),CONCATENATE("R17C",'Mapa final'!$R$54),"")</f>
        <v/>
      </c>
      <c r="S122" s="105" t="str">
        <f>IF(AND('Mapa final'!$AB$52="Media",'Mapa final'!$AD$52="Mayor"),CONCATENATE("R17C",'Mapa final'!$R$52),"")</f>
        <v>R17C1</v>
      </c>
      <c r="T122" s="42" t="str">
        <f>IF(AND('Mapa final'!$AB$53="Media",'Mapa final'!$AD$53="Mayor"),CONCATENATE("R17C",'Mapa final'!$R$53),"")</f>
        <v/>
      </c>
      <c r="U122" s="106" t="str">
        <f>IF(AND('Mapa final'!$AB$54="Media",'Mapa final'!$AD$54="Mayor"),CONCATENATE("R17C",'Mapa final'!$R$54),"")</f>
        <v/>
      </c>
      <c r="V122" s="43" t="str">
        <f>IF(AND('Mapa final'!$AB$52="Media",'Mapa final'!$AD$52="Catastrófico"),CONCATENATE("R17C",'Mapa final'!$R$52),"")</f>
        <v/>
      </c>
      <c r="W122" s="44" t="str">
        <f>IF(AND('Mapa final'!$AB$53="Media",'Mapa final'!$AD$53="Catastrófico"),CONCATENATE("R17C",'Mapa final'!$R$53),"")</f>
        <v/>
      </c>
      <c r="X122" s="100" t="str">
        <f>IF(AND('Mapa final'!$AB$54="Media",'Mapa final'!$AD$54="Catastrófico"),CONCATENATE("R17C",'Mapa final'!$R$54),"")</f>
        <v/>
      </c>
      <c r="Y122" s="56"/>
      <c r="Z122" s="311"/>
      <c r="AA122" s="312"/>
      <c r="AB122" s="312"/>
      <c r="AC122" s="312"/>
      <c r="AD122" s="312"/>
      <c r="AE122" s="313"/>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35">
      <c r="A123" s="56"/>
      <c r="B123" s="300"/>
      <c r="C123" s="300"/>
      <c r="D123" s="301"/>
      <c r="E123" s="289"/>
      <c r="F123" s="290"/>
      <c r="G123" s="290"/>
      <c r="H123" s="290"/>
      <c r="I123" s="288"/>
      <c r="J123" s="49" t="str">
        <f>IF(AND('Mapa final'!$AB$55="Media",'Mapa final'!$AD$55="Leve"),CONCATENATE("R18C",'Mapa final'!$R$55),"")</f>
        <v/>
      </c>
      <c r="K123" s="50" t="str">
        <f>IF(AND('Mapa final'!$AB$56="Media",'Mapa final'!$AD$56="Leve"),CONCATENATE("R18C",'Mapa final'!$R$56),"")</f>
        <v/>
      </c>
      <c r="L123" s="111" t="str">
        <f>IF(AND('Mapa final'!$AB$57="Media",'Mapa final'!$AD$57="Leve"),CONCATENATE("R18C",'Mapa final'!$R$57),"")</f>
        <v/>
      </c>
      <c r="M123" s="49" t="str">
        <f>IF(AND('Mapa final'!$AB$55="Media",'Mapa final'!$AD$55="Menor"),CONCATENATE("R18C",'Mapa final'!$R$55),"")</f>
        <v/>
      </c>
      <c r="N123" s="50" t="str">
        <f>IF(AND('Mapa final'!$AB$56="Media",'Mapa final'!$AD$56="Menor"),CONCATENATE("R18C",'Mapa final'!$R$56),"")</f>
        <v/>
      </c>
      <c r="O123" s="111" t="str">
        <f>IF(AND('Mapa final'!$AB$57="Media",'Mapa final'!$AD$57="Menor"),CONCATENATE("R18C",'Mapa final'!$R$57),"")</f>
        <v/>
      </c>
      <c r="P123" s="49" t="str">
        <f>IF(AND('Mapa final'!$AB$55="Media",'Mapa final'!$AD$55="Moderado"),CONCATENATE("R18C",'Mapa final'!$R$55),"")</f>
        <v>R18C1</v>
      </c>
      <c r="Q123" s="50" t="str">
        <f>IF(AND('Mapa final'!$AB$56="Media",'Mapa final'!$AD$56="Moderado"),CONCATENATE("R18C",'Mapa final'!$R$56),"")</f>
        <v/>
      </c>
      <c r="R123" s="111" t="str">
        <f>IF(AND('Mapa final'!$AB$57="Media",'Mapa final'!$AD$57="Moderado"),CONCATENATE("R18C",'Mapa final'!$R$57),"")</f>
        <v/>
      </c>
      <c r="S123" s="105" t="str">
        <f>IF(AND('Mapa final'!$AB$55="Media",'Mapa final'!$AD$55="Mayor"),CONCATENATE("R18C",'Mapa final'!$R$55),"")</f>
        <v/>
      </c>
      <c r="T123" s="42" t="str">
        <f>IF(AND('Mapa final'!$AB$56="Media",'Mapa final'!$AD$56="Mayor"),CONCATENATE("R18C",'Mapa final'!$R$56),"")</f>
        <v/>
      </c>
      <c r="U123" s="106" t="str">
        <f>IF(AND('Mapa final'!$AB$57="Media",'Mapa final'!$AD$57="Mayor"),CONCATENATE("R18C",'Mapa final'!$R$57),"")</f>
        <v/>
      </c>
      <c r="V123" s="43" t="str">
        <f>IF(AND('Mapa final'!$AB$55="Media",'Mapa final'!$AD$55="Catastrófico"),CONCATENATE("R18C",'Mapa final'!$R$55),"")</f>
        <v/>
      </c>
      <c r="W123" s="44" t="str">
        <f>IF(AND('Mapa final'!$AB$56="Media",'Mapa final'!$AD$56="Catastrófico"),CONCATENATE("R18C",'Mapa final'!$R$56),"")</f>
        <v/>
      </c>
      <c r="X123" s="100" t="str">
        <f>IF(AND('Mapa final'!$AB$57="Media",'Mapa final'!$AD$57="Catastrófico"),CONCATENATE("R18C",'Mapa final'!$R$57),"")</f>
        <v/>
      </c>
      <c r="Y123" s="56"/>
      <c r="Z123" s="311"/>
      <c r="AA123" s="312"/>
      <c r="AB123" s="312"/>
      <c r="AC123" s="312"/>
      <c r="AD123" s="312"/>
      <c r="AE123" s="313"/>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35">
      <c r="A124" s="56"/>
      <c r="B124" s="300"/>
      <c r="C124" s="300"/>
      <c r="D124" s="301"/>
      <c r="E124" s="289"/>
      <c r="F124" s="290"/>
      <c r="G124" s="290"/>
      <c r="H124" s="290"/>
      <c r="I124" s="288"/>
      <c r="J124" s="49" t="str">
        <f>IF(AND('Mapa final'!$AB$58="Media",'Mapa final'!$AD$58="Leve"),CONCATENATE("R19C",'Mapa final'!$R$58),"")</f>
        <v/>
      </c>
      <c r="K124" s="50" t="str">
        <f>IF(AND('Mapa final'!$AB$59="Media",'Mapa final'!$AD$59="Leve"),CONCATENATE("R19C",'Mapa final'!$R$59),"")</f>
        <v/>
      </c>
      <c r="L124" s="111" t="str">
        <f>IF(AND('Mapa final'!$AB$60="Media",'Mapa final'!$AD$60="Leve"),CONCATENATE("R19C",'Mapa final'!$R$60),"")</f>
        <v/>
      </c>
      <c r="M124" s="49" t="str">
        <f>IF(AND('Mapa final'!$AB$58="Media",'Mapa final'!$AD$58="Menor"),CONCATENATE("R19C",'Mapa final'!$R$58),"")</f>
        <v/>
      </c>
      <c r="N124" s="50" t="str">
        <f>IF(AND('Mapa final'!$AB$59="Media",'Mapa final'!$AD$59="Menor"),CONCATENATE("R19C",'Mapa final'!$R$59),"")</f>
        <v/>
      </c>
      <c r="O124" s="111" t="str">
        <f>IF(AND('Mapa final'!$AB$60="Media",'Mapa final'!$AD$60="Menor"),CONCATENATE("R19C",'Mapa final'!$R$60),"")</f>
        <v/>
      </c>
      <c r="P124" s="49" t="str">
        <f>IF(AND('Mapa final'!$AB$58="Media",'Mapa final'!$AD$58="Moderado"),CONCATENATE("R19C",'Mapa final'!$R$58),"")</f>
        <v>R19C1</v>
      </c>
      <c r="Q124" s="50" t="str">
        <f>IF(AND('Mapa final'!$AB$59="Media",'Mapa final'!$AD$59="Moderado"),CONCATENATE("R19C",'Mapa final'!$R$59),"")</f>
        <v/>
      </c>
      <c r="R124" s="111" t="str">
        <f>IF(AND('Mapa final'!$AB$60="Media",'Mapa final'!$AD$60="Moderado"),CONCATENATE("R19C",'Mapa final'!$R$60),"")</f>
        <v/>
      </c>
      <c r="S124" s="105" t="str">
        <f>IF(AND('Mapa final'!$AB$58="Media",'Mapa final'!$AD$58="Mayor"),CONCATENATE("R19C",'Mapa final'!$R$58),"")</f>
        <v/>
      </c>
      <c r="T124" s="42" t="str">
        <f>IF(AND('Mapa final'!$AB$59="Media",'Mapa final'!$AD$59="Mayor"),CONCATENATE("R19C",'Mapa final'!$R$59),"")</f>
        <v/>
      </c>
      <c r="U124" s="106" t="str">
        <f>IF(AND('Mapa final'!$AB$60="Media",'Mapa final'!$AD$60="Mayor"),CONCATENATE("R19C",'Mapa final'!$R$60),"")</f>
        <v/>
      </c>
      <c r="V124" s="43" t="str">
        <f>IF(AND('Mapa final'!$AB$58="Media",'Mapa final'!$AD$58="Catastrófico"),CONCATENATE("R19C",'Mapa final'!$R$58),"")</f>
        <v/>
      </c>
      <c r="W124" s="44" t="str">
        <f>IF(AND('Mapa final'!$AB$59="Media",'Mapa final'!$AD$59="Catastrófico"),CONCATENATE("R19C",'Mapa final'!$R$59),"")</f>
        <v/>
      </c>
      <c r="X124" s="100" t="str">
        <f>IF(AND('Mapa final'!$AB$60="Media",'Mapa final'!$AD$60="Catastrófico"),CONCATENATE("R19C",'Mapa final'!$R$60),"")</f>
        <v/>
      </c>
      <c r="Y124" s="56"/>
      <c r="Z124" s="311"/>
      <c r="AA124" s="312"/>
      <c r="AB124" s="312"/>
      <c r="AC124" s="312"/>
      <c r="AD124" s="312"/>
      <c r="AE124" s="313"/>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35">
      <c r="A125" s="56"/>
      <c r="B125" s="300"/>
      <c r="C125" s="300"/>
      <c r="D125" s="301"/>
      <c r="E125" s="289"/>
      <c r="F125" s="290"/>
      <c r="G125" s="290"/>
      <c r="H125" s="290"/>
      <c r="I125" s="288"/>
      <c r="J125" s="49" t="str">
        <f>IF(AND('Mapa final'!$AB$61="Media",'Mapa final'!$AD$61="Leve"),CONCATENATE("R20C",'Mapa final'!$R$61),"")</f>
        <v/>
      </c>
      <c r="K125" s="50" t="str">
        <f>IF(AND('Mapa final'!$AB$62="Media",'Mapa final'!$AD$62="Leve"),CONCATENATE("R20C",'Mapa final'!$R$62),"")</f>
        <v/>
      </c>
      <c r="L125" s="111" t="str">
        <f>IF(AND('Mapa final'!$AB$63="Media",'Mapa final'!$AD$63="Leve"),CONCATENATE("R20C",'Mapa final'!$R$63),"")</f>
        <v/>
      </c>
      <c r="M125" s="49" t="str">
        <f>IF(AND('Mapa final'!$AB$61="Media",'Mapa final'!$AD$61="Menor"),CONCATENATE("R20C",'Mapa final'!$R$61),"")</f>
        <v/>
      </c>
      <c r="N125" s="50" t="str">
        <f>IF(AND('Mapa final'!$AB$62="Media",'Mapa final'!$AD$62="Menor"),CONCATENATE("R20C",'Mapa final'!$R$62),"")</f>
        <v/>
      </c>
      <c r="O125" s="111" t="str">
        <f>IF(AND('Mapa final'!$AB$63="Media",'Mapa final'!$AD$63="Menor"),CONCATENATE("R20C",'Mapa final'!$R$63),"")</f>
        <v/>
      </c>
      <c r="P125" s="49" t="str">
        <f>IF(AND('Mapa final'!$AB$61="Media",'Mapa final'!$AD$61="Moderado"),CONCATENATE("R20C",'Mapa final'!$R$61),"")</f>
        <v/>
      </c>
      <c r="Q125" s="50" t="str">
        <f>IF(AND('Mapa final'!$AB$62="Media",'Mapa final'!$AD$62="Moderado"),CONCATENATE("R20C",'Mapa final'!$R$62),"")</f>
        <v/>
      </c>
      <c r="R125" s="111" t="str">
        <f>IF(AND('Mapa final'!$AB$63="Media",'Mapa final'!$AD$63="Moderado"),CONCATENATE("R20C",'Mapa final'!$R$63),"")</f>
        <v/>
      </c>
      <c r="S125" s="105" t="str">
        <f>IF(AND('Mapa final'!$AB$61="Media",'Mapa final'!$AD$61="Mayor"),CONCATENATE("R20C",'Mapa final'!$R$61),"")</f>
        <v/>
      </c>
      <c r="T125" s="42" t="str">
        <f>IF(AND('Mapa final'!$AB$62="Media",'Mapa final'!$AD$62="Mayor"),CONCATENATE("R20C",'Mapa final'!$R$62),"")</f>
        <v/>
      </c>
      <c r="U125" s="106" t="str">
        <f>IF(AND('Mapa final'!$AB$63="Media",'Mapa final'!$AD$63="Mayor"),CONCATENATE("R20C",'Mapa final'!$R$63),"")</f>
        <v/>
      </c>
      <c r="V125" s="43" t="str">
        <f>IF(AND('Mapa final'!$AB$61="Media",'Mapa final'!$AD$61="Catastrófico"),CONCATENATE("R20C",'Mapa final'!$R$61),"")</f>
        <v/>
      </c>
      <c r="W125" s="44" t="str">
        <f>IF(AND('Mapa final'!$AB$62="Media",'Mapa final'!$AD$62="Catastrófico"),CONCATENATE("R20C",'Mapa final'!$R$62),"")</f>
        <v/>
      </c>
      <c r="X125" s="100" t="str">
        <f>IF(AND('Mapa final'!$AB$63="Media",'Mapa final'!$AD$63="Catastrófico"),CONCATENATE("R20C",'Mapa final'!$R$63),"")</f>
        <v/>
      </c>
      <c r="Y125" s="56"/>
      <c r="Z125" s="311"/>
      <c r="AA125" s="312"/>
      <c r="AB125" s="312"/>
      <c r="AC125" s="312"/>
      <c r="AD125" s="312"/>
      <c r="AE125" s="313"/>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35">
      <c r="A126" s="56"/>
      <c r="B126" s="300"/>
      <c r="C126" s="300"/>
      <c r="D126" s="301"/>
      <c r="E126" s="289"/>
      <c r="F126" s="290"/>
      <c r="G126" s="290"/>
      <c r="H126" s="290"/>
      <c r="I126" s="288"/>
      <c r="J126" s="49" t="str">
        <f>IF(AND('Mapa final'!$AB$64="Media",'Mapa final'!$AD$64="Leve"),CONCATENATE("R21C",'Mapa final'!$R$64),"")</f>
        <v/>
      </c>
      <c r="K126" s="50" t="str">
        <f>IF(AND('Mapa final'!$AB$65="Media",'Mapa final'!$AD$65="Leve"),CONCATENATE("R21C",'Mapa final'!$R$65),"")</f>
        <v/>
      </c>
      <c r="L126" s="111" t="str">
        <f>IF(AND('Mapa final'!$AB$66="Media",'Mapa final'!$AD$66="Leve"),CONCATENATE("R21C",'Mapa final'!$R$66),"")</f>
        <v/>
      </c>
      <c r="M126" s="49" t="str">
        <f>IF(AND('Mapa final'!$AB$64="Media",'Mapa final'!$AD$64="Menor"),CONCATENATE("R21C",'Mapa final'!$R$64),"")</f>
        <v/>
      </c>
      <c r="N126" s="50" t="str">
        <f>IF(AND('Mapa final'!$AB$65="Media",'Mapa final'!$AD$65="Menor"),CONCATENATE("R21C",'Mapa final'!$R$65),"")</f>
        <v/>
      </c>
      <c r="O126" s="111" t="str">
        <f>IF(AND('Mapa final'!$AB$66="Media",'Mapa final'!$AD$66="Menor"),CONCATENATE("R21C",'Mapa final'!$R$66),"")</f>
        <v/>
      </c>
      <c r="P126" s="49" t="str">
        <f>IF(AND('Mapa final'!$AB$64="Media",'Mapa final'!$AD$64="Moderado"),CONCATENATE("R21C",'Mapa final'!$R$64),"")</f>
        <v/>
      </c>
      <c r="Q126" s="50" t="str">
        <f>IF(AND('Mapa final'!$AB$65="Media",'Mapa final'!$AD$65="Moderado"),CONCATENATE("R21C",'Mapa final'!$R$65),"")</f>
        <v/>
      </c>
      <c r="R126" s="111" t="str">
        <f>IF(AND('Mapa final'!$AB$66="Media",'Mapa final'!$AD$66="Moderado"),CONCATENATE("R21C",'Mapa final'!$R$66),"")</f>
        <v/>
      </c>
      <c r="S126" s="105" t="str">
        <f>IF(AND('Mapa final'!$AB$64="Media",'Mapa final'!$AD$64="Mayor"),CONCATENATE("R21C",'Mapa final'!$R$64),"")</f>
        <v/>
      </c>
      <c r="T126" s="42" t="str">
        <f>IF(AND('Mapa final'!$AB$65="Media",'Mapa final'!$AD$65="Mayor"),CONCATENATE("R21C",'Mapa final'!$R$65),"")</f>
        <v/>
      </c>
      <c r="U126" s="106" t="str">
        <f>IF(AND('Mapa final'!$AB$66="Media",'Mapa final'!$AD$66="Mayor"),CONCATENATE("R21C",'Mapa final'!$R$66),"")</f>
        <v/>
      </c>
      <c r="V126" s="43" t="str">
        <f>IF(AND('Mapa final'!$AB$64="Media",'Mapa final'!$AD$64="Catastrófico"),CONCATENATE("R21C",'Mapa final'!$R$64),"")</f>
        <v/>
      </c>
      <c r="W126" s="44" t="str">
        <f>IF(AND('Mapa final'!$AB$65="Media",'Mapa final'!$AD$65="Catastrófico"),CONCATENATE("R21C",'Mapa final'!$R$65),"")</f>
        <v/>
      </c>
      <c r="X126" s="100" t="str">
        <f>IF(AND('Mapa final'!$AB$66="Media",'Mapa final'!$AD$66="Catastrófico"),CONCATENATE("R21C",'Mapa final'!$R$66),"")</f>
        <v/>
      </c>
      <c r="Y126" s="56"/>
      <c r="Z126" s="311"/>
      <c r="AA126" s="312"/>
      <c r="AB126" s="312"/>
      <c r="AC126" s="312"/>
      <c r="AD126" s="312"/>
      <c r="AE126" s="313"/>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35">
      <c r="A127" s="56"/>
      <c r="B127" s="300"/>
      <c r="C127" s="300"/>
      <c r="D127" s="301"/>
      <c r="E127" s="289"/>
      <c r="F127" s="290"/>
      <c r="G127" s="290"/>
      <c r="H127" s="290"/>
      <c r="I127" s="288"/>
      <c r="J127" s="49" t="str">
        <f>IF(AND('Mapa final'!$AB$67="Media",'Mapa final'!$AD$67="Leve"),CONCATENATE("R22C",'Mapa final'!$R$67),"")</f>
        <v/>
      </c>
      <c r="K127" s="50" t="str">
        <f>IF(AND('Mapa final'!$AB$68="Media",'Mapa final'!$AD$68="Leve"),CONCATENATE("R22C",'Mapa final'!$R$68),"")</f>
        <v/>
      </c>
      <c r="L127" s="111" t="str">
        <f>IF(AND('Mapa final'!$AB$69="Media",'Mapa final'!$AD$69="Leve"),CONCATENATE("R22C",'Mapa final'!$R$69),"")</f>
        <v/>
      </c>
      <c r="M127" s="49" t="str">
        <f>IF(AND('Mapa final'!$AB$67="Media",'Mapa final'!$AD$67="Menor"),CONCATENATE("R22C",'Mapa final'!$R$67),"")</f>
        <v/>
      </c>
      <c r="N127" s="50" t="str">
        <f>IF(AND('Mapa final'!$AB$68="Media",'Mapa final'!$AD$68="Menor"),CONCATENATE("R22C",'Mapa final'!$R$68),"")</f>
        <v/>
      </c>
      <c r="O127" s="111" t="str">
        <f>IF(AND('Mapa final'!$AB$69="Media",'Mapa final'!$AD$69="Menor"),CONCATENATE("R22C",'Mapa final'!$R$69),"")</f>
        <v/>
      </c>
      <c r="P127" s="49" t="str">
        <f>IF(AND('Mapa final'!$AB$67="Media",'Mapa final'!$AD$67="Moderado"),CONCATENATE("R22C",'Mapa final'!$R$67),"")</f>
        <v/>
      </c>
      <c r="Q127" s="50" t="str">
        <f>IF(AND('Mapa final'!$AB$68="Media",'Mapa final'!$AD$68="Moderado"),CONCATENATE("R22C",'Mapa final'!$R$68),"")</f>
        <v/>
      </c>
      <c r="R127" s="111" t="str">
        <f>IF(AND('Mapa final'!$AB$69="Media",'Mapa final'!$AD$69="Moderado"),CONCATENATE("R22C",'Mapa final'!$R$69),"")</f>
        <v/>
      </c>
      <c r="S127" s="105" t="str">
        <f>IF(AND('Mapa final'!$AB$67="Media",'Mapa final'!$AD$67="Mayor"),CONCATENATE("R22C",'Mapa final'!$R$67),"")</f>
        <v/>
      </c>
      <c r="T127" s="42" t="str">
        <f>IF(AND('Mapa final'!$AB$68="Media",'Mapa final'!$AD$68="Mayor"),CONCATENATE("R22C",'Mapa final'!$R$68),"")</f>
        <v/>
      </c>
      <c r="U127" s="106" t="str">
        <f>IF(AND('Mapa final'!$AB$69="Media",'Mapa final'!$AD$69="Mayor"),CONCATENATE("R22C",'Mapa final'!$R$69),"")</f>
        <v/>
      </c>
      <c r="V127" s="43" t="str">
        <f>IF(AND('Mapa final'!$AB$67="Media",'Mapa final'!$AD$67="Catastrófico"),CONCATENATE("R22C",'Mapa final'!$R$67),"")</f>
        <v/>
      </c>
      <c r="W127" s="44" t="str">
        <f>IF(AND('Mapa final'!$AB$68="Media",'Mapa final'!$AD$68="Catastrófico"),CONCATENATE("R22C",'Mapa final'!$R$68),"")</f>
        <v/>
      </c>
      <c r="X127" s="100" t="str">
        <f>IF(AND('Mapa final'!$AB$69="Media",'Mapa final'!$AD$69="Catastrófico"),CONCATENATE("R22C",'Mapa final'!$R$69),"")</f>
        <v/>
      </c>
      <c r="Y127" s="56"/>
      <c r="Z127" s="311"/>
      <c r="AA127" s="312"/>
      <c r="AB127" s="312"/>
      <c r="AC127" s="312"/>
      <c r="AD127" s="312"/>
      <c r="AE127" s="313"/>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35">
      <c r="A128" s="56"/>
      <c r="B128" s="300"/>
      <c r="C128" s="300"/>
      <c r="D128" s="301"/>
      <c r="E128" s="289"/>
      <c r="F128" s="290"/>
      <c r="G128" s="290"/>
      <c r="H128" s="290"/>
      <c r="I128" s="288"/>
      <c r="J128" s="49" t="str">
        <f>IF(AND('Mapa final'!$AB$73="Media",'Mapa final'!$AD$73="Leve"),CONCATENATE("R23C",'Mapa final'!$R$73),"")</f>
        <v/>
      </c>
      <c r="K128" s="50" t="str">
        <f>IF(AND('Mapa final'!$AB$74="Media",'Mapa final'!$AD$74="Leve"),CONCATENATE("R23C",'Mapa final'!$R$74),"")</f>
        <v/>
      </c>
      <c r="L128" s="111" t="str">
        <f>IF(AND('Mapa final'!$AB$75="Media",'Mapa final'!$AD$75="Leve"),CONCATENATE("R23C",'Mapa final'!$R$75),"")</f>
        <v/>
      </c>
      <c r="M128" s="49" t="str">
        <f>IF(AND('Mapa final'!$AB$73="Media",'Mapa final'!$AD$73="Menor"),CONCATENATE("R23C",'Mapa final'!$R$73),"")</f>
        <v/>
      </c>
      <c r="N128" s="50" t="str">
        <f>IF(AND('Mapa final'!$AB$74="Media",'Mapa final'!$AD$74="Menor"),CONCATENATE("R23C",'Mapa final'!$R$74),"")</f>
        <v/>
      </c>
      <c r="O128" s="111" t="str">
        <f>IF(AND('Mapa final'!$AB$75="Media",'Mapa final'!$AD$75="Menor"),CONCATENATE("R23C",'Mapa final'!$R$75),"")</f>
        <v/>
      </c>
      <c r="P128" s="49" t="str">
        <f>IF(AND('Mapa final'!$AB$73="Media",'Mapa final'!$AD$73="Moderado"),CONCATENATE("R23C",'Mapa final'!$R$73),"")</f>
        <v/>
      </c>
      <c r="Q128" s="50" t="str">
        <f>IF(AND('Mapa final'!$AB$74="Media",'Mapa final'!$AD$74="Moderado"),CONCATENATE("R23C",'Mapa final'!$R$74),"")</f>
        <v/>
      </c>
      <c r="R128" s="111" t="str">
        <f>IF(AND('Mapa final'!$AB$75="Media",'Mapa final'!$AD$75="Moderado"),CONCATENATE("R23C",'Mapa final'!$R$75),"")</f>
        <v/>
      </c>
      <c r="S128" s="105" t="str">
        <f>IF(AND('Mapa final'!$AB$73="Media",'Mapa final'!$AD$73="Mayor"),CONCATENATE("R23C",'Mapa final'!$R$73),"")</f>
        <v/>
      </c>
      <c r="T128" s="42" t="str">
        <f>IF(AND('Mapa final'!$AB$74="Media",'Mapa final'!$AD$74="Mayor"),CONCATENATE("R23C",'Mapa final'!$R$74),"")</f>
        <v/>
      </c>
      <c r="U128" s="106" t="str">
        <f>IF(AND('Mapa final'!$AB$75="Media",'Mapa final'!$AD$75="Mayor"),CONCATENATE("R23C",'Mapa final'!$R$75),"")</f>
        <v/>
      </c>
      <c r="V128" s="43" t="str">
        <f>IF(AND('Mapa final'!$AB$73="Media",'Mapa final'!$AD$73="Catastrófico"),CONCATENATE("R23C",'Mapa final'!$R$73),"")</f>
        <v/>
      </c>
      <c r="W128" s="44" t="str">
        <f>IF(AND('Mapa final'!$AB$74="Media",'Mapa final'!$AD$74="Catastrófico"),CONCATENATE("R23C",'Mapa final'!$R$74),"")</f>
        <v/>
      </c>
      <c r="X128" s="100" t="str">
        <f>IF(AND('Mapa final'!$AB$75="Media",'Mapa final'!$AD$75="Catastrófico"),CONCATENATE("R23C",'Mapa final'!$R$75),"")</f>
        <v/>
      </c>
      <c r="Y128" s="56"/>
      <c r="Z128" s="311"/>
      <c r="AA128" s="312"/>
      <c r="AB128" s="312"/>
      <c r="AC128" s="312"/>
      <c r="AD128" s="312"/>
      <c r="AE128" s="313"/>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35">
      <c r="A129" s="56"/>
      <c r="B129" s="300"/>
      <c r="C129" s="300"/>
      <c r="D129" s="301"/>
      <c r="E129" s="289"/>
      <c r="F129" s="290"/>
      <c r="G129" s="290"/>
      <c r="H129" s="290"/>
      <c r="I129" s="288"/>
      <c r="J129" s="49" t="str">
        <f>IF(AND('Mapa final'!$AB$76="Media",'Mapa final'!$AD$76="Leve"),CONCATENATE("R24C",'Mapa final'!$R$76),"")</f>
        <v/>
      </c>
      <c r="K129" s="50" t="str">
        <f>IF(AND('Mapa final'!$AB$77="Media",'Mapa final'!$AD$77="Leve"),CONCATENATE("R24C",'Mapa final'!$R$77),"")</f>
        <v/>
      </c>
      <c r="L129" s="111" t="str">
        <f>IF(AND('Mapa final'!$AB$78="Media",'Mapa final'!$AD$78="Leve"),CONCATENATE("R24C",'Mapa final'!$R$78),"")</f>
        <v/>
      </c>
      <c r="M129" s="49" t="str">
        <f>IF(AND('Mapa final'!$AB$76="Media",'Mapa final'!$AD$76="Menor"),CONCATENATE("R24C",'Mapa final'!$R$76),"")</f>
        <v/>
      </c>
      <c r="N129" s="50" t="str">
        <f>IF(AND('Mapa final'!$AB$77="Media",'Mapa final'!$AD$77="Menor"),CONCATENATE("R24C",'Mapa final'!$R$77),"")</f>
        <v/>
      </c>
      <c r="O129" s="111" t="str">
        <f>IF(AND('Mapa final'!$AB$78="Media",'Mapa final'!$AD$78="Menor"),CONCATENATE("R24C",'Mapa final'!$R$78),"")</f>
        <v/>
      </c>
      <c r="P129" s="49" t="str">
        <f>IF(AND('Mapa final'!$AB$76="Media",'Mapa final'!$AD$76="Moderado"),CONCATENATE("R24C",'Mapa final'!$R$76),"")</f>
        <v/>
      </c>
      <c r="Q129" s="50" t="str">
        <f>IF(AND('Mapa final'!$AB$77="Media",'Mapa final'!$AD$77="Moderado"),CONCATENATE("R24C",'Mapa final'!$R$77),"")</f>
        <v/>
      </c>
      <c r="R129" s="111" t="str">
        <f>IF(AND('Mapa final'!$AB$78="Media",'Mapa final'!$AD$78="Moderado"),CONCATENATE("R24C",'Mapa final'!$R$78),"")</f>
        <v/>
      </c>
      <c r="S129" s="105" t="str">
        <f>IF(AND('Mapa final'!$AB$76="Media",'Mapa final'!$AD$76="Mayor"),CONCATENATE("R24C",'Mapa final'!$R$76),"")</f>
        <v/>
      </c>
      <c r="T129" s="42" t="str">
        <f>IF(AND('Mapa final'!$AB$77="Media",'Mapa final'!$AD$77="Mayor"),CONCATENATE("R24C",'Mapa final'!$R$77),"")</f>
        <v/>
      </c>
      <c r="U129" s="106" t="str">
        <f>IF(AND('Mapa final'!$AB$78="Media",'Mapa final'!$AD$78="Mayor"),CONCATENATE("R24C",'Mapa final'!$R$78),"")</f>
        <v/>
      </c>
      <c r="V129" s="43" t="str">
        <f>IF(AND('Mapa final'!$AB$76="Media",'Mapa final'!$AD$76="Catastrófico"),CONCATENATE("R24C",'Mapa final'!$R$76),"")</f>
        <v/>
      </c>
      <c r="W129" s="44" t="str">
        <f>IF(AND('Mapa final'!$AB$77="Media",'Mapa final'!$AD$77="Catastrófico"),CONCATENATE("R24C",'Mapa final'!$R$77),"")</f>
        <v/>
      </c>
      <c r="X129" s="100" t="str">
        <f>IF(AND('Mapa final'!$AB$78="Media",'Mapa final'!$AD$78="Catastrófico"),CONCATENATE("R24C",'Mapa final'!$R$78),"")</f>
        <v/>
      </c>
      <c r="Y129" s="56"/>
      <c r="Z129" s="311"/>
      <c r="AA129" s="312"/>
      <c r="AB129" s="312"/>
      <c r="AC129" s="312"/>
      <c r="AD129" s="312"/>
      <c r="AE129" s="313"/>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35">
      <c r="A130" s="56"/>
      <c r="B130" s="300"/>
      <c r="C130" s="300"/>
      <c r="D130" s="301"/>
      <c r="E130" s="289"/>
      <c r="F130" s="290"/>
      <c r="G130" s="290"/>
      <c r="H130" s="290"/>
      <c r="I130" s="288"/>
      <c r="J130" s="49" t="str">
        <f>IF(AND('Mapa final'!$AB$79="Media",'Mapa final'!$AD$79="Leve"),CONCATENATE("R25C",'Mapa final'!$R$79),"")</f>
        <v/>
      </c>
      <c r="K130" s="50" t="str">
        <f>IF(AND('Mapa final'!$AB$80="Media",'Mapa final'!$AD$80="Leve"),CONCATENATE("R25C",'Mapa final'!$R$80),"")</f>
        <v/>
      </c>
      <c r="L130" s="111" t="str">
        <f>IF(AND('Mapa final'!$AB$81="Media",'Mapa final'!$AD$81="Leve"),CONCATENATE("R25C",'Mapa final'!$R$81),"")</f>
        <v/>
      </c>
      <c r="M130" s="49" t="str">
        <f>IF(AND('Mapa final'!$AB$79="Media",'Mapa final'!$AD$79="Menor"),CONCATENATE("R25C",'Mapa final'!$R$79),"")</f>
        <v/>
      </c>
      <c r="N130" s="50" t="str">
        <f>IF(AND('Mapa final'!$AB$80="Media",'Mapa final'!$AD$80="Menor"),CONCATENATE("R25C",'Mapa final'!$R$80),"")</f>
        <v/>
      </c>
      <c r="O130" s="111" t="str">
        <f>IF(AND('Mapa final'!$AB$81="Media",'Mapa final'!$AD$81="Menor"),CONCATENATE("R25C",'Mapa final'!$R$81),"")</f>
        <v/>
      </c>
      <c r="P130" s="49" t="str">
        <f>IF(AND('Mapa final'!$AB$79="Media",'Mapa final'!$AD$79="Moderado"),CONCATENATE("R25C",'Mapa final'!$R$79),"")</f>
        <v/>
      </c>
      <c r="Q130" s="50" t="str">
        <f>IF(AND('Mapa final'!$AB$80="Media",'Mapa final'!$AD$80="Moderado"),CONCATENATE("R25C",'Mapa final'!$R$80),"")</f>
        <v/>
      </c>
      <c r="R130" s="111" t="str">
        <f>IF(AND('Mapa final'!$AB$81="Media",'Mapa final'!$AD$81="Moderado"),CONCATENATE("R25C",'Mapa final'!$R$81),"")</f>
        <v/>
      </c>
      <c r="S130" s="105" t="str">
        <f>IF(AND('Mapa final'!$AB$79="Media",'Mapa final'!$AD$79="Mayor"),CONCATENATE("R25C",'Mapa final'!$R$79),"")</f>
        <v/>
      </c>
      <c r="T130" s="42" t="str">
        <f>IF(AND('Mapa final'!$AB$80="Media",'Mapa final'!$AD$80="Mayor"),CONCATENATE("R25C",'Mapa final'!$R$80),"")</f>
        <v/>
      </c>
      <c r="U130" s="106" t="str">
        <f>IF(AND('Mapa final'!$AB$81="Media",'Mapa final'!$AD$81="Mayor"),CONCATENATE("R25C",'Mapa final'!$R$81),"")</f>
        <v/>
      </c>
      <c r="V130" s="43" t="str">
        <f>IF(AND('Mapa final'!$AB$79="Media",'Mapa final'!$AD$79="Catastrófico"),CONCATENATE("R25C",'Mapa final'!$R$79),"")</f>
        <v/>
      </c>
      <c r="W130" s="44" t="str">
        <f>IF(AND('Mapa final'!$AB$80="Media",'Mapa final'!$AD$80="Catastrófico"),CONCATENATE("R25C",'Mapa final'!$R$80),"")</f>
        <v/>
      </c>
      <c r="X130" s="100" t="str">
        <f>IF(AND('Mapa final'!$AB$81="Media",'Mapa final'!$AD$81="Catastrófico"),CONCATENATE("R25C",'Mapa final'!$R$81),"")</f>
        <v/>
      </c>
      <c r="Y130" s="56"/>
      <c r="Z130" s="311"/>
      <c r="AA130" s="312"/>
      <c r="AB130" s="312"/>
      <c r="AC130" s="312"/>
      <c r="AD130" s="312"/>
      <c r="AE130" s="313"/>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35">
      <c r="A131" s="56"/>
      <c r="B131" s="300"/>
      <c r="C131" s="300"/>
      <c r="D131" s="301"/>
      <c r="E131" s="289"/>
      <c r="F131" s="290"/>
      <c r="G131" s="290"/>
      <c r="H131" s="290"/>
      <c r="I131" s="288"/>
      <c r="J131" s="49" t="str">
        <f>IF(AND('Mapa final'!$AB$82="Media",'Mapa final'!$AD$82="Leve"),CONCATENATE("R26C",'Mapa final'!$R$82),"")</f>
        <v/>
      </c>
      <c r="K131" s="50" t="str">
        <f>IF(AND('Mapa final'!$AB$83="Media",'Mapa final'!$AD$83="Leve"),CONCATENATE("R26C",'Mapa final'!$R$83),"")</f>
        <v/>
      </c>
      <c r="L131" s="111" t="str">
        <f>IF(AND('Mapa final'!$AB$84="Media",'Mapa final'!$AD$84="Leve"),CONCATENATE("R26C",'Mapa final'!$R$84),"")</f>
        <v/>
      </c>
      <c r="M131" s="49" t="str">
        <f>IF(AND('Mapa final'!$AB$82="Media",'Mapa final'!$AD$82="Menor"),CONCATENATE("R26C",'Mapa final'!$R$82),"")</f>
        <v/>
      </c>
      <c r="N131" s="50" t="str">
        <f>IF(AND('Mapa final'!$AB$83="Media",'Mapa final'!$AD$83="Menor"),CONCATENATE("R26C",'Mapa final'!$R$83),"")</f>
        <v/>
      </c>
      <c r="O131" s="111" t="str">
        <f>IF(AND('Mapa final'!$AB$84="Media",'Mapa final'!$AD$84="Menor"),CONCATENATE("R26C",'Mapa final'!$R$84),"")</f>
        <v/>
      </c>
      <c r="P131" s="49" t="str">
        <f>IF(AND('Mapa final'!$AB$82="Media",'Mapa final'!$AD$82="Moderado"),CONCATENATE("R26C",'Mapa final'!$R$82),"")</f>
        <v/>
      </c>
      <c r="Q131" s="50" t="str">
        <f>IF(AND('Mapa final'!$AB$83="Media",'Mapa final'!$AD$83="Moderado"),CONCATENATE("R26C",'Mapa final'!$R$83),"")</f>
        <v/>
      </c>
      <c r="R131" s="111" t="str">
        <f>IF(AND('Mapa final'!$AB$84="Media",'Mapa final'!$AD$84="Moderado"),CONCATENATE("R26C",'Mapa final'!$R$84),"")</f>
        <v/>
      </c>
      <c r="S131" s="105" t="str">
        <f>IF(AND('Mapa final'!$AB$82="Media",'Mapa final'!$AD$82="Mayor"),CONCATENATE("R26C",'Mapa final'!$R$82),"")</f>
        <v/>
      </c>
      <c r="T131" s="42" t="str">
        <f>IF(AND('Mapa final'!$AB$83="Media",'Mapa final'!$AD$83="Mayor"),CONCATENATE("R26C",'Mapa final'!$R$83),"")</f>
        <v/>
      </c>
      <c r="U131" s="106" t="str">
        <f>IF(AND('Mapa final'!$AB$84="Media",'Mapa final'!$AD$84="Mayor"),CONCATENATE("R26C",'Mapa final'!$R$84),"")</f>
        <v/>
      </c>
      <c r="V131" s="43" t="str">
        <f>IF(AND('Mapa final'!$AB$82="Media",'Mapa final'!$AD$82="Catastrófico"),CONCATENATE("R26C",'Mapa final'!$R$82),"")</f>
        <v/>
      </c>
      <c r="W131" s="44" t="str">
        <f>IF(AND('Mapa final'!$AB$83="Media",'Mapa final'!$AD$83="Catastrófico"),CONCATENATE("R26C",'Mapa final'!$R$83),"")</f>
        <v/>
      </c>
      <c r="X131" s="100" t="str">
        <f>IF(AND('Mapa final'!$AB$84="Media",'Mapa final'!$AD$84="Catastrófico"),CONCATENATE("R26C",'Mapa final'!$R$84),"")</f>
        <v/>
      </c>
      <c r="Y131" s="56"/>
      <c r="Z131" s="311"/>
      <c r="AA131" s="312"/>
      <c r="AB131" s="312"/>
      <c r="AC131" s="312"/>
      <c r="AD131" s="312"/>
      <c r="AE131" s="313"/>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35">
      <c r="A132" s="56"/>
      <c r="B132" s="300"/>
      <c r="C132" s="300"/>
      <c r="D132" s="301"/>
      <c r="E132" s="289"/>
      <c r="F132" s="290"/>
      <c r="G132" s="290"/>
      <c r="H132" s="290"/>
      <c r="I132" s="288"/>
      <c r="J132" s="49" t="str">
        <f>IF(AND('Mapa final'!$AB$85="Media",'Mapa final'!$AD$85="Leve"),CONCATENATE("R27C",'Mapa final'!$R$85),"")</f>
        <v/>
      </c>
      <c r="K132" s="50" t="str">
        <f>IF(AND('Mapa final'!$AB$86="Media",'Mapa final'!$AD$86="Leve"),CONCATENATE("R27C",'Mapa final'!$R$86),"")</f>
        <v/>
      </c>
      <c r="L132" s="111" t="str">
        <f>IF(AND('Mapa final'!$AB$87="Media",'Mapa final'!$AD$87="Leve"),CONCATENATE("R27C",'Mapa final'!$R$87),"")</f>
        <v/>
      </c>
      <c r="M132" s="49" t="str">
        <f>IF(AND('Mapa final'!$AB$85="Media",'Mapa final'!$AD$85="Menor"),CONCATENATE("R27C",'Mapa final'!$R$85),"")</f>
        <v/>
      </c>
      <c r="N132" s="50" t="str">
        <f>IF(AND('Mapa final'!$AB$86="Media",'Mapa final'!$AD$86="Menor"),CONCATENATE("R27C",'Mapa final'!$R$86),"")</f>
        <v/>
      </c>
      <c r="O132" s="111" t="str">
        <f>IF(AND('Mapa final'!$AB$87="Media",'Mapa final'!$AD$87="Menor"),CONCATENATE("R27C",'Mapa final'!$R$87),"")</f>
        <v/>
      </c>
      <c r="P132" s="49" t="str">
        <f>IF(AND('Mapa final'!$AB$85="Media",'Mapa final'!$AD$85="Moderado"),CONCATENATE("R27C",'Mapa final'!$R$85),"")</f>
        <v/>
      </c>
      <c r="Q132" s="50" t="str">
        <f>IF(AND('Mapa final'!$AB$86="Media",'Mapa final'!$AD$86="Moderado"),CONCATENATE("R27C",'Mapa final'!$R$86),"")</f>
        <v/>
      </c>
      <c r="R132" s="111" t="str">
        <f>IF(AND('Mapa final'!$AB$87="Media",'Mapa final'!$AD$87="Moderado"),CONCATENATE("R27C",'Mapa final'!$R$87),"")</f>
        <v/>
      </c>
      <c r="S132" s="105" t="str">
        <f>IF(AND('Mapa final'!$AB$85="Media",'Mapa final'!$AD$85="Mayor"),CONCATENATE("R27C",'Mapa final'!$R$85),"")</f>
        <v/>
      </c>
      <c r="T132" s="42" t="str">
        <f>IF(AND('Mapa final'!$AB$86="Media",'Mapa final'!$AD$86="Mayor"),CONCATENATE("R27C",'Mapa final'!$R$86),"")</f>
        <v/>
      </c>
      <c r="U132" s="106" t="str">
        <f>IF(AND('Mapa final'!$AB$87="Media",'Mapa final'!$AD$87="Mayor"),CONCATENATE("R27C",'Mapa final'!$R$87),"")</f>
        <v/>
      </c>
      <c r="V132" s="43" t="str">
        <f>IF(AND('Mapa final'!$AB$85="Media",'Mapa final'!$AD$85="Catastrófico"),CONCATENATE("R27C",'Mapa final'!$R$85),"")</f>
        <v/>
      </c>
      <c r="W132" s="44" t="str">
        <f>IF(AND('Mapa final'!$AB$86="Media",'Mapa final'!$AD$86="Catastrófico"),CONCATENATE("R27C",'Mapa final'!$R$86),"")</f>
        <v/>
      </c>
      <c r="X132" s="100" t="str">
        <f>IF(AND('Mapa final'!$AB$87="Media",'Mapa final'!$AD$87="Catastrófico"),CONCATENATE("R27C",'Mapa final'!$R$87),"")</f>
        <v/>
      </c>
      <c r="Y132" s="56"/>
      <c r="Z132" s="311"/>
      <c r="AA132" s="312"/>
      <c r="AB132" s="312"/>
      <c r="AC132" s="312"/>
      <c r="AD132" s="312"/>
      <c r="AE132" s="313"/>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35">
      <c r="A133" s="56"/>
      <c r="B133" s="300"/>
      <c r="C133" s="300"/>
      <c r="D133" s="301"/>
      <c r="E133" s="289"/>
      <c r="F133" s="290"/>
      <c r="G133" s="290"/>
      <c r="H133" s="290"/>
      <c r="I133" s="288"/>
      <c r="J133" s="49" t="str">
        <f>IF(AND('Mapa final'!$AB$88="Media",'Mapa final'!$AD$88="Leve"),CONCATENATE("R28C",'Mapa final'!$R$88),"")</f>
        <v/>
      </c>
      <c r="K133" s="50" t="str">
        <f>IF(AND('Mapa final'!$AB$89="Media",'Mapa final'!$AD$89="Leve"),CONCATENATE("R28C",'Mapa final'!$R$89),"")</f>
        <v/>
      </c>
      <c r="L133" s="111" t="str">
        <f>IF(AND('Mapa final'!$AB$90="Media",'Mapa final'!$AD$90="Leve"),CONCATENATE("R28C",'Mapa final'!$R$90),"")</f>
        <v/>
      </c>
      <c r="M133" s="49" t="str">
        <f>IF(AND('Mapa final'!$AB$88="Media",'Mapa final'!$AD$88="Menor"),CONCATENATE("R28C",'Mapa final'!$R$88),"")</f>
        <v/>
      </c>
      <c r="N133" s="50" t="str">
        <f>IF(AND('Mapa final'!$AB$89="Media",'Mapa final'!$AD$89="Menor"),CONCATENATE("R28C",'Mapa final'!$R$89),"")</f>
        <v/>
      </c>
      <c r="O133" s="111" t="str">
        <f>IF(AND('Mapa final'!$AB$90="Media",'Mapa final'!$AD$90="Menor"),CONCATENATE("R28C",'Mapa final'!$R$90),"")</f>
        <v/>
      </c>
      <c r="P133" s="49" t="str">
        <f>IF(AND('Mapa final'!$AB$88="Media",'Mapa final'!$AD$88="Moderado"),CONCATENATE("R28C",'Mapa final'!$R$88),"")</f>
        <v/>
      </c>
      <c r="Q133" s="50" t="str">
        <f>IF(AND('Mapa final'!$AB$89="Media",'Mapa final'!$AD$89="Moderado"),CONCATENATE("R28C",'Mapa final'!$R$89),"")</f>
        <v/>
      </c>
      <c r="R133" s="111" t="str">
        <f>IF(AND('Mapa final'!$AB$90="Media",'Mapa final'!$AD$90="Moderado"),CONCATENATE("R28C",'Mapa final'!$R$90),"")</f>
        <v/>
      </c>
      <c r="S133" s="105" t="str">
        <f>IF(AND('Mapa final'!$AB$88="Media",'Mapa final'!$AD$88="Mayor"),CONCATENATE("R28C",'Mapa final'!$R$88),"")</f>
        <v/>
      </c>
      <c r="T133" s="42" t="str">
        <f>IF(AND('Mapa final'!$AB$89="Media",'Mapa final'!$AD$89="Mayor"),CONCATENATE("R28C",'Mapa final'!$R$89),"")</f>
        <v/>
      </c>
      <c r="U133" s="106" t="str">
        <f>IF(AND('Mapa final'!$AB$90="Media",'Mapa final'!$AD$90="Mayor"),CONCATENATE("R28C",'Mapa final'!$R$90),"")</f>
        <v/>
      </c>
      <c r="V133" s="43" t="str">
        <f>IF(AND('Mapa final'!$AB$88="Media",'Mapa final'!$AD$88="Catastrófico"),CONCATENATE("R28C",'Mapa final'!$R$88),"")</f>
        <v/>
      </c>
      <c r="W133" s="44" t="str">
        <f>IF(AND('Mapa final'!$AB$89="Media",'Mapa final'!$AD$89="Catastrófico"),CONCATENATE("R28C",'Mapa final'!$R$89),"")</f>
        <v/>
      </c>
      <c r="X133" s="100" t="str">
        <f>IF(AND('Mapa final'!$AB$90="Media",'Mapa final'!$AD$90="Catastrófico"),CONCATENATE("R28C",'Mapa final'!$R$90),"")</f>
        <v/>
      </c>
      <c r="Y133" s="56"/>
      <c r="Z133" s="311"/>
      <c r="AA133" s="312"/>
      <c r="AB133" s="312"/>
      <c r="AC133" s="312"/>
      <c r="AD133" s="312"/>
      <c r="AE133" s="313"/>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35">
      <c r="A134" s="56"/>
      <c r="B134" s="300"/>
      <c r="C134" s="300"/>
      <c r="D134" s="301"/>
      <c r="E134" s="289"/>
      <c r="F134" s="290"/>
      <c r="G134" s="290"/>
      <c r="H134" s="290"/>
      <c r="I134" s="288"/>
      <c r="J134" s="49" t="str">
        <f>IF(AND('Mapa final'!$AB$91="Media",'Mapa final'!$AD$91="Leve"),CONCATENATE("R29C",'Mapa final'!$R$91),"")</f>
        <v/>
      </c>
      <c r="K134" s="50" t="str">
        <f>IF(AND('Mapa final'!$AB$92="Media",'Mapa final'!$AD$92="Leve"),CONCATENATE("R29C",'Mapa final'!$R$92),"")</f>
        <v/>
      </c>
      <c r="L134" s="111" t="str">
        <f>IF(AND('Mapa final'!$AB$93="Media",'Mapa final'!$AD$93="Leve"),CONCATENATE("R29C",'Mapa final'!$R$93),"")</f>
        <v/>
      </c>
      <c r="M134" s="49" t="str">
        <f>IF(AND('Mapa final'!$AB$91="Media",'Mapa final'!$AD$91="Menor"),CONCATENATE("R29C",'Mapa final'!$R$91),"")</f>
        <v/>
      </c>
      <c r="N134" s="50" t="str">
        <f>IF(AND('Mapa final'!$AB$92="Media",'Mapa final'!$AD$92="Menor"),CONCATENATE("R29C",'Mapa final'!$R$92),"")</f>
        <v/>
      </c>
      <c r="O134" s="111" t="str">
        <f>IF(AND('Mapa final'!$AB$93="Media",'Mapa final'!$AD$93="Menor"),CONCATENATE("R29C",'Mapa final'!$R$93),"")</f>
        <v/>
      </c>
      <c r="P134" s="49" t="str">
        <f>IF(AND('Mapa final'!$AB$91="Media",'Mapa final'!$AD$91="Moderado"),CONCATENATE("R29C",'Mapa final'!$R$91),"")</f>
        <v/>
      </c>
      <c r="Q134" s="50" t="str">
        <f>IF(AND('Mapa final'!$AB$92="Media",'Mapa final'!$AD$92="Moderado"),CONCATENATE("R29C",'Mapa final'!$R$92),"")</f>
        <v/>
      </c>
      <c r="R134" s="111" t="str">
        <f>IF(AND('Mapa final'!$AB$93="Media",'Mapa final'!$AD$93="Moderado"),CONCATENATE("R29C",'Mapa final'!$R$93),"")</f>
        <v/>
      </c>
      <c r="S134" s="105" t="str">
        <f>IF(AND('Mapa final'!$AB$91="Media",'Mapa final'!$AD$91="Mayor"),CONCATENATE("R29C",'Mapa final'!$R$91),"")</f>
        <v/>
      </c>
      <c r="T134" s="42" t="str">
        <f>IF(AND('Mapa final'!$AB$92="Media",'Mapa final'!$AD$92="Mayor"),CONCATENATE("R29C",'Mapa final'!$R$92),"")</f>
        <v/>
      </c>
      <c r="U134" s="106" t="str">
        <f>IF(AND('Mapa final'!$AB$93="Media",'Mapa final'!$AD$93="Mayor"),CONCATENATE("R29C",'Mapa final'!$R$93),"")</f>
        <v/>
      </c>
      <c r="V134" s="43" t="str">
        <f>IF(AND('Mapa final'!$AB$91="Media",'Mapa final'!$AD$91="Catastrófico"),CONCATENATE("R29C",'Mapa final'!$R$91),"")</f>
        <v/>
      </c>
      <c r="W134" s="44" t="str">
        <f>IF(AND('Mapa final'!$AB$92="Media",'Mapa final'!$AD$92="Catastrófico"),CONCATENATE("R29C",'Mapa final'!$R$92),"")</f>
        <v/>
      </c>
      <c r="X134" s="100" t="str">
        <f>IF(AND('Mapa final'!$AB$93="Media",'Mapa final'!$AD$93="Catastrófico"),CONCATENATE("R29C",'Mapa final'!$R$93),"")</f>
        <v/>
      </c>
      <c r="Y134" s="56"/>
      <c r="Z134" s="311"/>
      <c r="AA134" s="312"/>
      <c r="AB134" s="312"/>
      <c r="AC134" s="312"/>
      <c r="AD134" s="312"/>
      <c r="AE134" s="313"/>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35">
      <c r="A135" s="56"/>
      <c r="B135" s="300"/>
      <c r="C135" s="300"/>
      <c r="D135" s="301"/>
      <c r="E135" s="289"/>
      <c r="F135" s="290"/>
      <c r="G135" s="290"/>
      <c r="H135" s="290"/>
      <c r="I135" s="288"/>
      <c r="J135" s="49" t="str">
        <f>IF(AND('Mapa final'!$AB$94="Media",'Mapa final'!$AD$94="Leve"),CONCATENATE("R30C",'Mapa final'!$R$94),"")</f>
        <v/>
      </c>
      <c r="K135" s="50" t="str">
        <f>IF(AND('Mapa final'!$AB$95="Media",'Mapa final'!$AD$95="Leve"),CONCATENATE("R30C",'Mapa final'!$R$95),"")</f>
        <v/>
      </c>
      <c r="L135" s="111" t="str">
        <f>IF(AND('Mapa final'!$AB$96="Media",'Mapa final'!$AD$96="Leve"),CONCATENATE("R30C",'Mapa final'!$R$96),"")</f>
        <v/>
      </c>
      <c r="M135" s="49" t="str">
        <f>IF(AND('Mapa final'!$AB$94="Media",'Mapa final'!$AD$94="Menor"),CONCATENATE("R30C",'Mapa final'!$R$94),"")</f>
        <v/>
      </c>
      <c r="N135" s="50" t="str">
        <f>IF(AND('Mapa final'!$AB$95="Media",'Mapa final'!$AD$95="Menor"),CONCATENATE("R30C",'Mapa final'!$R$95),"")</f>
        <v/>
      </c>
      <c r="O135" s="111" t="str">
        <f>IF(AND('Mapa final'!$AB$96="Media",'Mapa final'!$AD$96="Menor"),CONCATENATE("R30C",'Mapa final'!$R$96),"")</f>
        <v/>
      </c>
      <c r="P135" s="49" t="str">
        <f>IF(AND('Mapa final'!$AB$94="Media",'Mapa final'!$AD$94="Moderado"),CONCATENATE("R30C",'Mapa final'!$R$94),"")</f>
        <v/>
      </c>
      <c r="Q135" s="50" t="str">
        <f>IF(AND('Mapa final'!$AB$95="Media",'Mapa final'!$AD$95="Moderado"),CONCATENATE("R30C",'Mapa final'!$R$95),"")</f>
        <v/>
      </c>
      <c r="R135" s="111" t="str">
        <f>IF(AND('Mapa final'!$AB$96="Media",'Mapa final'!$AD$96="Moderado"),CONCATENATE("R30C",'Mapa final'!$R$96),"")</f>
        <v/>
      </c>
      <c r="S135" s="105" t="str">
        <f>IF(AND('Mapa final'!$AB$94="Media",'Mapa final'!$AD$94="Mayor"),CONCATENATE("R30C",'Mapa final'!$R$94),"")</f>
        <v>R30C1</v>
      </c>
      <c r="T135" s="42" t="str">
        <f>IF(AND('Mapa final'!$AB$95="Media",'Mapa final'!$AD$95="Mayor"),CONCATENATE("R30C",'Mapa final'!$R$95),"")</f>
        <v/>
      </c>
      <c r="U135" s="106" t="str">
        <f>IF(AND('Mapa final'!$AB$96="Media",'Mapa final'!$AD$96="Mayor"),CONCATENATE("R30C",'Mapa final'!$R$96),"")</f>
        <v/>
      </c>
      <c r="V135" s="43" t="str">
        <f>IF(AND('Mapa final'!$AB$94="Media",'Mapa final'!$AD$94="Catastrófico"),CONCATENATE("R30C",'Mapa final'!$R$94),"")</f>
        <v/>
      </c>
      <c r="W135" s="44" t="str">
        <f>IF(AND('Mapa final'!$AB$95="Media",'Mapa final'!$AD$95="Catastrófico"),CONCATENATE("R30C",'Mapa final'!$R$95),"")</f>
        <v/>
      </c>
      <c r="X135" s="100" t="str">
        <f>IF(AND('Mapa final'!$AB$96="Media",'Mapa final'!$AD$96="Catastrófico"),CONCATENATE("R30C",'Mapa final'!$R$96),"")</f>
        <v/>
      </c>
      <c r="Y135" s="56"/>
      <c r="Z135" s="311"/>
      <c r="AA135" s="312"/>
      <c r="AB135" s="312"/>
      <c r="AC135" s="312"/>
      <c r="AD135" s="312"/>
      <c r="AE135" s="313"/>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35">
      <c r="A136" s="56"/>
      <c r="B136" s="300"/>
      <c r="C136" s="300"/>
      <c r="D136" s="301"/>
      <c r="E136" s="289"/>
      <c r="F136" s="290"/>
      <c r="G136" s="290"/>
      <c r="H136" s="290"/>
      <c r="I136" s="288"/>
      <c r="J136" s="49" t="str">
        <f>IF(AND('Mapa final'!$AB$97="Media",'Mapa final'!$AD$97="Leve"),CONCATENATE("R31C",'Mapa final'!$R$97),"")</f>
        <v/>
      </c>
      <c r="K136" s="50" t="str">
        <f>IF(AND('Mapa final'!$AB$98="Media",'Mapa final'!$AD$98="Leve"),CONCATENATE("R31C",'Mapa final'!$R$98),"")</f>
        <v/>
      </c>
      <c r="L136" s="111" t="str">
        <f>IF(AND('Mapa final'!$AB$99="Media",'Mapa final'!$AD$99="Leve"),CONCATENATE("R31C",'Mapa final'!$R$99),"")</f>
        <v/>
      </c>
      <c r="M136" s="49" t="str">
        <f>IF(AND('Mapa final'!$AB$97="Media",'Mapa final'!$AD$97="Menor"),CONCATENATE("R31C",'Mapa final'!$R$97),"")</f>
        <v/>
      </c>
      <c r="N136" s="50" t="str">
        <f>IF(AND('Mapa final'!$AB$98="Media",'Mapa final'!$AD$98="Menor"),CONCATENATE("R31C",'Mapa final'!$R$98),"")</f>
        <v/>
      </c>
      <c r="O136" s="111" t="str">
        <f>IF(AND('Mapa final'!$AB$99="Media",'Mapa final'!$AD$99="Menor"),CONCATENATE("R31C",'Mapa final'!$R$99),"")</f>
        <v/>
      </c>
      <c r="P136" s="49" t="str">
        <f>IF(AND('Mapa final'!$AB$97="Media",'Mapa final'!$AD$97="Moderado"),CONCATENATE("R31C",'Mapa final'!$R$97),"")</f>
        <v/>
      </c>
      <c r="Q136" s="50" t="str">
        <f>IF(AND('Mapa final'!$AB$98="Media",'Mapa final'!$AD$98="Moderado"),CONCATENATE("R31C",'Mapa final'!$R$98),"")</f>
        <v/>
      </c>
      <c r="R136" s="111" t="str">
        <f>IF(AND('Mapa final'!$AB$99="Media",'Mapa final'!$AD$99="Moderado"),CONCATENATE("R31C",'Mapa final'!$R$99),"")</f>
        <v/>
      </c>
      <c r="S136" s="105" t="str">
        <f>IF(AND('Mapa final'!$AB$97="Media",'Mapa final'!$AD$97="Mayor"),CONCATENATE("R31C",'Mapa final'!$R$97),"")</f>
        <v/>
      </c>
      <c r="T136" s="42" t="str">
        <f>IF(AND('Mapa final'!$AB$98="Media",'Mapa final'!$AD$98="Mayor"),CONCATENATE("R31C",'Mapa final'!$R$98),"")</f>
        <v/>
      </c>
      <c r="U136" s="106" t="str">
        <f>IF(AND('Mapa final'!$AB$99="Media",'Mapa final'!$AD$99="Mayor"),CONCATENATE("R31C",'Mapa final'!$R$99),"")</f>
        <v/>
      </c>
      <c r="V136" s="43" t="str">
        <f>IF(AND('Mapa final'!$AB$97="Media",'Mapa final'!$AD$97="Catastrófico"),CONCATENATE("R31C",'Mapa final'!$R$97),"")</f>
        <v/>
      </c>
      <c r="W136" s="44" t="str">
        <f>IF(AND('Mapa final'!$AB$98="Media",'Mapa final'!$AD$98="Catastrófico"),CONCATENATE("R31C",'Mapa final'!$R$98),"")</f>
        <v/>
      </c>
      <c r="X136" s="100" t="str">
        <f>IF(AND('Mapa final'!$AB$99="Media",'Mapa final'!$AD$99="Catastrófico"),CONCATENATE("R31C",'Mapa final'!$R$99),"")</f>
        <v/>
      </c>
      <c r="Y136" s="56"/>
      <c r="Z136" s="311"/>
      <c r="AA136" s="312"/>
      <c r="AB136" s="312"/>
      <c r="AC136" s="312"/>
      <c r="AD136" s="312"/>
      <c r="AE136" s="313"/>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35">
      <c r="A137" s="56"/>
      <c r="B137" s="300"/>
      <c r="C137" s="300"/>
      <c r="D137" s="301"/>
      <c r="E137" s="289"/>
      <c r="F137" s="290"/>
      <c r="G137" s="290"/>
      <c r="H137" s="290"/>
      <c r="I137" s="288"/>
      <c r="J137" s="49" t="e">
        <f>IF(AND('Mapa final'!#REF!="Media",'Mapa final'!#REF!="Leve"),CONCATENATE("R32C",'Mapa final'!#REF!),"")</f>
        <v>#REF!</v>
      </c>
      <c r="K137" s="50" t="e">
        <f>IF(AND('Mapa final'!#REF!="Media",'Mapa final'!#REF!="Leve"),CONCATENATE("R32C",'Mapa final'!#REF!),"")</f>
        <v>#REF!</v>
      </c>
      <c r="L137" s="111" t="e">
        <f>IF(AND('Mapa final'!#REF!="Media",'Mapa final'!#REF!="Leve"),CONCATENATE("R32C",'Mapa final'!#REF!),"")</f>
        <v>#REF!</v>
      </c>
      <c r="M137" s="49" t="e">
        <f>IF(AND('Mapa final'!#REF!="Media",'Mapa final'!#REF!="Menor"),CONCATENATE("R32C",'Mapa final'!#REF!),"")</f>
        <v>#REF!</v>
      </c>
      <c r="N137" s="50" t="e">
        <f>IF(AND('Mapa final'!#REF!="Media",'Mapa final'!#REF!="Menor"),CONCATENATE("R32C",'Mapa final'!#REF!),"")</f>
        <v>#REF!</v>
      </c>
      <c r="O137" s="111" t="e">
        <f>IF(AND('Mapa final'!#REF!="Media",'Mapa final'!#REF!="Menor"),CONCATENATE("R32C",'Mapa final'!#REF!),"")</f>
        <v>#REF!</v>
      </c>
      <c r="P137" s="49" t="e">
        <f>IF(AND('Mapa final'!#REF!="Media",'Mapa final'!#REF!="Moderado"),CONCATENATE("R32C",'Mapa final'!#REF!),"")</f>
        <v>#REF!</v>
      </c>
      <c r="Q137" s="50" t="e">
        <f>IF(AND('Mapa final'!#REF!="Media",'Mapa final'!#REF!="Moderado"),CONCATENATE("R32C",'Mapa final'!#REF!),"")</f>
        <v>#REF!</v>
      </c>
      <c r="R137" s="111" t="e">
        <f>IF(AND('Mapa final'!#REF!="Media",'Mapa final'!#REF!="Moderado"),CONCATENATE("R32C",'Mapa final'!#REF!),"")</f>
        <v>#REF!</v>
      </c>
      <c r="S137" s="105" t="e">
        <f>IF(AND('Mapa final'!#REF!="Media",'Mapa final'!#REF!="Mayor"),CONCATENATE("R32C",'Mapa final'!#REF!),"")</f>
        <v>#REF!</v>
      </c>
      <c r="T137" s="42" t="e">
        <f>IF(AND('Mapa final'!#REF!="Media",'Mapa final'!#REF!="Mayor"),CONCATENATE("R32C",'Mapa final'!#REF!),"")</f>
        <v>#REF!</v>
      </c>
      <c r="U137" s="106" t="e">
        <f>IF(AND('Mapa final'!#REF!="Media",'Mapa final'!#REF!="Mayor"),CONCATENATE("R32C",'Mapa final'!#REF!),"")</f>
        <v>#REF!</v>
      </c>
      <c r="V137" s="43" t="e">
        <f>IF(AND('Mapa final'!#REF!="Media",'Mapa final'!#REF!="Catastrófico"),CONCATENATE("R32C",'Mapa final'!#REF!),"")</f>
        <v>#REF!</v>
      </c>
      <c r="W137" s="44" t="e">
        <f>IF(AND('Mapa final'!#REF!="Media",'Mapa final'!#REF!="Catastrófico"),CONCATENATE("R32C",'Mapa final'!#REF!),"")</f>
        <v>#REF!</v>
      </c>
      <c r="X137" s="100" t="e">
        <f>IF(AND('Mapa final'!#REF!="Media",'Mapa final'!#REF!="Catastrófico"),CONCATENATE("R32C",'Mapa final'!#REF!),"")</f>
        <v>#REF!</v>
      </c>
      <c r="Y137" s="56"/>
      <c r="Z137" s="311"/>
      <c r="AA137" s="312"/>
      <c r="AB137" s="312"/>
      <c r="AC137" s="312"/>
      <c r="AD137" s="312"/>
      <c r="AE137" s="313"/>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35">
      <c r="A138" s="56"/>
      <c r="B138" s="300"/>
      <c r="C138" s="300"/>
      <c r="D138" s="301"/>
      <c r="E138" s="289"/>
      <c r="F138" s="290"/>
      <c r="G138" s="290"/>
      <c r="H138" s="290"/>
      <c r="I138" s="288"/>
      <c r="J138" s="49" t="str">
        <f>IF(AND('Mapa final'!$AB$100="Media",'Mapa final'!$AD$100="Leve"),CONCATENATE("R33C",'Mapa final'!$R$100),"")</f>
        <v/>
      </c>
      <c r="K138" s="50" t="str">
        <f>IF(AND('Mapa final'!$AB$101="Media",'Mapa final'!$AD$101="Leve"),CONCATENATE("R33C",'Mapa final'!$R$101),"")</f>
        <v/>
      </c>
      <c r="L138" s="111" t="str">
        <f>IF(AND('Mapa final'!$AB$102="Media",'Mapa final'!$AD$102="Leve"),CONCATENATE("R33C",'Mapa final'!$R$102),"")</f>
        <v/>
      </c>
      <c r="M138" s="49" t="str">
        <f>IF(AND('Mapa final'!$AB$100="Media",'Mapa final'!$AD$100="Menor"),CONCATENATE("R33C",'Mapa final'!$R$100),"")</f>
        <v/>
      </c>
      <c r="N138" s="50" t="str">
        <f>IF(AND('Mapa final'!$AB$101="Media",'Mapa final'!$AD$101="Menor"),CONCATENATE("R33C",'Mapa final'!$R$101),"")</f>
        <v/>
      </c>
      <c r="O138" s="111" t="str">
        <f>IF(AND('Mapa final'!$AB$102="Media",'Mapa final'!$AD$102="Menor"),CONCATENATE("R33C",'Mapa final'!$R$102),"")</f>
        <v/>
      </c>
      <c r="P138" s="49" t="str">
        <f>IF(AND('Mapa final'!$AB$100="Media",'Mapa final'!$AD$100="Moderado"),CONCATENATE("R33C",'Mapa final'!$R$100),"")</f>
        <v>R33C1</v>
      </c>
      <c r="Q138" s="50" t="str">
        <f>IF(AND('Mapa final'!$AB$101="Media",'Mapa final'!$AD$101="Moderado"),CONCATENATE("R33C",'Mapa final'!$R$101),"")</f>
        <v/>
      </c>
      <c r="R138" s="111" t="str">
        <f>IF(AND('Mapa final'!$AB$102="Media",'Mapa final'!$AD$102="Moderado"),CONCATENATE("R33C",'Mapa final'!$R$102),"")</f>
        <v/>
      </c>
      <c r="S138" s="105" t="str">
        <f>IF(AND('Mapa final'!$AB$100="Media",'Mapa final'!$AD$100="Mayor"),CONCATENATE("R33C",'Mapa final'!$R$100),"")</f>
        <v/>
      </c>
      <c r="T138" s="42" t="str">
        <f>IF(AND('Mapa final'!$AB$101="Media",'Mapa final'!$AD$101="Mayor"),CONCATENATE("R33C",'Mapa final'!$R$101),"")</f>
        <v/>
      </c>
      <c r="U138" s="106" t="str">
        <f>IF(AND('Mapa final'!$AB$102="Media",'Mapa final'!$AD$102="Mayor"),CONCATENATE("R33C",'Mapa final'!$R$102),"")</f>
        <v/>
      </c>
      <c r="V138" s="43" t="str">
        <f>IF(AND('Mapa final'!$AB$100="Media",'Mapa final'!$AD$100="Catastrófico"),CONCATENATE("R33C",'Mapa final'!$R$100),"")</f>
        <v/>
      </c>
      <c r="W138" s="44" t="str">
        <f>IF(AND('Mapa final'!$AB$101="Media",'Mapa final'!$AD$101="Catastrófico"),CONCATENATE("R33C",'Mapa final'!$R$101),"")</f>
        <v/>
      </c>
      <c r="X138" s="100" t="str">
        <f>IF(AND('Mapa final'!$AB$102="Media",'Mapa final'!$AD$102="Catastrófico"),CONCATENATE("R33C",'Mapa final'!$R$102),"")</f>
        <v/>
      </c>
      <c r="Y138" s="56"/>
      <c r="Z138" s="311"/>
      <c r="AA138" s="312"/>
      <c r="AB138" s="312"/>
      <c r="AC138" s="312"/>
      <c r="AD138" s="312"/>
      <c r="AE138" s="313"/>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35">
      <c r="A139" s="56"/>
      <c r="B139" s="300"/>
      <c r="C139" s="300"/>
      <c r="D139" s="301"/>
      <c r="E139" s="289"/>
      <c r="F139" s="290"/>
      <c r="G139" s="290"/>
      <c r="H139" s="290"/>
      <c r="I139" s="288"/>
      <c r="J139" s="49" t="str">
        <f>IF(AND('Mapa final'!$AB$103="Media",'Mapa final'!$AD$103="Leve"),CONCATENATE("R34C",'Mapa final'!$R$103),"")</f>
        <v/>
      </c>
      <c r="K139" s="50" t="str">
        <f>IF(AND('Mapa final'!$AB$104="Media",'Mapa final'!$AD$104="Leve"),CONCATENATE("R34C",'Mapa final'!$R$104),"")</f>
        <v/>
      </c>
      <c r="L139" s="111" t="str">
        <f>IF(AND('Mapa final'!$AB$105="Media",'Mapa final'!$AD$105="Leve"),CONCATENATE("R34C",'Mapa final'!$R$105),"")</f>
        <v/>
      </c>
      <c r="M139" s="49" t="str">
        <f>IF(AND('Mapa final'!$AB$103="Media",'Mapa final'!$AD$103="Menor"),CONCATENATE("R34C",'Mapa final'!$R$103),"")</f>
        <v/>
      </c>
      <c r="N139" s="50" t="str">
        <f>IF(AND('Mapa final'!$AB$104="Media",'Mapa final'!$AD$104="Menor"),CONCATENATE("R34C",'Mapa final'!$R$104),"")</f>
        <v/>
      </c>
      <c r="O139" s="111" t="str">
        <f>IF(AND('Mapa final'!$AB$105="Media",'Mapa final'!$AD$105="Menor"),CONCATENATE("R34C",'Mapa final'!$R$105),"")</f>
        <v/>
      </c>
      <c r="P139" s="49" t="str">
        <f>IF(AND('Mapa final'!$AB$103="Media",'Mapa final'!$AD$103="Moderado"),CONCATENATE("R34C",'Mapa final'!$R$103),"")</f>
        <v>R34C1</v>
      </c>
      <c r="Q139" s="50" t="str">
        <f>IF(AND('Mapa final'!$AB$104="Media",'Mapa final'!$AD$104="Moderado"),CONCATENATE("R34C",'Mapa final'!$R$104),"")</f>
        <v/>
      </c>
      <c r="R139" s="111" t="str">
        <f>IF(AND('Mapa final'!$AB$105="Media",'Mapa final'!$AD$105="Moderado"),CONCATENATE("R34C",'Mapa final'!$R$105),"")</f>
        <v/>
      </c>
      <c r="S139" s="105" t="str">
        <f>IF(AND('Mapa final'!$AB$103="Media",'Mapa final'!$AD$103="Mayor"),CONCATENATE("R34C",'Mapa final'!$R$103),"")</f>
        <v/>
      </c>
      <c r="T139" s="42" t="str">
        <f>IF(AND('Mapa final'!$AB$104="Media",'Mapa final'!$AD$104="Mayor"),CONCATENATE("R34C",'Mapa final'!$R$104),"")</f>
        <v/>
      </c>
      <c r="U139" s="106" t="str">
        <f>IF(AND('Mapa final'!$AB$105="Media",'Mapa final'!$AD$105="Mayor"),CONCATENATE("R34C",'Mapa final'!$R$105),"")</f>
        <v/>
      </c>
      <c r="V139" s="43" t="str">
        <f>IF(AND('Mapa final'!$AB$103="Media",'Mapa final'!$AD$103="Catastrófico"),CONCATENATE("R34C",'Mapa final'!$R$103),"")</f>
        <v/>
      </c>
      <c r="W139" s="44" t="str">
        <f>IF(AND('Mapa final'!$AB$104="Media",'Mapa final'!$AD$104="Catastrófico"),CONCATENATE("R34C",'Mapa final'!$R$104),"")</f>
        <v/>
      </c>
      <c r="X139" s="100" t="str">
        <f>IF(AND('Mapa final'!$AB$105="Media",'Mapa final'!$AD$105="Catastrófico"),CONCATENATE("R34C",'Mapa final'!$R$105),"")</f>
        <v/>
      </c>
      <c r="Y139" s="56"/>
      <c r="Z139" s="311"/>
      <c r="AA139" s="312"/>
      <c r="AB139" s="312"/>
      <c r="AC139" s="312"/>
      <c r="AD139" s="312"/>
      <c r="AE139" s="313"/>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35">
      <c r="A140" s="56"/>
      <c r="B140" s="300"/>
      <c r="C140" s="300"/>
      <c r="D140" s="301"/>
      <c r="E140" s="289"/>
      <c r="F140" s="290"/>
      <c r="G140" s="290"/>
      <c r="H140" s="290"/>
      <c r="I140" s="288"/>
      <c r="J140" s="49" t="str">
        <f>IF(AND('Mapa final'!$AB$106="Media",'Mapa final'!$AD$106="Leve"),CONCATENATE("R35C",'Mapa final'!$R$106),"")</f>
        <v/>
      </c>
      <c r="K140" s="50" t="str">
        <f>IF(AND('Mapa final'!$AB$107="Media",'Mapa final'!$AD$107="Leve"),CONCATENATE("R35C",'Mapa final'!$R$107),"")</f>
        <v/>
      </c>
      <c r="L140" s="111" t="str">
        <f>IF(AND('Mapa final'!$AB$108="Media",'Mapa final'!$AD$108="Leve"),CONCATENATE("R35C",'Mapa final'!$R$108),"")</f>
        <v/>
      </c>
      <c r="M140" s="49" t="str">
        <f>IF(AND('Mapa final'!$AB$106="Media",'Mapa final'!$AD$106="Menor"),CONCATENATE("R35C",'Mapa final'!$R$106),"")</f>
        <v/>
      </c>
      <c r="N140" s="50" t="str">
        <f>IF(AND('Mapa final'!$AB$107="Media",'Mapa final'!$AD$107="Menor"),CONCATENATE("R35C",'Mapa final'!$R$107),"")</f>
        <v/>
      </c>
      <c r="O140" s="111" t="str">
        <f>IF(AND('Mapa final'!$AB$108="Media",'Mapa final'!$AD$108="Menor"),CONCATENATE("R35C",'Mapa final'!$R$108),"")</f>
        <v/>
      </c>
      <c r="P140" s="49" t="str">
        <f>IF(AND('Mapa final'!$AB$106="Media",'Mapa final'!$AD$106="Moderado"),CONCATENATE("R35C",'Mapa final'!$R$106),"")</f>
        <v/>
      </c>
      <c r="Q140" s="50" t="str">
        <f>IF(AND('Mapa final'!$AB$107="Media",'Mapa final'!$AD$107="Moderado"),CONCATENATE("R35C",'Mapa final'!$R$107),"")</f>
        <v/>
      </c>
      <c r="R140" s="111" t="str">
        <f>IF(AND('Mapa final'!$AB$108="Media",'Mapa final'!$AD$108="Moderado"),CONCATENATE("R35C",'Mapa final'!$R$108),"")</f>
        <v/>
      </c>
      <c r="S140" s="105" t="str">
        <f>IF(AND('Mapa final'!$AB$106="Media",'Mapa final'!$AD$106="Mayor"),CONCATENATE("R35C",'Mapa final'!$R$106),"")</f>
        <v/>
      </c>
      <c r="T140" s="42" t="str">
        <f>IF(AND('Mapa final'!$AB$107="Media",'Mapa final'!$AD$107="Mayor"),CONCATENATE("R35C",'Mapa final'!$R$107),"")</f>
        <v/>
      </c>
      <c r="U140" s="106" t="str">
        <f>IF(AND('Mapa final'!$AB$108="Media",'Mapa final'!$AD$108="Mayor"),CONCATENATE("R35C",'Mapa final'!$R$108),"")</f>
        <v/>
      </c>
      <c r="V140" s="43" t="str">
        <f>IF(AND('Mapa final'!$AB$106="Media",'Mapa final'!$AD$106="Catastrófico"),CONCATENATE("R35C",'Mapa final'!$R$106),"")</f>
        <v/>
      </c>
      <c r="W140" s="44" t="str">
        <f>IF(AND('Mapa final'!$AB$107="Media",'Mapa final'!$AD$107="Catastrófico"),CONCATENATE("R35C",'Mapa final'!$R$107),"")</f>
        <v/>
      </c>
      <c r="X140" s="100" t="str">
        <f>IF(AND('Mapa final'!$AB$108="Media",'Mapa final'!$AD$108="Catastrófico"),CONCATENATE("R35C",'Mapa final'!$R$108),"")</f>
        <v/>
      </c>
      <c r="Y140" s="56"/>
      <c r="Z140" s="311"/>
      <c r="AA140" s="312"/>
      <c r="AB140" s="312"/>
      <c r="AC140" s="312"/>
      <c r="AD140" s="312"/>
      <c r="AE140" s="313"/>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35">
      <c r="A141" s="56"/>
      <c r="B141" s="300"/>
      <c r="C141" s="300"/>
      <c r="D141" s="301"/>
      <c r="E141" s="289"/>
      <c r="F141" s="290"/>
      <c r="G141" s="290"/>
      <c r="H141" s="290"/>
      <c r="I141" s="288"/>
      <c r="J141" s="49" t="str">
        <f>IF(AND('Mapa final'!$AB$109="Media",'Mapa final'!$AD$109="Leve"),CONCATENATE("R36C",'Mapa final'!$R$109),"")</f>
        <v/>
      </c>
      <c r="K141" s="50" t="str">
        <f>IF(AND('Mapa final'!$AB$110="Media",'Mapa final'!$AD$110="Leve"),CONCATENATE("R36C",'Mapa final'!$R$110),"")</f>
        <v/>
      </c>
      <c r="L141" s="111" t="str">
        <f>IF(AND('Mapa final'!$AB$111="Media",'Mapa final'!$AD$111="Leve"),CONCATENATE("R36C",'Mapa final'!$R$111),"")</f>
        <v/>
      </c>
      <c r="M141" s="49" t="str">
        <f>IF(AND('Mapa final'!$AB$109="Media",'Mapa final'!$AD$109="Menor"),CONCATENATE("R36C",'Mapa final'!$R$109),"")</f>
        <v/>
      </c>
      <c r="N141" s="50" t="str">
        <f>IF(AND('Mapa final'!$AB$110="Media",'Mapa final'!$AD$110="Menor"),CONCATENATE("R36C",'Mapa final'!$R$110),"")</f>
        <v/>
      </c>
      <c r="O141" s="111" t="str">
        <f>IF(AND('Mapa final'!$AB$111="Media",'Mapa final'!$AD$111="Menor"),CONCATENATE("R36C",'Mapa final'!$R$111),"")</f>
        <v/>
      </c>
      <c r="P141" s="49" t="str">
        <f>IF(AND('Mapa final'!$AB$109="Media",'Mapa final'!$AD$109="Moderado"),CONCATENATE("R36C",'Mapa final'!$R$109),"")</f>
        <v/>
      </c>
      <c r="Q141" s="50" t="str">
        <f>IF(AND('Mapa final'!$AB$110="Media",'Mapa final'!$AD$110="Moderado"),CONCATENATE("R36C",'Mapa final'!$R$110),"")</f>
        <v/>
      </c>
      <c r="R141" s="111" t="str">
        <f>IF(AND('Mapa final'!$AB$111="Media",'Mapa final'!$AD$111="Moderado"),CONCATENATE("R36C",'Mapa final'!$R$111),"")</f>
        <v/>
      </c>
      <c r="S141" s="105" t="str">
        <f>IF(AND('Mapa final'!$AB$109="Media",'Mapa final'!$AD$109="Mayor"),CONCATENATE("R36C",'Mapa final'!$R$109),"")</f>
        <v/>
      </c>
      <c r="T141" s="42" t="str">
        <f>IF(AND('Mapa final'!$AB$110="Media",'Mapa final'!$AD$110="Mayor"),CONCATENATE("R36C",'Mapa final'!$R$110),"")</f>
        <v/>
      </c>
      <c r="U141" s="106" t="str">
        <f>IF(AND('Mapa final'!$AB$111="Media",'Mapa final'!$AD$111="Mayor"),CONCATENATE("R36C",'Mapa final'!$R$111),"")</f>
        <v/>
      </c>
      <c r="V141" s="43" t="str">
        <f>IF(AND('Mapa final'!$AB$109="Media",'Mapa final'!$AD$109="Catastrófico"),CONCATENATE("R36C",'Mapa final'!$R$109),"")</f>
        <v/>
      </c>
      <c r="W141" s="44" t="str">
        <f>IF(AND('Mapa final'!$AB$110="Media",'Mapa final'!$AD$110="Catastrófico"),CONCATENATE("R36C",'Mapa final'!$R$110),"")</f>
        <v/>
      </c>
      <c r="X141" s="100" t="str">
        <f>IF(AND('Mapa final'!$AB$111="Media",'Mapa final'!$AD$111="Catastrófico"),CONCATENATE("R36C",'Mapa final'!$R$111),"")</f>
        <v/>
      </c>
      <c r="Y141" s="56"/>
      <c r="Z141" s="311"/>
      <c r="AA141" s="312"/>
      <c r="AB141" s="312"/>
      <c r="AC141" s="312"/>
      <c r="AD141" s="312"/>
      <c r="AE141" s="313"/>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35">
      <c r="A142" s="56"/>
      <c r="B142" s="300"/>
      <c r="C142" s="300"/>
      <c r="D142" s="301"/>
      <c r="E142" s="289"/>
      <c r="F142" s="290"/>
      <c r="G142" s="290"/>
      <c r="H142" s="290"/>
      <c r="I142" s="288"/>
      <c r="J142" s="49" t="str">
        <f>IF(AND('Mapa final'!$AB$112="Media",'Mapa final'!$AD$112="Leve"),CONCATENATE("R37C",'Mapa final'!$R$112),"")</f>
        <v/>
      </c>
      <c r="K142" s="50" t="str">
        <f>IF(AND('Mapa final'!$AB$113="Media",'Mapa final'!$AD$113="Leve"),CONCATENATE("R37C",'Mapa final'!$R$113),"")</f>
        <v/>
      </c>
      <c r="L142" s="111" t="str">
        <f>IF(AND('Mapa final'!$AB$114="Media",'Mapa final'!$AD$114="Leve"),CONCATENATE("R37C",'Mapa final'!$R$114),"")</f>
        <v/>
      </c>
      <c r="M142" s="49" t="str">
        <f>IF(AND('Mapa final'!$AB$112="Media",'Mapa final'!$AD$112="Menor"),CONCATENATE("R37C",'Mapa final'!$R$112),"")</f>
        <v/>
      </c>
      <c r="N142" s="50" t="str">
        <f>IF(AND('Mapa final'!$AB$113="Media",'Mapa final'!$AD$113="Menor"),CONCATENATE("R37C",'Mapa final'!$R$113),"")</f>
        <v/>
      </c>
      <c r="O142" s="111" t="str">
        <f>IF(AND('Mapa final'!$AB$114="Media",'Mapa final'!$AD$114="Menor"),CONCATENATE("R37C",'Mapa final'!$R$114),"")</f>
        <v/>
      </c>
      <c r="P142" s="49" t="str">
        <f>IF(AND('Mapa final'!$AB$112="Media",'Mapa final'!$AD$112="Moderado"),CONCATENATE("R37C",'Mapa final'!$R$112),"")</f>
        <v/>
      </c>
      <c r="Q142" s="50" t="str">
        <f>IF(AND('Mapa final'!$AB$113="Media",'Mapa final'!$AD$113="Moderado"),CONCATENATE("R37C",'Mapa final'!$R$113),"")</f>
        <v/>
      </c>
      <c r="R142" s="111" t="str">
        <f>IF(AND('Mapa final'!$AB$114="Media",'Mapa final'!$AD$114="Moderado"),CONCATENATE("R37C",'Mapa final'!$R$114),"")</f>
        <v/>
      </c>
      <c r="S142" s="105" t="str">
        <f>IF(AND('Mapa final'!$AB$112="Media",'Mapa final'!$AD$112="Mayor"),CONCATENATE("R37C",'Mapa final'!$R$112),"")</f>
        <v/>
      </c>
      <c r="T142" s="42" t="str">
        <f>IF(AND('Mapa final'!$AB$113="Media",'Mapa final'!$AD$113="Mayor"),CONCATENATE("R37C",'Mapa final'!$R$113),"")</f>
        <v/>
      </c>
      <c r="U142" s="106" t="str">
        <f>IF(AND('Mapa final'!$AB$114="Media",'Mapa final'!$AD$114="Mayor"),CONCATENATE("R37C",'Mapa final'!$R$114),"")</f>
        <v/>
      </c>
      <c r="V142" s="43" t="str">
        <f>IF(AND('Mapa final'!$AB$112="Media",'Mapa final'!$AD$112="Catastrófico"),CONCATENATE("R37C",'Mapa final'!$R$112),"")</f>
        <v/>
      </c>
      <c r="W142" s="44" t="str">
        <f>IF(AND('Mapa final'!$AB$113="Media",'Mapa final'!$AD$113="Catastrófico"),CONCATENATE("R37C",'Mapa final'!$R$113),"")</f>
        <v/>
      </c>
      <c r="X142" s="100" t="str">
        <f>IF(AND('Mapa final'!$AB$114="Media",'Mapa final'!$AD$114="Catastrófico"),CONCATENATE("R37C",'Mapa final'!$R$114),"")</f>
        <v/>
      </c>
      <c r="Y142" s="56"/>
      <c r="Z142" s="311"/>
      <c r="AA142" s="312"/>
      <c r="AB142" s="312"/>
      <c r="AC142" s="312"/>
      <c r="AD142" s="312"/>
      <c r="AE142" s="313"/>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35">
      <c r="A143" s="56"/>
      <c r="B143" s="300"/>
      <c r="C143" s="300"/>
      <c r="D143" s="301"/>
      <c r="E143" s="289"/>
      <c r="F143" s="290"/>
      <c r="G143" s="290"/>
      <c r="H143" s="290"/>
      <c r="I143" s="288"/>
      <c r="J143" s="49" t="str">
        <f>IF(AND('Mapa final'!$AB$115="Media",'Mapa final'!$AD$115="Leve"),CONCATENATE("R38C",'Mapa final'!$R$115),"")</f>
        <v/>
      </c>
      <c r="K143" s="50" t="str">
        <f>IF(AND('Mapa final'!$AB$116="Media",'Mapa final'!$AD$116="Leve"),CONCATENATE("R38C",'Mapa final'!$R$116),"")</f>
        <v/>
      </c>
      <c r="L143" s="111" t="str">
        <f>IF(AND('Mapa final'!$AB$117="Media",'Mapa final'!$AD$117="Leve"),CONCATENATE("R38C",'Mapa final'!$R$117),"")</f>
        <v/>
      </c>
      <c r="M143" s="49" t="str">
        <f>IF(AND('Mapa final'!$AB$115="Media",'Mapa final'!$AD$115="Menor"),CONCATENATE("R38C",'Mapa final'!$R$115),"")</f>
        <v/>
      </c>
      <c r="N143" s="50" t="str">
        <f>IF(AND('Mapa final'!$AB$116="Media",'Mapa final'!$AD$116="Menor"),CONCATENATE("R38C",'Mapa final'!$R$116),"")</f>
        <v/>
      </c>
      <c r="O143" s="111" t="str">
        <f>IF(AND('Mapa final'!$AB$117="Media",'Mapa final'!$AD$117="Menor"),CONCATENATE("R38C",'Mapa final'!$R$117),"")</f>
        <v/>
      </c>
      <c r="P143" s="49" t="str">
        <f>IF(AND('Mapa final'!$AB$115="Media",'Mapa final'!$AD$115="Moderado"),CONCATENATE("R38C",'Mapa final'!$R$115),"")</f>
        <v/>
      </c>
      <c r="Q143" s="50" t="str">
        <f>IF(AND('Mapa final'!$AB$116="Media",'Mapa final'!$AD$116="Moderado"),CONCATENATE("R38C",'Mapa final'!$R$116),"")</f>
        <v/>
      </c>
      <c r="R143" s="111" t="str">
        <f>IF(AND('Mapa final'!$AB$117="Media",'Mapa final'!$AD$117="Moderado"),CONCATENATE("R38C",'Mapa final'!$R$117),"")</f>
        <v/>
      </c>
      <c r="S143" s="105" t="str">
        <f>IF(AND('Mapa final'!$AB$115="Media",'Mapa final'!$AD$115="Mayor"),CONCATENATE("R38C",'Mapa final'!$R$115),"")</f>
        <v/>
      </c>
      <c r="T143" s="42" t="str">
        <f>IF(AND('Mapa final'!$AB$116="Media",'Mapa final'!$AD$116="Mayor"),CONCATENATE("R38C",'Mapa final'!$R$116),"")</f>
        <v/>
      </c>
      <c r="U143" s="106" t="str">
        <f>IF(AND('Mapa final'!$AB$117="Media",'Mapa final'!$AD$117="Mayor"),CONCATENATE("R38C",'Mapa final'!$R$117),"")</f>
        <v/>
      </c>
      <c r="V143" s="43" t="str">
        <f>IF(AND('Mapa final'!$AB$115="Media",'Mapa final'!$AD$115="Catastrófico"),CONCATENATE("R38C",'Mapa final'!$R$115),"")</f>
        <v/>
      </c>
      <c r="W143" s="44" t="str">
        <f>IF(AND('Mapa final'!$AB$116="Media",'Mapa final'!$AD$116="Catastrófico"),CONCATENATE("R38C",'Mapa final'!$R$116),"")</f>
        <v/>
      </c>
      <c r="X143" s="100" t="str">
        <f>IF(AND('Mapa final'!$AB$117="Media",'Mapa final'!$AD$117="Catastrófico"),CONCATENATE("R38C",'Mapa final'!$R$117),"")</f>
        <v/>
      </c>
      <c r="Y143" s="56"/>
      <c r="Z143" s="311"/>
      <c r="AA143" s="312"/>
      <c r="AB143" s="312"/>
      <c r="AC143" s="312"/>
      <c r="AD143" s="312"/>
      <c r="AE143" s="313"/>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35">
      <c r="A144" s="56"/>
      <c r="B144" s="300"/>
      <c r="C144" s="300"/>
      <c r="D144" s="301"/>
      <c r="E144" s="289"/>
      <c r="F144" s="290"/>
      <c r="G144" s="290"/>
      <c r="H144" s="290"/>
      <c r="I144" s="288"/>
      <c r="J144" s="49" t="str">
        <f>IF(AND('Mapa final'!$AB$118="Media",'Mapa final'!$AD$118="Leve"),CONCATENATE("R39C",'Mapa final'!$R$118),"")</f>
        <v/>
      </c>
      <c r="K144" s="50" t="str">
        <f>IF(AND('Mapa final'!$AB$119="Media",'Mapa final'!$AD$119="Leve"),CONCATENATE("R39C",'Mapa final'!$R$119),"")</f>
        <v/>
      </c>
      <c r="L144" s="111" t="str">
        <f>IF(AND('Mapa final'!$AB$120="Media",'Mapa final'!$AD$120="Leve"),CONCATENATE("R39C",'Mapa final'!$R$120),"")</f>
        <v/>
      </c>
      <c r="M144" s="49" t="str">
        <f>IF(AND('Mapa final'!$AB$118="Media",'Mapa final'!$AD$118="Menor"),CONCATENATE("R39C",'Mapa final'!$R$118),"")</f>
        <v/>
      </c>
      <c r="N144" s="50" t="str">
        <f>IF(AND('Mapa final'!$AB$119="Media",'Mapa final'!$AD$119="Menor"),CONCATENATE("R39C",'Mapa final'!$R$119),"")</f>
        <v/>
      </c>
      <c r="O144" s="111" t="str">
        <f>IF(AND('Mapa final'!$AB$120="Media",'Mapa final'!$AD$120="Menor"),CONCATENATE("R39C",'Mapa final'!$R$120),"")</f>
        <v/>
      </c>
      <c r="P144" s="49" t="str">
        <f>IF(AND('Mapa final'!$AB$118="Media",'Mapa final'!$AD$118="Moderado"),CONCATENATE("R39C",'Mapa final'!$R$118),"")</f>
        <v>R39C1</v>
      </c>
      <c r="Q144" s="50" t="str">
        <f>IF(AND('Mapa final'!$AB$119="Media",'Mapa final'!$AD$119="Moderado"),CONCATENATE("R39C",'Mapa final'!$R$119),"")</f>
        <v/>
      </c>
      <c r="R144" s="111" t="str">
        <f>IF(AND('Mapa final'!$AB$120="Media",'Mapa final'!$AD$120="Moderado"),CONCATENATE("R39C",'Mapa final'!$R$120),"")</f>
        <v/>
      </c>
      <c r="S144" s="105" t="str">
        <f>IF(AND('Mapa final'!$AB$118="Media",'Mapa final'!$AD$118="Mayor"),CONCATENATE("R39C",'Mapa final'!$R$118),"")</f>
        <v/>
      </c>
      <c r="T144" s="42" t="str">
        <f>IF(AND('Mapa final'!$AB$119="Media",'Mapa final'!$AD$119="Mayor"),CONCATENATE("R39C",'Mapa final'!$R$119),"")</f>
        <v/>
      </c>
      <c r="U144" s="106" t="str">
        <f>IF(AND('Mapa final'!$AB$120="Media",'Mapa final'!$AD$120="Mayor"),CONCATENATE("R39C",'Mapa final'!$R$120),"")</f>
        <v/>
      </c>
      <c r="V144" s="43" t="str">
        <f>IF(AND('Mapa final'!$AB$118="Media",'Mapa final'!$AD$118="Catastrófico"),CONCATENATE("R39C",'Mapa final'!$R$118),"")</f>
        <v/>
      </c>
      <c r="W144" s="44" t="str">
        <f>IF(AND('Mapa final'!$AB$119="Media",'Mapa final'!$AD$119="Catastrófico"),CONCATENATE("R39C",'Mapa final'!$R$119),"")</f>
        <v/>
      </c>
      <c r="X144" s="100" t="str">
        <f>IF(AND('Mapa final'!$AB$120="Media",'Mapa final'!$AD$120="Catastrófico"),CONCATENATE("R39C",'Mapa final'!$R$120),"")</f>
        <v/>
      </c>
      <c r="Y144" s="56"/>
      <c r="Z144" s="311"/>
      <c r="AA144" s="312"/>
      <c r="AB144" s="312"/>
      <c r="AC144" s="312"/>
      <c r="AD144" s="312"/>
      <c r="AE144" s="313"/>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35">
      <c r="A145" s="56"/>
      <c r="B145" s="300"/>
      <c r="C145" s="300"/>
      <c r="D145" s="301"/>
      <c r="E145" s="289"/>
      <c r="F145" s="290"/>
      <c r="G145" s="290"/>
      <c r="H145" s="290"/>
      <c r="I145" s="288"/>
      <c r="J145" s="49" t="str">
        <f>IF(AND('Mapa final'!$AB$121="Media",'Mapa final'!$AD$121="Leve"),CONCATENATE("R40C",'Mapa final'!$R$121),"")</f>
        <v/>
      </c>
      <c r="K145" s="50" t="str">
        <f>IF(AND('Mapa final'!$AB$122="Media",'Mapa final'!$AD$122="Leve"),CONCATENATE("R40C",'Mapa final'!$R$122),"")</f>
        <v/>
      </c>
      <c r="L145" s="111" t="str">
        <f>IF(AND('Mapa final'!$AB$123="Media",'Mapa final'!$AD$123="Leve"),CONCATENATE("R40C",'Mapa final'!$R$123),"")</f>
        <v/>
      </c>
      <c r="M145" s="49" t="str">
        <f>IF(AND('Mapa final'!$AB$121="Media",'Mapa final'!$AD$121="Menor"),CONCATENATE("R40C",'Mapa final'!$R$121),"")</f>
        <v/>
      </c>
      <c r="N145" s="50" t="str">
        <f>IF(AND('Mapa final'!$AB$122="Media",'Mapa final'!$AD$122="Menor"),CONCATENATE("R40C",'Mapa final'!$R$122),"")</f>
        <v/>
      </c>
      <c r="O145" s="111" t="str">
        <f>IF(AND('Mapa final'!$AB$123="Media",'Mapa final'!$AD$123="Menor"),CONCATENATE("R40C",'Mapa final'!$R$123),"")</f>
        <v/>
      </c>
      <c r="P145" s="49" t="str">
        <f>IF(AND('Mapa final'!$AB$121="Media",'Mapa final'!$AD$121="Moderado"),CONCATENATE("R40C",'Mapa final'!$R$121),"")</f>
        <v/>
      </c>
      <c r="Q145" s="50" t="str">
        <f>IF(AND('Mapa final'!$AB$122="Media",'Mapa final'!$AD$122="Moderado"),CONCATENATE("R40C",'Mapa final'!$R$122),"")</f>
        <v/>
      </c>
      <c r="R145" s="111" t="str">
        <f>IF(AND('Mapa final'!$AB$123="Media",'Mapa final'!$AD$123="Moderado"),CONCATENATE("R40C",'Mapa final'!$R$123),"")</f>
        <v/>
      </c>
      <c r="S145" s="105" t="str">
        <f>IF(AND('Mapa final'!$AB$121="Media",'Mapa final'!$AD$121="Mayor"),CONCATENATE("R40C",'Mapa final'!$R$121),"")</f>
        <v/>
      </c>
      <c r="T145" s="42" t="str">
        <f>IF(AND('Mapa final'!$AB$122="Media",'Mapa final'!$AD$122="Mayor"),CONCATENATE("R40C",'Mapa final'!$R$122),"")</f>
        <v/>
      </c>
      <c r="U145" s="106" t="str">
        <f>IF(AND('Mapa final'!$AB$123="Media",'Mapa final'!$AD$123="Mayor"),CONCATENATE("R40C",'Mapa final'!$R$123),"")</f>
        <v/>
      </c>
      <c r="V145" s="43" t="str">
        <f>IF(AND('Mapa final'!$AB$121="Media",'Mapa final'!$AD$121="Catastrófico"),CONCATENATE("R40C",'Mapa final'!$R$121),"")</f>
        <v/>
      </c>
      <c r="W145" s="44" t="str">
        <f>IF(AND('Mapa final'!$AB$122="Media",'Mapa final'!$AD$122="Catastrófico"),CONCATENATE("R40C",'Mapa final'!$R$122),"")</f>
        <v/>
      </c>
      <c r="X145" s="100" t="str">
        <f>IF(AND('Mapa final'!$AB$123="Media",'Mapa final'!$AD$123="Catastrófico"),CONCATENATE("R40C",'Mapa final'!$R$123),"")</f>
        <v/>
      </c>
      <c r="Y145" s="56"/>
      <c r="Z145" s="311"/>
      <c r="AA145" s="312"/>
      <c r="AB145" s="312"/>
      <c r="AC145" s="312"/>
      <c r="AD145" s="312"/>
      <c r="AE145" s="313"/>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35">
      <c r="A146" s="56"/>
      <c r="B146" s="300"/>
      <c r="C146" s="300"/>
      <c r="D146" s="301"/>
      <c r="E146" s="289"/>
      <c r="F146" s="290"/>
      <c r="G146" s="290"/>
      <c r="H146" s="290"/>
      <c r="I146" s="288"/>
      <c r="J146" s="49" t="str">
        <f>IF(AND('Mapa final'!$AB$124="Media",'Mapa final'!$AD$124="Leve"),CONCATENATE("R41C",'Mapa final'!$R$124),"")</f>
        <v/>
      </c>
      <c r="K146" s="50" t="str">
        <f>IF(AND('Mapa final'!$AB$125="Media",'Mapa final'!$AD$125="Leve"),CONCATENATE("R41C",'Mapa final'!$R$125),"")</f>
        <v/>
      </c>
      <c r="L146" s="111" t="str">
        <f>IF(AND('Mapa final'!$AB$126="Media",'Mapa final'!$AD$126="Leve"),CONCATENATE("R41C",'Mapa final'!$R$126),"")</f>
        <v/>
      </c>
      <c r="M146" s="49" t="str">
        <f>IF(AND('Mapa final'!$AB$124="Media",'Mapa final'!$AD$124="Menor"),CONCATENATE("R41C",'Mapa final'!$R$124),"")</f>
        <v/>
      </c>
      <c r="N146" s="50" t="str">
        <f>IF(AND('Mapa final'!$AB$125="Media",'Mapa final'!$AD$125="Menor"),CONCATENATE("R41C",'Mapa final'!$R$125),"")</f>
        <v/>
      </c>
      <c r="O146" s="111" t="str">
        <f>IF(AND('Mapa final'!$AB$126="Media",'Mapa final'!$AD$126="Menor"),CONCATENATE("R41C",'Mapa final'!$R$126),"")</f>
        <v/>
      </c>
      <c r="P146" s="49" t="str">
        <f>IF(AND('Mapa final'!$AB$124="Media",'Mapa final'!$AD$124="Moderado"),CONCATENATE("R41C",'Mapa final'!$R$124),"")</f>
        <v>R41C1</v>
      </c>
      <c r="Q146" s="50" t="str">
        <f>IF(AND('Mapa final'!$AB$125="Media",'Mapa final'!$AD$125="Moderado"),CONCATENATE("R41C",'Mapa final'!$R$125),"")</f>
        <v/>
      </c>
      <c r="R146" s="111" t="str">
        <f>IF(AND('Mapa final'!$AB$126="Media",'Mapa final'!$AD$126="Moderado"),CONCATENATE("R41C",'Mapa final'!$R$126),"")</f>
        <v/>
      </c>
      <c r="S146" s="105" t="str">
        <f>IF(AND('Mapa final'!$AB$124="Media",'Mapa final'!$AD$124="Mayor"),CONCATENATE("R41C",'Mapa final'!$R$124),"")</f>
        <v/>
      </c>
      <c r="T146" s="42" t="str">
        <f>IF(AND('Mapa final'!$AB$125="Media",'Mapa final'!$AD$125="Mayor"),CONCATENATE("R41C",'Mapa final'!$R$125),"")</f>
        <v/>
      </c>
      <c r="U146" s="106" t="str">
        <f>IF(AND('Mapa final'!$AB$126="Media",'Mapa final'!$AD$126="Mayor"),CONCATENATE("R41C",'Mapa final'!$R$126),"")</f>
        <v/>
      </c>
      <c r="V146" s="43" t="str">
        <f>IF(AND('Mapa final'!$AB$124="Media",'Mapa final'!$AD$124="Catastrófico"),CONCATENATE("R41C",'Mapa final'!$R$124),"")</f>
        <v/>
      </c>
      <c r="W146" s="44" t="str">
        <f>IF(AND('Mapa final'!$AB$125="Media",'Mapa final'!$AD$125="Catastrófico"),CONCATENATE("R41C",'Mapa final'!$R$125),"")</f>
        <v/>
      </c>
      <c r="X146" s="100" t="str">
        <f>IF(AND('Mapa final'!$AB$126="Media",'Mapa final'!$AD$126="Catastrófico"),CONCATENATE("R41C",'Mapa final'!$R$126),"")</f>
        <v/>
      </c>
      <c r="Y146" s="56"/>
      <c r="Z146" s="311"/>
      <c r="AA146" s="312"/>
      <c r="AB146" s="312"/>
      <c r="AC146" s="312"/>
      <c r="AD146" s="312"/>
      <c r="AE146" s="313"/>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35">
      <c r="A147" s="56"/>
      <c r="B147" s="300"/>
      <c r="C147" s="300"/>
      <c r="D147" s="301"/>
      <c r="E147" s="289"/>
      <c r="F147" s="290"/>
      <c r="G147" s="290"/>
      <c r="H147" s="290"/>
      <c r="I147" s="288"/>
      <c r="J147" s="49" t="str">
        <f>IF(AND('Mapa final'!$AB$127="Media",'Mapa final'!$AD$127="Leve"),CONCATENATE("R42C",'Mapa final'!$R$127),"")</f>
        <v/>
      </c>
      <c r="K147" s="50" t="str">
        <f>IF(AND('Mapa final'!$AB$128="Media",'Mapa final'!$AD$128="Leve"),CONCATENATE("R42C",'Mapa final'!$R$128),"")</f>
        <v/>
      </c>
      <c r="L147" s="111" t="str">
        <f>IF(AND('Mapa final'!$AB$129="Media",'Mapa final'!$AD$129="Leve"),CONCATENATE("R42C",'Mapa final'!$R$129),"")</f>
        <v/>
      </c>
      <c r="M147" s="49" t="str">
        <f>IF(AND('Mapa final'!$AB$127="Media",'Mapa final'!$AD$127="Menor"),CONCATENATE("R42C",'Mapa final'!$R$127),"")</f>
        <v/>
      </c>
      <c r="N147" s="50" t="str">
        <f>IF(AND('Mapa final'!$AB$128="Media",'Mapa final'!$AD$128="Menor"),CONCATENATE("R42C",'Mapa final'!$R$128),"")</f>
        <v/>
      </c>
      <c r="O147" s="111" t="str">
        <f>IF(AND('Mapa final'!$AB$129="Media",'Mapa final'!$AD$129="Menor"),CONCATENATE("R42C",'Mapa final'!$R$129),"")</f>
        <v/>
      </c>
      <c r="P147" s="49" t="str">
        <f>IF(AND('Mapa final'!$AB$127="Media",'Mapa final'!$AD$127="Moderado"),CONCATENATE("R42C",'Mapa final'!$R$127),"")</f>
        <v/>
      </c>
      <c r="Q147" s="50" t="str">
        <f>IF(AND('Mapa final'!$AB$128="Media",'Mapa final'!$AD$128="Moderado"),CONCATENATE("R42C",'Mapa final'!$R$128),"")</f>
        <v/>
      </c>
      <c r="R147" s="111" t="str">
        <f>IF(AND('Mapa final'!$AB$129="Media",'Mapa final'!$AD$129="Moderado"),CONCATENATE("R42C",'Mapa final'!$R$129),"")</f>
        <v/>
      </c>
      <c r="S147" s="105" t="str">
        <f>IF(AND('Mapa final'!$AB$127="Media",'Mapa final'!$AD$127="Mayor"),CONCATENATE("R42C",'Mapa final'!$R$127),"")</f>
        <v/>
      </c>
      <c r="T147" s="42" t="str">
        <f>IF(AND('Mapa final'!$AB$128="Media",'Mapa final'!$AD$128="Mayor"),CONCATENATE("R42C",'Mapa final'!$R$128),"")</f>
        <v/>
      </c>
      <c r="U147" s="106" t="str">
        <f>IF(AND('Mapa final'!$AB$129="Media",'Mapa final'!$AD$129="Mayor"),CONCATENATE("R42C",'Mapa final'!$R$129),"")</f>
        <v/>
      </c>
      <c r="V147" s="43" t="str">
        <f>IF(AND('Mapa final'!$AB$127="Media",'Mapa final'!$AD$127="Catastrófico"),CONCATENATE("R42C",'Mapa final'!$R$127),"")</f>
        <v/>
      </c>
      <c r="W147" s="44" t="str">
        <f>IF(AND('Mapa final'!$AB$128="Media",'Mapa final'!$AD$128="Catastrófico"),CONCATENATE("R42C",'Mapa final'!$R$128),"")</f>
        <v/>
      </c>
      <c r="X147" s="100" t="str">
        <f>IF(AND('Mapa final'!$AB$129="Media",'Mapa final'!$AD$129="Catastrófico"),CONCATENATE("R42C",'Mapa final'!$R$129),"")</f>
        <v/>
      </c>
      <c r="Y147" s="56"/>
      <c r="Z147" s="311"/>
      <c r="AA147" s="312"/>
      <c r="AB147" s="312"/>
      <c r="AC147" s="312"/>
      <c r="AD147" s="312"/>
      <c r="AE147" s="313"/>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35">
      <c r="A148" s="56"/>
      <c r="B148" s="300"/>
      <c r="C148" s="300"/>
      <c r="D148" s="301"/>
      <c r="E148" s="289"/>
      <c r="F148" s="290"/>
      <c r="G148" s="290"/>
      <c r="H148" s="290"/>
      <c r="I148" s="288"/>
      <c r="J148" s="49" t="str">
        <f>IF(AND('Mapa final'!$AB$130="Media",'Mapa final'!$AD$130="Leve"),CONCATENATE("R43C",'Mapa final'!$R$130),"")</f>
        <v/>
      </c>
      <c r="K148" s="50" t="str">
        <f>IF(AND('Mapa final'!$AB$131="Media",'Mapa final'!$AD$131="Leve"),CONCATENATE("R43C",'Mapa final'!$R$131),"")</f>
        <v/>
      </c>
      <c r="L148" s="111" t="str">
        <f>IF(AND('Mapa final'!$AB$132="Media",'Mapa final'!$AD$132="Leve"),CONCATENATE("R43C",'Mapa final'!$R$132),"")</f>
        <v/>
      </c>
      <c r="M148" s="49" t="str">
        <f>IF(AND('Mapa final'!$AB$130="Media",'Mapa final'!$AD$130="Menor"),CONCATENATE("R43C",'Mapa final'!$R$130),"")</f>
        <v/>
      </c>
      <c r="N148" s="50" t="str">
        <f>IF(AND('Mapa final'!$AB$131="Media",'Mapa final'!$AD$131="Menor"),CONCATENATE("R43C",'Mapa final'!$R$131),"")</f>
        <v/>
      </c>
      <c r="O148" s="111" t="str">
        <f>IF(AND('Mapa final'!$AB$132="Media",'Mapa final'!$AD$132="Menor"),CONCATENATE("R43C",'Mapa final'!$R$132),"")</f>
        <v/>
      </c>
      <c r="P148" s="49" t="str">
        <f>IF(AND('Mapa final'!$AB$130="Media",'Mapa final'!$AD$130="Moderado"),CONCATENATE("R43C",'Mapa final'!$R$130),"")</f>
        <v/>
      </c>
      <c r="Q148" s="50" t="str">
        <f>IF(AND('Mapa final'!$AB$131="Media",'Mapa final'!$AD$131="Moderado"),CONCATENATE("R43C",'Mapa final'!$R$131),"")</f>
        <v/>
      </c>
      <c r="R148" s="111" t="str">
        <f>IF(AND('Mapa final'!$AB$132="Media",'Mapa final'!$AD$132="Moderado"),CONCATENATE("R43C",'Mapa final'!$R$132),"")</f>
        <v/>
      </c>
      <c r="S148" s="105" t="str">
        <f>IF(AND('Mapa final'!$AB$130="Media",'Mapa final'!$AD$130="Mayor"),CONCATENATE("R43C",'Mapa final'!$R$130),"")</f>
        <v>R43C1</v>
      </c>
      <c r="T148" s="42" t="str">
        <f>IF(AND('Mapa final'!$AB$131="Media",'Mapa final'!$AD$131="Mayor"),CONCATENATE("R43C",'Mapa final'!$R$131),"")</f>
        <v/>
      </c>
      <c r="U148" s="106" t="str">
        <f>IF(AND('Mapa final'!$AB$132="Media",'Mapa final'!$AD$132="Mayor"),CONCATENATE("R43C",'Mapa final'!$R$132),"")</f>
        <v/>
      </c>
      <c r="V148" s="43" t="str">
        <f>IF(AND('Mapa final'!$AB$130="Media",'Mapa final'!$AD$130="Catastrófico"),CONCATENATE("R43C",'Mapa final'!$R$130),"")</f>
        <v/>
      </c>
      <c r="W148" s="44" t="str">
        <f>IF(AND('Mapa final'!$AB$131="Media",'Mapa final'!$AD$131="Catastrófico"),CONCATENATE("R43C",'Mapa final'!$R$131),"")</f>
        <v/>
      </c>
      <c r="X148" s="100" t="str">
        <f>IF(AND('Mapa final'!$AB$132="Media",'Mapa final'!$AD$132="Catastrófico"),CONCATENATE("R43C",'Mapa final'!$R$132),"")</f>
        <v/>
      </c>
      <c r="Y148" s="56"/>
      <c r="Z148" s="311"/>
      <c r="AA148" s="312"/>
      <c r="AB148" s="312"/>
      <c r="AC148" s="312"/>
      <c r="AD148" s="312"/>
      <c r="AE148" s="313"/>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35">
      <c r="A149" s="56"/>
      <c r="B149" s="300"/>
      <c r="C149" s="300"/>
      <c r="D149" s="301"/>
      <c r="E149" s="289"/>
      <c r="F149" s="290"/>
      <c r="G149" s="290"/>
      <c r="H149" s="290"/>
      <c r="I149" s="288"/>
      <c r="J149" s="49" t="str">
        <f>IF(AND('Mapa final'!$AB$133="Media",'Mapa final'!$AD$133="Leve"),CONCATENATE("R44C",'Mapa final'!$R$133),"")</f>
        <v/>
      </c>
      <c r="K149" s="50" t="str">
        <f>IF(AND('Mapa final'!$AB$134="Media",'Mapa final'!$AD$134="Leve"),CONCATENATE("R44C",'Mapa final'!$R$134),"")</f>
        <v/>
      </c>
      <c r="L149" s="111" t="str">
        <f>IF(AND('Mapa final'!$AB$135="Media",'Mapa final'!$AD$135="Leve"),CONCATENATE("R44C",'Mapa final'!$R$135),"")</f>
        <v/>
      </c>
      <c r="M149" s="49" t="str">
        <f>IF(AND('Mapa final'!$AB$133="Media",'Mapa final'!$AD$133="Menor"),CONCATENATE("R44C",'Mapa final'!$R$133),"")</f>
        <v/>
      </c>
      <c r="N149" s="50" t="str">
        <f>IF(AND('Mapa final'!$AB$134="Media",'Mapa final'!$AD$134="Menor"),CONCATENATE("R44C",'Mapa final'!$R$134),"")</f>
        <v/>
      </c>
      <c r="O149" s="111" t="str">
        <f>IF(AND('Mapa final'!$AB$135="Media",'Mapa final'!$AD$135="Menor"),CONCATENATE("R44C",'Mapa final'!$R$135),"")</f>
        <v/>
      </c>
      <c r="P149" s="49" t="str">
        <f>IF(AND('Mapa final'!$AB$133="Media",'Mapa final'!$AD$133="Moderado"),CONCATENATE("R44C",'Mapa final'!$R$133),"")</f>
        <v>R44C1</v>
      </c>
      <c r="Q149" s="50" t="str">
        <f>IF(AND('Mapa final'!$AB$134="Media",'Mapa final'!$AD$134="Moderado"),CONCATENATE("R44C",'Mapa final'!$R$134),"")</f>
        <v/>
      </c>
      <c r="R149" s="111" t="str">
        <f>IF(AND('Mapa final'!$AB$135="Media",'Mapa final'!$AD$135="Moderado"),CONCATENATE("R44C",'Mapa final'!$R$135),"")</f>
        <v/>
      </c>
      <c r="S149" s="105" t="str">
        <f>IF(AND('Mapa final'!$AB$133="Media",'Mapa final'!$AD$133="Mayor"),CONCATENATE("R44C",'Mapa final'!$R$133),"")</f>
        <v/>
      </c>
      <c r="T149" s="42" t="str">
        <f>IF(AND('Mapa final'!$AB$134="Media",'Mapa final'!$AD$134="Mayor"),CONCATENATE("R44C",'Mapa final'!$R$134),"")</f>
        <v/>
      </c>
      <c r="U149" s="106" t="str">
        <f>IF(AND('Mapa final'!$AB$135="Media",'Mapa final'!$AD$135="Mayor"),CONCATENATE("R44C",'Mapa final'!$R$135),"")</f>
        <v/>
      </c>
      <c r="V149" s="43" t="str">
        <f>IF(AND('Mapa final'!$AB$133="Media",'Mapa final'!$AD$133="Catastrófico"),CONCATENATE("R44C",'Mapa final'!$R$133),"")</f>
        <v/>
      </c>
      <c r="W149" s="44" t="str">
        <f>IF(AND('Mapa final'!$AB$134="Media",'Mapa final'!$AD$134="Catastrófico"),CONCATENATE("R44C",'Mapa final'!$R$134),"")</f>
        <v/>
      </c>
      <c r="X149" s="100" t="str">
        <f>IF(AND('Mapa final'!$AB$135="Media",'Mapa final'!$AD$135="Catastrófico"),CONCATENATE("R44C",'Mapa final'!$R$135),"")</f>
        <v/>
      </c>
      <c r="Y149" s="56"/>
      <c r="Z149" s="311"/>
      <c r="AA149" s="312"/>
      <c r="AB149" s="312"/>
      <c r="AC149" s="312"/>
      <c r="AD149" s="312"/>
      <c r="AE149" s="313"/>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35">
      <c r="A150" s="56"/>
      <c r="B150" s="300"/>
      <c r="C150" s="300"/>
      <c r="D150" s="301"/>
      <c r="E150" s="289"/>
      <c r="F150" s="290"/>
      <c r="G150" s="290"/>
      <c r="H150" s="290"/>
      <c r="I150" s="288"/>
      <c r="J150" s="49" t="str">
        <f>IF(AND('Mapa final'!$AB$136="Media",'Mapa final'!$AD$136="Leve"),CONCATENATE("R45C",'Mapa final'!$R$136),"")</f>
        <v/>
      </c>
      <c r="K150" s="50" t="str">
        <f>IF(AND('Mapa final'!$AB$137="Media",'Mapa final'!$AD$137="Leve"),CONCATENATE("R45C",'Mapa final'!$R$137),"")</f>
        <v/>
      </c>
      <c r="L150" s="111" t="str">
        <f>IF(AND('Mapa final'!$AB$138="Media",'Mapa final'!$AD$138="Leve"),CONCATENATE("R45C",'Mapa final'!$R$138),"")</f>
        <v/>
      </c>
      <c r="M150" s="49" t="str">
        <f>IF(AND('Mapa final'!$AB$136="Media",'Mapa final'!$AD$136="Menor"),CONCATENATE("R45C",'Mapa final'!$R$136),"")</f>
        <v/>
      </c>
      <c r="N150" s="50" t="str">
        <f>IF(AND('Mapa final'!$AB$137="Media",'Mapa final'!$AD$137="Menor"),CONCATENATE("R45C",'Mapa final'!$R$137),"")</f>
        <v/>
      </c>
      <c r="O150" s="111" t="str">
        <f>IF(AND('Mapa final'!$AB$138="Media",'Mapa final'!$AD$138="Menor"),CONCATENATE("R45C",'Mapa final'!$R$138),"")</f>
        <v/>
      </c>
      <c r="P150" s="49" t="str">
        <f>IF(AND('Mapa final'!$AB$136="Media",'Mapa final'!$AD$136="Moderado"),CONCATENATE("R45C",'Mapa final'!$R$136),"")</f>
        <v/>
      </c>
      <c r="Q150" s="50" t="str">
        <f>IF(AND('Mapa final'!$AB$137="Media",'Mapa final'!$AD$137="Moderado"),CONCATENATE("R45C",'Mapa final'!$R$137),"")</f>
        <v/>
      </c>
      <c r="R150" s="111" t="str">
        <f>IF(AND('Mapa final'!$AB$138="Media",'Mapa final'!$AD$138="Moderado"),CONCATENATE("R45C",'Mapa final'!$R$138),"")</f>
        <v/>
      </c>
      <c r="S150" s="105" t="str">
        <f>IF(AND('Mapa final'!$AB$136="Media",'Mapa final'!$AD$136="Mayor"),CONCATENATE("R45C",'Mapa final'!$R$136),"")</f>
        <v>R45C1</v>
      </c>
      <c r="T150" s="42" t="str">
        <f>IF(AND('Mapa final'!$AB$137="Media",'Mapa final'!$AD$137="Mayor"),CONCATENATE("R45C",'Mapa final'!$R$137),"")</f>
        <v/>
      </c>
      <c r="U150" s="106" t="str">
        <f>IF(AND('Mapa final'!$AB$138="Media",'Mapa final'!$AD$138="Mayor"),CONCATENATE("R45C",'Mapa final'!$R$138),"")</f>
        <v/>
      </c>
      <c r="V150" s="43" t="str">
        <f>IF(AND('Mapa final'!$AB$136="Media",'Mapa final'!$AD$136="Catastrófico"),CONCATENATE("R45C",'Mapa final'!$R$136),"")</f>
        <v/>
      </c>
      <c r="W150" s="44" t="str">
        <f>IF(AND('Mapa final'!$AB$137="Media",'Mapa final'!$AD$137="Catastrófico"),CONCATENATE("R45C",'Mapa final'!$R$137),"")</f>
        <v/>
      </c>
      <c r="X150" s="100" t="str">
        <f>IF(AND('Mapa final'!$AB$138="Media",'Mapa final'!$AD$138="Catastrófico"),CONCATENATE("R45C",'Mapa final'!$R$138),"")</f>
        <v/>
      </c>
      <c r="Y150" s="56"/>
      <c r="Z150" s="311"/>
      <c r="AA150" s="312"/>
      <c r="AB150" s="312"/>
      <c r="AC150" s="312"/>
      <c r="AD150" s="312"/>
      <c r="AE150" s="313"/>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35">
      <c r="A151" s="56"/>
      <c r="B151" s="300"/>
      <c r="C151" s="300"/>
      <c r="D151" s="301"/>
      <c r="E151" s="289"/>
      <c r="F151" s="290"/>
      <c r="G151" s="290"/>
      <c r="H151" s="290"/>
      <c r="I151" s="288"/>
      <c r="J151" s="49" t="str">
        <f>IF(AND('Mapa final'!$AB$139="Media",'Mapa final'!$AD$139="Leve"),CONCATENATE("R46C",'Mapa final'!$R$139),"")</f>
        <v/>
      </c>
      <c r="K151" s="50" t="str">
        <f>IF(AND('Mapa final'!$AB$140="Media",'Mapa final'!$AD$140="Leve"),CONCATENATE("R46C",'Mapa final'!$R$140),"")</f>
        <v/>
      </c>
      <c r="L151" s="111" t="str">
        <f>IF(AND('Mapa final'!$AB$141="Media",'Mapa final'!$AD$141="Leve"),CONCATENATE("R46C",'Mapa final'!$R$141),"")</f>
        <v/>
      </c>
      <c r="M151" s="49" t="str">
        <f>IF(AND('Mapa final'!$AB$139="Media",'Mapa final'!$AD$139="Menor"),CONCATENATE("R46C",'Mapa final'!$R$139),"")</f>
        <v/>
      </c>
      <c r="N151" s="50" t="str">
        <f>IF(AND('Mapa final'!$AB$140="Media",'Mapa final'!$AD$140="Menor"),CONCATENATE("R46C",'Mapa final'!$R$140),"")</f>
        <v/>
      </c>
      <c r="O151" s="111" t="str">
        <f>IF(AND('Mapa final'!$AB$141="Media",'Mapa final'!$AD$141="Menor"),CONCATENATE("R46C",'Mapa final'!$R$141),"")</f>
        <v/>
      </c>
      <c r="P151" s="49" t="str">
        <f>IF(AND('Mapa final'!$AB$139="Media",'Mapa final'!$AD$139="Moderado"),CONCATENATE("R46C",'Mapa final'!$R$139),"")</f>
        <v/>
      </c>
      <c r="Q151" s="50" t="str">
        <f>IF(AND('Mapa final'!$AB$140="Media",'Mapa final'!$AD$140="Moderado"),CONCATENATE("R46C",'Mapa final'!$R$140),"")</f>
        <v/>
      </c>
      <c r="R151" s="111" t="str">
        <f>IF(AND('Mapa final'!$AB$141="Media",'Mapa final'!$AD$141="Moderado"),CONCATENATE("R46C",'Mapa final'!$R$141),"")</f>
        <v/>
      </c>
      <c r="S151" s="105" t="str">
        <f>IF(AND('Mapa final'!$AB$139="Media",'Mapa final'!$AD$139="Mayor"),CONCATENATE("R46C",'Mapa final'!$R$139),"")</f>
        <v/>
      </c>
      <c r="T151" s="42" t="str">
        <f>IF(AND('Mapa final'!$AB$140="Media",'Mapa final'!$AD$140="Mayor"),CONCATENATE("R46C",'Mapa final'!$R$140),"")</f>
        <v/>
      </c>
      <c r="U151" s="106" t="str">
        <f>IF(AND('Mapa final'!$AB$141="Media",'Mapa final'!$AD$141="Mayor"),CONCATENATE("R46C",'Mapa final'!$R$141),"")</f>
        <v/>
      </c>
      <c r="V151" s="43" t="str">
        <f>IF(AND('Mapa final'!$AB$139="Media",'Mapa final'!$AD$139="Catastrófico"),CONCATENATE("R46C",'Mapa final'!$R$139),"")</f>
        <v/>
      </c>
      <c r="W151" s="44" t="str">
        <f>IF(AND('Mapa final'!$AB$140="Media",'Mapa final'!$AD$140="Catastrófico"),CONCATENATE("R46C",'Mapa final'!$R$140),"")</f>
        <v/>
      </c>
      <c r="X151" s="100" t="str">
        <f>IF(AND('Mapa final'!$AB$141="Media",'Mapa final'!$AD$141="Catastrófico"),CONCATENATE("R46C",'Mapa final'!$R$141),"")</f>
        <v/>
      </c>
      <c r="Y151" s="56"/>
      <c r="Z151" s="311"/>
      <c r="AA151" s="312"/>
      <c r="AB151" s="312"/>
      <c r="AC151" s="312"/>
      <c r="AD151" s="312"/>
      <c r="AE151" s="313"/>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35">
      <c r="A152" s="56"/>
      <c r="B152" s="300"/>
      <c r="C152" s="300"/>
      <c r="D152" s="301"/>
      <c r="E152" s="289"/>
      <c r="F152" s="290"/>
      <c r="G152" s="290"/>
      <c r="H152" s="290"/>
      <c r="I152" s="288"/>
      <c r="J152" s="49" t="str">
        <f>IF(AND('Mapa final'!$AB$142="Media",'Mapa final'!$AD$142="Leve"),CONCATENATE("R47C",'Mapa final'!$R$142),"")</f>
        <v/>
      </c>
      <c r="K152" s="50" t="str">
        <f>IF(AND('Mapa final'!$AB$143="Media",'Mapa final'!$AD$143="Leve"),CONCATENATE("R47C",'Mapa final'!$R$143),"")</f>
        <v/>
      </c>
      <c r="L152" s="111" t="str">
        <f>IF(AND('Mapa final'!$AB$144="Media",'Mapa final'!$AD$144="Leve"),CONCATENATE("R47C",'Mapa final'!$R$144),"")</f>
        <v/>
      </c>
      <c r="M152" s="49" t="str">
        <f>IF(AND('Mapa final'!$AB$142="Media",'Mapa final'!$AD$142="Menor"),CONCATENATE("R47C",'Mapa final'!$R$142),"")</f>
        <v/>
      </c>
      <c r="N152" s="50" t="str">
        <f>IF(AND('Mapa final'!$AB$143="Media",'Mapa final'!$AD$143="Menor"),CONCATENATE("R47C",'Mapa final'!$R$143),"")</f>
        <v/>
      </c>
      <c r="O152" s="111" t="str">
        <f>IF(AND('Mapa final'!$AB$144="Media",'Mapa final'!$AD$144="Menor"),CONCATENATE("R47C",'Mapa final'!$R$144),"")</f>
        <v/>
      </c>
      <c r="P152" s="49" t="str">
        <f>IF(AND('Mapa final'!$AB$142="Media",'Mapa final'!$AD$142="Moderado"),CONCATENATE("R47C",'Mapa final'!$R$142),"")</f>
        <v/>
      </c>
      <c r="Q152" s="50" t="str">
        <f>IF(AND('Mapa final'!$AB$143="Media",'Mapa final'!$AD$143="Moderado"),CONCATENATE("R47C",'Mapa final'!$R$143),"")</f>
        <v/>
      </c>
      <c r="R152" s="111" t="str">
        <f>IF(AND('Mapa final'!$AB$144="Media",'Mapa final'!$AD$144="Moderado"),CONCATENATE("R47C",'Mapa final'!$R$144),"")</f>
        <v/>
      </c>
      <c r="S152" s="105" t="str">
        <f>IF(AND('Mapa final'!$AB$142="Media",'Mapa final'!$AD$142="Mayor"),CONCATENATE("R47C",'Mapa final'!$R$142),"")</f>
        <v/>
      </c>
      <c r="T152" s="42" t="str">
        <f>IF(AND('Mapa final'!$AB$143="Media",'Mapa final'!$AD$143="Mayor"),CONCATENATE("R47C",'Mapa final'!$R$143),"")</f>
        <v/>
      </c>
      <c r="U152" s="106" t="str">
        <f>IF(AND('Mapa final'!$AB$144="Media",'Mapa final'!$AD$144="Mayor"),CONCATENATE("R47C",'Mapa final'!$R$144),"")</f>
        <v/>
      </c>
      <c r="V152" s="43" t="str">
        <f>IF(AND('Mapa final'!$AB$142="Media",'Mapa final'!$AD$142="Catastrófico"),CONCATENATE("R47C",'Mapa final'!$R$142),"")</f>
        <v/>
      </c>
      <c r="W152" s="44" t="str">
        <f>IF(AND('Mapa final'!$AB$143="Media",'Mapa final'!$AD$143="Catastrófico"),CONCATENATE("R47C",'Mapa final'!$R$143),"")</f>
        <v/>
      </c>
      <c r="X152" s="100" t="str">
        <f>IF(AND('Mapa final'!$AB$144="Media",'Mapa final'!$AD$144="Catastrófico"),CONCATENATE("R47C",'Mapa final'!$R$144),"")</f>
        <v/>
      </c>
      <c r="Y152" s="56"/>
      <c r="Z152" s="311"/>
      <c r="AA152" s="312"/>
      <c r="AB152" s="312"/>
      <c r="AC152" s="312"/>
      <c r="AD152" s="312"/>
      <c r="AE152" s="313"/>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35">
      <c r="A153" s="56"/>
      <c r="B153" s="300"/>
      <c r="C153" s="300"/>
      <c r="D153" s="301"/>
      <c r="E153" s="289"/>
      <c r="F153" s="290"/>
      <c r="G153" s="290"/>
      <c r="H153" s="290"/>
      <c r="I153" s="288"/>
      <c r="J153" s="49" t="str">
        <f>IF(AND('Mapa final'!$AB$145="Media",'Mapa final'!$AD$145="Leve"),CONCATENATE("R48C",'Mapa final'!$R$145),"")</f>
        <v/>
      </c>
      <c r="K153" s="50" t="str">
        <f>IF(AND('Mapa final'!$AB$146="Media",'Mapa final'!$AD$146="Leve"),CONCATENATE("R48C",'Mapa final'!$R$146),"")</f>
        <v/>
      </c>
      <c r="L153" s="111" t="str">
        <f>IF(AND('Mapa final'!$AB$147="Media",'Mapa final'!$AD$147="Leve"),CONCATENATE("R48C",'Mapa final'!$R$147),"")</f>
        <v/>
      </c>
      <c r="M153" s="49" t="str">
        <f>IF(AND('Mapa final'!$AB$145="Media",'Mapa final'!$AD$145="Menor"),CONCATENATE("R48C",'Mapa final'!$R$145),"")</f>
        <v/>
      </c>
      <c r="N153" s="50" t="str">
        <f>IF(AND('Mapa final'!$AB$146="Media",'Mapa final'!$AD$146="Menor"),CONCATENATE("R48C",'Mapa final'!$R$146),"")</f>
        <v/>
      </c>
      <c r="O153" s="111" t="str">
        <f>IF(AND('Mapa final'!$AB$147="Media",'Mapa final'!$AD$147="Menor"),CONCATENATE("R48C",'Mapa final'!$R$147),"")</f>
        <v/>
      </c>
      <c r="P153" s="49" t="str">
        <f>IF(AND('Mapa final'!$AB$145="Media",'Mapa final'!$AD$145="Moderado"),CONCATENATE("R48C",'Mapa final'!$R$145),"")</f>
        <v/>
      </c>
      <c r="Q153" s="50" t="str">
        <f>IF(AND('Mapa final'!$AB$146="Media",'Mapa final'!$AD$146="Moderado"),CONCATENATE("R48C",'Mapa final'!$R$146),"")</f>
        <v/>
      </c>
      <c r="R153" s="111" t="str">
        <f>IF(AND('Mapa final'!$AB$147="Media",'Mapa final'!$AD$147="Moderado"),CONCATENATE("R48C",'Mapa final'!$R$147),"")</f>
        <v/>
      </c>
      <c r="S153" s="105" t="str">
        <f>IF(AND('Mapa final'!$AB$145="Media",'Mapa final'!$AD$145="Mayor"),CONCATENATE("R48C",'Mapa final'!$R$145),"")</f>
        <v/>
      </c>
      <c r="T153" s="42" t="str">
        <f>IF(AND('Mapa final'!$AB$146="Media",'Mapa final'!$AD$146="Mayor"),CONCATENATE("R48C",'Mapa final'!$R$146),"")</f>
        <v/>
      </c>
      <c r="U153" s="106" t="str">
        <f>IF(AND('Mapa final'!$AB$147="Media",'Mapa final'!$AD$147="Mayor"),CONCATENATE("R48C",'Mapa final'!$R$147),"")</f>
        <v/>
      </c>
      <c r="V153" s="43" t="str">
        <f>IF(AND('Mapa final'!$AB$145="Media",'Mapa final'!$AD$145="Catastrófico"),CONCATENATE("R48C",'Mapa final'!$R$145),"")</f>
        <v/>
      </c>
      <c r="W153" s="44" t="str">
        <f>IF(AND('Mapa final'!$AB$146="Media",'Mapa final'!$AD$146="Catastrófico"),CONCATENATE("R48C",'Mapa final'!$R$146),"")</f>
        <v/>
      </c>
      <c r="X153" s="100" t="str">
        <f>IF(AND('Mapa final'!$AB$147="Media",'Mapa final'!$AD$147="Catastrófico"),CONCATENATE("R48C",'Mapa final'!$R$147),"")</f>
        <v/>
      </c>
      <c r="Y153" s="56"/>
      <c r="Z153" s="311"/>
      <c r="AA153" s="312"/>
      <c r="AB153" s="312"/>
      <c r="AC153" s="312"/>
      <c r="AD153" s="312"/>
      <c r="AE153" s="313"/>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35">
      <c r="A154" s="56"/>
      <c r="B154" s="300"/>
      <c r="C154" s="300"/>
      <c r="D154" s="301"/>
      <c r="E154" s="289"/>
      <c r="F154" s="290"/>
      <c r="G154" s="290"/>
      <c r="H154" s="290"/>
      <c r="I154" s="288"/>
      <c r="J154" s="49" t="str">
        <f>IF(AND('Mapa final'!$AB$148="Media",'Mapa final'!$AD$148="Leve"),CONCATENATE("R49C",'Mapa final'!$R$148),"")</f>
        <v/>
      </c>
      <c r="K154" s="50" t="str">
        <f>IF(AND('Mapa final'!$AB$149="Media",'Mapa final'!$AD$149="Leve"),CONCATENATE("R49C",'Mapa final'!$R$149),"")</f>
        <v/>
      </c>
      <c r="L154" s="111" t="str">
        <f>IF(AND('Mapa final'!$AB$150="Media",'Mapa final'!$AD$150="Leve"),CONCATENATE("R49C",'Mapa final'!$R$150),"")</f>
        <v/>
      </c>
      <c r="M154" s="49" t="str">
        <f>IF(AND('Mapa final'!$AB$148="Media",'Mapa final'!$AD$148="Menor"),CONCATENATE("R49C",'Mapa final'!$R$148),"")</f>
        <v/>
      </c>
      <c r="N154" s="50" t="str">
        <f>IF(AND('Mapa final'!$AB$149="Media",'Mapa final'!$AD$149="Menor"),CONCATENATE("R49C",'Mapa final'!$R$149),"")</f>
        <v/>
      </c>
      <c r="O154" s="111" t="str">
        <f>IF(AND('Mapa final'!$AB$150="Media",'Mapa final'!$AD$150="Menor"),CONCATENATE("R49C",'Mapa final'!$R$150),"")</f>
        <v/>
      </c>
      <c r="P154" s="49" t="str">
        <f>IF(AND('Mapa final'!$AB$148="Media",'Mapa final'!$AD$148="Moderado"),CONCATENATE("R49C",'Mapa final'!$R$148),"")</f>
        <v/>
      </c>
      <c r="Q154" s="50" t="str">
        <f>IF(AND('Mapa final'!$AB$149="Media",'Mapa final'!$AD$149="Moderado"),CONCATENATE("R49C",'Mapa final'!$R$149),"")</f>
        <v/>
      </c>
      <c r="R154" s="111" t="str">
        <f>IF(AND('Mapa final'!$AB$150="Media",'Mapa final'!$AD$150="Moderado"),CONCATENATE("R49C",'Mapa final'!$R$150),"")</f>
        <v/>
      </c>
      <c r="S154" s="105" t="str">
        <f>IF(AND('Mapa final'!$AB$148="Media",'Mapa final'!$AD$148="Mayor"),CONCATENATE("R49C",'Mapa final'!$R$148),"")</f>
        <v/>
      </c>
      <c r="T154" s="42" t="str">
        <f>IF(AND('Mapa final'!$AB$149="Media",'Mapa final'!$AD$149="Mayor"),CONCATENATE("R49C",'Mapa final'!$R$149),"")</f>
        <v/>
      </c>
      <c r="U154" s="106" t="str">
        <f>IF(AND('Mapa final'!$AB$150="Media",'Mapa final'!$AD$150="Mayor"),CONCATENATE("R49C",'Mapa final'!$R$150),"")</f>
        <v/>
      </c>
      <c r="V154" s="43" t="str">
        <f>IF(AND('Mapa final'!$AB$148="Media",'Mapa final'!$AD$148="Catastrófico"),CONCATENATE("R49C",'Mapa final'!$R$148),"")</f>
        <v/>
      </c>
      <c r="W154" s="44" t="str">
        <f>IF(AND('Mapa final'!$AB$149="Media",'Mapa final'!$AD$149="Catastrófico"),CONCATENATE("R49C",'Mapa final'!$R$149),"")</f>
        <v/>
      </c>
      <c r="X154" s="100" t="str">
        <f>IF(AND('Mapa final'!$AB$150="Media",'Mapa final'!$AD$150="Catastrófico"),CONCATENATE("R49C",'Mapa final'!$R$150),"")</f>
        <v/>
      </c>
      <c r="Y154" s="56"/>
      <c r="Z154" s="311"/>
      <c r="AA154" s="312"/>
      <c r="AB154" s="312"/>
      <c r="AC154" s="312"/>
      <c r="AD154" s="312"/>
      <c r="AE154" s="313"/>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4">
      <c r="A155" s="56"/>
      <c r="B155" s="300"/>
      <c r="C155" s="300"/>
      <c r="D155" s="301"/>
      <c r="E155" s="289"/>
      <c r="F155" s="290"/>
      <c r="G155" s="290"/>
      <c r="H155" s="290"/>
      <c r="I155" s="288"/>
      <c r="J155" s="51" t="str">
        <f>IF(AND('Mapa final'!$AB$151="Media",'Mapa final'!$AD$151="Leve"),CONCATENATE("R50C",'Mapa final'!$R$151),"")</f>
        <v/>
      </c>
      <c r="K155" s="52" t="str">
        <f>IF(AND('Mapa final'!$AB$152="Media",'Mapa final'!$AD$152="Leve"),CONCATENATE("R50C",'Mapa final'!$R$152),"")</f>
        <v/>
      </c>
      <c r="L155" s="112" t="str">
        <f>IF(AND('Mapa final'!$AB$153="Media",'Mapa final'!$AD$153="Leve"),CONCATENATE("R50C",'Mapa final'!$R$153),"")</f>
        <v/>
      </c>
      <c r="M155" s="51" t="str">
        <f>IF(AND('Mapa final'!$AB$151="Media",'Mapa final'!$AD$151="Menor"),CONCATENATE("R50C",'Mapa final'!$R$151),"")</f>
        <v/>
      </c>
      <c r="N155" s="52" t="str">
        <f>IF(AND('Mapa final'!$AB$152="Media",'Mapa final'!$AD$152="Menor"),CONCATENATE("R50C",'Mapa final'!$R$152),"")</f>
        <v/>
      </c>
      <c r="O155" s="112" t="str">
        <f>IF(AND('Mapa final'!$AB$153="Media",'Mapa final'!$AD$153="Menor"),CONCATENATE("R50C",'Mapa final'!$R$153),"")</f>
        <v/>
      </c>
      <c r="P155" s="51" t="str">
        <f>IF(AND('Mapa final'!$AB$151="Media",'Mapa final'!$AD$151="Moderado"),CONCATENATE("R50C",'Mapa final'!$R$151),"")</f>
        <v/>
      </c>
      <c r="Q155" s="52" t="str">
        <f>IF(AND('Mapa final'!$AB$152="Media",'Mapa final'!$AD$152="Moderado"),CONCATENATE("R50C",'Mapa final'!$R$152),"")</f>
        <v/>
      </c>
      <c r="R155" s="112" t="str">
        <f>IF(AND('Mapa final'!$AB$153="Media",'Mapa final'!$AD$153="Moderado"),CONCATENATE("R50C",'Mapa final'!$R$153),"")</f>
        <v/>
      </c>
      <c r="S155" s="107" t="str">
        <f>IF(AND('Mapa final'!$AB$151="Media",'Mapa final'!$AD$151="Mayor"),CONCATENATE("R50C",'Mapa final'!$R$151),"")</f>
        <v/>
      </c>
      <c r="T155" s="108" t="str">
        <f>IF(AND('Mapa final'!$AB$152="Media",'Mapa final'!$AD$152="Mayor"),CONCATENATE("R50C",'Mapa final'!$R$152),"")</f>
        <v/>
      </c>
      <c r="U155" s="109" t="str">
        <f>IF(AND('Mapa final'!$AB$153="Media",'Mapa final'!$AD$153="Mayor"),CONCATENATE("R50C",'Mapa final'!$R$153),"")</f>
        <v/>
      </c>
      <c r="V155" s="45" t="str">
        <f>IF(AND('Mapa final'!$AB$151="Media",'Mapa final'!$AD$151="Catastrófico"),CONCATENATE("R50C",'Mapa final'!$R$151),"")</f>
        <v/>
      </c>
      <c r="W155" s="46" t="str">
        <f>IF(AND('Mapa final'!$AB$152="Media",'Mapa final'!$AD$152="Catastrófico"),CONCATENATE("R50C",'Mapa final'!$R$152),"")</f>
        <v/>
      </c>
      <c r="X155" s="101" t="str">
        <f>IF(AND('Mapa final'!$AB$153="Media",'Mapa final'!$AD$153="Catastrófico"),CONCATENATE("R50C",'Mapa final'!$R$153),"")</f>
        <v/>
      </c>
      <c r="Y155" s="56"/>
      <c r="Z155" s="311"/>
      <c r="AA155" s="312"/>
      <c r="AB155" s="312"/>
      <c r="AC155" s="312"/>
      <c r="AD155" s="312"/>
      <c r="AE155" s="313"/>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35">
      <c r="A156" s="56"/>
      <c r="B156" s="300"/>
      <c r="C156" s="300"/>
      <c r="D156" s="301"/>
      <c r="E156" s="285" t="s">
        <v>105</v>
      </c>
      <c r="F156" s="286"/>
      <c r="G156" s="286"/>
      <c r="H156" s="286"/>
      <c r="I156" s="286"/>
      <c r="J156" s="113" t="str">
        <f>IF(AND('Mapa final'!$AB$7="Baja",'Mapa final'!$AD$7="Leve"),CONCATENATE("R1C",'Mapa final'!$R$7),"")</f>
        <v/>
      </c>
      <c r="K156" s="53" t="str">
        <f>IF(AND('Mapa final'!$AB$8="Baja",'Mapa final'!$AD$8="Leve"),CONCATENATE("R1C",'Mapa final'!$R$8),"")</f>
        <v/>
      </c>
      <c r="L156" s="114" t="str">
        <f>IF(AND('Mapa final'!$AB$9="Baja",'Mapa final'!$AD$9="Leve"),CONCATENATE("R1C",'Mapa final'!$R$9),"")</f>
        <v/>
      </c>
      <c r="M156" s="47" t="str">
        <f>IF(AND('Mapa final'!$AB$7="Baja",'Mapa final'!$AD$7="Menor"),CONCATENATE("R1C",'Mapa final'!$R$7),"")</f>
        <v/>
      </c>
      <c r="N156" s="48" t="str">
        <f>IF(AND('Mapa final'!$AB$8="Baja",'Mapa final'!$AD$8="Menor"),CONCATENATE("R1C",'Mapa final'!$R$8),"")</f>
        <v/>
      </c>
      <c r="O156" s="110" t="str">
        <f>IF(AND('Mapa final'!$AB$9="Baja",'Mapa final'!$AD$9="Menor"),CONCATENATE("R1C",'Mapa final'!$R$9),"")</f>
        <v/>
      </c>
      <c r="P156" s="47" t="str">
        <f>IF(AND('Mapa final'!$AB$7="Baja",'Mapa final'!$AD$7="Moderado"),CONCATENATE("R1C",'Mapa final'!$R$7),"")</f>
        <v>R1C1</v>
      </c>
      <c r="Q156" s="48" t="str">
        <f>IF(AND('Mapa final'!$AB$8="Baja",'Mapa final'!$AD$8="Moderado"),CONCATENATE("R1C",'Mapa final'!$R$8),"")</f>
        <v/>
      </c>
      <c r="R156" s="110" t="str">
        <f>IF(AND('Mapa final'!$AB$9="Baja",'Mapa final'!$AD$9="Moderado"),CONCATENATE("R1C",'Mapa final'!$R$9),"")</f>
        <v/>
      </c>
      <c r="S156" s="102" t="str">
        <f>IF(AND('Mapa final'!$AB$7="Baja",'Mapa final'!$AD$7="Mayor"),CONCATENATE("R1C",'Mapa final'!$R$7),"")</f>
        <v/>
      </c>
      <c r="T156" s="103" t="str">
        <f>IF(AND('Mapa final'!$AB$8="Baja",'Mapa final'!$AD$8="Mayor"),CONCATENATE("R1C",'Mapa final'!$R$8),"")</f>
        <v/>
      </c>
      <c r="U156" s="104" t="str">
        <f>IF(AND('Mapa final'!$AB$9="Baja",'Mapa final'!$AD$9="Mayor"),CONCATENATE("R1C",'Mapa final'!$R$9),"")</f>
        <v/>
      </c>
      <c r="V156" s="40" t="str">
        <f>IF(AND('Mapa final'!$AB$7="Baja",'Mapa final'!$AD$7="Catastrófico"),CONCATENATE("R1C",'Mapa final'!$R$7),"")</f>
        <v/>
      </c>
      <c r="W156" s="41" t="str">
        <f>IF(AND('Mapa final'!$AB$8="Baja",'Mapa final'!$AD$8="Catastrófico"),CONCATENATE("R1C",'Mapa final'!$R$8),"")</f>
        <v/>
      </c>
      <c r="X156" s="99" t="str">
        <f>IF(AND('Mapa final'!$AB$9="Baja",'Mapa final'!$AD$9="Catastrófico"),CONCATENATE("R1C",'Mapa final'!$R$9),"")</f>
        <v/>
      </c>
      <c r="Y156" s="56"/>
      <c r="Z156" s="302" t="s">
        <v>76</v>
      </c>
      <c r="AA156" s="303"/>
      <c r="AB156" s="303"/>
      <c r="AC156" s="303"/>
      <c r="AD156" s="303"/>
      <c r="AE156" s="304"/>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35">
      <c r="A157" s="56"/>
      <c r="B157" s="300"/>
      <c r="C157" s="300"/>
      <c r="D157" s="301"/>
      <c r="E157" s="287"/>
      <c r="F157" s="288"/>
      <c r="G157" s="288"/>
      <c r="H157" s="288"/>
      <c r="I157" s="288"/>
      <c r="J157" s="115" t="str">
        <f>IF(AND('Mapa final'!$AB$10="Baja",'Mapa final'!$AD$10="Leve"),CONCATENATE("R2C",'Mapa final'!$R$10),"")</f>
        <v/>
      </c>
      <c r="K157" s="54" t="str">
        <f>IF(AND('Mapa final'!$AB$11="Baja",'Mapa final'!$AD$11="Leve"),CONCATENATE("R2C",'Mapa final'!$R$11),"")</f>
        <v/>
      </c>
      <c r="L157" s="116" t="str">
        <f>IF(AND('Mapa final'!$AB$12="Baja",'Mapa final'!$AD$12="Leve"),CONCATENATE("R2C",'Mapa final'!$R$12),"")</f>
        <v/>
      </c>
      <c r="M157" s="49" t="str">
        <f>IF(AND('Mapa final'!$AB$10="Baja",'Mapa final'!$AD$10="Menor"),CONCATENATE("R2C",'Mapa final'!$R$10),"")</f>
        <v/>
      </c>
      <c r="N157" s="50" t="str">
        <f>IF(AND('Mapa final'!$AB$11="Baja",'Mapa final'!$AD$11="Menor"),CONCATENATE("R2C",'Mapa final'!$R$11),"")</f>
        <v/>
      </c>
      <c r="O157" s="111" t="str">
        <f>IF(AND('Mapa final'!$AB$12="Baja",'Mapa final'!$AD$12="Menor"),CONCATENATE("R2C",'Mapa final'!$R$12),"")</f>
        <v/>
      </c>
      <c r="P157" s="49" t="str">
        <f>IF(AND('Mapa final'!$AB$10="Baja",'Mapa final'!$AD$10="Moderado"),CONCATENATE("R2C",'Mapa final'!$R$10),"")</f>
        <v>R2C1</v>
      </c>
      <c r="Q157" s="50" t="str">
        <f>IF(AND('Mapa final'!$AB$11="Baja",'Mapa final'!$AD$11="Moderado"),CONCATENATE("R2C",'Mapa final'!$R$11),"")</f>
        <v/>
      </c>
      <c r="R157" s="111" t="str">
        <f>IF(AND('Mapa final'!$AB$12="Baja",'Mapa final'!$AD$12="Moderado"),CONCATENATE("R2C",'Mapa final'!$R$12),"")</f>
        <v/>
      </c>
      <c r="S157" s="105" t="str">
        <f>IF(AND('Mapa final'!$AB$10="Baja",'Mapa final'!$AD$10="Mayor"),CONCATENATE("R2C",'Mapa final'!$R$10),"")</f>
        <v/>
      </c>
      <c r="T157" s="42" t="str">
        <f>IF(AND('Mapa final'!$AB$11="Baja",'Mapa final'!$AD$11="Mayor"),CONCATENATE("R2C",'Mapa final'!$R$11),"")</f>
        <v/>
      </c>
      <c r="U157" s="106" t="str">
        <f>IF(AND('Mapa final'!$AB$12="Baja",'Mapa final'!$AD$12="Mayor"),CONCATENATE("R2C",'Mapa final'!$R$12),"")</f>
        <v/>
      </c>
      <c r="V157" s="43" t="str">
        <f>IF(AND('Mapa final'!$AB$10="Baja",'Mapa final'!$AD$10="Catastrófico"),CONCATENATE("R2C",'Mapa final'!$R$10),"")</f>
        <v/>
      </c>
      <c r="W157" s="44" t="str">
        <f>IF(AND('Mapa final'!$AB$11="Baja",'Mapa final'!$AD$11="Catastrófico"),CONCATENATE("R2C",'Mapa final'!$R$11),"")</f>
        <v/>
      </c>
      <c r="X157" s="100" t="str">
        <f>IF(AND('Mapa final'!$AB$12="Baja",'Mapa final'!$AD$12="Catastrófico"),CONCATENATE("R2C",'Mapa final'!$R$12),"")</f>
        <v/>
      </c>
      <c r="Y157" s="56"/>
      <c r="Z157" s="305"/>
      <c r="AA157" s="306"/>
      <c r="AB157" s="306"/>
      <c r="AC157" s="306"/>
      <c r="AD157" s="306"/>
      <c r="AE157" s="307"/>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35">
      <c r="A158" s="56"/>
      <c r="B158" s="300"/>
      <c r="C158" s="300"/>
      <c r="D158" s="301"/>
      <c r="E158" s="287"/>
      <c r="F158" s="288"/>
      <c r="G158" s="288"/>
      <c r="H158" s="288"/>
      <c r="I158" s="288"/>
      <c r="J158" s="115" t="str">
        <f>IF(AND('Mapa final'!$AB$13="Baja",'Mapa final'!$AD$13="Leve"),CONCATENATE("R3C",'Mapa final'!$R$13),"")</f>
        <v/>
      </c>
      <c r="K158" s="54" t="str">
        <f>IF(AND('Mapa final'!$AB$14="Baja",'Mapa final'!$AD$14="Leve"),CONCATENATE("R3C",'Mapa final'!$R$14),"")</f>
        <v/>
      </c>
      <c r="L158" s="116" t="str">
        <f>IF(AND('Mapa final'!$AB$15="Baja",'Mapa final'!$AD$15="Leve"),CONCATENATE("R3C",'Mapa final'!$R$15),"")</f>
        <v/>
      </c>
      <c r="M158" s="49" t="str">
        <f>IF(AND('Mapa final'!$AB$13="Baja",'Mapa final'!$AD$13="Menor"),CONCATENATE("R3C",'Mapa final'!$R$13),"")</f>
        <v/>
      </c>
      <c r="N158" s="50" t="str">
        <f>IF(AND('Mapa final'!$AB$14="Baja",'Mapa final'!$AD$14="Menor"),CONCATENATE("R3C",'Mapa final'!$R$14),"")</f>
        <v/>
      </c>
      <c r="O158" s="111" t="str">
        <f>IF(AND('Mapa final'!$AB$15="Baja",'Mapa final'!$AD$15="Menor"),CONCATENATE("R3C",'Mapa final'!$R$15),"")</f>
        <v/>
      </c>
      <c r="P158" s="49" t="str">
        <f>IF(AND('Mapa final'!$AB$13="Baja",'Mapa final'!$AD$13="Moderado"),CONCATENATE("R3C",'Mapa final'!$R$13),"")</f>
        <v/>
      </c>
      <c r="Q158" s="50" t="str">
        <f>IF(AND('Mapa final'!$AB$14="Baja",'Mapa final'!$AD$14="Moderado"),CONCATENATE("R3C",'Mapa final'!$R$14),"")</f>
        <v/>
      </c>
      <c r="R158" s="111" t="str">
        <f>IF(AND('Mapa final'!$AB$15="Baja",'Mapa final'!$AD$15="Moderado"),CONCATENATE("R3C",'Mapa final'!$R$15),"")</f>
        <v/>
      </c>
      <c r="S158" s="105" t="str">
        <f>IF(AND('Mapa final'!$AB$13="Baja",'Mapa final'!$AD$13="Mayor"),CONCATENATE("R3C",'Mapa final'!$R$13),"")</f>
        <v/>
      </c>
      <c r="T158" s="42" t="str">
        <f>IF(AND('Mapa final'!$AB$14="Baja",'Mapa final'!$AD$14="Mayor"),CONCATENATE("R3C",'Mapa final'!$R$14),"")</f>
        <v/>
      </c>
      <c r="U158" s="106" t="str">
        <f>IF(AND('Mapa final'!$AB$15="Baja",'Mapa final'!$AD$15="Mayor"),CONCATENATE("R3C",'Mapa final'!$R$15),"")</f>
        <v/>
      </c>
      <c r="V158" s="43" t="str">
        <f>IF(AND('Mapa final'!$AB$13="Baja",'Mapa final'!$AD$13="Catastrófico"),CONCATENATE("R3C",'Mapa final'!$R$13),"")</f>
        <v/>
      </c>
      <c r="W158" s="44" t="str">
        <f>IF(AND('Mapa final'!$AB$14="Baja",'Mapa final'!$AD$14="Catastrófico"),CONCATENATE("R3C",'Mapa final'!$R$14),"")</f>
        <v/>
      </c>
      <c r="X158" s="100" t="str">
        <f>IF(AND('Mapa final'!$AB$15="Baja",'Mapa final'!$AD$15="Catastrófico"),CONCATENATE("R3C",'Mapa final'!$R$15),"")</f>
        <v/>
      </c>
      <c r="Y158" s="56"/>
      <c r="Z158" s="305"/>
      <c r="AA158" s="306"/>
      <c r="AB158" s="306"/>
      <c r="AC158" s="306"/>
      <c r="AD158" s="306"/>
      <c r="AE158" s="307"/>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35">
      <c r="A159" s="56"/>
      <c r="B159" s="300"/>
      <c r="C159" s="300"/>
      <c r="D159" s="301"/>
      <c r="E159" s="287"/>
      <c r="F159" s="288"/>
      <c r="G159" s="288"/>
      <c r="H159" s="288"/>
      <c r="I159" s="288"/>
      <c r="J159" s="115" t="e">
        <f>IF(AND('Mapa final'!#REF!="Baja",'Mapa final'!#REF!="Leve"),CONCATENATE("R4C",'Mapa final'!#REF!),"")</f>
        <v>#REF!</v>
      </c>
      <c r="K159" s="54" t="e">
        <f>IF(AND('Mapa final'!#REF!="Baja",'Mapa final'!#REF!="Leve"),CONCATENATE("R4C",'Mapa final'!#REF!),"")</f>
        <v>#REF!</v>
      </c>
      <c r="L159" s="116" t="e">
        <f>IF(AND('Mapa final'!#REF!="Baja",'Mapa final'!#REF!="Leve"),CONCATENATE("R4C",'Mapa final'!#REF!),"")</f>
        <v>#REF!</v>
      </c>
      <c r="M159" s="49" t="e">
        <f>IF(AND('Mapa final'!#REF!="Baja",'Mapa final'!#REF!="Menor"),CONCATENATE("R4C",'Mapa final'!#REF!),"")</f>
        <v>#REF!</v>
      </c>
      <c r="N159" s="50" t="e">
        <f>IF(AND('Mapa final'!#REF!="Baja",'Mapa final'!#REF!="Menor"),CONCATENATE("R4C",'Mapa final'!#REF!),"")</f>
        <v>#REF!</v>
      </c>
      <c r="O159" s="111"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1" t="e">
        <f>IF(AND('Mapa final'!#REF!="Baja",'Mapa final'!#REF!="Moderado"),CONCATENATE("R4C",'Mapa final'!#REF!),"")</f>
        <v>#REF!</v>
      </c>
      <c r="S159" s="105" t="e">
        <f>IF(AND('Mapa final'!#REF!="Baja",'Mapa final'!#REF!="Mayor"),CONCATENATE("R4C",'Mapa final'!#REF!),"")</f>
        <v>#REF!</v>
      </c>
      <c r="T159" s="42" t="e">
        <f>IF(AND('Mapa final'!#REF!="Baja",'Mapa final'!#REF!="Mayor"),CONCATENATE("R4C",'Mapa final'!#REF!),"")</f>
        <v>#REF!</v>
      </c>
      <c r="U159" s="106"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100" t="e">
        <f>IF(AND('Mapa final'!#REF!="Baja",'Mapa final'!#REF!="Catastrófico"),CONCATENATE("R4C",'Mapa final'!#REF!),"")</f>
        <v>#REF!</v>
      </c>
      <c r="Y159" s="56"/>
      <c r="Z159" s="305"/>
      <c r="AA159" s="306"/>
      <c r="AB159" s="306"/>
      <c r="AC159" s="306"/>
      <c r="AD159" s="306"/>
      <c r="AE159" s="307"/>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35">
      <c r="A160" s="56"/>
      <c r="B160" s="300"/>
      <c r="C160" s="300"/>
      <c r="D160" s="301"/>
      <c r="E160" s="287"/>
      <c r="F160" s="288"/>
      <c r="G160" s="288"/>
      <c r="H160" s="288"/>
      <c r="I160" s="288"/>
      <c r="J160" s="115" t="str">
        <f>IF(AND('Mapa final'!$AB$16="Baja",'Mapa final'!$AD$16="Leve"),CONCATENATE("R5C",'Mapa final'!$R$16),"")</f>
        <v/>
      </c>
      <c r="K160" s="54" t="str">
        <f>IF(AND('Mapa final'!$AB$17="Baja",'Mapa final'!$AD$17="Leve"),CONCATENATE("R5C",'Mapa final'!$R$17),"")</f>
        <v/>
      </c>
      <c r="L160" s="116" t="str">
        <f>IF(AND('Mapa final'!$AB$18="Baja",'Mapa final'!$AD$18="Leve"),CONCATENATE("R5C",'Mapa final'!$R$18),"")</f>
        <v/>
      </c>
      <c r="M160" s="49" t="str">
        <f>IF(AND('Mapa final'!$AB$16="Baja",'Mapa final'!$AD$16="Menor"),CONCATENATE("R5C",'Mapa final'!$R$16),"")</f>
        <v/>
      </c>
      <c r="N160" s="50" t="str">
        <f>IF(AND('Mapa final'!$AB$17="Baja",'Mapa final'!$AD$17="Menor"),CONCATENATE("R5C",'Mapa final'!$R$17),"")</f>
        <v/>
      </c>
      <c r="O160" s="111" t="str">
        <f>IF(AND('Mapa final'!$AB$18="Baja",'Mapa final'!$AD$18="Menor"),CONCATENATE("R5C",'Mapa final'!$R$18),"")</f>
        <v/>
      </c>
      <c r="P160" s="49" t="str">
        <f>IF(AND('Mapa final'!$AB$16="Baja",'Mapa final'!$AD$16="Moderado"),CONCATENATE("R5C",'Mapa final'!$R$16),"")</f>
        <v/>
      </c>
      <c r="Q160" s="50" t="str">
        <f>IF(AND('Mapa final'!$AB$17="Baja",'Mapa final'!$AD$17="Moderado"),CONCATENATE("R5C",'Mapa final'!$R$17),"")</f>
        <v/>
      </c>
      <c r="R160" s="111" t="str">
        <f>IF(AND('Mapa final'!$AB$18="Baja",'Mapa final'!$AD$18="Moderado"),CONCATENATE("R5C",'Mapa final'!$R$18),"")</f>
        <v/>
      </c>
      <c r="S160" s="105" t="str">
        <f>IF(AND('Mapa final'!$AB$16="Baja",'Mapa final'!$AD$16="Mayor"),CONCATENATE("R5C",'Mapa final'!$R$16),"")</f>
        <v/>
      </c>
      <c r="T160" s="42" t="str">
        <f>IF(AND('Mapa final'!$AB$17="Baja",'Mapa final'!$AD$17="Mayor"),CONCATENATE("R5C",'Mapa final'!$R$17),"")</f>
        <v/>
      </c>
      <c r="U160" s="106" t="str">
        <f>IF(AND('Mapa final'!$AB$18="Baja",'Mapa final'!$AD$18="Mayor"),CONCATENATE("R5C",'Mapa final'!$R$18),"")</f>
        <v/>
      </c>
      <c r="V160" s="43" t="str">
        <f>IF(AND('Mapa final'!$AB$16="Baja",'Mapa final'!$AD$16="Catastrófico"),CONCATENATE("R5C",'Mapa final'!$R$16),"")</f>
        <v/>
      </c>
      <c r="W160" s="44" t="str">
        <f>IF(AND('Mapa final'!$AB$17="Baja",'Mapa final'!$AD$17="Catastrófico"),CONCATENATE("R5C",'Mapa final'!$R$17),"")</f>
        <v/>
      </c>
      <c r="X160" s="100" t="str">
        <f>IF(AND('Mapa final'!$AB$18="Baja",'Mapa final'!$AD$18="Catastrófico"),CONCATENATE("R5C",'Mapa final'!$R$18),"")</f>
        <v/>
      </c>
      <c r="Y160" s="56"/>
      <c r="Z160" s="305"/>
      <c r="AA160" s="306"/>
      <c r="AB160" s="306"/>
      <c r="AC160" s="306"/>
      <c r="AD160" s="306"/>
      <c r="AE160" s="307"/>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35">
      <c r="A161" s="56"/>
      <c r="B161" s="300"/>
      <c r="C161" s="300"/>
      <c r="D161" s="301"/>
      <c r="E161" s="287"/>
      <c r="F161" s="288"/>
      <c r="G161" s="288"/>
      <c r="H161" s="288"/>
      <c r="I161" s="288"/>
      <c r="J161" s="115" t="str">
        <f>IF(AND('Mapa final'!$AB$19="Baja",'Mapa final'!$AD$19="Leve"),CONCATENATE("R6C",'Mapa final'!$R$19),"")</f>
        <v/>
      </c>
      <c r="K161" s="54" t="str">
        <f>IF(AND('Mapa final'!$AB$20="Baja",'Mapa final'!$AD$20="Leve"),CONCATENATE("R6C",'Mapa final'!$R$20),"")</f>
        <v/>
      </c>
      <c r="L161" s="116" t="str">
        <f>IF(AND('Mapa final'!$AB$21="Baja",'Mapa final'!$AD$21="Leve"),CONCATENATE("R6C",'Mapa final'!$R$21),"")</f>
        <v/>
      </c>
      <c r="M161" s="49" t="str">
        <f>IF(AND('Mapa final'!$AB$19="Baja",'Mapa final'!$AD$19="Menor"),CONCATENATE("R6C",'Mapa final'!$R$19),"")</f>
        <v/>
      </c>
      <c r="N161" s="50" t="str">
        <f>IF(AND('Mapa final'!$AB$20="Baja",'Mapa final'!$AD$20="Menor"),CONCATENATE("R6C",'Mapa final'!$R$20),"")</f>
        <v/>
      </c>
      <c r="O161" s="111" t="str">
        <f>IF(AND('Mapa final'!$AB$21="Baja",'Mapa final'!$AD$21="Menor"),CONCATENATE("R6C",'Mapa final'!$R$21),"")</f>
        <v/>
      </c>
      <c r="P161" s="49" t="str">
        <f>IF(AND('Mapa final'!$AB$19="Baja",'Mapa final'!$AD$19="Moderado"),CONCATENATE("R6C",'Mapa final'!$R$19),"")</f>
        <v/>
      </c>
      <c r="Q161" s="50" t="str">
        <f>IF(AND('Mapa final'!$AB$20="Baja",'Mapa final'!$AD$20="Moderado"),CONCATENATE("R6C",'Mapa final'!$R$20),"")</f>
        <v/>
      </c>
      <c r="R161" s="111" t="str">
        <f>IF(AND('Mapa final'!$AB$21="Baja",'Mapa final'!$AD$21="Moderado"),CONCATENATE("R6C",'Mapa final'!$R$21),"")</f>
        <v/>
      </c>
      <c r="S161" s="105" t="str">
        <f>IF(AND('Mapa final'!$AB$19="Baja",'Mapa final'!$AD$19="Mayor"),CONCATENATE("R6C",'Mapa final'!$R$19),"")</f>
        <v/>
      </c>
      <c r="T161" s="42" t="str">
        <f>IF(AND('Mapa final'!$AB$20="Baja",'Mapa final'!$AD$20="Mayor"),CONCATENATE("R6C",'Mapa final'!$R$20),"")</f>
        <v/>
      </c>
      <c r="U161" s="106" t="str">
        <f>IF(AND('Mapa final'!$AB$21="Baja",'Mapa final'!$AD$21="Mayor"),CONCATENATE("R6C",'Mapa final'!$R$21),"")</f>
        <v/>
      </c>
      <c r="V161" s="43" t="str">
        <f>IF(AND('Mapa final'!$AB$19="Baja",'Mapa final'!$AD$19="Catastrófico"),CONCATENATE("R6C",'Mapa final'!$R$19),"")</f>
        <v/>
      </c>
      <c r="W161" s="44" t="str">
        <f>IF(AND('Mapa final'!$AB$20="Baja",'Mapa final'!$AD$20="Catastrófico"),CONCATENATE("R6C",'Mapa final'!$R$20),"")</f>
        <v/>
      </c>
      <c r="X161" s="100" t="str">
        <f>IF(AND('Mapa final'!$AB$21="Baja",'Mapa final'!$AD$21="Catastrófico"),CONCATENATE("R6C",'Mapa final'!$R$21),"")</f>
        <v/>
      </c>
      <c r="Y161" s="56"/>
      <c r="Z161" s="305"/>
      <c r="AA161" s="306"/>
      <c r="AB161" s="306"/>
      <c r="AC161" s="306"/>
      <c r="AD161" s="306"/>
      <c r="AE161" s="307"/>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35">
      <c r="A162" s="56"/>
      <c r="B162" s="300"/>
      <c r="C162" s="300"/>
      <c r="D162" s="301"/>
      <c r="E162" s="287"/>
      <c r="F162" s="288"/>
      <c r="G162" s="288"/>
      <c r="H162" s="288"/>
      <c r="I162" s="288"/>
      <c r="J162" s="115" t="str">
        <f>IF(AND('Mapa final'!$AB$22="Baja",'Mapa final'!$AD$22="Leve"),CONCATENATE("R7C",'Mapa final'!$R$22),"")</f>
        <v/>
      </c>
      <c r="K162" s="54" t="str">
        <f>IF(AND('Mapa final'!$AB$23="Baja",'Mapa final'!$AD$23="Leve"),CONCATENATE("R7C",'Mapa final'!$R$23),"")</f>
        <v/>
      </c>
      <c r="L162" s="116" t="str">
        <f>IF(AND('Mapa final'!$AB$24="Baja",'Mapa final'!$AD$24="Leve"),CONCATENATE("R7C",'Mapa final'!$R$24),"")</f>
        <v/>
      </c>
      <c r="M162" s="49" t="str">
        <f>IF(AND('Mapa final'!$AB$22="Baja",'Mapa final'!$AD$22="Menor"),CONCATENATE("R7C",'Mapa final'!$R$22),"")</f>
        <v/>
      </c>
      <c r="N162" s="50" t="str">
        <f>IF(AND('Mapa final'!$AB$23="Baja",'Mapa final'!$AD$23="Menor"),CONCATENATE("R7C",'Mapa final'!$R$23),"")</f>
        <v/>
      </c>
      <c r="O162" s="111" t="str">
        <f>IF(AND('Mapa final'!$AB$24="Baja",'Mapa final'!$AD$24="Menor"),CONCATENATE("R7C",'Mapa final'!$R$24),"")</f>
        <v/>
      </c>
      <c r="P162" s="49" t="str">
        <f>IF(AND('Mapa final'!$AB$22="Baja",'Mapa final'!$AD$22="Moderado"),CONCATENATE("R7C",'Mapa final'!$R$22),"")</f>
        <v/>
      </c>
      <c r="Q162" s="50" t="str">
        <f>IF(AND('Mapa final'!$AB$23="Baja",'Mapa final'!$AD$23="Moderado"),CONCATENATE("R7C",'Mapa final'!$R$23),"")</f>
        <v/>
      </c>
      <c r="R162" s="111" t="str">
        <f>IF(AND('Mapa final'!$AB$24="Baja",'Mapa final'!$AD$24="Moderado"),CONCATENATE("R7C",'Mapa final'!$R$24),"")</f>
        <v/>
      </c>
      <c r="S162" s="105" t="str">
        <f>IF(AND('Mapa final'!$AB$22="Baja",'Mapa final'!$AD$22="Mayor"),CONCATENATE("R7C",'Mapa final'!$R$22),"")</f>
        <v/>
      </c>
      <c r="T162" s="42" t="str">
        <f>IF(AND('Mapa final'!$AB$23="Baja",'Mapa final'!$AD$23="Mayor"),CONCATENATE("R7C",'Mapa final'!$R$23),"")</f>
        <v/>
      </c>
      <c r="U162" s="106" t="str">
        <f>IF(AND('Mapa final'!$AB$24="Baja",'Mapa final'!$AD$24="Mayor"),CONCATENATE("R7C",'Mapa final'!$R$24),"")</f>
        <v/>
      </c>
      <c r="V162" s="43" t="str">
        <f>IF(AND('Mapa final'!$AB$22="Baja",'Mapa final'!$AD$22="Catastrófico"),CONCATENATE("R7C",'Mapa final'!$R$22),"")</f>
        <v/>
      </c>
      <c r="W162" s="44" t="str">
        <f>IF(AND('Mapa final'!$AB$23="Baja",'Mapa final'!$AD$23="Catastrófico"),CONCATENATE("R7C",'Mapa final'!$R$23),"")</f>
        <v/>
      </c>
      <c r="X162" s="100" t="str">
        <f>IF(AND('Mapa final'!$AB$24="Baja",'Mapa final'!$AD$24="Catastrófico"),CONCATENATE("R7C",'Mapa final'!$R$24),"")</f>
        <v/>
      </c>
      <c r="Y162" s="56"/>
      <c r="Z162" s="305"/>
      <c r="AA162" s="306"/>
      <c r="AB162" s="306"/>
      <c r="AC162" s="306"/>
      <c r="AD162" s="306"/>
      <c r="AE162" s="307"/>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35">
      <c r="A163" s="56"/>
      <c r="B163" s="300"/>
      <c r="C163" s="300"/>
      <c r="D163" s="301"/>
      <c r="E163" s="287"/>
      <c r="F163" s="288"/>
      <c r="G163" s="288"/>
      <c r="H163" s="288"/>
      <c r="I163" s="288"/>
      <c r="J163" s="115" t="str">
        <f>IF(AND('Mapa final'!$AB$25="Baja",'Mapa final'!$AD$25="Leve"),CONCATENATE("R8C",'Mapa final'!$R$25),"")</f>
        <v/>
      </c>
      <c r="K163" s="54" t="str">
        <f>IF(AND('Mapa final'!$AB$26="Baja",'Mapa final'!$AD$26="Leve"),CONCATENATE("R8C",'Mapa final'!$R$26),"")</f>
        <v/>
      </c>
      <c r="L163" s="116" t="str">
        <f>IF(AND('Mapa final'!$AB$27="Baja",'Mapa final'!$AD$27="Leve"),CONCATENATE("R8C",'Mapa final'!$R$27),"")</f>
        <v/>
      </c>
      <c r="M163" s="49" t="str">
        <f>IF(AND('Mapa final'!$AB$25="Baja",'Mapa final'!$AD$25="Menor"),CONCATENATE("R8C",'Mapa final'!$R$25),"")</f>
        <v/>
      </c>
      <c r="N163" s="50" t="str">
        <f>IF(AND('Mapa final'!$AB$26="Baja",'Mapa final'!$AD$26="Menor"),CONCATENATE("R8C",'Mapa final'!$R$26),"")</f>
        <v/>
      </c>
      <c r="O163" s="111" t="str">
        <f>IF(AND('Mapa final'!$AB$27="Baja",'Mapa final'!$AD$27="Menor"),CONCATENATE("R8C",'Mapa final'!$R$27),"")</f>
        <v/>
      </c>
      <c r="P163" s="49" t="str">
        <f>IF(AND('Mapa final'!$AB$25="Baja",'Mapa final'!$AD$25="Moderado"),CONCATENATE("R8C",'Mapa final'!$R$25),"")</f>
        <v/>
      </c>
      <c r="Q163" s="50" t="str">
        <f>IF(AND('Mapa final'!$AB$26="Baja",'Mapa final'!$AD$26="Moderado"),CONCATENATE("R8C",'Mapa final'!$R$26),"")</f>
        <v/>
      </c>
      <c r="R163" s="111" t="str">
        <f>IF(AND('Mapa final'!$AB$27="Baja",'Mapa final'!$AD$27="Moderado"),CONCATENATE("R8C",'Mapa final'!$R$27),"")</f>
        <v/>
      </c>
      <c r="S163" s="105" t="str">
        <f>IF(AND('Mapa final'!$AB$25="Baja",'Mapa final'!$AD$25="Mayor"),CONCATENATE("R8C",'Mapa final'!$R$25),"")</f>
        <v/>
      </c>
      <c r="T163" s="42" t="str">
        <f>IF(AND('Mapa final'!$AB$26="Baja",'Mapa final'!$AD$26="Mayor"),CONCATENATE("R8C",'Mapa final'!$R$26),"")</f>
        <v/>
      </c>
      <c r="U163" s="106" t="str">
        <f>IF(AND('Mapa final'!$AB$27="Baja",'Mapa final'!$AD$27="Mayor"),CONCATENATE("R8C",'Mapa final'!$R$27),"")</f>
        <v/>
      </c>
      <c r="V163" s="43" t="str">
        <f>IF(AND('Mapa final'!$AB$25="Baja",'Mapa final'!$AD$25="Catastrófico"),CONCATENATE("R8C",'Mapa final'!$R$25),"")</f>
        <v/>
      </c>
      <c r="W163" s="44" t="str">
        <f>IF(AND('Mapa final'!$AB$26="Baja",'Mapa final'!$AD$26="Catastrófico"),CONCATENATE("R8C",'Mapa final'!$R$26),"")</f>
        <v/>
      </c>
      <c r="X163" s="100" t="str">
        <f>IF(AND('Mapa final'!$AB$27="Baja",'Mapa final'!$AD$27="Catastrófico"),CONCATENATE("R8C",'Mapa final'!$R$27),"")</f>
        <v/>
      </c>
      <c r="Y163" s="56"/>
      <c r="Z163" s="305"/>
      <c r="AA163" s="306"/>
      <c r="AB163" s="306"/>
      <c r="AC163" s="306"/>
      <c r="AD163" s="306"/>
      <c r="AE163" s="307"/>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35">
      <c r="A164" s="56"/>
      <c r="B164" s="300"/>
      <c r="C164" s="300"/>
      <c r="D164" s="301"/>
      <c r="E164" s="287"/>
      <c r="F164" s="288"/>
      <c r="G164" s="288"/>
      <c r="H164" s="288"/>
      <c r="I164" s="288"/>
      <c r="J164" s="115" t="str">
        <f>IF(AND('Mapa final'!$AB$28="Baja",'Mapa final'!$AD$28="Leve"),CONCATENATE("R9C",'Mapa final'!$R$28),"")</f>
        <v/>
      </c>
      <c r="K164" s="54" t="str">
        <f>IF(AND('Mapa final'!$AB$29="Baja",'Mapa final'!$AD$29="Leve"),CONCATENATE("R9C",'Mapa final'!$R$29),"")</f>
        <v/>
      </c>
      <c r="L164" s="116" t="str">
        <f>IF(AND('Mapa final'!$AB$30="Baja",'Mapa final'!$AD$30="Leve"),CONCATENATE("R9C",'Mapa final'!$R$30),"")</f>
        <v/>
      </c>
      <c r="M164" s="49" t="str">
        <f>IF(AND('Mapa final'!$AB$28="Baja",'Mapa final'!$AD$28="Menor"),CONCATENATE("R9C",'Mapa final'!$R$28),"")</f>
        <v/>
      </c>
      <c r="N164" s="50" t="str">
        <f>IF(AND('Mapa final'!$AB$29="Baja",'Mapa final'!$AD$29="Menor"),CONCATENATE("R9C",'Mapa final'!$R$29),"")</f>
        <v/>
      </c>
      <c r="O164" s="111" t="str">
        <f>IF(AND('Mapa final'!$AB$30="Baja",'Mapa final'!$AD$30="Menor"),CONCATENATE("R9C",'Mapa final'!$R$30),"")</f>
        <v/>
      </c>
      <c r="P164" s="49" t="str">
        <f>IF(AND('Mapa final'!$AB$28="Baja",'Mapa final'!$AD$28="Moderado"),CONCATENATE("R9C",'Mapa final'!$R$28),"")</f>
        <v/>
      </c>
      <c r="Q164" s="50" t="str">
        <f>IF(AND('Mapa final'!$AB$29="Baja",'Mapa final'!$AD$29="Moderado"),CONCATENATE("R9C",'Mapa final'!$R$29),"")</f>
        <v/>
      </c>
      <c r="R164" s="111" t="str">
        <f>IF(AND('Mapa final'!$AB$30="Baja",'Mapa final'!$AD$30="Moderado"),CONCATENATE("R9C",'Mapa final'!$R$30),"")</f>
        <v/>
      </c>
      <c r="S164" s="105" t="str">
        <f>IF(AND('Mapa final'!$AB$28="Baja",'Mapa final'!$AD$28="Mayor"),CONCATENATE("R9C",'Mapa final'!$R$28),"")</f>
        <v/>
      </c>
      <c r="T164" s="42" t="str">
        <f>IF(AND('Mapa final'!$AB$29="Baja",'Mapa final'!$AD$29="Mayor"),CONCATENATE("R9C",'Mapa final'!$R$29),"")</f>
        <v>R9C2</v>
      </c>
      <c r="U164" s="106" t="str">
        <f>IF(AND('Mapa final'!$AB$30="Baja",'Mapa final'!$AD$30="Mayor"),CONCATENATE("R9C",'Mapa final'!$R$30),"")</f>
        <v/>
      </c>
      <c r="V164" s="43" t="str">
        <f>IF(AND('Mapa final'!$AB$28="Baja",'Mapa final'!$AD$28="Catastrófico"),CONCATENATE("R9C",'Mapa final'!$R$28),"")</f>
        <v/>
      </c>
      <c r="W164" s="44" t="str">
        <f>IF(AND('Mapa final'!$AB$29="Baja",'Mapa final'!$AD$29="Catastrófico"),CONCATENATE("R9C",'Mapa final'!$R$29),"")</f>
        <v/>
      </c>
      <c r="X164" s="100" t="str">
        <f>IF(AND('Mapa final'!$AB$30="Baja",'Mapa final'!$AD$30="Catastrófico"),CONCATENATE("R9C",'Mapa final'!$R$30),"")</f>
        <v/>
      </c>
      <c r="Y164" s="56"/>
      <c r="Z164" s="305"/>
      <c r="AA164" s="306"/>
      <c r="AB164" s="306"/>
      <c r="AC164" s="306"/>
      <c r="AD164" s="306"/>
      <c r="AE164" s="307"/>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35">
      <c r="A165" s="56"/>
      <c r="B165" s="300"/>
      <c r="C165" s="300"/>
      <c r="D165" s="301"/>
      <c r="E165" s="287"/>
      <c r="F165" s="288"/>
      <c r="G165" s="288"/>
      <c r="H165" s="288"/>
      <c r="I165" s="288"/>
      <c r="J165" s="115" t="str">
        <f>IF(AND('Mapa final'!$AB$31="Baja",'Mapa final'!$AD$31="Leve"),CONCATENATE("R10C",'Mapa final'!$R$31),"")</f>
        <v/>
      </c>
      <c r="K165" s="54" t="str">
        <f>IF(AND('Mapa final'!$AB$32="Baja",'Mapa final'!$AD$32="Leve"),CONCATENATE("R10C",'Mapa final'!$R$32),"")</f>
        <v/>
      </c>
      <c r="L165" s="116" t="str">
        <f>IF(AND('Mapa final'!$AB$33="Baja",'Mapa final'!$AD$33="Leve"),CONCATENATE("R10C",'Mapa final'!$R$33),"")</f>
        <v/>
      </c>
      <c r="M165" s="49" t="str">
        <f>IF(AND('Mapa final'!$AB$31="Baja",'Mapa final'!$AD$31="Menor"),CONCATENATE("R10C",'Mapa final'!$R$31),"")</f>
        <v/>
      </c>
      <c r="N165" s="50" t="str">
        <f>IF(AND('Mapa final'!$AB$32="Baja",'Mapa final'!$AD$32="Menor"),CONCATENATE("R10C",'Mapa final'!$R$32),"")</f>
        <v/>
      </c>
      <c r="O165" s="111" t="str">
        <f>IF(AND('Mapa final'!$AB$33="Baja",'Mapa final'!$AD$33="Menor"),CONCATENATE("R10C",'Mapa final'!$R$33),"")</f>
        <v/>
      </c>
      <c r="P165" s="49" t="str">
        <f>IF(AND('Mapa final'!$AB$31="Baja",'Mapa final'!$AD$31="Moderado"),CONCATENATE("R10C",'Mapa final'!$R$31),"")</f>
        <v/>
      </c>
      <c r="Q165" s="50" t="str">
        <f>IF(AND('Mapa final'!$AB$32="Baja",'Mapa final'!$AD$32="Moderado"),CONCATENATE("R10C",'Mapa final'!$R$32),"")</f>
        <v>R10C2</v>
      </c>
      <c r="R165" s="111" t="str">
        <f>IF(AND('Mapa final'!$AB$33="Baja",'Mapa final'!$AD$33="Moderado"),CONCATENATE("R10C",'Mapa final'!$R$33),"")</f>
        <v>R10C3</v>
      </c>
      <c r="S165" s="105" t="str">
        <f>IF(AND('Mapa final'!$AB$31="Baja",'Mapa final'!$AD$31="Mayor"),CONCATENATE("R10C",'Mapa final'!$R$31),"")</f>
        <v/>
      </c>
      <c r="T165" s="42" t="str">
        <f>IF(AND('Mapa final'!$AB$32="Baja",'Mapa final'!$AD$32="Mayor"),CONCATENATE("R10C",'Mapa final'!$R$32),"")</f>
        <v/>
      </c>
      <c r="U165" s="106" t="str">
        <f>IF(AND('Mapa final'!$AB$33="Baja",'Mapa final'!$AD$33="Mayor"),CONCATENATE("R10C",'Mapa final'!$R$33),"")</f>
        <v/>
      </c>
      <c r="V165" s="43" t="str">
        <f>IF(AND('Mapa final'!$AB$31="Baja",'Mapa final'!$AD$31="Catastrófico"),CONCATENATE("R10C",'Mapa final'!$R$31),"")</f>
        <v/>
      </c>
      <c r="W165" s="44" t="str">
        <f>IF(AND('Mapa final'!$AB$32="Baja",'Mapa final'!$AD$32="Catastrófico"),CONCATENATE("R10C",'Mapa final'!$R$32),"")</f>
        <v/>
      </c>
      <c r="X165" s="100" t="str">
        <f>IF(AND('Mapa final'!$AB$33="Baja",'Mapa final'!$AD$33="Catastrófico"),CONCATENATE("R10C",'Mapa final'!$R$33),"")</f>
        <v/>
      </c>
      <c r="Y165" s="56"/>
      <c r="Z165" s="305"/>
      <c r="AA165" s="306"/>
      <c r="AB165" s="306"/>
      <c r="AC165" s="306"/>
      <c r="AD165" s="306"/>
      <c r="AE165" s="307"/>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35">
      <c r="A166" s="56"/>
      <c r="B166" s="300"/>
      <c r="C166" s="300"/>
      <c r="D166" s="301"/>
      <c r="E166" s="287"/>
      <c r="F166" s="288"/>
      <c r="G166" s="288"/>
      <c r="H166" s="288"/>
      <c r="I166" s="288"/>
      <c r="J166" s="115" t="str">
        <f>IF(AND('Mapa final'!$AB$34="Baja",'Mapa final'!$AD$34="Leve"),CONCATENATE("R11C",'Mapa final'!$R$34),"")</f>
        <v/>
      </c>
      <c r="K166" s="54" t="str">
        <f>IF(AND('Mapa final'!$AB$35="Baja",'Mapa final'!$AD$35="Leve"),CONCATENATE("R11C",'Mapa final'!$R$35),"")</f>
        <v/>
      </c>
      <c r="L166" s="116" t="str">
        <f>IF(AND('Mapa final'!$AB$36="Baja",'Mapa final'!$AD$36="Leve"),CONCATENATE("R11C",'Mapa final'!$R$36),"")</f>
        <v/>
      </c>
      <c r="M166" s="49" t="str">
        <f>IF(AND('Mapa final'!$AB$34="Baja",'Mapa final'!$AD$34="Menor"),CONCATENATE("R11C",'Mapa final'!$R$34),"")</f>
        <v/>
      </c>
      <c r="N166" s="50" t="str">
        <f>IF(AND('Mapa final'!$AB$35="Baja",'Mapa final'!$AD$35="Menor"),CONCATENATE("R11C",'Mapa final'!$R$35),"")</f>
        <v/>
      </c>
      <c r="O166" s="111" t="str">
        <f>IF(AND('Mapa final'!$AB$36="Baja",'Mapa final'!$AD$36="Menor"),CONCATENATE("R11C",'Mapa final'!$R$36),"")</f>
        <v/>
      </c>
      <c r="P166" s="49" t="str">
        <f>IF(AND('Mapa final'!$AB$34="Baja",'Mapa final'!$AD$34="Moderado"),CONCATENATE("R11C",'Mapa final'!$R$34),"")</f>
        <v/>
      </c>
      <c r="Q166" s="50" t="str">
        <f>IF(AND('Mapa final'!$AB$35="Baja",'Mapa final'!$AD$35="Moderado"),CONCATENATE("R11C",'Mapa final'!$R$35),"")</f>
        <v/>
      </c>
      <c r="R166" s="111" t="str">
        <f>IF(AND('Mapa final'!$AB$36="Baja",'Mapa final'!$AD$36="Moderado"),CONCATENATE("R11C",'Mapa final'!$R$36),"")</f>
        <v/>
      </c>
      <c r="S166" s="105" t="str">
        <f>IF(AND('Mapa final'!$AB$34="Baja",'Mapa final'!$AD$34="Mayor"),CONCATENATE("R11C",'Mapa final'!$R$34),"")</f>
        <v>R11C1</v>
      </c>
      <c r="T166" s="42" t="str">
        <f>IF(AND('Mapa final'!$AB$35="Baja",'Mapa final'!$AD$35="Mayor"),CONCATENATE("R11C",'Mapa final'!$R$35),"")</f>
        <v/>
      </c>
      <c r="U166" s="106" t="str">
        <f>IF(AND('Mapa final'!$AB$36="Baja",'Mapa final'!$AD$36="Mayor"),CONCATENATE("R11C",'Mapa final'!$R$36),"")</f>
        <v/>
      </c>
      <c r="V166" s="43" t="str">
        <f>IF(AND('Mapa final'!$AB$34="Baja",'Mapa final'!$AD$34="Catastrófico"),CONCATENATE("R11C",'Mapa final'!$R$34),"")</f>
        <v/>
      </c>
      <c r="W166" s="44" t="str">
        <f>IF(AND('Mapa final'!$AB$35="Baja",'Mapa final'!$AD$35="Catastrófico"),CONCATENATE("R11C",'Mapa final'!$R$35),"")</f>
        <v/>
      </c>
      <c r="X166" s="100" t="str">
        <f>IF(AND('Mapa final'!$AB$36="Baja",'Mapa final'!$AD$36="Catastrófico"),CONCATENATE("R11C",'Mapa final'!$R$36),"")</f>
        <v/>
      </c>
      <c r="Y166" s="56"/>
      <c r="Z166" s="305"/>
      <c r="AA166" s="306"/>
      <c r="AB166" s="306"/>
      <c r="AC166" s="306"/>
      <c r="AD166" s="306"/>
      <c r="AE166" s="307"/>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35">
      <c r="A167" s="56"/>
      <c r="B167" s="300"/>
      <c r="C167" s="300"/>
      <c r="D167" s="301"/>
      <c r="E167" s="287"/>
      <c r="F167" s="288"/>
      <c r="G167" s="288"/>
      <c r="H167" s="288"/>
      <c r="I167" s="288"/>
      <c r="J167" s="115" t="str">
        <f>IF(AND('Mapa final'!$AB$37="Baja",'Mapa final'!$AD$37="Leve"),CONCATENATE("R12C",'Mapa final'!$R$37),"")</f>
        <v/>
      </c>
      <c r="K167" s="54" t="str">
        <f>IF(AND('Mapa final'!$AB$38="Baja",'Mapa final'!$AD$38="Leve"),CONCATENATE("R12C",'Mapa final'!$R$38),"")</f>
        <v/>
      </c>
      <c r="L167" s="116" t="str">
        <f>IF(AND('Mapa final'!$AB$39="Baja",'Mapa final'!$AD$39="Leve"),CONCATENATE("R12C",'Mapa final'!$R$39),"")</f>
        <v/>
      </c>
      <c r="M167" s="49" t="str">
        <f>IF(AND('Mapa final'!$AB$37="Baja",'Mapa final'!$AD$37="Menor"),CONCATENATE("R12C",'Mapa final'!$R$37),"")</f>
        <v/>
      </c>
      <c r="N167" s="50" t="str">
        <f>IF(AND('Mapa final'!$AB$38="Baja",'Mapa final'!$AD$38="Menor"),CONCATENATE("R12C",'Mapa final'!$R$38),"")</f>
        <v/>
      </c>
      <c r="O167" s="111" t="str">
        <f>IF(AND('Mapa final'!$AB$39="Baja",'Mapa final'!$AD$39="Menor"),CONCATENATE("R12C",'Mapa final'!$R$39),"")</f>
        <v/>
      </c>
      <c r="P167" s="49" t="str">
        <f>IF(AND('Mapa final'!$AB$37="Baja",'Mapa final'!$AD$37="Moderado"),CONCATENATE("R12C",'Mapa final'!$R$37),"")</f>
        <v>R12C1</v>
      </c>
      <c r="Q167" s="50" t="str">
        <f>IF(AND('Mapa final'!$AB$38="Baja",'Mapa final'!$AD$38="Moderado"),CONCATENATE("R12C",'Mapa final'!$R$38),"")</f>
        <v/>
      </c>
      <c r="R167" s="111" t="str">
        <f>IF(AND('Mapa final'!$AB$39="Baja",'Mapa final'!$AD$39="Moderado"),CONCATENATE("R12C",'Mapa final'!$R$39),"")</f>
        <v/>
      </c>
      <c r="S167" s="105" t="str">
        <f>IF(AND('Mapa final'!$AB$37="Baja",'Mapa final'!$AD$37="Mayor"),CONCATENATE("R12C",'Mapa final'!$R$37),"")</f>
        <v/>
      </c>
      <c r="T167" s="42" t="str">
        <f>IF(AND('Mapa final'!$AB$38="Baja",'Mapa final'!$AD$38="Mayor"),CONCATENATE("R12C",'Mapa final'!$R$38),"")</f>
        <v/>
      </c>
      <c r="U167" s="106" t="str">
        <f>IF(AND('Mapa final'!$AB$39="Baja",'Mapa final'!$AD$39="Mayor"),CONCATENATE("R12C",'Mapa final'!$R$39),"")</f>
        <v/>
      </c>
      <c r="V167" s="43" t="str">
        <f>IF(AND('Mapa final'!$AB$37="Baja",'Mapa final'!$AD$37="Catastrófico"),CONCATENATE("R12C",'Mapa final'!$R$37),"")</f>
        <v/>
      </c>
      <c r="W167" s="44" t="str">
        <f>IF(AND('Mapa final'!$AB$38="Baja",'Mapa final'!$AD$38="Catastrófico"),CONCATENATE("R12C",'Mapa final'!$R$38),"")</f>
        <v/>
      </c>
      <c r="X167" s="100" t="str">
        <f>IF(AND('Mapa final'!$AB$39="Baja",'Mapa final'!$AD$39="Catastrófico"),CONCATENATE("R12C",'Mapa final'!$R$39),"")</f>
        <v/>
      </c>
      <c r="Y167" s="56"/>
      <c r="Z167" s="305"/>
      <c r="AA167" s="306"/>
      <c r="AB167" s="306"/>
      <c r="AC167" s="306"/>
      <c r="AD167" s="306"/>
      <c r="AE167" s="307"/>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35">
      <c r="A168" s="56"/>
      <c r="B168" s="300"/>
      <c r="C168" s="300"/>
      <c r="D168" s="301"/>
      <c r="E168" s="287"/>
      <c r="F168" s="288"/>
      <c r="G168" s="288"/>
      <c r="H168" s="288"/>
      <c r="I168" s="288"/>
      <c r="J168" s="115" t="str">
        <f>IF(AND('Mapa final'!$AB$40="Baja",'Mapa final'!$AD$40="Leve"),CONCATENATE("R13C",'Mapa final'!$R$40),"")</f>
        <v/>
      </c>
      <c r="K168" s="54" t="str">
        <f>IF(AND('Mapa final'!$AB$41="Baja",'Mapa final'!$AD$41="Leve"),CONCATENATE("R13C",'Mapa final'!$R$41),"")</f>
        <v/>
      </c>
      <c r="L168" s="116" t="str">
        <f>IF(AND('Mapa final'!$AB$42="Baja",'Mapa final'!$AD$42="Leve"),CONCATENATE("R13C",'Mapa final'!$R$42),"")</f>
        <v/>
      </c>
      <c r="M168" s="49" t="str">
        <f>IF(AND('Mapa final'!$AB$40="Baja",'Mapa final'!$AD$40="Menor"),CONCATENATE("R13C",'Mapa final'!$R$40),"")</f>
        <v/>
      </c>
      <c r="N168" s="50" t="str">
        <f>IF(AND('Mapa final'!$AB$41="Baja",'Mapa final'!$AD$41="Menor"),CONCATENATE("R13C",'Mapa final'!$R$41),"")</f>
        <v/>
      </c>
      <c r="O168" s="111" t="str">
        <f>IF(AND('Mapa final'!$AB$42="Baja",'Mapa final'!$AD$42="Menor"),CONCATENATE("R13C",'Mapa final'!$R$42),"")</f>
        <v/>
      </c>
      <c r="P168" s="49" t="str">
        <f>IF(AND('Mapa final'!$AB$40="Baja",'Mapa final'!$AD$40="Moderado"),CONCATENATE("R13C",'Mapa final'!$R$40),"")</f>
        <v/>
      </c>
      <c r="Q168" s="50" t="str">
        <f>IF(AND('Mapa final'!$AB$41="Baja",'Mapa final'!$AD$41="Moderado"),CONCATENATE("R13C",'Mapa final'!$R$41),"")</f>
        <v/>
      </c>
      <c r="R168" s="111" t="str">
        <f>IF(AND('Mapa final'!$AB$42="Baja",'Mapa final'!$AD$42="Moderado"),CONCATENATE("R13C",'Mapa final'!$R$42),"")</f>
        <v/>
      </c>
      <c r="S168" s="105" t="str">
        <f>IF(AND('Mapa final'!$AB$40="Baja",'Mapa final'!$AD$40="Mayor"),CONCATENATE("R13C",'Mapa final'!$R$40),"")</f>
        <v/>
      </c>
      <c r="T168" s="42" t="str">
        <f>IF(AND('Mapa final'!$AB$41="Baja",'Mapa final'!$AD$41="Mayor"),CONCATENATE("R13C",'Mapa final'!$R$41),"")</f>
        <v/>
      </c>
      <c r="U168" s="106" t="str">
        <f>IF(AND('Mapa final'!$AB$42="Baja",'Mapa final'!$AD$42="Mayor"),CONCATENATE("R13C",'Mapa final'!$R$42),"")</f>
        <v/>
      </c>
      <c r="V168" s="43" t="str">
        <f>IF(AND('Mapa final'!$AB$40="Baja",'Mapa final'!$AD$40="Catastrófico"),CONCATENATE("R13C",'Mapa final'!$R$40),"")</f>
        <v/>
      </c>
      <c r="W168" s="44" t="str">
        <f>IF(AND('Mapa final'!$AB$41="Baja",'Mapa final'!$AD$41="Catastrófico"),CONCATENATE("R13C",'Mapa final'!$R$41),"")</f>
        <v/>
      </c>
      <c r="X168" s="100" t="str">
        <f>IF(AND('Mapa final'!$AB$42="Baja",'Mapa final'!$AD$42="Catastrófico"),CONCATENATE("R13C",'Mapa final'!$R$42),"")</f>
        <v/>
      </c>
      <c r="Y168" s="56"/>
      <c r="Z168" s="305"/>
      <c r="AA168" s="306"/>
      <c r="AB168" s="306"/>
      <c r="AC168" s="306"/>
      <c r="AD168" s="306"/>
      <c r="AE168" s="307"/>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35">
      <c r="A169" s="56"/>
      <c r="B169" s="300"/>
      <c r="C169" s="300"/>
      <c r="D169" s="301"/>
      <c r="E169" s="287"/>
      <c r="F169" s="288"/>
      <c r="G169" s="288"/>
      <c r="H169" s="288"/>
      <c r="I169" s="288"/>
      <c r="J169" s="115" t="str">
        <f>IF(AND('Mapa final'!$AB$43="Baja",'Mapa final'!$AD$43="Leve"),CONCATENATE("R14C",'Mapa final'!$R$43),"")</f>
        <v/>
      </c>
      <c r="K169" s="54" t="str">
        <f>IF(AND('Mapa final'!$AB$44="Baja",'Mapa final'!$AD$44="Leve"),CONCATENATE("R14C",'Mapa final'!$R$44),"")</f>
        <v/>
      </c>
      <c r="L169" s="116" t="str">
        <f>IF(AND('Mapa final'!$AB$45="Baja",'Mapa final'!$AD$45="Leve"),CONCATENATE("R14C",'Mapa final'!$R$45),"")</f>
        <v/>
      </c>
      <c r="M169" s="49" t="str">
        <f>IF(AND('Mapa final'!$AB$43="Baja",'Mapa final'!$AD$43="Menor"),CONCATENATE("R14C",'Mapa final'!$R$43),"")</f>
        <v/>
      </c>
      <c r="N169" s="50" t="str">
        <f>IF(AND('Mapa final'!$AB$44="Baja",'Mapa final'!$AD$44="Menor"),CONCATENATE("R14C",'Mapa final'!$R$44),"")</f>
        <v/>
      </c>
      <c r="O169" s="111" t="str">
        <f>IF(AND('Mapa final'!$AB$45="Baja",'Mapa final'!$AD$45="Menor"),CONCATENATE("R14C",'Mapa final'!$R$45),"")</f>
        <v/>
      </c>
      <c r="P169" s="49" t="str">
        <f>IF(AND('Mapa final'!$AB$43="Baja",'Mapa final'!$AD$43="Moderado"),CONCATENATE("R14C",'Mapa final'!$R$43),"")</f>
        <v>R14C1</v>
      </c>
      <c r="Q169" s="50" t="str">
        <f>IF(AND('Mapa final'!$AB$44="Baja",'Mapa final'!$AD$44="Moderado"),CONCATENATE("R14C",'Mapa final'!$R$44),"")</f>
        <v/>
      </c>
      <c r="R169" s="111" t="str">
        <f>IF(AND('Mapa final'!$AB$45="Baja",'Mapa final'!$AD$45="Moderado"),CONCATENATE("R14C",'Mapa final'!$R$45),"")</f>
        <v/>
      </c>
      <c r="S169" s="105" t="str">
        <f>IF(AND('Mapa final'!$AB$43="Baja",'Mapa final'!$AD$43="Mayor"),CONCATENATE("R14C",'Mapa final'!$R$43),"")</f>
        <v/>
      </c>
      <c r="T169" s="42" t="str">
        <f>IF(AND('Mapa final'!$AB$44="Baja",'Mapa final'!$AD$44="Mayor"),CONCATENATE("R14C",'Mapa final'!$R$44),"")</f>
        <v/>
      </c>
      <c r="U169" s="106" t="str">
        <f>IF(AND('Mapa final'!$AB$45="Baja",'Mapa final'!$AD$45="Mayor"),CONCATENATE("R14C",'Mapa final'!$R$45),"")</f>
        <v/>
      </c>
      <c r="V169" s="43" t="str">
        <f>IF(AND('Mapa final'!$AB$43="Baja",'Mapa final'!$AD$43="Catastrófico"),CONCATENATE("R14C",'Mapa final'!$R$43),"")</f>
        <v/>
      </c>
      <c r="W169" s="44" t="str">
        <f>IF(AND('Mapa final'!$AB$44="Baja",'Mapa final'!$AD$44="Catastrófico"),CONCATENATE("R14C",'Mapa final'!$R$44),"")</f>
        <v/>
      </c>
      <c r="X169" s="100" t="str">
        <f>IF(AND('Mapa final'!$AB$45="Baja",'Mapa final'!$AD$45="Catastrófico"),CONCATENATE("R14C",'Mapa final'!$R$45),"")</f>
        <v/>
      </c>
      <c r="Y169" s="56"/>
      <c r="Z169" s="305"/>
      <c r="AA169" s="306"/>
      <c r="AB169" s="306"/>
      <c r="AC169" s="306"/>
      <c r="AD169" s="306"/>
      <c r="AE169" s="307"/>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35">
      <c r="A170" s="56"/>
      <c r="B170" s="300"/>
      <c r="C170" s="300"/>
      <c r="D170" s="301"/>
      <c r="E170" s="287"/>
      <c r="F170" s="288"/>
      <c r="G170" s="288"/>
      <c r="H170" s="288"/>
      <c r="I170" s="288"/>
      <c r="J170" s="115" t="str">
        <f>IF(AND('Mapa final'!$AB$46="Baja",'Mapa final'!$AD$46="Leve"),CONCATENATE("R15C",'Mapa final'!$R$46),"")</f>
        <v/>
      </c>
      <c r="K170" s="54" t="str">
        <f>IF(AND('Mapa final'!$AB$47="Baja",'Mapa final'!$AD$47="Leve"),CONCATENATE("R15C",'Mapa final'!$R$47),"")</f>
        <v/>
      </c>
      <c r="L170" s="116" t="str">
        <f>IF(AND('Mapa final'!$AB$48="Baja",'Mapa final'!$AD$48="Leve"),CONCATENATE("R15C",'Mapa final'!$R$48),"")</f>
        <v/>
      </c>
      <c r="M170" s="49" t="str">
        <f>IF(AND('Mapa final'!$AB$46="Baja",'Mapa final'!$AD$46="Menor"),CONCATENATE("R15C",'Mapa final'!$R$46),"")</f>
        <v/>
      </c>
      <c r="N170" s="50" t="str">
        <f>IF(AND('Mapa final'!$AB$47="Baja",'Mapa final'!$AD$47="Menor"),CONCATENATE("R15C",'Mapa final'!$R$47),"")</f>
        <v/>
      </c>
      <c r="O170" s="111" t="str">
        <f>IF(AND('Mapa final'!$AB$48="Baja",'Mapa final'!$AD$48="Menor"),CONCATENATE("R15C",'Mapa final'!$R$48),"")</f>
        <v/>
      </c>
      <c r="P170" s="49" t="str">
        <f>IF(AND('Mapa final'!$AB$46="Baja",'Mapa final'!$AD$46="Moderado"),CONCATENATE("R15C",'Mapa final'!$R$46),"")</f>
        <v/>
      </c>
      <c r="Q170" s="50" t="str">
        <f>IF(AND('Mapa final'!$AB$47="Baja",'Mapa final'!$AD$47="Moderado"),CONCATENATE("R15C",'Mapa final'!$R$47),"")</f>
        <v/>
      </c>
      <c r="R170" s="111" t="str">
        <f>IF(AND('Mapa final'!$AB$48="Baja",'Mapa final'!$AD$48="Moderado"),CONCATENATE("R15C",'Mapa final'!$R$48),"")</f>
        <v/>
      </c>
      <c r="S170" s="105" t="str">
        <f>IF(AND('Mapa final'!$AB$46="Baja",'Mapa final'!$AD$46="Mayor"),CONCATENATE("R15C",'Mapa final'!$R$46),"")</f>
        <v/>
      </c>
      <c r="T170" s="42" t="str">
        <f>IF(AND('Mapa final'!$AB$47="Baja",'Mapa final'!$AD$47="Mayor"),CONCATENATE("R15C",'Mapa final'!$R$47),"")</f>
        <v/>
      </c>
      <c r="U170" s="106" t="str">
        <f>IF(AND('Mapa final'!$AB$48="Baja",'Mapa final'!$AD$48="Mayor"),CONCATENATE("R15C",'Mapa final'!$R$48),"")</f>
        <v/>
      </c>
      <c r="V170" s="43" t="str">
        <f>IF(AND('Mapa final'!$AB$46="Baja",'Mapa final'!$AD$46="Catastrófico"),CONCATENATE("R15C",'Mapa final'!$R$46),"")</f>
        <v/>
      </c>
      <c r="W170" s="44" t="str">
        <f>IF(AND('Mapa final'!$AB$47="Baja",'Mapa final'!$AD$47="Catastrófico"),CONCATENATE("R15C",'Mapa final'!$R$47),"")</f>
        <v/>
      </c>
      <c r="X170" s="100" t="str">
        <f>IF(AND('Mapa final'!$AB$48="Baja",'Mapa final'!$AD$48="Catastrófico"),CONCATENATE("R15C",'Mapa final'!$R$48),"")</f>
        <v/>
      </c>
      <c r="Y170" s="56"/>
      <c r="Z170" s="305"/>
      <c r="AA170" s="306"/>
      <c r="AB170" s="306"/>
      <c r="AC170" s="306"/>
      <c r="AD170" s="306"/>
      <c r="AE170" s="307"/>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35">
      <c r="A171" s="56"/>
      <c r="B171" s="300"/>
      <c r="C171" s="300"/>
      <c r="D171" s="301"/>
      <c r="E171" s="287"/>
      <c r="F171" s="288"/>
      <c r="G171" s="288"/>
      <c r="H171" s="288"/>
      <c r="I171" s="288"/>
      <c r="J171" s="115" t="str">
        <f>IF(AND('Mapa final'!$AB$49="Baja",'Mapa final'!$AD$49="Leve"),CONCATENATE("R16C",'Mapa final'!$R$49),"")</f>
        <v/>
      </c>
      <c r="K171" s="54" t="str">
        <f>IF(AND('Mapa final'!$AB$50="Baja",'Mapa final'!$AD$50="Leve"),CONCATENATE("R16C",'Mapa final'!$R$50),"")</f>
        <v/>
      </c>
      <c r="L171" s="116" t="str">
        <f>IF(AND('Mapa final'!$AB$51="Baja",'Mapa final'!$AD$51="Leve"),CONCATENATE("R16C",'Mapa final'!$R$51),"")</f>
        <v/>
      </c>
      <c r="M171" s="49" t="str">
        <f>IF(AND('Mapa final'!$AB$49="Baja",'Mapa final'!$AD$49="Menor"),CONCATENATE("R16C",'Mapa final'!$R$49),"")</f>
        <v/>
      </c>
      <c r="N171" s="50" t="str">
        <f>IF(AND('Mapa final'!$AB$50="Baja",'Mapa final'!$AD$50="Menor"),CONCATENATE("R16C",'Mapa final'!$R$50),"")</f>
        <v/>
      </c>
      <c r="O171" s="111" t="str">
        <f>IF(AND('Mapa final'!$AB$51="Baja",'Mapa final'!$AD$51="Menor"),CONCATENATE("R16C",'Mapa final'!$R$51),"")</f>
        <v/>
      </c>
      <c r="P171" s="49" t="str">
        <f>IF(AND('Mapa final'!$AB$49="Baja",'Mapa final'!$AD$49="Moderado"),CONCATENATE("R16C",'Mapa final'!$R$49),"")</f>
        <v>R16C1</v>
      </c>
      <c r="Q171" s="50" t="str">
        <f>IF(AND('Mapa final'!$AB$50="Baja",'Mapa final'!$AD$50="Moderado"),CONCATENATE("R16C",'Mapa final'!$R$50),"")</f>
        <v/>
      </c>
      <c r="R171" s="111" t="str">
        <f>IF(AND('Mapa final'!$AB$51="Baja",'Mapa final'!$AD$51="Moderado"),CONCATENATE("R16C",'Mapa final'!$R$51),"")</f>
        <v/>
      </c>
      <c r="S171" s="105" t="str">
        <f>IF(AND('Mapa final'!$AB$49="Baja",'Mapa final'!$AD$49="Mayor"),CONCATENATE("R16C",'Mapa final'!$R$49),"")</f>
        <v/>
      </c>
      <c r="T171" s="42" t="str">
        <f>IF(AND('Mapa final'!$AB$50="Baja",'Mapa final'!$AD$50="Mayor"),CONCATENATE("R16C",'Mapa final'!$R$50),"")</f>
        <v/>
      </c>
      <c r="U171" s="106" t="str">
        <f>IF(AND('Mapa final'!$AB$51="Baja",'Mapa final'!$AD$51="Mayor"),CONCATENATE("R16C",'Mapa final'!$R$51),"")</f>
        <v/>
      </c>
      <c r="V171" s="43" t="str">
        <f>IF(AND('Mapa final'!$AB$49="Baja",'Mapa final'!$AD$49="Catastrófico"),CONCATENATE("R16C",'Mapa final'!$R$49),"")</f>
        <v/>
      </c>
      <c r="W171" s="44" t="str">
        <f>IF(AND('Mapa final'!$AB$50="Baja",'Mapa final'!$AD$50="Catastrófico"),CONCATENATE("R16C",'Mapa final'!$R$50),"")</f>
        <v/>
      </c>
      <c r="X171" s="100" t="str">
        <f>IF(AND('Mapa final'!$AB$51="Baja",'Mapa final'!$AD$51="Catastrófico"),CONCATENATE("R16C",'Mapa final'!$R$51),"")</f>
        <v/>
      </c>
      <c r="Y171" s="56"/>
      <c r="Z171" s="305"/>
      <c r="AA171" s="306"/>
      <c r="AB171" s="306"/>
      <c r="AC171" s="306"/>
      <c r="AD171" s="306"/>
      <c r="AE171" s="307"/>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35">
      <c r="A172" s="56"/>
      <c r="B172" s="300"/>
      <c r="C172" s="300"/>
      <c r="D172" s="301"/>
      <c r="E172" s="287"/>
      <c r="F172" s="288"/>
      <c r="G172" s="288"/>
      <c r="H172" s="288"/>
      <c r="I172" s="288"/>
      <c r="J172" s="115" t="str">
        <f>IF(AND('Mapa final'!$AB$52="Baja",'Mapa final'!$AD$52="Leve"),CONCATENATE("R17C",'Mapa final'!$R$52),"")</f>
        <v/>
      </c>
      <c r="K172" s="54" t="str">
        <f>IF(AND('Mapa final'!$AB$53="Baja",'Mapa final'!$AD$53="Leve"),CONCATENATE("R17C",'Mapa final'!$R$53),"")</f>
        <v/>
      </c>
      <c r="L172" s="116" t="str">
        <f>IF(AND('Mapa final'!$AB$54="Baja",'Mapa final'!$AD$54="Leve"),CONCATENATE("R17C",'Mapa final'!$R$54),"")</f>
        <v/>
      </c>
      <c r="M172" s="49" t="str">
        <f>IF(AND('Mapa final'!$AB$52="Baja",'Mapa final'!$AD$52="Menor"),CONCATENATE("R17C",'Mapa final'!$R$52),"")</f>
        <v/>
      </c>
      <c r="N172" s="50" t="str">
        <f>IF(AND('Mapa final'!$AB$53="Baja",'Mapa final'!$AD$53="Menor"),CONCATENATE("R17C",'Mapa final'!$R$53),"")</f>
        <v/>
      </c>
      <c r="O172" s="111" t="str">
        <f>IF(AND('Mapa final'!$AB$54="Baja",'Mapa final'!$AD$54="Menor"),CONCATENATE("R17C",'Mapa final'!$R$54),"")</f>
        <v/>
      </c>
      <c r="P172" s="49" t="str">
        <f>IF(AND('Mapa final'!$AB$52="Baja",'Mapa final'!$AD$52="Moderado"),CONCATENATE("R17C",'Mapa final'!$R$52),"")</f>
        <v/>
      </c>
      <c r="Q172" s="50" t="str">
        <f>IF(AND('Mapa final'!$AB$53="Baja",'Mapa final'!$AD$53="Moderado"),CONCATENATE("R17C",'Mapa final'!$R$53),"")</f>
        <v/>
      </c>
      <c r="R172" s="111" t="str">
        <f>IF(AND('Mapa final'!$AB$54="Baja",'Mapa final'!$AD$54="Moderado"),CONCATENATE("R17C",'Mapa final'!$R$54),"")</f>
        <v/>
      </c>
      <c r="S172" s="105" t="str">
        <f>IF(AND('Mapa final'!$AB$52="Baja",'Mapa final'!$AD$52="Mayor"),CONCATENATE("R17C",'Mapa final'!$R$52),"")</f>
        <v/>
      </c>
      <c r="T172" s="42" t="str">
        <f>IF(AND('Mapa final'!$AB$53="Baja",'Mapa final'!$AD$53="Mayor"),CONCATENATE("R17C",'Mapa final'!$R$53),"")</f>
        <v/>
      </c>
      <c r="U172" s="106" t="str">
        <f>IF(AND('Mapa final'!$AB$54="Baja",'Mapa final'!$AD$54="Mayor"),CONCATENATE("R17C",'Mapa final'!$R$54),"")</f>
        <v/>
      </c>
      <c r="V172" s="43" t="str">
        <f>IF(AND('Mapa final'!$AB$52="Baja",'Mapa final'!$AD$52="Catastrófico"),CONCATENATE("R17C",'Mapa final'!$R$52),"")</f>
        <v/>
      </c>
      <c r="W172" s="44" t="str">
        <f>IF(AND('Mapa final'!$AB$53="Baja",'Mapa final'!$AD$53="Catastrófico"),CONCATENATE("R17C",'Mapa final'!$R$53),"")</f>
        <v/>
      </c>
      <c r="X172" s="100" t="str">
        <f>IF(AND('Mapa final'!$AB$54="Baja",'Mapa final'!$AD$54="Catastrófico"),CONCATENATE("R17C",'Mapa final'!$R$54),"")</f>
        <v/>
      </c>
      <c r="Y172" s="56"/>
      <c r="Z172" s="305"/>
      <c r="AA172" s="306"/>
      <c r="AB172" s="306"/>
      <c r="AC172" s="306"/>
      <c r="AD172" s="306"/>
      <c r="AE172" s="307"/>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35">
      <c r="A173" s="56"/>
      <c r="B173" s="300"/>
      <c r="C173" s="300"/>
      <c r="D173" s="301"/>
      <c r="E173" s="287"/>
      <c r="F173" s="288"/>
      <c r="G173" s="288"/>
      <c r="H173" s="288"/>
      <c r="I173" s="288"/>
      <c r="J173" s="115" t="str">
        <f>IF(AND('Mapa final'!$AB$55="Baja",'Mapa final'!$AD$55="Leve"),CONCATENATE("R18C",'Mapa final'!$R$55),"")</f>
        <v/>
      </c>
      <c r="K173" s="54" t="str">
        <f>IF(AND('Mapa final'!$AB$56="Baja",'Mapa final'!$AD$56="Leve"),CONCATENATE("R18C",'Mapa final'!$R$56),"")</f>
        <v/>
      </c>
      <c r="L173" s="116" t="str">
        <f>IF(AND('Mapa final'!$AB$57="Baja",'Mapa final'!$AD$57="Leve"),CONCATENATE("R18C",'Mapa final'!$R$57),"")</f>
        <v/>
      </c>
      <c r="M173" s="49" t="str">
        <f>IF(AND('Mapa final'!$AB$55="Baja",'Mapa final'!$AD$55="Menor"),CONCATENATE("R18C",'Mapa final'!$R$55),"")</f>
        <v/>
      </c>
      <c r="N173" s="50" t="str">
        <f>IF(AND('Mapa final'!$AB$56="Baja",'Mapa final'!$AD$56="Menor"),CONCATENATE("R18C",'Mapa final'!$R$56),"")</f>
        <v/>
      </c>
      <c r="O173" s="111" t="str">
        <f>IF(AND('Mapa final'!$AB$57="Baja",'Mapa final'!$AD$57="Menor"),CONCATENATE("R18C",'Mapa final'!$R$57),"")</f>
        <v/>
      </c>
      <c r="P173" s="49" t="str">
        <f>IF(AND('Mapa final'!$AB$55="Baja",'Mapa final'!$AD$55="Moderado"),CONCATENATE("R18C",'Mapa final'!$R$55),"")</f>
        <v/>
      </c>
      <c r="Q173" s="50" t="str">
        <f>IF(AND('Mapa final'!$AB$56="Baja",'Mapa final'!$AD$56="Moderado"),CONCATENATE("R18C",'Mapa final'!$R$56),"")</f>
        <v>R18C2</v>
      </c>
      <c r="R173" s="111" t="str">
        <f>IF(AND('Mapa final'!$AB$57="Baja",'Mapa final'!$AD$57="Moderado"),CONCATENATE("R18C",'Mapa final'!$R$57),"")</f>
        <v/>
      </c>
      <c r="S173" s="105" t="str">
        <f>IF(AND('Mapa final'!$AB$55="Baja",'Mapa final'!$AD$55="Mayor"),CONCATENATE("R18C",'Mapa final'!$R$55),"")</f>
        <v/>
      </c>
      <c r="T173" s="42" t="str">
        <f>IF(AND('Mapa final'!$AB$56="Baja",'Mapa final'!$AD$56="Mayor"),CONCATENATE("R18C",'Mapa final'!$R$56),"")</f>
        <v/>
      </c>
      <c r="U173" s="106" t="str">
        <f>IF(AND('Mapa final'!$AB$57="Baja",'Mapa final'!$AD$57="Mayor"),CONCATENATE("R18C",'Mapa final'!$R$57),"")</f>
        <v/>
      </c>
      <c r="V173" s="43" t="str">
        <f>IF(AND('Mapa final'!$AB$55="Baja",'Mapa final'!$AD$55="Catastrófico"),CONCATENATE("R18C",'Mapa final'!$R$55),"")</f>
        <v/>
      </c>
      <c r="W173" s="44" t="str">
        <f>IF(AND('Mapa final'!$AB$56="Baja",'Mapa final'!$AD$56="Catastrófico"),CONCATENATE("R18C",'Mapa final'!$R$56),"")</f>
        <v/>
      </c>
      <c r="X173" s="100" t="str">
        <f>IF(AND('Mapa final'!$AB$57="Baja",'Mapa final'!$AD$57="Catastrófico"),CONCATENATE("R18C",'Mapa final'!$R$57),"")</f>
        <v/>
      </c>
      <c r="Y173" s="56"/>
      <c r="Z173" s="305"/>
      <c r="AA173" s="306"/>
      <c r="AB173" s="306"/>
      <c r="AC173" s="306"/>
      <c r="AD173" s="306"/>
      <c r="AE173" s="307"/>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35">
      <c r="A174" s="56"/>
      <c r="B174" s="300"/>
      <c r="C174" s="300"/>
      <c r="D174" s="301"/>
      <c r="E174" s="287"/>
      <c r="F174" s="288"/>
      <c r="G174" s="288"/>
      <c r="H174" s="288"/>
      <c r="I174" s="288"/>
      <c r="J174" s="115" t="str">
        <f>IF(AND('Mapa final'!$AB$58="Baja",'Mapa final'!$AD$58="Leve"),CONCATENATE("R19C",'Mapa final'!$R$58),"")</f>
        <v/>
      </c>
      <c r="K174" s="54" t="str">
        <f>IF(AND('Mapa final'!$AB$59="Baja",'Mapa final'!$AD$59="Leve"),CONCATENATE("R19C",'Mapa final'!$R$59),"")</f>
        <v/>
      </c>
      <c r="L174" s="116" t="str">
        <f>IF(AND('Mapa final'!$AB$60="Baja",'Mapa final'!$AD$60="Leve"),CONCATENATE("R19C",'Mapa final'!$R$60),"")</f>
        <v/>
      </c>
      <c r="M174" s="49" t="str">
        <f>IF(AND('Mapa final'!$AB$58="Baja",'Mapa final'!$AD$58="Menor"),CONCATENATE("R19C",'Mapa final'!$R$58),"")</f>
        <v/>
      </c>
      <c r="N174" s="50" t="str">
        <f>IF(AND('Mapa final'!$AB$59="Baja",'Mapa final'!$AD$59="Menor"),CONCATENATE("R19C",'Mapa final'!$R$59),"")</f>
        <v/>
      </c>
      <c r="O174" s="111" t="str">
        <f>IF(AND('Mapa final'!$AB$60="Baja",'Mapa final'!$AD$60="Menor"),CONCATENATE("R19C",'Mapa final'!$R$60),"")</f>
        <v/>
      </c>
      <c r="P174" s="49" t="str">
        <f>IF(AND('Mapa final'!$AB$58="Baja",'Mapa final'!$AD$58="Moderado"),CONCATENATE("R19C",'Mapa final'!$R$58),"")</f>
        <v/>
      </c>
      <c r="Q174" s="50" t="str">
        <f>IF(AND('Mapa final'!$AB$59="Baja",'Mapa final'!$AD$59="Moderado"),CONCATENATE("R19C",'Mapa final'!$R$59),"")</f>
        <v/>
      </c>
      <c r="R174" s="111" t="str">
        <f>IF(AND('Mapa final'!$AB$60="Baja",'Mapa final'!$AD$60="Moderado"),CONCATENATE("R19C",'Mapa final'!$R$60),"")</f>
        <v/>
      </c>
      <c r="S174" s="105" t="str">
        <f>IF(AND('Mapa final'!$AB$58="Baja",'Mapa final'!$AD$58="Mayor"),CONCATENATE("R19C",'Mapa final'!$R$58),"")</f>
        <v/>
      </c>
      <c r="T174" s="42" t="str">
        <f>IF(AND('Mapa final'!$AB$59="Baja",'Mapa final'!$AD$59="Mayor"),CONCATENATE("R19C",'Mapa final'!$R$59),"")</f>
        <v/>
      </c>
      <c r="U174" s="106" t="str">
        <f>IF(AND('Mapa final'!$AB$60="Baja",'Mapa final'!$AD$60="Mayor"),CONCATENATE("R19C",'Mapa final'!$R$60),"")</f>
        <v/>
      </c>
      <c r="V174" s="43" t="str">
        <f>IF(AND('Mapa final'!$AB$58="Baja",'Mapa final'!$AD$58="Catastrófico"),CONCATENATE("R19C",'Mapa final'!$R$58),"")</f>
        <v/>
      </c>
      <c r="W174" s="44" t="str">
        <f>IF(AND('Mapa final'!$AB$59="Baja",'Mapa final'!$AD$59="Catastrófico"),CONCATENATE("R19C",'Mapa final'!$R$59),"")</f>
        <v/>
      </c>
      <c r="X174" s="100" t="str">
        <f>IF(AND('Mapa final'!$AB$60="Baja",'Mapa final'!$AD$60="Catastrófico"),CONCATENATE("R19C",'Mapa final'!$R$60),"")</f>
        <v/>
      </c>
      <c r="Y174" s="56"/>
      <c r="Z174" s="305"/>
      <c r="AA174" s="306"/>
      <c r="AB174" s="306"/>
      <c r="AC174" s="306"/>
      <c r="AD174" s="306"/>
      <c r="AE174" s="307"/>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35">
      <c r="A175" s="56"/>
      <c r="B175" s="300"/>
      <c r="C175" s="300"/>
      <c r="D175" s="301"/>
      <c r="E175" s="287"/>
      <c r="F175" s="288"/>
      <c r="G175" s="288"/>
      <c r="H175" s="288"/>
      <c r="I175" s="288"/>
      <c r="J175" s="115" t="str">
        <f>IF(AND('Mapa final'!$AB$61="Baja",'Mapa final'!$AD$61="Leve"),CONCATENATE("R20C",'Mapa final'!$R$61),"")</f>
        <v/>
      </c>
      <c r="K175" s="54" t="str">
        <f>IF(AND('Mapa final'!$AB$62="Baja",'Mapa final'!$AD$62="Leve"),CONCATENATE("R20C",'Mapa final'!$R$62),"")</f>
        <v/>
      </c>
      <c r="L175" s="116" t="str">
        <f>IF(AND('Mapa final'!$AB$63="Baja",'Mapa final'!$AD$63="Leve"),CONCATENATE("R20C",'Mapa final'!$R$63),"")</f>
        <v/>
      </c>
      <c r="M175" s="49" t="str">
        <f>IF(AND('Mapa final'!$AB$61="Baja",'Mapa final'!$AD$61="Menor"),CONCATENATE("R20C",'Mapa final'!$R$61),"")</f>
        <v/>
      </c>
      <c r="N175" s="50" t="str">
        <f>IF(AND('Mapa final'!$AB$62="Baja",'Mapa final'!$AD$62="Menor"),CONCATENATE("R20C",'Mapa final'!$R$62),"")</f>
        <v/>
      </c>
      <c r="O175" s="111" t="str">
        <f>IF(AND('Mapa final'!$AB$63="Baja",'Mapa final'!$AD$63="Menor"),CONCATENATE("R20C",'Mapa final'!$R$63),"")</f>
        <v/>
      </c>
      <c r="P175" s="49" t="str">
        <f>IF(AND('Mapa final'!$AB$61="Baja",'Mapa final'!$AD$61="Moderado"),CONCATENATE("R20C",'Mapa final'!$R$61),"")</f>
        <v/>
      </c>
      <c r="Q175" s="50" t="str">
        <f>IF(AND('Mapa final'!$AB$62="Baja",'Mapa final'!$AD$62="Moderado"),CONCATENATE("R20C",'Mapa final'!$R$62),"")</f>
        <v/>
      </c>
      <c r="R175" s="111" t="str">
        <f>IF(AND('Mapa final'!$AB$63="Baja",'Mapa final'!$AD$63="Moderado"),CONCATENATE("R20C",'Mapa final'!$R$63),"")</f>
        <v/>
      </c>
      <c r="S175" s="105" t="str">
        <f>IF(AND('Mapa final'!$AB$61="Baja",'Mapa final'!$AD$61="Mayor"),CONCATENATE("R20C",'Mapa final'!$R$61),"")</f>
        <v>R20C1</v>
      </c>
      <c r="T175" s="42" t="str">
        <f>IF(AND('Mapa final'!$AB$62="Baja",'Mapa final'!$AD$62="Mayor"),CONCATENATE("R20C",'Mapa final'!$R$62),"")</f>
        <v/>
      </c>
      <c r="U175" s="106" t="str">
        <f>IF(AND('Mapa final'!$AB$63="Baja",'Mapa final'!$AD$63="Mayor"),CONCATENATE("R20C",'Mapa final'!$R$63),"")</f>
        <v/>
      </c>
      <c r="V175" s="43" t="str">
        <f>IF(AND('Mapa final'!$AB$61="Baja",'Mapa final'!$AD$61="Catastrófico"),CONCATENATE("R20C",'Mapa final'!$R$61),"")</f>
        <v/>
      </c>
      <c r="W175" s="44" t="str">
        <f>IF(AND('Mapa final'!$AB$62="Baja",'Mapa final'!$AD$62="Catastrófico"),CONCATENATE("R20C",'Mapa final'!$R$62),"")</f>
        <v/>
      </c>
      <c r="X175" s="100" t="str">
        <f>IF(AND('Mapa final'!$AB$63="Baja",'Mapa final'!$AD$63="Catastrófico"),CONCATENATE("R20C",'Mapa final'!$R$63),"")</f>
        <v/>
      </c>
      <c r="Y175" s="56"/>
      <c r="Z175" s="305"/>
      <c r="AA175" s="306"/>
      <c r="AB175" s="306"/>
      <c r="AC175" s="306"/>
      <c r="AD175" s="306"/>
      <c r="AE175" s="307"/>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35">
      <c r="A176" s="56"/>
      <c r="B176" s="300"/>
      <c r="C176" s="300"/>
      <c r="D176" s="301"/>
      <c r="E176" s="287"/>
      <c r="F176" s="288"/>
      <c r="G176" s="288"/>
      <c r="H176" s="288"/>
      <c r="I176" s="288"/>
      <c r="J176" s="115" t="str">
        <f>IF(AND('Mapa final'!$AB$64="Baja",'Mapa final'!$AD$64="Leve"),CONCATENATE("R21C",'Mapa final'!$R$64),"")</f>
        <v>R21C1</v>
      </c>
      <c r="K176" s="54" t="str">
        <f>IF(AND('Mapa final'!$AB$65="Baja",'Mapa final'!$AD$65="Leve"),CONCATENATE("R21C",'Mapa final'!$R$65),"")</f>
        <v/>
      </c>
      <c r="L176" s="116" t="str">
        <f>IF(AND('Mapa final'!$AB$66="Baja",'Mapa final'!$AD$66="Leve"),CONCATENATE("R21C",'Mapa final'!$R$66),"")</f>
        <v/>
      </c>
      <c r="M176" s="49" t="str">
        <f>IF(AND('Mapa final'!$AB$64="Baja",'Mapa final'!$AD$64="Menor"),CONCATENATE("R21C",'Mapa final'!$R$64),"")</f>
        <v/>
      </c>
      <c r="N176" s="50" t="str">
        <f>IF(AND('Mapa final'!$AB$65="Baja",'Mapa final'!$AD$65="Menor"),CONCATENATE("R21C",'Mapa final'!$R$65),"")</f>
        <v/>
      </c>
      <c r="O176" s="111" t="str">
        <f>IF(AND('Mapa final'!$AB$66="Baja",'Mapa final'!$AD$66="Menor"),CONCATENATE("R21C",'Mapa final'!$R$66),"")</f>
        <v/>
      </c>
      <c r="P176" s="49" t="str">
        <f>IF(AND('Mapa final'!$AB$64="Baja",'Mapa final'!$AD$64="Moderado"),CONCATENATE("R21C",'Mapa final'!$R$64),"")</f>
        <v/>
      </c>
      <c r="Q176" s="50" t="str">
        <f>IF(AND('Mapa final'!$AB$65="Baja",'Mapa final'!$AD$65="Moderado"),CONCATENATE("R21C",'Mapa final'!$R$65),"")</f>
        <v/>
      </c>
      <c r="R176" s="111" t="str">
        <f>IF(AND('Mapa final'!$AB$66="Baja",'Mapa final'!$AD$66="Moderado"),CONCATENATE("R21C",'Mapa final'!$R$66),"")</f>
        <v/>
      </c>
      <c r="S176" s="105" t="str">
        <f>IF(AND('Mapa final'!$AB$64="Baja",'Mapa final'!$AD$64="Mayor"),CONCATENATE("R21C",'Mapa final'!$R$64),"")</f>
        <v/>
      </c>
      <c r="T176" s="42" t="str">
        <f>IF(AND('Mapa final'!$AB$65="Baja",'Mapa final'!$AD$65="Mayor"),CONCATENATE("R21C",'Mapa final'!$R$65),"")</f>
        <v/>
      </c>
      <c r="U176" s="106" t="str">
        <f>IF(AND('Mapa final'!$AB$66="Baja",'Mapa final'!$AD$66="Mayor"),CONCATENATE("R21C",'Mapa final'!$R$66),"")</f>
        <v/>
      </c>
      <c r="V176" s="43" t="str">
        <f>IF(AND('Mapa final'!$AB$64="Baja",'Mapa final'!$AD$64="Catastrófico"),CONCATENATE("R21C",'Mapa final'!$R$64),"")</f>
        <v/>
      </c>
      <c r="W176" s="44" t="str">
        <f>IF(AND('Mapa final'!$AB$65="Baja",'Mapa final'!$AD$65="Catastrófico"),CONCATENATE("R21C",'Mapa final'!$R$65),"")</f>
        <v/>
      </c>
      <c r="X176" s="100" t="str">
        <f>IF(AND('Mapa final'!$AB$66="Baja",'Mapa final'!$AD$66="Catastrófico"),CONCATENATE("R21C",'Mapa final'!$R$66),"")</f>
        <v/>
      </c>
      <c r="Y176" s="56"/>
      <c r="Z176" s="305"/>
      <c r="AA176" s="306"/>
      <c r="AB176" s="306"/>
      <c r="AC176" s="306"/>
      <c r="AD176" s="306"/>
      <c r="AE176" s="307"/>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35">
      <c r="A177" s="56"/>
      <c r="B177" s="300"/>
      <c r="C177" s="300"/>
      <c r="D177" s="301"/>
      <c r="E177" s="287"/>
      <c r="F177" s="288"/>
      <c r="G177" s="288"/>
      <c r="H177" s="288"/>
      <c r="I177" s="288"/>
      <c r="J177" s="115" t="str">
        <f>IF(AND('Mapa final'!$AB$67="Baja",'Mapa final'!$AD$67="Leve"),CONCATENATE("R22C",'Mapa final'!$R$67),"")</f>
        <v/>
      </c>
      <c r="K177" s="54" t="str">
        <f>IF(AND('Mapa final'!$AB$68="Baja",'Mapa final'!$AD$68="Leve"),CONCATENATE("R22C",'Mapa final'!$R$68),"")</f>
        <v/>
      </c>
      <c r="L177" s="116" t="str">
        <f>IF(AND('Mapa final'!$AB$69="Baja",'Mapa final'!$AD$69="Leve"),CONCATENATE("R22C",'Mapa final'!$R$69),"")</f>
        <v/>
      </c>
      <c r="M177" s="49" t="str">
        <f>IF(AND('Mapa final'!$AB$67="Baja",'Mapa final'!$AD$67="Menor"),CONCATENATE("R22C",'Mapa final'!$R$67),"")</f>
        <v>R22C1</v>
      </c>
      <c r="N177" s="50" t="str">
        <f>IF(AND('Mapa final'!$AB$68="Baja",'Mapa final'!$AD$68="Menor"),CONCATENATE("R22C",'Mapa final'!$R$68),"")</f>
        <v/>
      </c>
      <c r="O177" s="111" t="str">
        <f>IF(AND('Mapa final'!$AB$69="Baja",'Mapa final'!$AD$69="Menor"),CONCATENATE("R22C",'Mapa final'!$R$69),"")</f>
        <v/>
      </c>
      <c r="P177" s="49" t="str">
        <f>IF(AND('Mapa final'!$AB$67="Baja",'Mapa final'!$AD$67="Moderado"),CONCATENATE("R22C",'Mapa final'!$R$67),"")</f>
        <v/>
      </c>
      <c r="Q177" s="50" t="str">
        <f>IF(AND('Mapa final'!$AB$68="Baja",'Mapa final'!$AD$68="Moderado"),CONCATENATE("R22C",'Mapa final'!$R$68),"")</f>
        <v/>
      </c>
      <c r="R177" s="111" t="str">
        <f>IF(AND('Mapa final'!$AB$69="Baja",'Mapa final'!$AD$69="Moderado"),CONCATENATE("R22C",'Mapa final'!$R$69),"")</f>
        <v/>
      </c>
      <c r="S177" s="105" t="str">
        <f>IF(AND('Mapa final'!$AB$67="Baja",'Mapa final'!$AD$67="Mayor"),CONCATENATE("R22C",'Mapa final'!$R$67),"")</f>
        <v/>
      </c>
      <c r="T177" s="42" t="str">
        <f>IF(AND('Mapa final'!$AB$68="Baja",'Mapa final'!$AD$68="Mayor"),CONCATENATE("R22C",'Mapa final'!$R$68),"")</f>
        <v/>
      </c>
      <c r="U177" s="106" t="str">
        <f>IF(AND('Mapa final'!$AB$69="Baja",'Mapa final'!$AD$69="Mayor"),CONCATENATE("R22C",'Mapa final'!$R$69),"")</f>
        <v/>
      </c>
      <c r="V177" s="43" t="str">
        <f>IF(AND('Mapa final'!$AB$67="Baja",'Mapa final'!$AD$67="Catastrófico"),CONCATENATE("R22C",'Mapa final'!$R$67),"")</f>
        <v/>
      </c>
      <c r="W177" s="44" t="str">
        <f>IF(AND('Mapa final'!$AB$68="Baja",'Mapa final'!$AD$68="Catastrófico"),CONCATENATE("R22C",'Mapa final'!$R$68),"")</f>
        <v/>
      </c>
      <c r="X177" s="100" t="str">
        <f>IF(AND('Mapa final'!$AB$69="Baja",'Mapa final'!$AD$69="Catastrófico"),CONCATENATE("R22C",'Mapa final'!$R$69),"")</f>
        <v/>
      </c>
      <c r="Y177" s="56"/>
      <c r="Z177" s="305"/>
      <c r="AA177" s="306"/>
      <c r="AB177" s="306"/>
      <c r="AC177" s="306"/>
      <c r="AD177" s="306"/>
      <c r="AE177" s="307"/>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35">
      <c r="A178" s="56"/>
      <c r="B178" s="300"/>
      <c r="C178" s="300"/>
      <c r="D178" s="301"/>
      <c r="E178" s="287"/>
      <c r="F178" s="288"/>
      <c r="G178" s="288"/>
      <c r="H178" s="288"/>
      <c r="I178" s="288"/>
      <c r="J178" s="115" t="str">
        <f>IF(AND('Mapa final'!$AB$73="Baja",'Mapa final'!$AD$73="Leve"),CONCATENATE("R23C",'Mapa final'!$R$73),"")</f>
        <v/>
      </c>
      <c r="K178" s="54" t="str">
        <f>IF(AND('Mapa final'!$AB$74="Baja",'Mapa final'!$AD$74="Leve"),CONCATENATE("R23C",'Mapa final'!$R$74),"")</f>
        <v/>
      </c>
      <c r="L178" s="116" t="str">
        <f>IF(AND('Mapa final'!$AB$75="Baja",'Mapa final'!$AD$75="Leve"),CONCATENATE("R23C",'Mapa final'!$R$75),"")</f>
        <v/>
      </c>
      <c r="M178" s="49" t="str">
        <f>IF(AND('Mapa final'!$AB$73="Baja",'Mapa final'!$AD$73="Menor"),CONCATENATE("R23C",'Mapa final'!$R$73),"")</f>
        <v/>
      </c>
      <c r="N178" s="50" t="str">
        <f>IF(AND('Mapa final'!$AB$74="Baja",'Mapa final'!$AD$74="Menor"),CONCATENATE("R23C",'Mapa final'!$R$74),"")</f>
        <v/>
      </c>
      <c r="O178" s="111" t="str">
        <f>IF(AND('Mapa final'!$AB$75="Baja",'Mapa final'!$AD$75="Menor"),CONCATENATE("R23C",'Mapa final'!$R$75),"")</f>
        <v/>
      </c>
      <c r="P178" s="49" t="str">
        <f>IF(AND('Mapa final'!$AB$73="Baja",'Mapa final'!$AD$73="Moderado"),CONCATENATE("R23C",'Mapa final'!$R$73),"")</f>
        <v/>
      </c>
      <c r="Q178" s="50" t="str">
        <f>IF(AND('Mapa final'!$AB$74="Baja",'Mapa final'!$AD$74="Moderado"),CONCATENATE("R23C",'Mapa final'!$R$74),"")</f>
        <v/>
      </c>
      <c r="R178" s="111" t="str">
        <f>IF(AND('Mapa final'!$AB$75="Baja",'Mapa final'!$AD$75="Moderado"),CONCATENATE("R23C",'Mapa final'!$R$75),"")</f>
        <v/>
      </c>
      <c r="S178" s="105" t="str">
        <f>IF(AND('Mapa final'!$AB$73="Baja",'Mapa final'!$AD$73="Mayor"),CONCATENATE("R23C",'Mapa final'!$R$73),"")</f>
        <v>R23C1</v>
      </c>
      <c r="T178" s="42" t="str">
        <f>IF(AND('Mapa final'!$AB$74="Baja",'Mapa final'!$AD$74="Mayor"),CONCATENATE("R23C",'Mapa final'!$R$74),"")</f>
        <v/>
      </c>
      <c r="U178" s="106" t="str">
        <f>IF(AND('Mapa final'!$AB$75="Baja",'Mapa final'!$AD$75="Mayor"),CONCATENATE("R23C",'Mapa final'!$R$75),"")</f>
        <v/>
      </c>
      <c r="V178" s="43" t="str">
        <f>IF(AND('Mapa final'!$AB$73="Baja",'Mapa final'!$AD$73="Catastrófico"),CONCATENATE("R23C",'Mapa final'!$R$73),"")</f>
        <v/>
      </c>
      <c r="W178" s="44" t="str">
        <f>IF(AND('Mapa final'!$AB$74="Baja",'Mapa final'!$AD$74="Catastrófico"),CONCATENATE("R23C",'Mapa final'!$R$74),"")</f>
        <v/>
      </c>
      <c r="X178" s="100" t="str">
        <f>IF(AND('Mapa final'!$AB$75="Baja",'Mapa final'!$AD$75="Catastrófico"),CONCATENATE("R23C",'Mapa final'!$R$75),"")</f>
        <v/>
      </c>
      <c r="Y178" s="56"/>
      <c r="Z178" s="305"/>
      <c r="AA178" s="306"/>
      <c r="AB178" s="306"/>
      <c r="AC178" s="306"/>
      <c r="AD178" s="306"/>
      <c r="AE178" s="307"/>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35">
      <c r="A179" s="56"/>
      <c r="B179" s="300"/>
      <c r="C179" s="300"/>
      <c r="D179" s="301"/>
      <c r="E179" s="287"/>
      <c r="F179" s="288"/>
      <c r="G179" s="288"/>
      <c r="H179" s="288"/>
      <c r="I179" s="288"/>
      <c r="J179" s="115" t="str">
        <f>IF(AND('Mapa final'!$AB$76="Baja",'Mapa final'!$AD$76="Leve"),CONCATENATE("R24C",'Mapa final'!$R$76),"")</f>
        <v/>
      </c>
      <c r="K179" s="54" t="str">
        <f>IF(AND('Mapa final'!$AB$77="Baja",'Mapa final'!$AD$77="Leve"),CONCATENATE("R24C",'Mapa final'!$R$77),"")</f>
        <v/>
      </c>
      <c r="L179" s="116" t="str">
        <f>IF(AND('Mapa final'!$AB$78="Baja",'Mapa final'!$AD$78="Leve"),CONCATENATE("R24C",'Mapa final'!$R$78),"")</f>
        <v/>
      </c>
      <c r="M179" s="49" t="str">
        <f>IF(AND('Mapa final'!$AB$76="Baja",'Mapa final'!$AD$76="Menor"),CONCATENATE("R24C",'Mapa final'!$R$76),"")</f>
        <v/>
      </c>
      <c r="N179" s="50" t="str">
        <f>IF(AND('Mapa final'!$AB$77="Baja",'Mapa final'!$AD$77="Menor"),CONCATENATE("R24C",'Mapa final'!$R$77),"")</f>
        <v/>
      </c>
      <c r="O179" s="111" t="str">
        <f>IF(AND('Mapa final'!$AB$78="Baja",'Mapa final'!$AD$78="Menor"),CONCATENATE("R24C",'Mapa final'!$R$78),"")</f>
        <v/>
      </c>
      <c r="P179" s="49" t="str">
        <f>IF(AND('Mapa final'!$AB$76="Baja",'Mapa final'!$AD$76="Moderado"),CONCATENATE("R24C",'Mapa final'!$R$76),"")</f>
        <v>R24C1</v>
      </c>
      <c r="Q179" s="50" t="str">
        <f>IF(AND('Mapa final'!$AB$77="Baja",'Mapa final'!$AD$77="Moderado"),CONCATENATE("R24C",'Mapa final'!$R$77),"")</f>
        <v/>
      </c>
      <c r="R179" s="111" t="str">
        <f>IF(AND('Mapa final'!$AB$78="Baja",'Mapa final'!$AD$78="Moderado"),CONCATENATE("R24C",'Mapa final'!$R$78),"")</f>
        <v/>
      </c>
      <c r="S179" s="105" t="str">
        <f>IF(AND('Mapa final'!$AB$76="Baja",'Mapa final'!$AD$76="Mayor"),CONCATENATE("R24C",'Mapa final'!$R$76),"")</f>
        <v/>
      </c>
      <c r="T179" s="42" t="str">
        <f>IF(AND('Mapa final'!$AB$77="Baja",'Mapa final'!$AD$77="Mayor"),CONCATENATE("R24C",'Mapa final'!$R$77),"")</f>
        <v/>
      </c>
      <c r="U179" s="106" t="str">
        <f>IF(AND('Mapa final'!$AB$78="Baja",'Mapa final'!$AD$78="Mayor"),CONCATENATE("R24C",'Mapa final'!$R$78),"")</f>
        <v/>
      </c>
      <c r="V179" s="43" t="str">
        <f>IF(AND('Mapa final'!$AB$76="Baja",'Mapa final'!$AD$76="Catastrófico"),CONCATENATE("R24C",'Mapa final'!$R$76),"")</f>
        <v/>
      </c>
      <c r="W179" s="44" t="str">
        <f>IF(AND('Mapa final'!$AB$77="Baja",'Mapa final'!$AD$77="Catastrófico"),CONCATENATE("R24C",'Mapa final'!$R$77),"")</f>
        <v/>
      </c>
      <c r="X179" s="100" t="str">
        <f>IF(AND('Mapa final'!$AB$78="Baja",'Mapa final'!$AD$78="Catastrófico"),CONCATENATE("R24C",'Mapa final'!$R$78),"")</f>
        <v/>
      </c>
      <c r="Y179" s="56"/>
      <c r="Z179" s="305"/>
      <c r="AA179" s="306"/>
      <c r="AB179" s="306"/>
      <c r="AC179" s="306"/>
      <c r="AD179" s="306"/>
      <c r="AE179" s="307"/>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35">
      <c r="A180" s="56"/>
      <c r="B180" s="300"/>
      <c r="C180" s="300"/>
      <c r="D180" s="301"/>
      <c r="E180" s="287"/>
      <c r="F180" s="288"/>
      <c r="G180" s="288"/>
      <c r="H180" s="288"/>
      <c r="I180" s="288"/>
      <c r="J180" s="115" t="str">
        <f>IF(AND('Mapa final'!$AB$79="Baja",'Mapa final'!$AD$79="Leve"),CONCATENATE("R25C",'Mapa final'!$R$79),"")</f>
        <v/>
      </c>
      <c r="K180" s="54" t="str">
        <f>IF(AND('Mapa final'!$AB$80="Baja",'Mapa final'!$AD$80="Leve"),CONCATENATE("R25C",'Mapa final'!$R$80),"")</f>
        <v/>
      </c>
      <c r="L180" s="116" t="str">
        <f>IF(AND('Mapa final'!$AB$81="Baja",'Mapa final'!$AD$81="Leve"),CONCATENATE("R25C",'Mapa final'!$R$81),"")</f>
        <v/>
      </c>
      <c r="M180" s="49" t="str">
        <f>IF(AND('Mapa final'!$AB$79="Baja",'Mapa final'!$AD$79="Menor"),CONCATENATE("R25C",'Mapa final'!$R$79),"")</f>
        <v/>
      </c>
      <c r="N180" s="50" t="str">
        <f>IF(AND('Mapa final'!$AB$80="Baja",'Mapa final'!$AD$80="Menor"),CONCATENATE("R25C",'Mapa final'!$R$80),"")</f>
        <v/>
      </c>
      <c r="O180" s="111" t="str">
        <f>IF(AND('Mapa final'!$AB$81="Baja",'Mapa final'!$AD$81="Menor"),CONCATENATE("R25C",'Mapa final'!$R$81),"")</f>
        <v/>
      </c>
      <c r="P180" s="49" t="str">
        <f>IF(AND('Mapa final'!$AB$79="Baja",'Mapa final'!$AD$79="Moderado"),CONCATENATE("R25C",'Mapa final'!$R$79),"")</f>
        <v>R25C1</v>
      </c>
      <c r="Q180" s="50" t="str">
        <f>IF(AND('Mapa final'!$AB$80="Baja",'Mapa final'!$AD$80="Moderado"),CONCATENATE("R25C",'Mapa final'!$R$80),"")</f>
        <v/>
      </c>
      <c r="R180" s="111" t="str">
        <f>IF(AND('Mapa final'!$AB$81="Baja",'Mapa final'!$AD$81="Moderado"),CONCATENATE("R25C",'Mapa final'!$R$81),"")</f>
        <v/>
      </c>
      <c r="S180" s="105" t="str">
        <f>IF(AND('Mapa final'!$AB$79="Baja",'Mapa final'!$AD$79="Mayor"),CONCATENATE("R25C",'Mapa final'!$R$79),"")</f>
        <v/>
      </c>
      <c r="T180" s="42" t="str">
        <f>IF(AND('Mapa final'!$AB$80="Baja",'Mapa final'!$AD$80="Mayor"),CONCATENATE("R25C",'Mapa final'!$R$80),"")</f>
        <v/>
      </c>
      <c r="U180" s="106" t="str">
        <f>IF(AND('Mapa final'!$AB$81="Baja",'Mapa final'!$AD$81="Mayor"),CONCATENATE("R25C",'Mapa final'!$R$81),"")</f>
        <v/>
      </c>
      <c r="V180" s="43" t="str">
        <f>IF(AND('Mapa final'!$AB$79="Baja",'Mapa final'!$AD$79="Catastrófico"),CONCATENATE("R25C",'Mapa final'!$R$79),"")</f>
        <v/>
      </c>
      <c r="W180" s="44" t="str">
        <f>IF(AND('Mapa final'!$AB$80="Baja",'Mapa final'!$AD$80="Catastrófico"),CONCATENATE("R25C",'Mapa final'!$R$80),"")</f>
        <v/>
      </c>
      <c r="X180" s="100" t="str">
        <f>IF(AND('Mapa final'!$AB$81="Baja",'Mapa final'!$AD$81="Catastrófico"),CONCATENATE("R25C",'Mapa final'!$R$81),"")</f>
        <v/>
      </c>
      <c r="Y180" s="56"/>
      <c r="Z180" s="305"/>
      <c r="AA180" s="306"/>
      <c r="AB180" s="306"/>
      <c r="AC180" s="306"/>
      <c r="AD180" s="306"/>
      <c r="AE180" s="307"/>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35">
      <c r="A181" s="56"/>
      <c r="B181" s="300"/>
      <c r="C181" s="300"/>
      <c r="D181" s="301"/>
      <c r="E181" s="287"/>
      <c r="F181" s="288"/>
      <c r="G181" s="288"/>
      <c r="H181" s="288"/>
      <c r="I181" s="288"/>
      <c r="J181" s="115" t="str">
        <f>IF(AND('Mapa final'!$AB$82="Baja",'Mapa final'!$AD$82="Leve"),CONCATENATE("R26C",'Mapa final'!$R$82),"")</f>
        <v/>
      </c>
      <c r="K181" s="54" t="str">
        <f>IF(AND('Mapa final'!$AB$83="Baja",'Mapa final'!$AD$83="Leve"),CONCATENATE("R26C",'Mapa final'!$R$83),"")</f>
        <v/>
      </c>
      <c r="L181" s="116" t="str">
        <f>IF(AND('Mapa final'!$AB$84="Baja",'Mapa final'!$AD$84="Leve"),CONCATENATE("R26C",'Mapa final'!$R$84),"")</f>
        <v/>
      </c>
      <c r="M181" s="49" t="str">
        <f>IF(AND('Mapa final'!$AB$82="Baja",'Mapa final'!$AD$82="Menor"),CONCATENATE("R26C",'Mapa final'!$R$82),"")</f>
        <v/>
      </c>
      <c r="N181" s="50" t="str">
        <f>IF(AND('Mapa final'!$AB$83="Baja",'Mapa final'!$AD$83="Menor"),CONCATENATE("R26C",'Mapa final'!$R$83),"")</f>
        <v/>
      </c>
      <c r="O181" s="111" t="str">
        <f>IF(AND('Mapa final'!$AB$84="Baja",'Mapa final'!$AD$84="Menor"),CONCATENATE("R26C",'Mapa final'!$R$84),"")</f>
        <v/>
      </c>
      <c r="P181" s="49" t="str">
        <f>IF(AND('Mapa final'!$AB$82="Baja",'Mapa final'!$AD$82="Moderado"),CONCATENATE("R26C",'Mapa final'!$R$82),"")</f>
        <v/>
      </c>
      <c r="Q181" s="50" t="str">
        <f>IF(AND('Mapa final'!$AB$83="Baja",'Mapa final'!$AD$83="Moderado"),CONCATENATE("R26C",'Mapa final'!$R$83),"")</f>
        <v/>
      </c>
      <c r="R181" s="111" t="str">
        <f>IF(AND('Mapa final'!$AB$84="Baja",'Mapa final'!$AD$84="Moderado"),CONCATENATE("R26C",'Mapa final'!$R$84),"")</f>
        <v/>
      </c>
      <c r="S181" s="105" t="str">
        <f>IF(AND('Mapa final'!$AB$82="Baja",'Mapa final'!$AD$82="Mayor"),CONCATENATE("R26C",'Mapa final'!$R$82),"")</f>
        <v/>
      </c>
      <c r="T181" s="42" t="str">
        <f>IF(AND('Mapa final'!$AB$83="Baja",'Mapa final'!$AD$83="Mayor"),CONCATENATE("R26C",'Mapa final'!$R$83),"")</f>
        <v/>
      </c>
      <c r="U181" s="106" t="str">
        <f>IF(AND('Mapa final'!$AB$84="Baja",'Mapa final'!$AD$84="Mayor"),CONCATENATE("R26C",'Mapa final'!$R$84),"")</f>
        <v/>
      </c>
      <c r="V181" s="43" t="str">
        <f>IF(AND('Mapa final'!$AB$82="Baja",'Mapa final'!$AD$82="Catastrófico"),CONCATENATE("R26C",'Mapa final'!$R$82),"")</f>
        <v/>
      </c>
      <c r="W181" s="44" t="str">
        <f>IF(AND('Mapa final'!$AB$83="Baja",'Mapa final'!$AD$83="Catastrófico"),CONCATENATE("R26C",'Mapa final'!$R$83),"")</f>
        <v/>
      </c>
      <c r="X181" s="100" t="str">
        <f>IF(AND('Mapa final'!$AB$84="Baja",'Mapa final'!$AD$84="Catastrófico"),CONCATENATE("R26C",'Mapa final'!$R$84),"")</f>
        <v/>
      </c>
      <c r="Y181" s="56"/>
      <c r="Z181" s="305"/>
      <c r="AA181" s="306"/>
      <c r="AB181" s="306"/>
      <c r="AC181" s="306"/>
      <c r="AD181" s="306"/>
      <c r="AE181" s="307"/>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35">
      <c r="A182" s="56"/>
      <c r="B182" s="300"/>
      <c r="C182" s="300"/>
      <c r="D182" s="301"/>
      <c r="E182" s="287"/>
      <c r="F182" s="288"/>
      <c r="G182" s="288"/>
      <c r="H182" s="288"/>
      <c r="I182" s="288"/>
      <c r="J182" s="115" t="str">
        <f>IF(AND('Mapa final'!$AB$85="Baja",'Mapa final'!$AD$85="Leve"),CONCATENATE("R27C",'Mapa final'!$R$85),"")</f>
        <v/>
      </c>
      <c r="K182" s="54" t="str">
        <f>IF(AND('Mapa final'!$AB$86="Baja",'Mapa final'!$AD$86="Leve"),CONCATENATE("R27C",'Mapa final'!$R$86),"")</f>
        <v/>
      </c>
      <c r="L182" s="116" t="str">
        <f>IF(AND('Mapa final'!$AB$87="Baja",'Mapa final'!$AD$87="Leve"),CONCATENATE("R27C",'Mapa final'!$R$87),"")</f>
        <v/>
      </c>
      <c r="M182" s="49" t="str">
        <f>IF(AND('Mapa final'!$AB$85="Baja",'Mapa final'!$AD$85="Menor"),CONCATENATE("R27C",'Mapa final'!$R$85),"")</f>
        <v/>
      </c>
      <c r="N182" s="50" t="str">
        <f>IF(AND('Mapa final'!$AB$86="Baja",'Mapa final'!$AD$86="Menor"),CONCATENATE("R27C",'Mapa final'!$R$86),"")</f>
        <v/>
      </c>
      <c r="O182" s="111" t="str">
        <f>IF(AND('Mapa final'!$AB$87="Baja",'Mapa final'!$AD$87="Menor"),CONCATENATE("R27C",'Mapa final'!$R$87),"")</f>
        <v/>
      </c>
      <c r="P182" s="49" t="str">
        <f>IF(AND('Mapa final'!$AB$85="Baja",'Mapa final'!$AD$85="Moderado"),CONCATENATE("R27C",'Mapa final'!$R$85),"")</f>
        <v>R27C1</v>
      </c>
      <c r="Q182" s="50" t="str">
        <f>IF(AND('Mapa final'!$AB$86="Baja",'Mapa final'!$AD$86="Moderado"),CONCATENATE("R27C",'Mapa final'!$R$86),"")</f>
        <v/>
      </c>
      <c r="R182" s="111" t="str">
        <f>IF(AND('Mapa final'!$AB$87="Baja",'Mapa final'!$AD$87="Moderado"),CONCATENATE("R27C",'Mapa final'!$R$87),"")</f>
        <v/>
      </c>
      <c r="S182" s="105" t="str">
        <f>IF(AND('Mapa final'!$AB$85="Baja",'Mapa final'!$AD$85="Mayor"),CONCATENATE("R27C",'Mapa final'!$R$85),"")</f>
        <v/>
      </c>
      <c r="T182" s="42" t="str">
        <f>IF(AND('Mapa final'!$AB$86="Baja",'Mapa final'!$AD$86="Mayor"),CONCATENATE("R27C",'Mapa final'!$R$86),"")</f>
        <v/>
      </c>
      <c r="U182" s="106" t="str">
        <f>IF(AND('Mapa final'!$AB$87="Baja",'Mapa final'!$AD$87="Mayor"),CONCATENATE("R27C",'Mapa final'!$R$87),"")</f>
        <v/>
      </c>
      <c r="V182" s="43" t="str">
        <f>IF(AND('Mapa final'!$AB$85="Baja",'Mapa final'!$AD$85="Catastrófico"),CONCATENATE("R27C",'Mapa final'!$R$85),"")</f>
        <v/>
      </c>
      <c r="W182" s="44" t="str">
        <f>IF(AND('Mapa final'!$AB$86="Baja",'Mapa final'!$AD$86="Catastrófico"),CONCATENATE("R27C",'Mapa final'!$R$86),"")</f>
        <v/>
      </c>
      <c r="X182" s="100" t="str">
        <f>IF(AND('Mapa final'!$AB$87="Baja",'Mapa final'!$AD$87="Catastrófico"),CONCATENATE("R27C",'Mapa final'!$R$87),"")</f>
        <v/>
      </c>
      <c r="Y182" s="56"/>
      <c r="Z182" s="305"/>
      <c r="AA182" s="306"/>
      <c r="AB182" s="306"/>
      <c r="AC182" s="306"/>
      <c r="AD182" s="306"/>
      <c r="AE182" s="307"/>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35">
      <c r="A183" s="56"/>
      <c r="B183" s="300"/>
      <c r="C183" s="300"/>
      <c r="D183" s="301"/>
      <c r="E183" s="287"/>
      <c r="F183" s="288"/>
      <c r="G183" s="288"/>
      <c r="H183" s="288"/>
      <c r="I183" s="288"/>
      <c r="J183" s="115" t="str">
        <f>IF(AND('Mapa final'!$AB$88="Baja",'Mapa final'!$AD$88="Leve"),CONCATENATE("R28C",'Mapa final'!$R$88),"")</f>
        <v/>
      </c>
      <c r="K183" s="54" t="str">
        <f>IF(AND('Mapa final'!$AB$89="Baja",'Mapa final'!$AD$89="Leve"),CONCATENATE("R28C",'Mapa final'!$R$89),"")</f>
        <v/>
      </c>
      <c r="L183" s="116" t="str">
        <f>IF(AND('Mapa final'!$AB$90="Baja",'Mapa final'!$AD$90="Leve"),CONCATENATE("R28C",'Mapa final'!$R$90),"")</f>
        <v/>
      </c>
      <c r="M183" s="49" t="str">
        <f>IF(AND('Mapa final'!$AB$88="Baja",'Mapa final'!$AD$88="Menor"),CONCATENATE("R28C",'Mapa final'!$R$88),"")</f>
        <v/>
      </c>
      <c r="N183" s="50" t="str">
        <f>IF(AND('Mapa final'!$AB$89="Baja",'Mapa final'!$AD$89="Menor"),CONCATENATE("R28C",'Mapa final'!$R$89),"")</f>
        <v/>
      </c>
      <c r="O183" s="111" t="str">
        <f>IF(AND('Mapa final'!$AB$90="Baja",'Mapa final'!$AD$90="Menor"),CONCATENATE("R28C",'Mapa final'!$R$90),"")</f>
        <v/>
      </c>
      <c r="P183" s="49" t="str">
        <f>IF(AND('Mapa final'!$AB$88="Baja",'Mapa final'!$AD$88="Moderado"),CONCATENATE("R28C",'Mapa final'!$R$88),"")</f>
        <v/>
      </c>
      <c r="Q183" s="50" t="str">
        <f>IF(AND('Mapa final'!$AB$89="Baja",'Mapa final'!$AD$89="Moderado"),CONCATENATE("R28C",'Mapa final'!$R$89),"")</f>
        <v/>
      </c>
      <c r="R183" s="111" t="str">
        <f>IF(AND('Mapa final'!$AB$90="Baja",'Mapa final'!$AD$90="Moderado"),CONCATENATE("R28C",'Mapa final'!$R$90),"")</f>
        <v/>
      </c>
      <c r="S183" s="105" t="str">
        <f>IF(AND('Mapa final'!$AB$88="Baja",'Mapa final'!$AD$88="Mayor"),CONCATENATE("R28C",'Mapa final'!$R$88),"")</f>
        <v>R28C1</v>
      </c>
      <c r="T183" s="42" t="str">
        <f>IF(AND('Mapa final'!$AB$89="Baja",'Mapa final'!$AD$89="Mayor"),CONCATENATE("R28C",'Mapa final'!$R$89),"")</f>
        <v/>
      </c>
      <c r="U183" s="106" t="str">
        <f>IF(AND('Mapa final'!$AB$90="Baja",'Mapa final'!$AD$90="Mayor"),CONCATENATE("R28C",'Mapa final'!$R$90),"")</f>
        <v/>
      </c>
      <c r="V183" s="43" t="str">
        <f>IF(AND('Mapa final'!$AB$88="Baja",'Mapa final'!$AD$88="Catastrófico"),CONCATENATE("R28C",'Mapa final'!$R$88),"")</f>
        <v/>
      </c>
      <c r="W183" s="44" t="str">
        <f>IF(AND('Mapa final'!$AB$89="Baja",'Mapa final'!$AD$89="Catastrófico"),CONCATENATE("R28C",'Mapa final'!$R$89),"")</f>
        <v/>
      </c>
      <c r="X183" s="100" t="str">
        <f>IF(AND('Mapa final'!$AB$90="Baja",'Mapa final'!$AD$90="Catastrófico"),CONCATENATE("R28C",'Mapa final'!$R$90),"")</f>
        <v/>
      </c>
      <c r="Y183" s="56"/>
      <c r="Z183" s="305"/>
      <c r="AA183" s="306"/>
      <c r="AB183" s="306"/>
      <c r="AC183" s="306"/>
      <c r="AD183" s="306"/>
      <c r="AE183" s="307"/>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35">
      <c r="A184" s="56"/>
      <c r="B184" s="300"/>
      <c r="C184" s="300"/>
      <c r="D184" s="301"/>
      <c r="E184" s="289"/>
      <c r="F184" s="290"/>
      <c r="G184" s="290"/>
      <c r="H184" s="290"/>
      <c r="I184" s="288"/>
      <c r="J184" s="115" t="str">
        <f>IF(AND('Mapa final'!$AB$91="Baja",'Mapa final'!$AD$91="Leve"),CONCATENATE("R29C",'Mapa final'!$R$91),"")</f>
        <v/>
      </c>
      <c r="K184" s="54" t="str">
        <f>IF(AND('Mapa final'!$AB$92="Baja",'Mapa final'!$AD$92="Leve"),CONCATENATE("R29C",'Mapa final'!$R$92),"")</f>
        <v/>
      </c>
      <c r="L184" s="116" t="str">
        <f>IF(AND('Mapa final'!$AB$93="Baja",'Mapa final'!$AD$93="Leve"),CONCATENATE("R29C",'Mapa final'!$R$93),"")</f>
        <v/>
      </c>
      <c r="M184" s="49" t="str">
        <f>IF(AND('Mapa final'!$AB$91="Baja",'Mapa final'!$AD$91="Menor"),CONCATENATE("R29C",'Mapa final'!$R$91),"")</f>
        <v/>
      </c>
      <c r="N184" s="50" t="str">
        <f>IF(AND('Mapa final'!$AB$92="Baja",'Mapa final'!$AD$92="Menor"),CONCATENATE("R29C",'Mapa final'!$R$92),"")</f>
        <v/>
      </c>
      <c r="O184" s="111" t="str">
        <f>IF(AND('Mapa final'!$AB$93="Baja",'Mapa final'!$AD$93="Menor"),CONCATENATE("R29C",'Mapa final'!$R$93),"")</f>
        <v/>
      </c>
      <c r="P184" s="49" t="str">
        <f>IF(AND('Mapa final'!$AB$91="Baja",'Mapa final'!$AD$91="Moderado"),CONCATENATE("R29C",'Mapa final'!$R$91),"")</f>
        <v/>
      </c>
      <c r="Q184" s="50" t="str">
        <f>IF(AND('Mapa final'!$AB$92="Baja",'Mapa final'!$AD$92="Moderado"),CONCATENATE("R29C",'Mapa final'!$R$92),"")</f>
        <v/>
      </c>
      <c r="R184" s="111" t="str">
        <f>IF(AND('Mapa final'!$AB$93="Baja",'Mapa final'!$AD$93="Moderado"),CONCATENATE("R29C",'Mapa final'!$R$93),"")</f>
        <v/>
      </c>
      <c r="S184" s="105" t="str">
        <f>IF(AND('Mapa final'!$AB$91="Baja",'Mapa final'!$AD$91="Mayor"),CONCATENATE("R29C",'Mapa final'!$R$91),"")</f>
        <v>R29C1</v>
      </c>
      <c r="T184" s="42" t="str">
        <f>IF(AND('Mapa final'!$AB$92="Baja",'Mapa final'!$AD$92="Mayor"),CONCATENATE("R29C",'Mapa final'!$R$92),"")</f>
        <v/>
      </c>
      <c r="U184" s="106" t="str">
        <f>IF(AND('Mapa final'!$AB$93="Baja",'Mapa final'!$AD$93="Mayor"),CONCATENATE("R29C",'Mapa final'!$R$93),"")</f>
        <v/>
      </c>
      <c r="V184" s="43" t="str">
        <f>IF(AND('Mapa final'!$AB$91="Baja",'Mapa final'!$AD$91="Catastrófico"),CONCATENATE("R29C",'Mapa final'!$R$91),"")</f>
        <v/>
      </c>
      <c r="W184" s="44" t="str">
        <f>IF(AND('Mapa final'!$AB$92="Baja",'Mapa final'!$AD$92="Catastrófico"),CONCATENATE("R29C",'Mapa final'!$R$92),"")</f>
        <v/>
      </c>
      <c r="X184" s="100" t="str">
        <f>IF(AND('Mapa final'!$AB$93="Baja",'Mapa final'!$AD$93="Catastrófico"),CONCATENATE("R29C",'Mapa final'!$R$93),"")</f>
        <v/>
      </c>
      <c r="Y184" s="56"/>
      <c r="Z184" s="305"/>
      <c r="AA184" s="306"/>
      <c r="AB184" s="306"/>
      <c r="AC184" s="306"/>
      <c r="AD184" s="306"/>
      <c r="AE184" s="307"/>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35">
      <c r="A185" s="56"/>
      <c r="B185" s="300"/>
      <c r="C185" s="300"/>
      <c r="D185" s="301"/>
      <c r="E185" s="289"/>
      <c r="F185" s="290"/>
      <c r="G185" s="290"/>
      <c r="H185" s="290"/>
      <c r="I185" s="288"/>
      <c r="J185" s="115" t="str">
        <f>IF(AND('Mapa final'!$AB$94="Baja",'Mapa final'!$AD$94="Leve"),CONCATENATE("R30C",'Mapa final'!$R$94),"")</f>
        <v/>
      </c>
      <c r="K185" s="54" t="str">
        <f>IF(AND('Mapa final'!$AB$95="Baja",'Mapa final'!$AD$95="Leve"),CONCATENATE("R30C",'Mapa final'!$R$95),"")</f>
        <v/>
      </c>
      <c r="L185" s="116" t="str">
        <f>IF(AND('Mapa final'!$AB$96="Baja",'Mapa final'!$AD$96="Leve"),CONCATENATE("R30C",'Mapa final'!$R$96),"")</f>
        <v/>
      </c>
      <c r="M185" s="49" t="str">
        <f>IF(AND('Mapa final'!$AB$94="Baja",'Mapa final'!$AD$94="Menor"),CONCATENATE("R30C",'Mapa final'!$R$94),"")</f>
        <v/>
      </c>
      <c r="N185" s="50" t="str">
        <f>IF(AND('Mapa final'!$AB$95="Baja",'Mapa final'!$AD$95="Menor"),CONCATENATE("R30C",'Mapa final'!$R$95),"")</f>
        <v/>
      </c>
      <c r="O185" s="111" t="str">
        <f>IF(AND('Mapa final'!$AB$96="Baja",'Mapa final'!$AD$96="Menor"),CONCATENATE("R30C",'Mapa final'!$R$96),"")</f>
        <v/>
      </c>
      <c r="P185" s="49" t="str">
        <f>IF(AND('Mapa final'!$AB$94="Baja",'Mapa final'!$AD$94="Moderado"),CONCATENATE("R30C",'Mapa final'!$R$94),"")</f>
        <v/>
      </c>
      <c r="Q185" s="50" t="str">
        <f>IF(AND('Mapa final'!$AB$95="Baja",'Mapa final'!$AD$95="Moderado"),CONCATENATE("R30C",'Mapa final'!$R$95),"")</f>
        <v/>
      </c>
      <c r="R185" s="111" t="str">
        <f>IF(AND('Mapa final'!$AB$96="Baja",'Mapa final'!$AD$96="Moderado"),CONCATENATE("R30C",'Mapa final'!$R$96),"")</f>
        <v/>
      </c>
      <c r="S185" s="105" t="str">
        <f>IF(AND('Mapa final'!$AB$94="Baja",'Mapa final'!$AD$94="Mayor"),CONCATENATE("R30C",'Mapa final'!$R$94),"")</f>
        <v/>
      </c>
      <c r="T185" s="42" t="str">
        <f>IF(AND('Mapa final'!$AB$95="Baja",'Mapa final'!$AD$95="Mayor"),CONCATENATE("R30C",'Mapa final'!$R$95),"")</f>
        <v>R30C2</v>
      </c>
      <c r="U185" s="106" t="str">
        <f>IF(AND('Mapa final'!$AB$96="Baja",'Mapa final'!$AD$96="Mayor"),CONCATENATE("R30C",'Mapa final'!$R$96),"")</f>
        <v/>
      </c>
      <c r="V185" s="43" t="str">
        <f>IF(AND('Mapa final'!$AB$94="Baja",'Mapa final'!$AD$94="Catastrófico"),CONCATENATE("R30C",'Mapa final'!$R$94),"")</f>
        <v/>
      </c>
      <c r="W185" s="44" t="str">
        <f>IF(AND('Mapa final'!$AB$95="Baja",'Mapa final'!$AD$95="Catastrófico"),CONCATENATE("R30C",'Mapa final'!$R$95),"")</f>
        <v/>
      </c>
      <c r="X185" s="100" t="str">
        <f>IF(AND('Mapa final'!$AB$96="Baja",'Mapa final'!$AD$96="Catastrófico"),CONCATENATE("R30C",'Mapa final'!$R$96),"")</f>
        <v/>
      </c>
      <c r="Y185" s="56"/>
      <c r="Z185" s="305"/>
      <c r="AA185" s="306"/>
      <c r="AB185" s="306"/>
      <c r="AC185" s="306"/>
      <c r="AD185" s="306"/>
      <c r="AE185" s="307"/>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35">
      <c r="A186" s="56"/>
      <c r="B186" s="300"/>
      <c r="C186" s="300"/>
      <c r="D186" s="301"/>
      <c r="E186" s="289"/>
      <c r="F186" s="290"/>
      <c r="G186" s="290"/>
      <c r="H186" s="290"/>
      <c r="I186" s="288"/>
      <c r="J186" s="115" t="str">
        <f>IF(AND('Mapa final'!$AB$97="Baja",'Mapa final'!$AD$97="Leve"),CONCATENATE("R31C",'Mapa final'!$R$97),"")</f>
        <v/>
      </c>
      <c r="K186" s="54" t="str">
        <f>IF(AND('Mapa final'!$AB$98="Baja",'Mapa final'!$AD$98="Leve"),CONCATENATE("R31C",'Mapa final'!$R$98),"")</f>
        <v/>
      </c>
      <c r="L186" s="116" t="str">
        <f>IF(AND('Mapa final'!$AB$99="Baja",'Mapa final'!$AD$99="Leve"),CONCATENATE("R31C",'Mapa final'!$R$99),"")</f>
        <v/>
      </c>
      <c r="M186" s="49" t="str">
        <f>IF(AND('Mapa final'!$AB$97="Baja",'Mapa final'!$AD$97="Menor"),CONCATENATE("R31C",'Mapa final'!$R$97),"")</f>
        <v/>
      </c>
      <c r="N186" s="50" t="str">
        <f>IF(AND('Mapa final'!$AB$98="Baja",'Mapa final'!$AD$98="Menor"),CONCATENATE("R31C",'Mapa final'!$R$98),"")</f>
        <v/>
      </c>
      <c r="O186" s="111" t="str">
        <f>IF(AND('Mapa final'!$AB$99="Baja",'Mapa final'!$AD$99="Menor"),CONCATENATE("R31C",'Mapa final'!$R$99),"")</f>
        <v/>
      </c>
      <c r="P186" s="49" t="str">
        <f>IF(AND('Mapa final'!$AB$97="Baja",'Mapa final'!$AD$97="Moderado"),CONCATENATE("R31C",'Mapa final'!$R$97),"")</f>
        <v>R31C1</v>
      </c>
      <c r="Q186" s="50" t="str">
        <f>IF(AND('Mapa final'!$AB$98="Baja",'Mapa final'!$AD$98="Moderado"),CONCATENATE("R31C",'Mapa final'!$R$98),"")</f>
        <v/>
      </c>
      <c r="R186" s="111" t="str">
        <f>IF(AND('Mapa final'!$AB$99="Baja",'Mapa final'!$AD$99="Moderado"),CONCATENATE("R31C",'Mapa final'!$R$99),"")</f>
        <v/>
      </c>
      <c r="S186" s="105" t="str">
        <f>IF(AND('Mapa final'!$AB$97="Baja",'Mapa final'!$AD$97="Mayor"),CONCATENATE("R31C",'Mapa final'!$R$97),"")</f>
        <v/>
      </c>
      <c r="T186" s="42" t="str">
        <f>IF(AND('Mapa final'!$AB$98="Baja",'Mapa final'!$AD$98="Mayor"),CONCATENATE("R31C",'Mapa final'!$R$98),"")</f>
        <v/>
      </c>
      <c r="U186" s="106" t="str">
        <f>IF(AND('Mapa final'!$AB$99="Baja",'Mapa final'!$AD$99="Mayor"),CONCATENATE("R31C",'Mapa final'!$R$99),"")</f>
        <v/>
      </c>
      <c r="V186" s="43" t="str">
        <f>IF(AND('Mapa final'!$AB$97="Baja",'Mapa final'!$AD$97="Catastrófico"),CONCATENATE("R31C",'Mapa final'!$R$97),"")</f>
        <v/>
      </c>
      <c r="W186" s="44" t="str">
        <f>IF(AND('Mapa final'!$AB$98="Baja",'Mapa final'!$AD$98="Catastrófico"),CONCATENATE("R31C",'Mapa final'!$R$98),"")</f>
        <v/>
      </c>
      <c r="X186" s="100" t="str">
        <f>IF(AND('Mapa final'!$AB$99="Baja",'Mapa final'!$AD$99="Catastrófico"),CONCATENATE("R31C",'Mapa final'!$R$99),"")</f>
        <v/>
      </c>
      <c r="Y186" s="56"/>
      <c r="Z186" s="305"/>
      <c r="AA186" s="306"/>
      <c r="AB186" s="306"/>
      <c r="AC186" s="306"/>
      <c r="AD186" s="306"/>
      <c r="AE186" s="307"/>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35">
      <c r="A187" s="56"/>
      <c r="B187" s="300"/>
      <c r="C187" s="300"/>
      <c r="D187" s="301"/>
      <c r="E187" s="289"/>
      <c r="F187" s="290"/>
      <c r="G187" s="290"/>
      <c r="H187" s="290"/>
      <c r="I187" s="288"/>
      <c r="J187" s="115" t="e">
        <f>IF(AND('Mapa final'!#REF!="Baja",'Mapa final'!#REF!="Leve"),CONCATENATE("R32C",'Mapa final'!#REF!),"")</f>
        <v>#REF!</v>
      </c>
      <c r="K187" s="54" t="e">
        <f>IF(AND('Mapa final'!#REF!="Baja",'Mapa final'!#REF!="Leve"),CONCATENATE("R32C",'Mapa final'!#REF!),"")</f>
        <v>#REF!</v>
      </c>
      <c r="L187" s="116" t="e">
        <f>IF(AND('Mapa final'!#REF!="Baja",'Mapa final'!#REF!="Leve"),CONCATENATE("R32C",'Mapa final'!#REF!),"")</f>
        <v>#REF!</v>
      </c>
      <c r="M187" s="49" t="e">
        <f>IF(AND('Mapa final'!#REF!="Baja",'Mapa final'!#REF!="Menor"),CONCATENATE("R32C",'Mapa final'!#REF!),"")</f>
        <v>#REF!</v>
      </c>
      <c r="N187" s="50" t="e">
        <f>IF(AND('Mapa final'!#REF!="Baja",'Mapa final'!#REF!="Menor"),CONCATENATE("R32C",'Mapa final'!#REF!),"")</f>
        <v>#REF!</v>
      </c>
      <c r="O187" s="111" t="e">
        <f>IF(AND('Mapa final'!#REF!="Baja",'Mapa final'!#REF!="Menor"),CONCATENATE("R32C",'Mapa final'!#REF!),"")</f>
        <v>#REF!</v>
      </c>
      <c r="P187" s="49" t="e">
        <f>IF(AND('Mapa final'!#REF!="Baja",'Mapa final'!#REF!="Moderado"),CONCATENATE("R32C",'Mapa final'!#REF!),"")</f>
        <v>#REF!</v>
      </c>
      <c r="Q187" s="50" t="e">
        <f>IF(AND('Mapa final'!#REF!="Baja",'Mapa final'!#REF!="Moderado"),CONCATENATE("R32C",'Mapa final'!#REF!),"")</f>
        <v>#REF!</v>
      </c>
      <c r="R187" s="111" t="e">
        <f>IF(AND('Mapa final'!#REF!="Baja",'Mapa final'!#REF!="Moderado"),CONCATENATE("R32C",'Mapa final'!#REF!),"")</f>
        <v>#REF!</v>
      </c>
      <c r="S187" s="105" t="e">
        <f>IF(AND('Mapa final'!#REF!="Baja",'Mapa final'!#REF!="Mayor"),CONCATENATE("R32C",'Mapa final'!#REF!),"")</f>
        <v>#REF!</v>
      </c>
      <c r="T187" s="42" t="e">
        <f>IF(AND('Mapa final'!#REF!="Baja",'Mapa final'!#REF!="Mayor"),CONCATENATE("R32C",'Mapa final'!#REF!),"")</f>
        <v>#REF!</v>
      </c>
      <c r="U187" s="106" t="e">
        <f>IF(AND('Mapa final'!#REF!="Baja",'Mapa final'!#REF!="Mayor"),CONCATENATE("R32C",'Mapa final'!#REF!),"")</f>
        <v>#REF!</v>
      </c>
      <c r="V187" s="43" t="e">
        <f>IF(AND('Mapa final'!#REF!="Baja",'Mapa final'!#REF!="Catastrófico"),CONCATENATE("R32C",'Mapa final'!#REF!),"")</f>
        <v>#REF!</v>
      </c>
      <c r="W187" s="44" t="e">
        <f>IF(AND('Mapa final'!#REF!="Baja",'Mapa final'!#REF!="Catastrófico"),CONCATENATE("R32C",'Mapa final'!#REF!),"")</f>
        <v>#REF!</v>
      </c>
      <c r="X187" s="100" t="e">
        <f>IF(AND('Mapa final'!#REF!="Baja",'Mapa final'!#REF!="Catastrófico"),CONCATENATE("R32C",'Mapa final'!#REF!),"")</f>
        <v>#REF!</v>
      </c>
      <c r="Y187" s="56"/>
      <c r="Z187" s="305"/>
      <c r="AA187" s="306"/>
      <c r="AB187" s="306"/>
      <c r="AC187" s="306"/>
      <c r="AD187" s="306"/>
      <c r="AE187" s="307"/>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35">
      <c r="A188" s="56"/>
      <c r="B188" s="300"/>
      <c r="C188" s="300"/>
      <c r="D188" s="301"/>
      <c r="E188" s="289"/>
      <c r="F188" s="290"/>
      <c r="G188" s="290"/>
      <c r="H188" s="290"/>
      <c r="I188" s="288"/>
      <c r="J188" s="115" t="str">
        <f>IF(AND('Mapa final'!$AB$100="Baja",'Mapa final'!$AD$100="Leve"),CONCATENATE("R33C",'Mapa final'!$R$100),"")</f>
        <v/>
      </c>
      <c r="K188" s="54" t="str">
        <f>IF(AND('Mapa final'!$AB$101="Baja",'Mapa final'!$AD$101="Leve"),CONCATENATE("R33C",'Mapa final'!$R$101),"")</f>
        <v/>
      </c>
      <c r="L188" s="116" t="str">
        <f>IF(AND('Mapa final'!$AB$102="Baja",'Mapa final'!$AD$102="Leve"),CONCATENATE("R33C",'Mapa final'!$R$102),"")</f>
        <v/>
      </c>
      <c r="M188" s="49" t="str">
        <f>IF(AND('Mapa final'!$AB$100="Baja",'Mapa final'!$AD$100="Menor"),CONCATENATE("R33C",'Mapa final'!$R$100),"")</f>
        <v/>
      </c>
      <c r="N188" s="50" t="str">
        <f>IF(AND('Mapa final'!$AB$101="Baja",'Mapa final'!$AD$101="Menor"),CONCATENATE("R33C",'Mapa final'!$R$101),"")</f>
        <v/>
      </c>
      <c r="O188" s="111" t="str">
        <f>IF(AND('Mapa final'!$AB$102="Baja",'Mapa final'!$AD$102="Menor"),CONCATENATE("R33C",'Mapa final'!$R$102),"")</f>
        <v/>
      </c>
      <c r="P188" s="49" t="str">
        <f>IF(AND('Mapa final'!$AB$100="Baja",'Mapa final'!$AD$100="Moderado"),CONCATENATE("R33C",'Mapa final'!$R$100),"")</f>
        <v/>
      </c>
      <c r="Q188" s="50" t="str">
        <f>IF(AND('Mapa final'!$AB$101="Baja",'Mapa final'!$AD$101="Moderado"),CONCATENATE("R33C",'Mapa final'!$R$101),"")</f>
        <v/>
      </c>
      <c r="R188" s="111" t="str">
        <f>IF(AND('Mapa final'!$AB$102="Baja",'Mapa final'!$AD$102="Moderado"),CONCATENATE("R33C",'Mapa final'!$R$102),"")</f>
        <v/>
      </c>
      <c r="S188" s="105" t="str">
        <f>IF(AND('Mapa final'!$AB$100="Baja",'Mapa final'!$AD$100="Mayor"),CONCATENATE("R33C",'Mapa final'!$R$100),"")</f>
        <v/>
      </c>
      <c r="T188" s="42" t="str">
        <f>IF(AND('Mapa final'!$AB$101="Baja",'Mapa final'!$AD$101="Mayor"),CONCATENATE("R33C",'Mapa final'!$R$101),"")</f>
        <v/>
      </c>
      <c r="U188" s="106" t="str">
        <f>IF(AND('Mapa final'!$AB$102="Baja",'Mapa final'!$AD$102="Mayor"),CONCATENATE("R33C",'Mapa final'!$R$102),"")</f>
        <v/>
      </c>
      <c r="V188" s="43" t="str">
        <f>IF(AND('Mapa final'!$AB$100="Baja",'Mapa final'!$AD$100="Catastrófico"),CONCATENATE("R33C",'Mapa final'!$R$100),"")</f>
        <v/>
      </c>
      <c r="W188" s="44" t="str">
        <f>IF(AND('Mapa final'!$AB$101="Baja",'Mapa final'!$AD$101="Catastrófico"),CONCATENATE("R33C",'Mapa final'!$R$101),"")</f>
        <v/>
      </c>
      <c r="X188" s="100" t="str">
        <f>IF(AND('Mapa final'!$AB$102="Baja",'Mapa final'!$AD$102="Catastrófico"),CONCATENATE("R33C",'Mapa final'!$R$102),"")</f>
        <v/>
      </c>
      <c r="Y188" s="56"/>
      <c r="Z188" s="305"/>
      <c r="AA188" s="306"/>
      <c r="AB188" s="306"/>
      <c r="AC188" s="306"/>
      <c r="AD188" s="306"/>
      <c r="AE188" s="307"/>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35">
      <c r="A189" s="56"/>
      <c r="B189" s="300"/>
      <c r="C189" s="300"/>
      <c r="D189" s="301"/>
      <c r="E189" s="289"/>
      <c r="F189" s="290"/>
      <c r="G189" s="290"/>
      <c r="H189" s="290"/>
      <c r="I189" s="288"/>
      <c r="J189" s="115" t="str">
        <f>IF(AND('Mapa final'!$AB$103="Baja",'Mapa final'!$AD$103="Leve"),CONCATENATE("R34C",'Mapa final'!$R$103),"")</f>
        <v/>
      </c>
      <c r="K189" s="54" t="str">
        <f>IF(AND('Mapa final'!$AB$104="Baja",'Mapa final'!$AD$104="Leve"),CONCATENATE("R34C",'Mapa final'!$R$104),"")</f>
        <v/>
      </c>
      <c r="L189" s="116" t="str">
        <f>IF(AND('Mapa final'!$AB$105="Baja",'Mapa final'!$AD$105="Leve"),CONCATENATE("R34C",'Mapa final'!$R$105),"")</f>
        <v/>
      </c>
      <c r="M189" s="49" t="str">
        <f>IF(AND('Mapa final'!$AB$103="Baja",'Mapa final'!$AD$103="Menor"),CONCATENATE("R34C",'Mapa final'!$R$103),"")</f>
        <v/>
      </c>
      <c r="N189" s="50" t="str">
        <f>IF(AND('Mapa final'!$AB$104="Baja",'Mapa final'!$AD$104="Menor"),CONCATENATE("R34C",'Mapa final'!$R$104),"")</f>
        <v/>
      </c>
      <c r="O189" s="111" t="str">
        <f>IF(AND('Mapa final'!$AB$105="Baja",'Mapa final'!$AD$105="Menor"),CONCATENATE("R34C",'Mapa final'!$R$105),"")</f>
        <v/>
      </c>
      <c r="P189" s="49" t="str">
        <f>IF(AND('Mapa final'!$AB$103="Baja",'Mapa final'!$AD$103="Moderado"),CONCATENATE("R34C",'Mapa final'!$R$103),"")</f>
        <v/>
      </c>
      <c r="Q189" s="50" t="str">
        <f>IF(AND('Mapa final'!$AB$104="Baja",'Mapa final'!$AD$104="Moderado"),CONCATENATE("R34C",'Mapa final'!$R$104),"")</f>
        <v>R34C2</v>
      </c>
      <c r="R189" s="111" t="str">
        <f>IF(AND('Mapa final'!$AB$105="Baja",'Mapa final'!$AD$105="Moderado"),CONCATENATE("R34C",'Mapa final'!$R$105),"")</f>
        <v/>
      </c>
      <c r="S189" s="105" t="str">
        <f>IF(AND('Mapa final'!$AB$103="Baja",'Mapa final'!$AD$103="Mayor"),CONCATENATE("R34C",'Mapa final'!$R$103),"")</f>
        <v/>
      </c>
      <c r="T189" s="42" t="str">
        <f>IF(AND('Mapa final'!$AB$104="Baja",'Mapa final'!$AD$104="Mayor"),CONCATENATE("R34C",'Mapa final'!$R$104),"")</f>
        <v/>
      </c>
      <c r="U189" s="106" t="str">
        <f>IF(AND('Mapa final'!$AB$105="Baja",'Mapa final'!$AD$105="Mayor"),CONCATENATE("R34C",'Mapa final'!$R$105),"")</f>
        <v/>
      </c>
      <c r="V189" s="43" t="str">
        <f>IF(AND('Mapa final'!$AB$103="Baja",'Mapa final'!$AD$103="Catastrófico"),CONCATENATE("R34C",'Mapa final'!$R$103),"")</f>
        <v/>
      </c>
      <c r="W189" s="44" t="str">
        <f>IF(AND('Mapa final'!$AB$104="Baja",'Mapa final'!$AD$104="Catastrófico"),CONCATENATE("R34C",'Mapa final'!$R$104),"")</f>
        <v/>
      </c>
      <c r="X189" s="100" t="str">
        <f>IF(AND('Mapa final'!$AB$105="Baja",'Mapa final'!$AD$105="Catastrófico"),CONCATENATE("R34C",'Mapa final'!$R$105),"")</f>
        <v/>
      </c>
      <c r="Y189" s="56"/>
      <c r="Z189" s="305"/>
      <c r="AA189" s="306"/>
      <c r="AB189" s="306"/>
      <c r="AC189" s="306"/>
      <c r="AD189" s="306"/>
      <c r="AE189" s="307"/>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35">
      <c r="A190" s="56"/>
      <c r="B190" s="300"/>
      <c r="C190" s="300"/>
      <c r="D190" s="301"/>
      <c r="E190" s="289"/>
      <c r="F190" s="290"/>
      <c r="G190" s="290"/>
      <c r="H190" s="290"/>
      <c r="I190" s="288"/>
      <c r="J190" s="115" t="str">
        <f>IF(AND('Mapa final'!$AB$106="Baja",'Mapa final'!$AD$106="Leve"),CONCATENATE("R35C",'Mapa final'!$R$106),"")</f>
        <v/>
      </c>
      <c r="K190" s="54" t="str">
        <f>IF(AND('Mapa final'!$AB$107="Baja",'Mapa final'!$AD$107="Leve"),CONCATENATE("R35C",'Mapa final'!$R$107),"")</f>
        <v/>
      </c>
      <c r="L190" s="116" t="str">
        <f>IF(AND('Mapa final'!$AB$108="Baja",'Mapa final'!$AD$108="Leve"),CONCATENATE("R35C",'Mapa final'!$R$108),"")</f>
        <v/>
      </c>
      <c r="M190" s="49" t="str">
        <f>IF(AND('Mapa final'!$AB$106="Baja",'Mapa final'!$AD$106="Menor"),CONCATENATE("R35C",'Mapa final'!$R$106),"")</f>
        <v/>
      </c>
      <c r="N190" s="50" t="str">
        <f>IF(AND('Mapa final'!$AB$107="Baja",'Mapa final'!$AD$107="Menor"),CONCATENATE("R35C",'Mapa final'!$R$107),"")</f>
        <v/>
      </c>
      <c r="O190" s="111" t="str">
        <f>IF(AND('Mapa final'!$AB$108="Baja",'Mapa final'!$AD$108="Menor"),CONCATENATE("R35C",'Mapa final'!$R$108),"")</f>
        <v/>
      </c>
      <c r="P190" s="49" t="str">
        <f>IF(AND('Mapa final'!$AB$106="Baja",'Mapa final'!$AD$106="Moderado"),CONCATENATE("R35C",'Mapa final'!$R$106),"")</f>
        <v>R35C1</v>
      </c>
      <c r="Q190" s="50" t="str">
        <f>IF(AND('Mapa final'!$AB$107="Baja",'Mapa final'!$AD$107="Moderado"),CONCATENATE("R35C",'Mapa final'!$R$107),"")</f>
        <v>R35C2</v>
      </c>
      <c r="R190" s="111" t="str">
        <f>IF(AND('Mapa final'!$AB$108="Baja",'Mapa final'!$AD$108="Moderado"),CONCATENATE("R35C",'Mapa final'!$R$108),"")</f>
        <v/>
      </c>
      <c r="S190" s="105" t="str">
        <f>IF(AND('Mapa final'!$AB$106="Baja",'Mapa final'!$AD$106="Mayor"),CONCATENATE("R35C",'Mapa final'!$R$106),"")</f>
        <v/>
      </c>
      <c r="T190" s="42" t="str">
        <f>IF(AND('Mapa final'!$AB$107="Baja",'Mapa final'!$AD$107="Mayor"),CONCATENATE("R35C",'Mapa final'!$R$107),"")</f>
        <v/>
      </c>
      <c r="U190" s="106" t="str">
        <f>IF(AND('Mapa final'!$AB$108="Baja",'Mapa final'!$AD$108="Mayor"),CONCATENATE("R35C",'Mapa final'!$R$108),"")</f>
        <v/>
      </c>
      <c r="V190" s="43" t="str">
        <f>IF(AND('Mapa final'!$AB$106="Baja",'Mapa final'!$AD$106="Catastrófico"),CONCATENATE("R35C",'Mapa final'!$R$106),"")</f>
        <v/>
      </c>
      <c r="W190" s="44" t="str">
        <f>IF(AND('Mapa final'!$AB$107="Baja",'Mapa final'!$AD$107="Catastrófico"),CONCATENATE("R35C",'Mapa final'!$R$107),"")</f>
        <v/>
      </c>
      <c r="X190" s="100" t="str">
        <f>IF(AND('Mapa final'!$AB$108="Baja",'Mapa final'!$AD$108="Catastrófico"),CONCATENATE("R35C",'Mapa final'!$R$108),"")</f>
        <v/>
      </c>
      <c r="Y190" s="56"/>
      <c r="Z190" s="305"/>
      <c r="AA190" s="306"/>
      <c r="AB190" s="306"/>
      <c r="AC190" s="306"/>
      <c r="AD190" s="306"/>
      <c r="AE190" s="307"/>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35">
      <c r="A191" s="56"/>
      <c r="B191" s="300"/>
      <c r="C191" s="300"/>
      <c r="D191" s="301"/>
      <c r="E191" s="289"/>
      <c r="F191" s="290"/>
      <c r="G191" s="290"/>
      <c r="H191" s="290"/>
      <c r="I191" s="288"/>
      <c r="J191" s="115" t="str">
        <f>IF(AND('Mapa final'!$AB$109="Baja",'Mapa final'!$AD$109="Leve"),CONCATENATE("R36C",'Mapa final'!$R$109),"")</f>
        <v/>
      </c>
      <c r="K191" s="54" t="str">
        <f>IF(AND('Mapa final'!$AB$110="Baja",'Mapa final'!$AD$110="Leve"),CONCATENATE("R36C",'Mapa final'!$R$110),"")</f>
        <v/>
      </c>
      <c r="L191" s="116" t="str">
        <f>IF(AND('Mapa final'!$AB$111="Baja",'Mapa final'!$AD$111="Leve"),CONCATENATE("R36C",'Mapa final'!$R$111),"")</f>
        <v/>
      </c>
      <c r="M191" s="49" t="str">
        <f>IF(AND('Mapa final'!$AB$109="Baja",'Mapa final'!$AD$109="Menor"),CONCATENATE("R36C",'Mapa final'!$R$109),"")</f>
        <v/>
      </c>
      <c r="N191" s="50" t="str">
        <f>IF(AND('Mapa final'!$AB$110="Baja",'Mapa final'!$AD$110="Menor"),CONCATENATE("R36C",'Mapa final'!$R$110),"")</f>
        <v/>
      </c>
      <c r="O191" s="111" t="str">
        <f>IF(AND('Mapa final'!$AB$111="Baja",'Mapa final'!$AD$111="Menor"),CONCATENATE("R36C",'Mapa final'!$R$111),"")</f>
        <v/>
      </c>
      <c r="P191" s="49" t="str">
        <f>IF(AND('Mapa final'!$AB$109="Baja",'Mapa final'!$AD$109="Moderado"),CONCATENATE("R36C",'Mapa final'!$R$109),"")</f>
        <v/>
      </c>
      <c r="Q191" s="50" t="str">
        <f>IF(AND('Mapa final'!$AB$110="Baja",'Mapa final'!$AD$110="Moderado"),CONCATENATE("R36C",'Mapa final'!$R$110),"")</f>
        <v/>
      </c>
      <c r="R191" s="111" t="str">
        <f>IF(AND('Mapa final'!$AB$111="Baja",'Mapa final'!$AD$111="Moderado"),CONCATENATE("R36C",'Mapa final'!$R$111),"")</f>
        <v/>
      </c>
      <c r="S191" s="105" t="str">
        <f>IF(AND('Mapa final'!$AB$109="Baja",'Mapa final'!$AD$109="Mayor"),CONCATENATE("R36C",'Mapa final'!$R$109),"")</f>
        <v>R36C1</v>
      </c>
      <c r="T191" s="42" t="str">
        <f>IF(AND('Mapa final'!$AB$110="Baja",'Mapa final'!$AD$110="Mayor"),CONCATENATE("R36C",'Mapa final'!$R$110),"")</f>
        <v>R36C2</v>
      </c>
      <c r="U191" s="106" t="str">
        <f>IF(AND('Mapa final'!$AB$111="Baja",'Mapa final'!$AD$111="Mayor"),CONCATENATE("R36C",'Mapa final'!$R$111),"")</f>
        <v/>
      </c>
      <c r="V191" s="43" t="str">
        <f>IF(AND('Mapa final'!$AB$109="Baja",'Mapa final'!$AD$109="Catastrófico"),CONCATENATE("R36C",'Mapa final'!$R$109),"")</f>
        <v/>
      </c>
      <c r="W191" s="44" t="str">
        <f>IF(AND('Mapa final'!$AB$110="Baja",'Mapa final'!$AD$110="Catastrófico"),CONCATENATE("R36C",'Mapa final'!$R$110),"")</f>
        <v/>
      </c>
      <c r="X191" s="100" t="str">
        <f>IF(AND('Mapa final'!$AB$111="Baja",'Mapa final'!$AD$111="Catastrófico"),CONCATENATE("R36C",'Mapa final'!$R$111),"")</f>
        <v/>
      </c>
      <c r="Y191" s="56"/>
      <c r="Z191" s="305"/>
      <c r="AA191" s="306"/>
      <c r="AB191" s="306"/>
      <c r="AC191" s="306"/>
      <c r="AD191" s="306"/>
      <c r="AE191" s="307"/>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35">
      <c r="A192" s="56"/>
      <c r="B192" s="300"/>
      <c r="C192" s="300"/>
      <c r="D192" s="301"/>
      <c r="E192" s="289"/>
      <c r="F192" s="290"/>
      <c r="G192" s="290"/>
      <c r="H192" s="290"/>
      <c r="I192" s="288"/>
      <c r="J192" s="115" t="str">
        <f>IF(AND('Mapa final'!$AB$112="Baja",'Mapa final'!$AD$112="Leve"),CONCATENATE("R37C",'Mapa final'!$R$112),"")</f>
        <v/>
      </c>
      <c r="K192" s="54" t="str">
        <f>IF(AND('Mapa final'!$AB$113="Baja",'Mapa final'!$AD$113="Leve"),CONCATENATE("R37C",'Mapa final'!$R$113),"")</f>
        <v/>
      </c>
      <c r="L192" s="116" t="str">
        <f>IF(AND('Mapa final'!$AB$114="Baja",'Mapa final'!$AD$114="Leve"),CONCATENATE("R37C",'Mapa final'!$R$114),"")</f>
        <v/>
      </c>
      <c r="M192" s="49" t="str">
        <f>IF(AND('Mapa final'!$AB$112="Baja",'Mapa final'!$AD$112="Menor"),CONCATENATE("R37C",'Mapa final'!$R$112),"")</f>
        <v>R37C1</v>
      </c>
      <c r="N192" s="50" t="str">
        <f>IF(AND('Mapa final'!$AB$113="Baja",'Mapa final'!$AD$113="Menor"),CONCATENATE("R37C",'Mapa final'!$R$113),"")</f>
        <v>R37C2</v>
      </c>
      <c r="O192" s="111" t="str">
        <f>IF(AND('Mapa final'!$AB$114="Baja",'Mapa final'!$AD$114="Menor"),CONCATENATE("R37C",'Mapa final'!$R$114),"")</f>
        <v/>
      </c>
      <c r="P192" s="49" t="str">
        <f>IF(AND('Mapa final'!$AB$112="Baja",'Mapa final'!$AD$112="Moderado"),CONCATENATE("R37C",'Mapa final'!$R$112),"")</f>
        <v/>
      </c>
      <c r="Q192" s="50" t="str">
        <f>IF(AND('Mapa final'!$AB$113="Baja",'Mapa final'!$AD$113="Moderado"),CONCATENATE("R37C",'Mapa final'!$R$113),"")</f>
        <v/>
      </c>
      <c r="R192" s="111" t="str">
        <f>IF(AND('Mapa final'!$AB$114="Baja",'Mapa final'!$AD$114="Moderado"),CONCATENATE("R37C",'Mapa final'!$R$114),"")</f>
        <v/>
      </c>
      <c r="S192" s="105" t="str">
        <f>IF(AND('Mapa final'!$AB$112="Baja",'Mapa final'!$AD$112="Mayor"),CONCATENATE("R37C",'Mapa final'!$R$112),"")</f>
        <v/>
      </c>
      <c r="T192" s="42" t="str">
        <f>IF(AND('Mapa final'!$AB$113="Baja",'Mapa final'!$AD$113="Mayor"),CONCATENATE("R37C",'Mapa final'!$R$113),"")</f>
        <v/>
      </c>
      <c r="U192" s="106" t="str">
        <f>IF(AND('Mapa final'!$AB$114="Baja",'Mapa final'!$AD$114="Mayor"),CONCATENATE("R37C",'Mapa final'!$R$114),"")</f>
        <v/>
      </c>
      <c r="V192" s="43" t="str">
        <f>IF(AND('Mapa final'!$AB$112="Baja",'Mapa final'!$AD$112="Catastrófico"),CONCATENATE("R37C",'Mapa final'!$R$112),"")</f>
        <v/>
      </c>
      <c r="W192" s="44" t="str">
        <f>IF(AND('Mapa final'!$AB$113="Baja",'Mapa final'!$AD$113="Catastrófico"),CONCATENATE("R37C",'Mapa final'!$R$113),"")</f>
        <v/>
      </c>
      <c r="X192" s="100" t="str">
        <f>IF(AND('Mapa final'!$AB$114="Baja",'Mapa final'!$AD$114="Catastrófico"),CONCATENATE("R37C",'Mapa final'!$R$114),"")</f>
        <v/>
      </c>
      <c r="Y192" s="56"/>
      <c r="Z192" s="305"/>
      <c r="AA192" s="306"/>
      <c r="AB192" s="306"/>
      <c r="AC192" s="306"/>
      <c r="AD192" s="306"/>
      <c r="AE192" s="307"/>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35">
      <c r="A193" s="56"/>
      <c r="B193" s="300"/>
      <c r="C193" s="300"/>
      <c r="D193" s="301"/>
      <c r="E193" s="289"/>
      <c r="F193" s="290"/>
      <c r="G193" s="290"/>
      <c r="H193" s="290"/>
      <c r="I193" s="288"/>
      <c r="J193" s="115" t="str">
        <f>IF(AND('Mapa final'!$AB$115="Baja",'Mapa final'!$AD$115="Leve"),CONCATENATE("R38C",'Mapa final'!$R$115),"")</f>
        <v/>
      </c>
      <c r="K193" s="54" t="str">
        <f>IF(AND('Mapa final'!$AB$116="Baja",'Mapa final'!$AD$116="Leve"),CONCATENATE("R38C",'Mapa final'!$R$116),"")</f>
        <v/>
      </c>
      <c r="L193" s="116" t="str">
        <f>IF(AND('Mapa final'!$AB$117="Baja",'Mapa final'!$AD$117="Leve"),CONCATENATE("R38C",'Mapa final'!$R$117),"")</f>
        <v/>
      </c>
      <c r="M193" s="49" t="str">
        <f>IF(AND('Mapa final'!$AB$115="Baja",'Mapa final'!$AD$115="Menor"),CONCATENATE("R38C",'Mapa final'!$R$115),"")</f>
        <v>R38C1</v>
      </c>
      <c r="N193" s="50" t="str">
        <f>IF(AND('Mapa final'!$AB$116="Baja",'Mapa final'!$AD$116="Menor"),CONCATENATE("R38C",'Mapa final'!$R$116),"")</f>
        <v/>
      </c>
      <c r="O193" s="111" t="str">
        <f>IF(AND('Mapa final'!$AB$117="Baja",'Mapa final'!$AD$117="Menor"),CONCATENATE("R38C",'Mapa final'!$R$117),"")</f>
        <v/>
      </c>
      <c r="P193" s="49" t="str">
        <f>IF(AND('Mapa final'!$AB$115="Baja",'Mapa final'!$AD$115="Moderado"),CONCATENATE("R38C",'Mapa final'!$R$115),"")</f>
        <v/>
      </c>
      <c r="Q193" s="50" t="str">
        <f>IF(AND('Mapa final'!$AB$116="Baja",'Mapa final'!$AD$116="Moderado"),CONCATENATE("R38C",'Mapa final'!$R$116),"")</f>
        <v/>
      </c>
      <c r="R193" s="111" t="str">
        <f>IF(AND('Mapa final'!$AB$117="Baja",'Mapa final'!$AD$117="Moderado"),CONCATENATE("R38C",'Mapa final'!$R$117),"")</f>
        <v/>
      </c>
      <c r="S193" s="105" t="str">
        <f>IF(AND('Mapa final'!$AB$115="Baja",'Mapa final'!$AD$115="Mayor"),CONCATENATE("R38C",'Mapa final'!$R$115),"")</f>
        <v/>
      </c>
      <c r="T193" s="42" t="str">
        <f>IF(AND('Mapa final'!$AB$116="Baja",'Mapa final'!$AD$116="Mayor"),CONCATENATE("R38C",'Mapa final'!$R$116),"")</f>
        <v/>
      </c>
      <c r="U193" s="106" t="str">
        <f>IF(AND('Mapa final'!$AB$117="Baja",'Mapa final'!$AD$117="Mayor"),CONCATENATE("R38C",'Mapa final'!$R$117),"")</f>
        <v/>
      </c>
      <c r="V193" s="43" t="str">
        <f>IF(AND('Mapa final'!$AB$115="Baja",'Mapa final'!$AD$115="Catastrófico"),CONCATENATE("R38C",'Mapa final'!$R$115),"")</f>
        <v/>
      </c>
      <c r="W193" s="44" t="str">
        <f>IF(AND('Mapa final'!$AB$116="Baja",'Mapa final'!$AD$116="Catastrófico"),CONCATENATE("R38C",'Mapa final'!$R$116),"")</f>
        <v/>
      </c>
      <c r="X193" s="100" t="str">
        <f>IF(AND('Mapa final'!$AB$117="Baja",'Mapa final'!$AD$117="Catastrófico"),CONCATENATE("R38C",'Mapa final'!$R$117),"")</f>
        <v/>
      </c>
      <c r="Y193" s="56"/>
      <c r="Z193" s="305"/>
      <c r="AA193" s="306"/>
      <c r="AB193" s="306"/>
      <c r="AC193" s="306"/>
      <c r="AD193" s="306"/>
      <c r="AE193" s="307"/>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35">
      <c r="A194" s="56"/>
      <c r="B194" s="300"/>
      <c r="C194" s="300"/>
      <c r="D194" s="301"/>
      <c r="E194" s="289"/>
      <c r="F194" s="290"/>
      <c r="G194" s="290"/>
      <c r="H194" s="290"/>
      <c r="I194" s="288"/>
      <c r="J194" s="115" t="str">
        <f>IF(AND('Mapa final'!$AB$118="Baja",'Mapa final'!$AD$118="Leve"),CONCATENATE("R39C",'Mapa final'!$R$118),"")</f>
        <v/>
      </c>
      <c r="K194" s="54" t="str">
        <f>IF(AND('Mapa final'!$AB$119="Baja",'Mapa final'!$AD$119="Leve"),CONCATENATE("R39C",'Mapa final'!$R$119),"")</f>
        <v/>
      </c>
      <c r="L194" s="116" t="str">
        <f>IF(AND('Mapa final'!$AB$120="Baja",'Mapa final'!$AD$120="Leve"),CONCATENATE("R39C",'Mapa final'!$R$120),"")</f>
        <v/>
      </c>
      <c r="M194" s="49" t="str">
        <f>IF(AND('Mapa final'!$AB$118="Baja",'Mapa final'!$AD$118="Menor"),CONCATENATE("R39C",'Mapa final'!$R$118),"")</f>
        <v/>
      </c>
      <c r="N194" s="50" t="str">
        <f>IF(AND('Mapa final'!$AB$119="Baja",'Mapa final'!$AD$119="Menor"),CONCATENATE("R39C",'Mapa final'!$R$119),"")</f>
        <v>R39C2</v>
      </c>
      <c r="O194" s="111" t="str">
        <f>IF(AND('Mapa final'!$AB$120="Baja",'Mapa final'!$AD$120="Menor"),CONCATENATE("R39C",'Mapa final'!$R$120),"")</f>
        <v>R39C3</v>
      </c>
      <c r="P194" s="49" t="str">
        <f>IF(AND('Mapa final'!$AB$118="Baja",'Mapa final'!$AD$118="Moderado"),CONCATENATE("R39C",'Mapa final'!$R$118),"")</f>
        <v/>
      </c>
      <c r="Q194" s="50" t="str">
        <f>IF(AND('Mapa final'!$AB$119="Baja",'Mapa final'!$AD$119="Moderado"),CONCATENATE("R39C",'Mapa final'!$R$119),"")</f>
        <v/>
      </c>
      <c r="R194" s="111" t="str">
        <f>IF(AND('Mapa final'!$AB$120="Baja",'Mapa final'!$AD$120="Moderado"),CONCATENATE("R39C",'Mapa final'!$R$120),"")</f>
        <v/>
      </c>
      <c r="S194" s="105" t="str">
        <f>IF(AND('Mapa final'!$AB$118="Baja",'Mapa final'!$AD$118="Mayor"),CONCATENATE("R39C",'Mapa final'!$R$118),"")</f>
        <v/>
      </c>
      <c r="T194" s="42" t="str">
        <f>IF(AND('Mapa final'!$AB$119="Baja",'Mapa final'!$AD$119="Mayor"),CONCATENATE("R39C",'Mapa final'!$R$119),"")</f>
        <v/>
      </c>
      <c r="U194" s="106" t="str">
        <f>IF(AND('Mapa final'!$AB$120="Baja",'Mapa final'!$AD$120="Mayor"),CONCATENATE("R39C",'Mapa final'!$R$120),"")</f>
        <v/>
      </c>
      <c r="V194" s="43" t="str">
        <f>IF(AND('Mapa final'!$AB$118="Baja",'Mapa final'!$AD$118="Catastrófico"),CONCATENATE("R39C",'Mapa final'!$R$118),"")</f>
        <v/>
      </c>
      <c r="W194" s="44" t="str">
        <f>IF(AND('Mapa final'!$AB$119="Baja",'Mapa final'!$AD$119="Catastrófico"),CONCATENATE("R39C",'Mapa final'!$R$119),"")</f>
        <v/>
      </c>
      <c r="X194" s="100" t="str">
        <f>IF(AND('Mapa final'!$AB$120="Baja",'Mapa final'!$AD$120="Catastrófico"),CONCATENATE("R39C",'Mapa final'!$R$120),"")</f>
        <v/>
      </c>
      <c r="Y194" s="56"/>
      <c r="Z194" s="305"/>
      <c r="AA194" s="306"/>
      <c r="AB194" s="306"/>
      <c r="AC194" s="306"/>
      <c r="AD194" s="306"/>
      <c r="AE194" s="307"/>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35">
      <c r="A195" s="56"/>
      <c r="B195" s="300"/>
      <c r="C195" s="300"/>
      <c r="D195" s="301"/>
      <c r="E195" s="289"/>
      <c r="F195" s="290"/>
      <c r="G195" s="290"/>
      <c r="H195" s="290"/>
      <c r="I195" s="288"/>
      <c r="J195" s="115" t="str">
        <f>IF(AND('Mapa final'!$AB$121="Baja",'Mapa final'!$AD$121="Leve"),CONCATENATE("R40C",'Mapa final'!$R$121),"")</f>
        <v/>
      </c>
      <c r="K195" s="54" t="str">
        <f>IF(AND('Mapa final'!$AB$122="Baja",'Mapa final'!$AD$122="Leve"),CONCATENATE("R40C",'Mapa final'!$R$122),"")</f>
        <v>R40C2</v>
      </c>
      <c r="L195" s="116" t="str">
        <f>IF(AND('Mapa final'!$AB$123="Baja",'Mapa final'!$AD$123="Leve"),CONCATENATE("R40C",'Mapa final'!$R$123),"")</f>
        <v/>
      </c>
      <c r="M195" s="49" t="str">
        <f>IF(AND('Mapa final'!$AB$121="Baja",'Mapa final'!$AD$121="Menor"),CONCATENATE("R40C",'Mapa final'!$R$121),"")</f>
        <v/>
      </c>
      <c r="N195" s="50" t="str">
        <f>IF(AND('Mapa final'!$AB$122="Baja",'Mapa final'!$AD$122="Menor"),CONCATENATE("R40C",'Mapa final'!$R$122),"")</f>
        <v/>
      </c>
      <c r="O195" s="111" t="str">
        <f>IF(AND('Mapa final'!$AB$123="Baja",'Mapa final'!$AD$123="Menor"),CONCATENATE("R40C",'Mapa final'!$R$123),"")</f>
        <v/>
      </c>
      <c r="P195" s="49" t="str">
        <f>IF(AND('Mapa final'!$AB$121="Baja",'Mapa final'!$AD$121="Moderado"),CONCATENATE("R40C",'Mapa final'!$R$121),"")</f>
        <v>R40C1</v>
      </c>
      <c r="Q195" s="50" t="str">
        <f>IF(AND('Mapa final'!$AB$122="Baja",'Mapa final'!$AD$122="Moderado"),CONCATENATE("R40C",'Mapa final'!$R$122),"")</f>
        <v/>
      </c>
      <c r="R195" s="111" t="str">
        <f>IF(AND('Mapa final'!$AB$123="Baja",'Mapa final'!$AD$123="Moderado"),CONCATENATE("R40C",'Mapa final'!$R$123),"")</f>
        <v/>
      </c>
      <c r="S195" s="105" t="str">
        <f>IF(AND('Mapa final'!$AB$121="Baja",'Mapa final'!$AD$121="Mayor"),CONCATENATE("R40C",'Mapa final'!$R$121),"")</f>
        <v/>
      </c>
      <c r="T195" s="42" t="str">
        <f>IF(AND('Mapa final'!$AB$122="Baja",'Mapa final'!$AD$122="Mayor"),CONCATENATE("R40C",'Mapa final'!$R$122),"")</f>
        <v/>
      </c>
      <c r="U195" s="106" t="str">
        <f>IF(AND('Mapa final'!$AB$123="Baja",'Mapa final'!$AD$123="Mayor"),CONCATENATE("R40C",'Mapa final'!$R$123),"")</f>
        <v/>
      </c>
      <c r="V195" s="43" t="str">
        <f>IF(AND('Mapa final'!$AB$121="Baja",'Mapa final'!$AD$121="Catastrófico"),CONCATENATE("R40C",'Mapa final'!$R$121),"")</f>
        <v/>
      </c>
      <c r="W195" s="44" t="str">
        <f>IF(AND('Mapa final'!$AB$122="Baja",'Mapa final'!$AD$122="Catastrófico"),CONCATENATE("R40C",'Mapa final'!$R$122),"")</f>
        <v/>
      </c>
      <c r="X195" s="100" t="str">
        <f>IF(AND('Mapa final'!$AB$123="Baja",'Mapa final'!$AD$123="Catastrófico"),CONCATENATE("R40C",'Mapa final'!$R$123),"")</f>
        <v/>
      </c>
      <c r="Y195" s="56"/>
      <c r="Z195" s="305"/>
      <c r="AA195" s="306"/>
      <c r="AB195" s="306"/>
      <c r="AC195" s="306"/>
      <c r="AD195" s="306"/>
      <c r="AE195" s="307"/>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35">
      <c r="A196" s="56"/>
      <c r="B196" s="300"/>
      <c r="C196" s="300"/>
      <c r="D196" s="301"/>
      <c r="E196" s="289"/>
      <c r="F196" s="290"/>
      <c r="G196" s="290"/>
      <c r="H196" s="290"/>
      <c r="I196" s="288"/>
      <c r="J196" s="115" t="str">
        <f>IF(AND('Mapa final'!$AB$124="Baja",'Mapa final'!$AD$124="Leve"),CONCATENATE("R41C",'Mapa final'!$R$124),"")</f>
        <v/>
      </c>
      <c r="K196" s="54" t="str">
        <f>IF(AND('Mapa final'!$AB$125="Baja",'Mapa final'!$AD$125="Leve"),CONCATENATE("R41C",'Mapa final'!$R$125),"")</f>
        <v/>
      </c>
      <c r="L196" s="116" t="str">
        <f>IF(AND('Mapa final'!$AB$126="Baja",'Mapa final'!$AD$126="Leve"),CONCATENATE("R41C",'Mapa final'!$R$126),"")</f>
        <v/>
      </c>
      <c r="M196" s="49" t="str">
        <f>IF(AND('Mapa final'!$AB$124="Baja",'Mapa final'!$AD$124="Menor"),CONCATENATE("R41C",'Mapa final'!$R$124),"")</f>
        <v/>
      </c>
      <c r="N196" s="50" t="str">
        <f>IF(AND('Mapa final'!$AB$125="Baja",'Mapa final'!$AD$125="Menor"),CONCATENATE("R41C",'Mapa final'!$R$125),"")</f>
        <v/>
      </c>
      <c r="O196" s="111" t="str">
        <f>IF(AND('Mapa final'!$AB$126="Baja",'Mapa final'!$AD$126="Menor"),CONCATENATE("R41C",'Mapa final'!$R$126),"")</f>
        <v/>
      </c>
      <c r="P196" s="49" t="str">
        <f>IF(AND('Mapa final'!$AB$124="Baja",'Mapa final'!$AD$124="Moderado"),CONCATENATE("R41C",'Mapa final'!$R$124),"")</f>
        <v/>
      </c>
      <c r="Q196" s="50" t="str">
        <f>IF(AND('Mapa final'!$AB$125="Baja",'Mapa final'!$AD$125="Moderado"),CONCATENATE("R41C",'Mapa final'!$R$125),"")</f>
        <v/>
      </c>
      <c r="R196" s="111" t="str">
        <f>IF(AND('Mapa final'!$AB$126="Baja",'Mapa final'!$AD$126="Moderado"),CONCATENATE("R41C",'Mapa final'!$R$126),"")</f>
        <v/>
      </c>
      <c r="S196" s="105" t="str">
        <f>IF(AND('Mapa final'!$AB$124="Baja",'Mapa final'!$AD$124="Mayor"),CONCATENATE("R41C",'Mapa final'!$R$124),"")</f>
        <v/>
      </c>
      <c r="T196" s="42" t="str">
        <f>IF(AND('Mapa final'!$AB$125="Baja",'Mapa final'!$AD$125="Mayor"),CONCATENATE("R41C",'Mapa final'!$R$125),"")</f>
        <v/>
      </c>
      <c r="U196" s="106" t="str">
        <f>IF(AND('Mapa final'!$AB$126="Baja",'Mapa final'!$AD$126="Mayor"),CONCATENATE("R41C",'Mapa final'!$R$126),"")</f>
        <v/>
      </c>
      <c r="V196" s="43" t="str">
        <f>IF(AND('Mapa final'!$AB$124="Baja",'Mapa final'!$AD$124="Catastrófico"),CONCATENATE("R41C",'Mapa final'!$R$124),"")</f>
        <v/>
      </c>
      <c r="W196" s="44" t="str">
        <f>IF(AND('Mapa final'!$AB$125="Baja",'Mapa final'!$AD$125="Catastrófico"),CONCATENATE("R41C",'Mapa final'!$R$125),"")</f>
        <v/>
      </c>
      <c r="X196" s="100" t="str">
        <f>IF(AND('Mapa final'!$AB$126="Baja",'Mapa final'!$AD$126="Catastrófico"),CONCATENATE("R41C",'Mapa final'!$R$126),"")</f>
        <v/>
      </c>
      <c r="Y196" s="56"/>
      <c r="Z196" s="305"/>
      <c r="AA196" s="306"/>
      <c r="AB196" s="306"/>
      <c r="AC196" s="306"/>
      <c r="AD196" s="306"/>
      <c r="AE196" s="307"/>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35">
      <c r="A197" s="56"/>
      <c r="B197" s="300"/>
      <c r="C197" s="300"/>
      <c r="D197" s="301"/>
      <c r="E197" s="289"/>
      <c r="F197" s="290"/>
      <c r="G197" s="290"/>
      <c r="H197" s="290"/>
      <c r="I197" s="288"/>
      <c r="J197" s="115" t="str">
        <f>IF(AND('Mapa final'!$AB$127="Baja",'Mapa final'!$AD$127="Leve"),CONCATENATE("R42C",'Mapa final'!$R$127),"")</f>
        <v/>
      </c>
      <c r="K197" s="54" t="str">
        <f>IF(AND('Mapa final'!$AB$128="Baja",'Mapa final'!$AD$128="Leve"),CONCATENATE("R42C",'Mapa final'!$R$128),"")</f>
        <v/>
      </c>
      <c r="L197" s="116" t="str">
        <f>IF(AND('Mapa final'!$AB$129="Baja",'Mapa final'!$AD$129="Leve"),CONCATENATE("R42C",'Mapa final'!$R$129),"")</f>
        <v/>
      </c>
      <c r="M197" s="49" t="str">
        <f>IF(AND('Mapa final'!$AB$127="Baja",'Mapa final'!$AD$127="Menor"),CONCATENATE("R42C",'Mapa final'!$R$127),"")</f>
        <v/>
      </c>
      <c r="N197" s="50" t="str">
        <f>IF(AND('Mapa final'!$AB$128="Baja",'Mapa final'!$AD$128="Menor"),CONCATENATE("R42C",'Mapa final'!$R$128),"")</f>
        <v/>
      </c>
      <c r="O197" s="111" t="str">
        <f>IF(AND('Mapa final'!$AB$129="Baja",'Mapa final'!$AD$129="Menor"),CONCATENATE("R42C",'Mapa final'!$R$129),"")</f>
        <v/>
      </c>
      <c r="P197" s="49" t="str">
        <f>IF(AND('Mapa final'!$AB$127="Baja",'Mapa final'!$AD$127="Moderado"),CONCATENATE("R42C",'Mapa final'!$R$127),"")</f>
        <v>R42C1</v>
      </c>
      <c r="Q197" s="50" t="str">
        <f>IF(AND('Mapa final'!$AB$128="Baja",'Mapa final'!$AD$128="Moderado"),CONCATENATE("R42C",'Mapa final'!$R$128),"")</f>
        <v/>
      </c>
      <c r="R197" s="111" t="str">
        <f>IF(AND('Mapa final'!$AB$129="Baja",'Mapa final'!$AD$129="Moderado"),CONCATENATE("R42C",'Mapa final'!$R$129),"")</f>
        <v/>
      </c>
      <c r="S197" s="105" t="str">
        <f>IF(AND('Mapa final'!$AB$127="Baja",'Mapa final'!$AD$127="Mayor"),CONCATENATE("R42C",'Mapa final'!$R$127),"")</f>
        <v/>
      </c>
      <c r="T197" s="42" t="str">
        <f>IF(AND('Mapa final'!$AB$128="Baja",'Mapa final'!$AD$128="Mayor"),CONCATENATE("R42C",'Mapa final'!$R$128),"")</f>
        <v/>
      </c>
      <c r="U197" s="106" t="str">
        <f>IF(AND('Mapa final'!$AB$129="Baja",'Mapa final'!$AD$129="Mayor"),CONCATENATE("R42C",'Mapa final'!$R$129),"")</f>
        <v/>
      </c>
      <c r="V197" s="43" t="str">
        <f>IF(AND('Mapa final'!$AB$127="Baja",'Mapa final'!$AD$127="Catastrófico"),CONCATENATE("R42C",'Mapa final'!$R$127),"")</f>
        <v/>
      </c>
      <c r="W197" s="44" t="str">
        <f>IF(AND('Mapa final'!$AB$128="Baja",'Mapa final'!$AD$128="Catastrófico"),CONCATENATE("R42C",'Mapa final'!$R$128),"")</f>
        <v/>
      </c>
      <c r="X197" s="100" t="str">
        <f>IF(AND('Mapa final'!$AB$129="Baja",'Mapa final'!$AD$129="Catastrófico"),CONCATENATE("R42C",'Mapa final'!$R$129),"")</f>
        <v/>
      </c>
      <c r="Y197" s="56"/>
      <c r="Z197" s="305"/>
      <c r="AA197" s="306"/>
      <c r="AB197" s="306"/>
      <c r="AC197" s="306"/>
      <c r="AD197" s="306"/>
      <c r="AE197" s="307"/>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35">
      <c r="A198" s="56"/>
      <c r="B198" s="300"/>
      <c r="C198" s="300"/>
      <c r="D198" s="301"/>
      <c r="E198" s="289"/>
      <c r="F198" s="290"/>
      <c r="G198" s="290"/>
      <c r="H198" s="290"/>
      <c r="I198" s="288"/>
      <c r="J198" s="115" t="str">
        <f>IF(AND('Mapa final'!$AB$130="Baja",'Mapa final'!$AD$130="Leve"),CONCATENATE("R43C",'Mapa final'!$R$130),"")</f>
        <v/>
      </c>
      <c r="K198" s="54" t="str">
        <f>IF(AND('Mapa final'!$AB$131="Baja",'Mapa final'!$AD$131="Leve"),CONCATENATE("R43C",'Mapa final'!$R$131),"")</f>
        <v/>
      </c>
      <c r="L198" s="116" t="str">
        <f>IF(AND('Mapa final'!$AB$132="Baja",'Mapa final'!$AD$132="Leve"),CONCATENATE("R43C",'Mapa final'!$R$132),"")</f>
        <v/>
      </c>
      <c r="M198" s="49" t="str">
        <f>IF(AND('Mapa final'!$AB$130="Baja",'Mapa final'!$AD$130="Menor"),CONCATENATE("R43C",'Mapa final'!$R$130),"")</f>
        <v/>
      </c>
      <c r="N198" s="50" t="str">
        <f>IF(AND('Mapa final'!$AB$131="Baja",'Mapa final'!$AD$131="Menor"),CONCATENATE("R43C",'Mapa final'!$R$131),"")</f>
        <v/>
      </c>
      <c r="O198" s="111" t="str">
        <f>IF(AND('Mapa final'!$AB$132="Baja",'Mapa final'!$AD$132="Menor"),CONCATENATE("R43C",'Mapa final'!$R$132),"")</f>
        <v/>
      </c>
      <c r="P198" s="49" t="str">
        <f>IF(AND('Mapa final'!$AB$130="Baja",'Mapa final'!$AD$130="Moderado"),CONCATENATE("R43C",'Mapa final'!$R$130),"")</f>
        <v/>
      </c>
      <c r="Q198" s="50" t="str">
        <f>IF(AND('Mapa final'!$AB$131="Baja",'Mapa final'!$AD$131="Moderado"),CONCATENATE("R43C",'Mapa final'!$R$131),"")</f>
        <v/>
      </c>
      <c r="R198" s="111" t="str">
        <f>IF(AND('Mapa final'!$AB$132="Baja",'Mapa final'!$AD$132="Moderado"),CONCATENATE("R43C",'Mapa final'!$R$132),"")</f>
        <v/>
      </c>
      <c r="S198" s="105" t="str">
        <f>IF(AND('Mapa final'!$AB$130="Baja",'Mapa final'!$AD$130="Mayor"),CONCATENATE("R43C",'Mapa final'!$R$130),"")</f>
        <v/>
      </c>
      <c r="T198" s="42" t="str">
        <f>IF(AND('Mapa final'!$AB$131="Baja",'Mapa final'!$AD$131="Mayor"),CONCATENATE("R43C",'Mapa final'!$R$131),"")</f>
        <v>R43C2</v>
      </c>
      <c r="U198" s="106" t="str">
        <f>IF(AND('Mapa final'!$AB$132="Baja",'Mapa final'!$AD$132="Mayor"),CONCATENATE("R43C",'Mapa final'!$R$132),"")</f>
        <v/>
      </c>
      <c r="V198" s="43" t="str">
        <f>IF(AND('Mapa final'!$AB$130="Baja",'Mapa final'!$AD$130="Catastrófico"),CONCATENATE("R43C",'Mapa final'!$R$130),"")</f>
        <v/>
      </c>
      <c r="W198" s="44" t="str">
        <f>IF(AND('Mapa final'!$AB$131="Baja",'Mapa final'!$AD$131="Catastrófico"),CONCATENATE("R43C",'Mapa final'!$R$131),"")</f>
        <v/>
      </c>
      <c r="X198" s="100" t="str">
        <f>IF(AND('Mapa final'!$AB$132="Baja",'Mapa final'!$AD$132="Catastrófico"),CONCATENATE("R43C",'Mapa final'!$R$132),"")</f>
        <v/>
      </c>
      <c r="Y198" s="56"/>
      <c r="Z198" s="305"/>
      <c r="AA198" s="306"/>
      <c r="AB198" s="306"/>
      <c r="AC198" s="306"/>
      <c r="AD198" s="306"/>
      <c r="AE198" s="307"/>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35">
      <c r="A199" s="56"/>
      <c r="B199" s="300"/>
      <c r="C199" s="300"/>
      <c r="D199" s="301"/>
      <c r="E199" s="289"/>
      <c r="F199" s="290"/>
      <c r="G199" s="290"/>
      <c r="H199" s="290"/>
      <c r="I199" s="288"/>
      <c r="J199" s="115" t="str">
        <f>IF(AND('Mapa final'!$AB$133="Baja",'Mapa final'!$AD$133="Leve"),CONCATENATE("R44C",'Mapa final'!$R$133),"")</f>
        <v/>
      </c>
      <c r="K199" s="54" t="str">
        <f>IF(AND('Mapa final'!$AB$134="Baja",'Mapa final'!$AD$134="Leve"),CONCATENATE("R44C",'Mapa final'!$R$134),"")</f>
        <v/>
      </c>
      <c r="L199" s="116" t="str">
        <f>IF(AND('Mapa final'!$AB$135="Baja",'Mapa final'!$AD$135="Leve"),CONCATENATE("R44C",'Mapa final'!$R$135),"")</f>
        <v/>
      </c>
      <c r="M199" s="49" t="str">
        <f>IF(AND('Mapa final'!$AB$133="Baja",'Mapa final'!$AD$133="Menor"),CONCATENATE("R44C",'Mapa final'!$R$133),"")</f>
        <v/>
      </c>
      <c r="N199" s="50" t="str">
        <f>IF(AND('Mapa final'!$AB$134="Baja",'Mapa final'!$AD$134="Menor"),CONCATENATE("R44C",'Mapa final'!$R$134),"")</f>
        <v/>
      </c>
      <c r="O199" s="111" t="str">
        <f>IF(AND('Mapa final'!$AB$135="Baja",'Mapa final'!$AD$135="Menor"),CONCATENATE("R44C",'Mapa final'!$R$135),"")</f>
        <v/>
      </c>
      <c r="P199" s="49" t="str">
        <f>IF(AND('Mapa final'!$AB$133="Baja",'Mapa final'!$AD$133="Moderado"),CONCATENATE("R44C",'Mapa final'!$R$133),"")</f>
        <v/>
      </c>
      <c r="Q199" s="50" t="str">
        <f>IF(AND('Mapa final'!$AB$134="Baja",'Mapa final'!$AD$134="Moderado"),CONCATENATE("R44C",'Mapa final'!$R$134),"")</f>
        <v>R44C2</v>
      </c>
      <c r="R199" s="111" t="str">
        <f>IF(AND('Mapa final'!$AB$135="Baja",'Mapa final'!$AD$135="Moderado"),CONCATENATE("R44C",'Mapa final'!$R$135),"")</f>
        <v>R44C3</v>
      </c>
      <c r="S199" s="105" t="str">
        <f>IF(AND('Mapa final'!$AB$133="Baja",'Mapa final'!$AD$133="Mayor"),CONCATENATE("R44C",'Mapa final'!$R$133),"")</f>
        <v/>
      </c>
      <c r="T199" s="42" t="str">
        <f>IF(AND('Mapa final'!$AB$134="Baja",'Mapa final'!$AD$134="Mayor"),CONCATENATE("R44C",'Mapa final'!$R$134),"")</f>
        <v/>
      </c>
      <c r="U199" s="106" t="str">
        <f>IF(AND('Mapa final'!$AB$135="Baja",'Mapa final'!$AD$135="Mayor"),CONCATENATE("R44C",'Mapa final'!$R$135),"")</f>
        <v/>
      </c>
      <c r="V199" s="43" t="str">
        <f>IF(AND('Mapa final'!$AB$133="Baja",'Mapa final'!$AD$133="Catastrófico"),CONCATENATE("R44C",'Mapa final'!$R$133),"")</f>
        <v/>
      </c>
      <c r="W199" s="44" t="str">
        <f>IF(AND('Mapa final'!$AB$134="Baja",'Mapa final'!$AD$134="Catastrófico"),CONCATENATE("R44C",'Mapa final'!$R$134),"")</f>
        <v/>
      </c>
      <c r="X199" s="100" t="str">
        <f>IF(AND('Mapa final'!$AB$135="Baja",'Mapa final'!$AD$135="Catastrófico"),CONCATENATE("R44C",'Mapa final'!$R$135),"")</f>
        <v/>
      </c>
      <c r="Y199" s="56"/>
      <c r="Z199" s="305"/>
      <c r="AA199" s="306"/>
      <c r="AB199" s="306"/>
      <c r="AC199" s="306"/>
      <c r="AD199" s="306"/>
      <c r="AE199" s="307"/>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35">
      <c r="A200" s="56"/>
      <c r="B200" s="300"/>
      <c r="C200" s="300"/>
      <c r="D200" s="301"/>
      <c r="E200" s="289"/>
      <c r="F200" s="290"/>
      <c r="G200" s="290"/>
      <c r="H200" s="290"/>
      <c r="I200" s="288"/>
      <c r="J200" s="115" t="str">
        <f>IF(AND('Mapa final'!$AB$136="Baja",'Mapa final'!$AD$136="Leve"),CONCATENATE("R45C",'Mapa final'!$R$136),"")</f>
        <v/>
      </c>
      <c r="K200" s="54" t="str">
        <f>IF(AND('Mapa final'!$AB$137="Baja",'Mapa final'!$AD$137="Leve"),CONCATENATE("R45C",'Mapa final'!$R$137),"")</f>
        <v/>
      </c>
      <c r="L200" s="116" t="str">
        <f>IF(AND('Mapa final'!$AB$138="Baja",'Mapa final'!$AD$138="Leve"),CONCATENATE("R45C",'Mapa final'!$R$138),"")</f>
        <v/>
      </c>
      <c r="M200" s="49" t="str">
        <f>IF(AND('Mapa final'!$AB$136="Baja",'Mapa final'!$AD$136="Menor"),CONCATENATE("R45C",'Mapa final'!$R$136),"")</f>
        <v/>
      </c>
      <c r="N200" s="50" t="str">
        <f>IF(AND('Mapa final'!$AB$137="Baja",'Mapa final'!$AD$137="Menor"),CONCATENATE("R45C",'Mapa final'!$R$137),"")</f>
        <v/>
      </c>
      <c r="O200" s="111" t="str">
        <f>IF(AND('Mapa final'!$AB$138="Baja",'Mapa final'!$AD$138="Menor"),CONCATENATE("R45C",'Mapa final'!$R$138),"")</f>
        <v/>
      </c>
      <c r="P200" s="49" t="str">
        <f>IF(AND('Mapa final'!$AB$136="Baja",'Mapa final'!$AD$136="Moderado"),CONCATENATE("R45C",'Mapa final'!$R$136),"")</f>
        <v/>
      </c>
      <c r="Q200" s="50" t="str">
        <f>IF(AND('Mapa final'!$AB$137="Baja",'Mapa final'!$AD$137="Moderado"),CONCATENATE("R45C",'Mapa final'!$R$137),"")</f>
        <v/>
      </c>
      <c r="R200" s="111" t="str">
        <f>IF(AND('Mapa final'!$AB$138="Baja",'Mapa final'!$AD$138="Moderado"),CONCATENATE("R45C",'Mapa final'!$R$138),"")</f>
        <v/>
      </c>
      <c r="S200" s="105" t="str">
        <f>IF(AND('Mapa final'!$AB$136="Baja",'Mapa final'!$AD$136="Mayor"),CONCATENATE("R45C",'Mapa final'!$R$136),"")</f>
        <v/>
      </c>
      <c r="T200" s="42" t="str">
        <f>IF(AND('Mapa final'!$AB$137="Baja",'Mapa final'!$AD$137="Mayor"),CONCATENATE("R45C",'Mapa final'!$R$137),"")</f>
        <v/>
      </c>
      <c r="U200" s="106" t="str">
        <f>IF(AND('Mapa final'!$AB$138="Baja",'Mapa final'!$AD$138="Mayor"),CONCATENATE("R45C",'Mapa final'!$R$138),"")</f>
        <v/>
      </c>
      <c r="V200" s="43" t="str">
        <f>IF(AND('Mapa final'!$AB$136="Baja",'Mapa final'!$AD$136="Catastrófico"),CONCATENATE("R45C",'Mapa final'!$R$136),"")</f>
        <v/>
      </c>
      <c r="W200" s="44" t="str">
        <f>IF(AND('Mapa final'!$AB$137="Baja",'Mapa final'!$AD$137="Catastrófico"),CONCATENATE("R45C",'Mapa final'!$R$137),"")</f>
        <v/>
      </c>
      <c r="X200" s="100" t="str">
        <f>IF(AND('Mapa final'!$AB$138="Baja",'Mapa final'!$AD$138="Catastrófico"),CONCATENATE("R45C",'Mapa final'!$R$138),"")</f>
        <v/>
      </c>
      <c r="Y200" s="56"/>
      <c r="Z200" s="305"/>
      <c r="AA200" s="306"/>
      <c r="AB200" s="306"/>
      <c r="AC200" s="306"/>
      <c r="AD200" s="306"/>
      <c r="AE200" s="307"/>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35">
      <c r="A201" s="56"/>
      <c r="B201" s="300"/>
      <c r="C201" s="300"/>
      <c r="D201" s="301"/>
      <c r="E201" s="289"/>
      <c r="F201" s="290"/>
      <c r="G201" s="290"/>
      <c r="H201" s="290"/>
      <c r="I201" s="288"/>
      <c r="J201" s="115" t="str">
        <f>IF(AND('Mapa final'!$AB$139="Baja",'Mapa final'!$AD$139="Leve"),CONCATENATE("R46C",'Mapa final'!$R$139),"")</f>
        <v/>
      </c>
      <c r="K201" s="54" t="str">
        <f>IF(AND('Mapa final'!$AB$140="Baja",'Mapa final'!$AD$140="Leve"),CONCATENATE("R46C",'Mapa final'!$R$140),"")</f>
        <v/>
      </c>
      <c r="L201" s="116" t="str">
        <f>IF(AND('Mapa final'!$AB$141="Baja",'Mapa final'!$AD$141="Leve"),CONCATENATE("R46C",'Mapa final'!$R$141),"")</f>
        <v/>
      </c>
      <c r="M201" s="49" t="str">
        <f>IF(AND('Mapa final'!$AB$139="Baja",'Mapa final'!$AD$139="Menor"),CONCATENATE("R46C",'Mapa final'!$R$139),"")</f>
        <v/>
      </c>
      <c r="N201" s="50" t="str">
        <f>IF(AND('Mapa final'!$AB$140="Baja",'Mapa final'!$AD$140="Menor"),CONCATENATE("R46C",'Mapa final'!$R$140),"")</f>
        <v/>
      </c>
      <c r="O201" s="111" t="str">
        <f>IF(AND('Mapa final'!$AB$141="Baja",'Mapa final'!$AD$141="Menor"),CONCATENATE("R46C",'Mapa final'!$R$141),"")</f>
        <v/>
      </c>
      <c r="P201" s="49" t="str">
        <f>IF(AND('Mapa final'!$AB$139="Baja",'Mapa final'!$AD$139="Moderado"),CONCATENATE("R46C",'Mapa final'!$R$139),"")</f>
        <v/>
      </c>
      <c r="Q201" s="50" t="str">
        <f>IF(AND('Mapa final'!$AB$140="Baja",'Mapa final'!$AD$140="Moderado"),CONCATENATE("R46C",'Mapa final'!$R$140),"")</f>
        <v/>
      </c>
      <c r="R201" s="111" t="str">
        <f>IF(AND('Mapa final'!$AB$141="Baja",'Mapa final'!$AD$141="Moderado"),CONCATENATE("R46C",'Mapa final'!$R$141),"")</f>
        <v/>
      </c>
      <c r="S201" s="105" t="str">
        <f>IF(AND('Mapa final'!$AB$139="Baja",'Mapa final'!$AD$139="Mayor"),CONCATENATE("R46C",'Mapa final'!$R$139),"")</f>
        <v>R46C1</v>
      </c>
      <c r="T201" s="42" t="str">
        <f>IF(AND('Mapa final'!$AB$140="Baja",'Mapa final'!$AD$140="Mayor"),CONCATENATE("R46C",'Mapa final'!$R$140),"")</f>
        <v/>
      </c>
      <c r="U201" s="106" t="str">
        <f>IF(AND('Mapa final'!$AB$141="Baja",'Mapa final'!$AD$141="Mayor"),CONCATENATE("R46C",'Mapa final'!$R$141),"")</f>
        <v/>
      </c>
      <c r="V201" s="43" t="str">
        <f>IF(AND('Mapa final'!$AB$139="Baja",'Mapa final'!$AD$139="Catastrófico"),CONCATENATE("R46C",'Mapa final'!$R$139),"")</f>
        <v/>
      </c>
      <c r="W201" s="44" t="str">
        <f>IF(AND('Mapa final'!$AB$140="Baja",'Mapa final'!$AD$140="Catastrófico"),CONCATENATE("R46C",'Mapa final'!$R$140),"")</f>
        <v/>
      </c>
      <c r="X201" s="100" t="str">
        <f>IF(AND('Mapa final'!$AB$141="Baja",'Mapa final'!$AD$141="Catastrófico"),CONCATENATE("R46C",'Mapa final'!$R$141),"")</f>
        <v/>
      </c>
      <c r="Y201" s="56"/>
      <c r="Z201" s="305"/>
      <c r="AA201" s="306"/>
      <c r="AB201" s="306"/>
      <c r="AC201" s="306"/>
      <c r="AD201" s="306"/>
      <c r="AE201" s="307"/>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35">
      <c r="A202" s="56"/>
      <c r="B202" s="300"/>
      <c r="C202" s="300"/>
      <c r="D202" s="301"/>
      <c r="E202" s="289"/>
      <c r="F202" s="290"/>
      <c r="G202" s="290"/>
      <c r="H202" s="290"/>
      <c r="I202" s="288"/>
      <c r="J202" s="115" t="str">
        <f>IF(AND('Mapa final'!$AB$142="Baja",'Mapa final'!$AD$142="Leve"),CONCATENATE("R47C",'Mapa final'!$R$142),"")</f>
        <v/>
      </c>
      <c r="K202" s="54" t="str">
        <f>IF(AND('Mapa final'!$AB$143="Baja",'Mapa final'!$AD$143="Leve"),CONCATENATE("R47C",'Mapa final'!$R$143),"")</f>
        <v/>
      </c>
      <c r="L202" s="116" t="str">
        <f>IF(AND('Mapa final'!$AB$144="Baja",'Mapa final'!$AD$144="Leve"),CONCATENATE("R47C",'Mapa final'!$R$144),"")</f>
        <v/>
      </c>
      <c r="M202" s="49" t="str">
        <f>IF(AND('Mapa final'!$AB$142="Baja",'Mapa final'!$AD$142="Menor"),CONCATENATE("R47C",'Mapa final'!$R$142),"")</f>
        <v/>
      </c>
      <c r="N202" s="50" t="str">
        <f>IF(AND('Mapa final'!$AB$143="Baja",'Mapa final'!$AD$143="Menor"),CONCATENATE("R47C",'Mapa final'!$R$143),"")</f>
        <v/>
      </c>
      <c r="O202" s="111" t="str">
        <f>IF(AND('Mapa final'!$AB$144="Baja",'Mapa final'!$AD$144="Menor"),CONCATENATE("R47C",'Mapa final'!$R$144),"")</f>
        <v/>
      </c>
      <c r="P202" s="49" t="str">
        <f>IF(AND('Mapa final'!$AB$142="Baja",'Mapa final'!$AD$142="Moderado"),CONCATENATE("R47C",'Mapa final'!$R$142),"")</f>
        <v>R47C1</v>
      </c>
      <c r="Q202" s="50" t="str">
        <f>IF(AND('Mapa final'!$AB$143="Baja",'Mapa final'!$AD$143="Moderado"),CONCATENATE("R47C",'Mapa final'!$R$143),"")</f>
        <v/>
      </c>
      <c r="R202" s="111" t="str">
        <f>IF(AND('Mapa final'!$AB$144="Baja",'Mapa final'!$AD$144="Moderado"),CONCATENATE("R47C",'Mapa final'!$R$144),"")</f>
        <v/>
      </c>
      <c r="S202" s="105" t="str">
        <f>IF(AND('Mapa final'!$AB$142="Baja",'Mapa final'!$AD$142="Mayor"),CONCATENATE("R47C",'Mapa final'!$R$142),"")</f>
        <v/>
      </c>
      <c r="T202" s="42" t="str">
        <f>IF(AND('Mapa final'!$AB$143="Baja",'Mapa final'!$AD$143="Mayor"),CONCATENATE("R47C",'Mapa final'!$R$143),"")</f>
        <v/>
      </c>
      <c r="U202" s="106" t="str">
        <f>IF(AND('Mapa final'!$AB$144="Baja",'Mapa final'!$AD$144="Mayor"),CONCATENATE("R47C",'Mapa final'!$R$144),"")</f>
        <v/>
      </c>
      <c r="V202" s="43" t="str">
        <f>IF(AND('Mapa final'!$AB$142="Baja",'Mapa final'!$AD$142="Catastrófico"),CONCATENATE("R47C",'Mapa final'!$R$142),"")</f>
        <v/>
      </c>
      <c r="W202" s="44" t="str">
        <f>IF(AND('Mapa final'!$AB$143="Baja",'Mapa final'!$AD$143="Catastrófico"),CONCATENATE("R47C",'Mapa final'!$R$143),"")</f>
        <v/>
      </c>
      <c r="X202" s="100" t="str">
        <f>IF(AND('Mapa final'!$AB$144="Baja",'Mapa final'!$AD$144="Catastrófico"),CONCATENATE("R47C",'Mapa final'!$R$144),"")</f>
        <v/>
      </c>
      <c r="Y202" s="56"/>
      <c r="Z202" s="305"/>
      <c r="AA202" s="306"/>
      <c r="AB202" s="306"/>
      <c r="AC202" s="306"/>
      <c r="AD202" s="306"/>
      <c r="AE202" s="307"/>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35">
      <c r="A203" s="56"/>
      <c r="B203" s="300"/>
      <c r="C203" s="300"/>
      <c r="D203" s="301"/>
      <c r="E203" s="289"/>
      <c r="F203" s="290"/>
      <c r="G203" s="290"/>
      <c r="H203" s="290"/>
      <c r="I203" s="288"/>
      <c r="J203" s="115" t="str">
        <f>IF(AND('Mapa final'!$AB$145="Baja",'Mapa final'!$AD$145="Leve"),CONCATENATE("R48C",'Mapa final'!$R$145),"")</f>
        <v/>
      </c>
      <c r="K203" s="54" t="str">
        <f>IF(AND('Mapa final'!$AB$146="Baja",'Mapa final'!$AD$146="Leve"),CONCATENATE("R48C",'Mapa final'!$R$146),"")</f>
        <v/>
      </c>
      <c r="L203" s="116" t="str">
        <f>IF(AND('Mapa final'!$AB$147="Baja",'Mapa final'!$AD$147="Leve"),CONCATENATE("R48C",'Mapa final'!$R$147),"")</f>
        <v/>
      </c>
      <c r="M203" s="49" t="str">
        <f>IF(AND('Mapa final'!$AB$145="Baja",'Mapa final'!$AD$145="Menor"),CONCATENATE("R48C",'Mapa final'!$R$145),"")</f>
        <v/>
      </c>
      <c r="N203" s="50" t="str">
        <f>IF(AND('Mapa final'!$AB$146="Baja",'Mapa final'!$AD$146="Menor"),CONCATENATE("R48C",'Mapa final'!$R$146),"")</f>
        <v/>
      </c>
      <c r="O203" s="111" t="str">
        <f>IF(AND('Mapa final'!$AB$147="Baja",'Mapa final'!$AD$147="Menor"),CONCATENATE("R48C",'Mapa final'!$R$147),"")</f>
        <v/>
      </c>
      <c r="P203" s="49" t="str">
        <f>IF(AND('Mapa final'!$AB$145="Baja",'Mapa final'!$AD$145="Moderado"),CONCATENATE("R48C",'Mapa final'!$R$145),"")</f>
        <v/>
      </c>
      <c r="Q203" s="50" t="str">
        <f>IF(AND('Mapa final'!$AB$146="Baja",'Mapa final'!$AD$146="Moderado"),CONCATENATE("R48C",'Mapa final'!$R$146),"")</f>
        <v/>
      </c>
      <c r="R203" s="111" t="str">
        <f>IF(AND('Mapa final'!$AB$147="Baja",'Mapa final'!$AD$147="Moderado"),CONCATENATE("R48C",'Mapa final'!$R$147),"")</f>
        <v/>
      </c>
      <c r="S203" s="105" t="str">
        <f>IF(AND('Mapa final'!$AB$145="Baja",'Mapa final'!$AD$145="Mayor"),CONCATENATE("R48C",'Mapa final'!$R$145),"")</f>
        <v/>
      </c>
      <c r="T203" s="42" t="str">
        <f>IF(AND('Mapa final'!$AB$146="Baja",'Mapa final'!$AD$146="Mayor"),CONCATENATE("R48C",'Mapa final'!$R$146),"")</f>
        <v/>
      </c>
      <c r="U203" s="106" t="str">
        <f>IF(AND('Mapa final'!$AB$147="Baja",'Mapa final'!$AD$147="Mayor"),CONCATENATE("R48C",'Mapa final'!$R$147),"")</f>
        <v/>
      </c>
      <c r="V203" s="43" t="str">
        <f>IF(AND('Mapa final'!$AB$145="Baja",'Mapa final'!$AD$145="Catastrófico"),CONCATENATE("R48C",'Mapa final'!$R$145),"")</f>
        <v/>
      </c>
      <c r="W203" s="44" t="str">
        <f>IF(AND('Mapa final'!$AB$146="Baja",'Mapa final'!$AD$146="Catastrófico"),CONCATENATE("R48C",'Mapa final'!$R$146),"")</f>
        <v/>
      </c>
      <c r="X203" s="100" t="str">
        <f>IF(AND('Mapa final'!$AB$147="Baja",'Mapa final'!$AD$147="Catastrófico"),CONCATENATE("R48C",'Mapa final'!$R$147),"")</f>
        <v/>
      </c>
      <c r="Y203" s="56"/>
      <c r="Z203" s="305"/>
      <c r="AA203" s="306"/>
      <c r="AB203" s="306"/>
      <c r="AC203" s="306"/>
      <c r="AD203" s="306"/>
      <c r="AE203" s="307"/>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35">
      <c r="A204" s="56"/>
      <c r="B204" s="300"/>
      <c r="C204" s="300"/>
      <c r="D204" s="301"/>
      <c r="E204" s="289"/>
      <c r="F204" s="290"/>
      <c r="G204" s="290"/>
      <c r="H204" s="290"/>
      <c r="I204" s="288"/>
      <c r="J204" s="115" t="str">
        <f>IF(AND('Mapa final'!$AB$148="Baja",'Mapa final'!$AD$148="Leve"),CONCATENATE("R49C",'Mapa final'!$R$148),"")</f>
        <v/>
      </c>
      <c r="K204" s="54" t="str">
        <f>IF(AND('Mapa final'!$AB$149="Baja",'Mapa final'!$AD$149="Leve"),CONCATENATE("R49C",'Mapa final'!$R$149),"")</f>
        <v/>
      </c>
      <c r="L204" s="116" t="str">
        <f>IF(AND('Mapa final'!$AB$150="Baja",'Mapa final'!$AD$150="Leve"),CONCATENATE("R49C",'Mapa final'!$R$150),"")</f>
        <v/>
      </c>
      <c r="M204" s="49" t="str">
        <f>IF(AND('Mapa final'!$AB$148="Baja",'Mapa final'!$AD$148="Menor"),CONCATENATE("R49C",'Mapa final'!$R$148),"")</f>
        <v/>
      </c>
      <c r="N204" s="50" t="str">
        <f>IF(AND('Mapa final'!$AB$149="Baja",'Mapa final'!$AD$149="Menor"),CONCATENATE("R49C",'Mapa final'!$R$149),"")</f>
        <v/>
      </c>
      <c r="O204" s="111" t="str">
        <f>IF(AND('Mapa final'!$AB$150="Baja",'Mapa final'!$AD$150="Menor"),CONCATENATE("R49C",'Mapa final'!$R$150),"")</f>
        <v/>
      </c>
      <c r="P204" s="49" t="str">
        <f>IF(AND('Mapa final'!$AB$148="Baja",'Mapa final'!$AD$148="Moderado"),CONCATENATE("R49C",'Mapa final'!$R$148),"")</f>
        <v/>
      </c>
      <c r="Q204" s="50" t="str">
        <f>IF(AND('Mapa final'!$AB$149="Baja",'Mapa final'!$AD$149="Moderado"),CONCATENATE("R49C",'Mapa final'!$R$149),"")</f>
        <v/>
      </c>
      <c r="R204" s="111" t="str">
        <f>IF(AND('Mapa final'!$AB$150="Baja",'Mapa final'!$AD$150="Moderado"),CONCATENATE("R49C",'Mapa final'!$R$150),"")</f>
        <v/>
      </c>
      <c r="S204" s="105" t="str">
        <f>IF(AND('Mapa final'!$AB$148="Baja",'Mapa final'!$AD$148="Mayor"),CONCATENATE("R49C",'Mapa final'!$R$148),"")</f>
        <v/>
      </c>
      <c r="T204" s="42" t="str">
        <f>IF(AND('Mapa final'!$AB$149="Baja",'Mapa final'!$AD$149="Mayor"),CONCATENATE("R49C",'Mapa final'!$R$149),"")</f>
        <v/>
      </c>
      <c r="U204" s="106" t="str">
        <f>IF(AND('Mapa final'!$AB$150="Baja",'Mapa final'!$AD$150="Mayor"),CONCATENATE("R49C",'Mapa final'!$R$150),"")</f>
        <v/>
      </c>
      <c r="V204" s="43" t="str">
        <f>IF(AND('Mapa final'!$AB$148="Baja",'Mapa final'!$AD$148="Catastrófico"),CONCATENATE("R49C",'Mapa final'!$R$148),"")</f>
        <v/>
      </c>
      <c r="W204" s="44" t="str">
        <f>IF(AND('Mapa final'!$AB$149="Baja",'Mapa final'!$AD$149="Catastrófico"),CONCATENATE("R49C",'Mapa final'!$R$149),"")</f>
        <v/>
      </c>
      <c r="X204" s="100" t="str">
        <f>IF(AND('Mapa final'!$AB$150="Baja",'Mapa final'!$AD$150="Catastrófico"),CONCATENATE("R49C",'Mapa final'!$R$150),"")</f>
        <v/>
      </c>
      <c r="Y204" s="56"/>
      <c r="Z204" s="305"/>
      <c r="AA204" s="306"/>
      <c r="AB204" s="306"/>
      <c r="AC204" s="306"/>
      <c r="AD204" s="306"/>
      <c r="AE204" s="307"/>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4">
      <c r="A205" s="56"/>
      <c r="B205" s="300"/>
      <c r="C205" s="300"/>
      <c r="D205" s="301"/>
      <c r="E205" s="289"/>
      <c r="F205" s="290"/>
      <c r="G205" s="290"/>
      <c r="H205" s="290"/>
      <c r="I205" s="288"/>
      <c r="J205" s="117" t="str">
        <f>IF(AND('Mapa final'!$AB$151="Baja",'Mapa final'!$AD$151="Leve"),CONCATENATE("R50C",'Mapa final'!$R$151),"")</f>
        <v/>
      </c>
      <c r="K205" s="55" t="str">
        <f>IF(AND('Mapa final'!$AB$152="Baja",'Mapa final'!$AD$152="Leve"),CONCATENATE("R50C",'Mapa final'!$R$152),"")</f>
        <v/>
      </c>
      <c r="L205" s="118" t="str">
        <f>IF(AND('Mapa final'!$AB$153="Baja",'Mapa final'!$AD$153="Leve"),CONCATENATE("R50C",'Mapa final'!$R$153),"")</f>
        <v/>
      </c>
      <c r="M205" s="51" t="str">
        <f>IF(AND('Mapa final'!$AB$151="Baja",'Mapa final'!$AD$151="Menor"),CONCATENATE("R50C",'Mapa final'!$R$151),"")</f>
        <v/>
      </c>
      <c r="N205" s="52" t="str">
        <f>IF(AND('Mapa final'!$AB$152="Baja",'Mapa final'!$AD$152="Menor"),CONCATENATE("R50C",'Mapa final'!$R$152),"")</f>
        <v/>
      </c>
      <c r="O205" s="112" t="str">
        <f>IF(AND('Mapa final'!$AB$153="Baja",'Mapa final'!$AD$153="Menor"),CONCATENATE("R50C",'Mapa final'!$R$153),"")</f>
        <v/>
      </c>
      <c r="P205" s="51" t="str">
        <f>IF(AND('Mapa final'!$AB$151="Baja",'Mapa final'!$AD$151="Moderado"),CONCATENATE("R50C",'Mapa final'!$R$151),"")</f>
        <v/>
      </c>
      <c r="Q205" s="52" t="str">
        <f>IF(AND('Mapa final'!$AB$152="Baja",'Mapa final'!$AD$152="Moderado"),CONCATENATE("R50C",'Mapa final'!$R$152),"")</f>
        <v/>
      </c>
      <c r="R205" s="112" t="str">
        <f>IF(AND('Mapa final'!$AB$153="Baja",'Mapa final'!$AD$153="Moderado"),CONCATENATE("R50C",'Mapa final'!$R$153),"")</f>
        <v/>
      </c>
      <c r="S205" s="107" t="str">
        <f>IF(AND('Mapa final'!$AB$151="Baja",'Mapa final'!$AD$151="Mayor"),CONCATENATE("R50C",'Mapa final'!$R$151),"")</f>
        <v/>
      </c>
      <c r="T205" s="108" t="str">
        <f>IF(AND('Mapa final'!$AB$152="Baja",'Mapa final'!$AD$152="Mayor"),CONCATENATE("R50C",'Mapa final'!$R$152),"")</f>
        <v/>
      </c>
      <c r="U205" s="109" t="str">
        <f>IF(AND('Mapa final'!$AB$153="Baja",'Mapa final'!$AD$153="Mayor"),CONCATENATE("R50C",'Mapa final'!$R$153),"")</f>
        <v/>
      </c>
      <c r="V205" s="45" t="str">
        <f>IF(AND('Mapa final'!$AB$151="Baja",'Mapa final'!$AD$151="Catastrófico"),CONCATENATE("R50C",'Mapa final'!$R$151),"")</f>
        <v/>
      </c>
      <c r="W205" s="46" t="str">
        <f>IF(AND('Mapa final'!$AB$152="Baja",'Mapa final'!$AD$152="Catastrófico"),CONCATENATE("R50C",'Mapa final'!$R$152),"")</f>
        <v/>
      </c>
      <c r="X205" s="101" t="str">
        <f>IF(AND('Mapa final'!$AB$153="Baja",'Mapa final'!$AD$153="Catastrófico"),CONCATENATE("R50C",'Mapa final'!$R$153),"")</f>
        <v/>
      </c>
      <c r="Y205" s="56"/>
      <c r="Z205" s="305"/>
      <c r="AA205" s="306"/>
      <c r="AB205" s="306"/>
      <c r="AC205" s="306"/>
      <c r="AD205" s="306"/>
      <c r="AE205" s="307"/>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35">
      <c r="A206" s="56"/>
      <c r="B206" s="300"/>
      <c r="C206" s="300"/>
      <c r="D206" s="301"/>
      <c r="E206" s="285" t="s">
        <v>104</v>
      </c>
      <c r="F206" s="286"/>
      <c r="G206" s="286"/>
      <c r="H206" s="286"/>
      <c r="I206" s="286"/>
      <c r="J206" s="113" t="str">
        <f>IF(AND('Mapa final'!$AB$7="Muy Baja",'Mapa final'!$AD$7="Leve"),CONCATENATE("R1C",'Mapa final'!$R$7),"")</f>
        <v/>
      </c>
      <c r="K206" s="53" t="str">
        <f>IF(AND('Mapa final'!$AB$8="Muy Baja",'Mapa final'!$AD$8="Leve"),CONCATENATE("R1C",'Mapa final'!$R$8),"")</f>
        <v/>
      </c>
      <c r="L206" s="114" t="str">
        <f>IF(AND('Mapa final'!$AB$9="Muy Baja",'Mapa final'!$AD$9="Leve"),CONCATENATE("R1C",'Mapa final'!$R$9),"")</f>
        <v/>
      </c>
      <c r="M206" s="113" t="str">
        <f>IF(AND('Mapa final'!$AB$7="Muy Baja",'Mapa final'!$AD$7="Menor"),CONCATENATE("R1C",'Mapa final'!$R$7),"")</f>
        <v/>
      </c>
      <c r="N206" s="53" t="str">
        <f>IF(AND('Mapa final'!$AB$8="Muy Baja",'Mapa final'!$AD$8="Menor"),CONCATENATE("R1C",'Mapa final'!$R$8),"")</f>
        <v/>
      </c>
      <c r="O206" s="114" t="str">
        <f>IF(AND('Mapa final'!$AB$9="Muy Baja",'Mapa final'!$AD$9="Menor"),CONCATENATE("R1C",'Mapa final'!$R$9),"")</f>
        <v/>
      </c>
      <c r="P206" s="47" t="str">
        <f>IF(AND('Mapa final'!$AB$7="Muy Baja",'Mapa final'!$AD$7="Moderado"),CONCATENATE("R1C",'Mapa final'!$R$7),"")</f>
        <v/>
      </c>
      <c r="Q206" s="48" t="str">
        <f>IF(AND('Mapa final'!$AB$8="Muy Baja",'Mapa final'!$AD$8="Moderado"),CONCATENATE("R1C",'Mapa final'!$R$8),"")</f>
        <v/>
      </c>
      <c r="R206" s="110" t="str">
        <f>IF(AND('Mapa final'!$AB$9="Muy Baja",'Mapa final'!$AD$9="Moderado"),CONCATENATE("R1C",'Mapa final'!$R$9),"")</f>
        <v/>
      </c>
      <c r="S206" s="102" t="str">
        <f>IF(AND('Mapa final'!$AB$7="Muy Baja",'Mapa final'!$AD$7="Mayor"),CONCATENATE("R1C",'Mapa final'!$R$7),"")</f>
        <v/>
      </c>
      <c r="T206" s="103" t="str">
        <f>IF(AND('Mapa final'!$AB$8="Muy Baja",'Mapa final'!$AD$8="Mayor"),CONCATENATE("R1C",'Mapa final'!$R$8),"")</f>
        <v/>
      </c>
      <c r="U206" s="104" t="str">
        <f>IF(AND('Mapa final'!$AB$9="Muy Baja",'Mapa final'!$AD$9="Mayor"),CONCATENATE("R1C",'Mapa final'!$R$9),"")</f>
        <v/>
      </c>
      <c r="V206" s="40" t="str">
        <f>IF(AND('Mapa final'!$AB$7="Muy Baja",'Mapa final'!$AD$7="Catastrófico"),CONCATENATE("R1C",'Mapa final'!$R$7),"")</f>
        <v/>
      </c>
      <c r="W206" s="41" t="str">
        <f>IF(AND('Mapa final'!$AB$8="Muy Baja",'Mapa final'!$AD$8="Catastrófico"),CONCATENATE("R1C",'Mapa final'!$R$8),"")</f>
        <v/>
      </c>
      <c r="X206" s="99"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5" x14ac:dyDescent="0.35">
      <c r="A207" s="56"/>
      <c r="B207" s="300"/>
      <c r="C207" s="300"/>
      <c r="D207" s="301"/>
      <c r="E207" s="287"/>
      <c r="F207" s="288"/>
      <c r="G207" s="288"/>
      <c r="H207" s="288"/>
      <c r="I207" s="288"/>
      <c r="J207" s="115" t="str">
        <f>IF(AND('Mapa final'!$AB$10="Muy Baja",'Mapa final'!$AD$10="Leve"),CONCATENATE("R2C",'Mapa final'!$R$10),"")</f>
        <v/>
      </c>
      <c r="K207" s="54" t="str">
        <f>IF(AND('Mapa final'!$AB$11="Muy Baja",'Mapa final'!$AD$11="Leve"),CONCATENATE("R2C",'Mapa final'!$R$11),"")</f>
        <v/>
      </c>
      <c r="L207" s="116" t="str">
        <f>IF(AND('Mapa final'!$AB$12="Muy Baja",'Mapa final'!$AD$12="Leve"),CONCATENATE("R2C",'Mapa final'!$R$12),"")</f>
        <v/>
      </c>
      <c r="M207" s="115" t="str">
        <f>IF(AND('Mapa final'!$AB$10="Muy Baja",'Mapa final'!$AD$10="Menor"),CONCATENATE("R2C",'Mapa final'!$R$10),"")</f>
        <v/>
      </c>
      <c r="N207" s="54" t="str">
        <f>IF(AND('Mapa final'!$AB$11="Muy Baja",'Mapa final'!$AD$11="Menor"),CONCATENATE("R2C",'Mapa final'!$R$11),"")</f>
        <v/>
      </c>
      <c r="O207" s="116" t="str">
        <f>IF(AND('Mapa final'!$AB$12="Muy Baja",'Mapa final'!$AD$12="Menor"),CONCATENATE("R2C",'Mapa final'!$R$12),"")</f>
        <v/>
      </c>
      <c r="P207" s="49" t="str">
        <f>IF(AND('Mapa final'!$AB$10="Muy Baja",'Mapa final'!$AD$10="Moderado"),CONCATENATE("R2C",'Mapa final'!$R$10),"")</f>
        <v/>
      </c>
      <c r="Q207" s="50" t="str">
        <f>IF(AND('Mapa final'!$AB$11="Muy Baja",'Mapa final'!$AD$11="Moderado"),CONCATENATE("R2C",'Mapa final'!$R$11),"")</f>
        <v/>
      </c>
      <c r="R207" s="111" t="str">
        <f>IF(AND('Mapa final'!$AB$12="Muy Baja",'Mapa final'!$AD$12="Moderado"),CONCATENATE("R2C",'Mapa final'!$R$12),"")</f>
        <v/>
      </c>
      <c r="S207" s="105" t="str">
        <f>IF(AND('Mapa final'!$AB$10="Muy Baja",'Mapa final'!$AD$10="Mayor"),CONCATENATE("R2C",'Mapa final'!$R$10),"")</f>
        <v/>
      </c>
      <c r="T207" s="42" t="str">
        <f>IF(AND('Mapa final'!$AB$11="Muy Baja",'Mapa final'!$AD$11="Mayor"),CONCATENATE("R2C",'Mapa final'!$R$11),"")</f>
        <v/>
      </c>
      <c r="U207" s="106" t="str">
        <f>IF(AND('Mapa final'!$AB$12="Muy Baja",'Mapa final'!$AD$12="Mayor"),CONCATENATE("R2C",'Mapa final'!$R$12),"")</f>
        <v/>
      </c>
      <c r="V207" s="43" t="str">
        <f>IF(AND('Mapa final'!$AB$10="Muy Baja",'Mapa final'!$AD$10="Catastrófico"),CONCATENATE("R2C",'Mapa final'!$R$10),"")</f>
        <v/>
      </c>
      <c r="W207" s="44" t="str">
        <f>IF(AND('Mapa final'!$AB$11="Muy Baja",'Mapa final'!$AD$11="Catastrófico"),CONCATENATE("R2C",'Mapa final'!$R$11),"")</f>
        <v/>
      </c>
      <c r="X207" s="100"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5" x14ac:dyDescent="0.35">
      <c r="A208" s="56"/>
      <c r="B208" s="300"/>
      <c r="C208" s="300"/>
      <c r="D208" s="301"/>
      <c r="E208" s="287"/>
      <c r="F208" s="288"/>
      <c r="G208" s="288"/>
      <c r="H208" s="288"/>
      <c r="I208" s="288"/>
      <c r="J208" s="115" t="str">
        <f>IF(AND('Mapa final'!$AB$13="Muy Baja",'Mapa final'!$AD$13="Leve"),CONCATENATE("R3C",'Mapa final'!$R$13),"")</f>
        <v/>
      </c>
      <c r="K208" s="54" t="str">
        <f>IF(AND('Mapa final'!$AB$14="Muy Baja",'Mapa final'!$AD$14="Leve"),CONCATENATE("R3C",'Mapa final'!$R$14),"")</f>
        <v/>
      </c>
      <c r="L208" s="116" t="str">
        <f>IF(AND('Mapa final'!$AB$15="Muy Baja",'Mapa final'!$AD$15="Leve"),CONCATENATE("R3C",'Mapa final'!$R$15),"")</f>
        <v/>
      </c>
      <c r="M208" s="115" t="str">
        <f>IF(AND('Mapa final'!$AB$13="Muy Baja",'Mapa final'!$AD$13="Menor"),CONCATENATE("R3C",'Mapa final'!$R$13),"")</f>
        <v/>
      </c>
      <c r="N208" s="54" t="str">
        <f>IF(AND('Mapa final'!$AB$14="Muy Baja",'Mapa final'!$AD$14="Menor"),CONCATENATE("R3C",'Mapa final'!$R$14),"")</f>
        <v/>
      </c>
      <c r="O208" s="116" t="str">
        <f>IF(AND('Mapa final'!$AB$15="Muy Baja",'Mapa final'!$AD$15="Menor"),CONCATENATE("R3C",'Mapa final'!$R$15),"")</f>
        <v/>
      </c>
      <c r="P208" s="49" t="str">
        <f>IF(AND('Mapa final'!$AB$13="Muy Baja",'Mapa final'!$AD$13="Moderado"),CONCATENATE("R3C",'Mapa final'!$R$13),"")</f>
        <v/>
      </c>
      <c r="Q208" s="50" t="str">
        <f>IF(AND('Mapa final'!$AB$14="Muy Baja",'Mapa final'!$AD$14="Moderado"),CONCATENATE("R3C",'Mapa final'!$R$14),"")</f>
        <v/>
      </c>
      <c r="R208" s="111" t="str">
        <f>IF(AND('Mapa final'!$AB$15="Muy Baja",'Mapa final'!$AD$15="Moderado"),CONCATENATE("R3C",'Mapa final'!$R$15),"")</f>
        <v/>
      </c>
      <c r="S208" s="105" t="str">
        <f>IF(AND('Mapa final'!$AB$13="Muy Baja",'Mapa final'!$AD$13="Mayor"),CONCATENATE("R3C",'Mapa final'!$R$13),"")</f>
        <v/>
      </c>
      <c r="T208" s="42" t="str">
        <f>IF(AND('Mapa final'!$AB$14="Muy Baja",'Mapa final'!$AD$14="Mayor"),CONCATENATE("R3C",'Mapa final'!$R$14),"")</f>
        <v/>
      </c>
      <c r="U208" s="106" t="str">
        <f>IF(AND('Mapa final'!$AB$15="Muy Baja",'Mapa final'!$AD$15="Mayor"),CONCATENATE("R3C",'Mapa final'!$R$15),"")</f>
        <v/>
      </c>
      <c r="V208" s="43" t="str">
        <f>IF(AND('Mapa final'!$AB$13="Muy Baja",'Mapa final'!$AD$13="Catastrófico"),CONCATENATE("R3C",'Mapa final'!$R$13),"")</f>
        <v/>
      </c>
      <c r="W208" s="44" t="str">
        <f>IF(AND('Mapa final'!$AB$14="Muy Baja",'Mapa final'!$AD$14="Catastrófico"),CONCATENATE("R3C",'Mapa final'!$R$14),"")</f>
        <v/>
      </c>
      <c r="X208" s="100"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5" x14ac:dyDescent="0.35">
      <c r="A209" s="56"/>
      <c r="B209" s="300"/>
      <c r="C209" s="300"/>
      <c r="D209" s="301"/>
      <c r="E209" s="287"/>
      <c r="F209" s="288"/>
      <c r="G209" s="288"/>
      <c r="H209" s="288"/>
      <c r="I209" s="288"/>
      <c r="J209" s="115" t="e">
        <f>IF(AND('Mapa final'!#REF!="Muy Baja",'Mapa final'!#REF!="Leve"),CONCATENATE("R4C",'Mapa final'!#REF!),"")</f>
        <v>#REF!</v>
      </c>
      <c r="K209" s="54" t="e">
        <f>IF(AND('Mapa final'!#REF!="Muy Baja",'Mapa final'!#REF!="Leve"),CONCATENATE("R4C",'Mapa final'!#REF!),"")</f>
        <v>#REF!</v>
      </c>
      <c r="L209" s="116" t="e">
        <f>IF(AND('Mapa final'!#REF!="Muy Baja",'Mapa final'!#REF!="Leve"),CONCATENATE("R4C",'Mapa final'!#REF!),"")</f>
        <v>#REF!</v>
      </c>
      <c r="M209" s="115" t="e">
        <f>IF(AND('Mapa final'!#REF!="Muy Baja",'Mapa final'!#REF!="Menor"),CONCATENATE("R4C",'Mapa final'!#REF!),"")</f>
        <v>#REF!</v>
      </c>
      <c r="N209" s="54" t="e">
        <f>IF(AND('Mapa final'!#REF!="Muy Baja",'Mapa final'!#REF!="Menor"),CONCATENATE("R4C",'Mapa final'!#REF!),"")</f>
        <v>#REF!</v>
      </c>
      <c r="O209" s="116"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1" t="e">
        <f>IF(AND('Mapa final'!#REF!="Muy Baja",'Mapa final'!#REF!="Moderado"),CONCATENATE("R4C",'Mapa final'!#REF!),"")</f>
        <v>#REF!</v>
      </c>
      <c r="S209" s="105" t="e">
        <f>IF(AND('Mapa final'!#REF!="Muy Baja",'Mapa final'!#REF!="Mayor"),CONCATENATE("R4C",'Mapa final'!#REF!),"")</f>
        <v>#REF!</v>
      </c>
      <c r="T209" s="42" t="e">
        <f>IF(AND('Mapa final'!#REF!="Muy Baja",'Mapa final'!#REF!="Mayor"),CONCATENATE("R4C",'Mapa final'!#REF!),"")</f>
        <v>#REF!</v>
      </c>
      <c r="U209" s="106"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100"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5" x14ac:dyDescent="0.35">
      <c r="A210" s="56"/>
      <c r="B210" s="300"/>
      <c r="C210" s="300"/>
      <c r="D210" s="301"/>
      <c r="E210" s="287"/>
      <c r="F210" s="288"/>
      <c r="G210" s="288"/>
      <c r="H210" s="288"/>
      <c r="I210" s="288"/>
      <c r="J210" s="115" t="str">
        <f>IF(AND('Mapa final'!$AB$16="Muy Baja",'Mapa final'!$AD$16="Leve"),CONCATENATE("R5C",'Mapa final'!$R$16),"")</f>
        <v/>
      </c>
      <c r="K210" s="54" t="str">
        <f>IF(AND('Mapa final'!$AB$17="Muy Baja",'Mapa final'!$AD$17="Leve"),CONCATENATE("R5C",'Mapa final'!$R$17),"")</f>
        <v/>
      </c>
      <c r="L210" s="116" t="str">
        <f>IF(AND('Mapa final'!$AB$18="Muy Baja",'Mapa final'!$AD$18="Leve"),CONCATENATE("R5C",'Mapa final'!$R$18),"")</f>
        <v/>
      </c>
      <c r="M210" s="115" t="str">
        <f>IF(AND('Mapa final'!$AB$16="Muy Baja",'Mapa final'!$AD$16="Menor"),CONCATENATE("R5C",'Mapa final'!$R$16),"")</f>
        <v/>
      </c>
      <c r="N210" s="54" t="str">
        <f>IF(AND('Mapa final'!$AB$17="Muy Baja",'Mapa final'!$AD$17="Menor"),CONCATENATE("R5C",'Mapa final'!$R$17),"")</f>
        <v/>
      </c>
      <c r="O210" s="116" t="str">
        <f>IF(AND('Mapa final'!$AB$18="Muy Baja",'Mapa final'!$AD$18="Menor"),CONCATENATE("R5C",'Mapa final'!$R$18),"")</f>
        <v/>
      </c>
      <c r="P210" s="49" t="str">
        <f>IF(AND('Mapa final'!$AB$16="Muy Baja",'Mapa final'!$AD$16="Moderado"),CONCATENATE("R5C",'Mapa final'!$R$16),"")</f>
        <v/>
      </c>
      <c r="Q210" s="50" t="str">
        <f>IF(AND('Mapa final'!$AB$17="Muy Baja",'Mapa final'!$AD$17="Moderado"),CONCATENATE("R5C",'Mapa final'!$R$17),"")</f>
        <v/>
      </c>
      <c r="R210" s="111" t="str">
        <f>IF(AND('Mapa final'!$AB$18="Muy Baja",'Mapa final'!$AD$18="Moderado"),CONCATENATE("R5C",'Mapa final'!$R$18),"")</f>
        <v/>
      </c>
      <c r="S210" s="105" t="str">
        <f>IF(AND('Mapa final'!$AB$16="Muy Baja",'Mapa final'!$AD$16="Mayor"),CONCATENATE("R5C",'Mapa final'!$R$16),"")</f>
        <v/>
      </c>
      <c r="T210" s="42" t="str">
        <f>IF(AND('Mapa final'!$AB$17="Muy Baja",'Mapa final'!$AD$17="Mayor"),CONCATENATE("R5C",'Mapa final'!$R$17),"")</f>
        <v/>
      </c>
      <c r="U210" s="106" t="str">
        <f>IF(AND('Mapa final'!$AB$18="Muy Baja",'Mapa final'!$AD$18="Mayor"),CONCATENATE("R5C",'Mapa final'!$R$18),"")</f>
        <v/>
      </c>
      <c r="V210" s="43" t="str">
        <f>IF(AND('Mapa final'!$AB$16="Muy Baja",'Mapa final'!$AD$16="Catastrófico"),CONCATENATE("R5C",'Mapa final'!$R$16),"")</f>
        <v/>
      </c>
      <c r="W210" s="44" t="str">
        <f>IF(AND('Mapa final'!$AB$17="Muy Baja",'Mapa final'!$AD$17="Catastrófico"),CONCATENATE("R5C",'Mapa final'!$R$17),"")</f>
        <v/>
      </c>
      <c r="X210" s="100" t="str">
        <f>IF(AND('Mapa final'!$AB$18="Muy Baja",'Mapa final'!$AD$18="Catastrófico"),CONCATENATE("R5C",'Mapa final'!$R$18),"")</f>
        <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5" x14ac:dyDescent="0.35">
      <c r="A211" s="56"/>
      <c r="B211" s="300"/>
      <c r="C211" s="300"/>
      <c r="D211" s="301"/>
      <c r="E211" s="287"/>
      <c r="F211" s="288"/>
      <c r="G211" s="288"/>
      <c r="H211" s="288"/>
      <c r="I211" s="288"/>
      <c r="J211" s="115" t="str">
        <f>IF(AND('Mapa final'!$AB$19="Muy Baja",'Mapa final'!$AD$19="Leve"),CONCATENATE("R6C",'Mapa final'!$R$19),"")</f>
        <v/>
      </c>
      <c r="K211" s="54" t="str">
        <f>IF(AND('Mapa final'!$AB$20="Muy Baja",'Mapa final'!$AD$20="Leve"),CONCATENATE("R6C",'Mapa final'!$R$20),"")</f>
        <v/>
      </c>
      <c r="L211" s="116" t="str">
        <f>IF(AND('Mapa final'!$AB$21="Muy Baja",'Mapa final'!$AD$21="Leve"),CONCATENATE("R6C",'Mapa final'!$R$21),"")</f>
        <v/>
      </c>
      <c r="M211" s="115" t="str">
        <f>IF(AND('Mapa final'!$AB$19="Muy Baja",'Mapa final'!$AD$19="Menor"),CONCATENATE("R6C",'Mapa final'!$R$19),"")</f>
        <v/>
      </c>
      <c r="N211" s="54" t="str">
        <f>IF(AND('Mapa final'!$AB$20="Muy Baja",'Mapa final'!$AD$20="Menor"),CONCATENATE("R6C",'Mapa final'!$R$20),"")</f>
        <v/>
      </c>
      <c r="O211" s="116" t="str">
        <f>IF(AND('Mapa final'!$AB$21="Muy Baja",'Mapa final'!$AD$21="Menor"),CONCATENATE("R6C",'Mapa final'!$R$21),"")</f>
        <v/>
      </c>
      <c r="P211" s="49" t="str">
        <f>IF(AND('Mapa final'!$AB$19="Muy Baja",'Mapa final'!$AD$19="Moderado"),CONCATENATE("R6C",'Mapa final'!$R$19),"")</f>
        <v>R6C1</v>
      </c>
      <c r="Q211" s="50" t="str">
        <f>IF(AND('Mapa final'!$AB$20="Muy Baja",'Mapa final'!$AD$20="Moderado"),CONCATENATE("R6C",'Mapa final'!$R$20),"")</f>
        <v/>
      </c>
      <c r="R211" s="111" t="str">
        <f>IF(AND('Mapa final'!$AB$21="Muy Baja",'Mapa final'!$AD$21="Moderado"),CONCATENATE("R6C",'Mapa final'!$R$21),"")</f>
        <v/>
      </c>
      <c r="S211" s="105" t="str">
        <f>IF(AND('Mapa final'!$AB$19="Muy Baja",'Mapa final'!$AD$19="Mayor"),CONCATENATE("R6C",'Mapa final'!$R$19),"")</f>
        <v/>
      </c>
      <c r="T211" s="42" t="str">
        <f>IF(AND('Mapa final'!$AB$20="Muy Baja",'Mapa final'!$AD$20="Mayor"),CONCATENATE("R6C",'Mapa final'!$R$20),"")</f>
        <v/>
      </c>
      <c r="U211" s="106" t="str">
        <f>IF(AND('Mapa final'!$AB$21="Muy Baja",'Mapa final'!$AD$21="Mayor"),CONCATENATE("R6C",'Mapa final'!$R$21),"")</f>
        <v/>
      </c>
      <c r="V211" s="43" t="str">
        <f>IF(AND('Mapa final'!$AB$19="Muy Baja",'Mapa final'!$AD$19="Catastrófico"),CONCATENATE("R6C",'Mapa final'!$R$19),"")</f>
        <v/>
      </c>
      <c r="W211" s="44" t="str">
        <f>IF(AND('Mapa final'!$AB$20="Muy Baja",'Mapa final'!$AD$20="Catastrófico"),CONCATENATE("R6C",'Mapa final'!$R$20),"")</f>
        <v/>
      </c>
      <c r="X211" s="100" t="str">
        <f>IF(AND('Mapa final'!$AB$21="Muy Baja",'Mapa final'!$AD$21="Catastrófico"),CONCATENATE("R6C",'Mapa final'!$R$21),"")</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5" x14ac:dyDescent="0.35">
      <c r="A212" s="56"/>
      <c r="B212" s="300"/>
      <c r="C212" s="300"/>
      <c r="D212" s="301"/>
      <c r="E212" s="287"/>
      <c r="F212" s="288"/>
      <c r="G212" s="288"/>
      <c r="H212" s="288"/>
      <c r="I212" s="288"/>
      <c r="J212" s="115" t="str">
        <f>IF(AND('Mapa final'!$AB$22="Muy Baja",'Mapa final'!$AD$22="Leve"),CONCATENATE("R7C",'Mapa final'!$R$22),"")</f>
        <v/>
      </c>
      <c r="K212" s="54" t="str">
        <f>IF(AND('Mapa final'!$AB$23="Muy Baja",'Mapa final'!$AD$23="Leve"),CONCATENATE("R7C",'Mapa final'!$R$23),"")</f>
        <v/>
      </c>
      <c r="L212" s="116" t="str">
        <f>IF(AND('Mapa final'!$AB$24="Muy Baja",'Mapa final'!$AD$24="Leve"),CONCATENATE("R7C",'Mapa final'!$R$24),"")</f>
        <v/>
      </c>
      <c r="M212" s="115" t="str">
        <f>IF(AND('Mapa final'!$AB$22="Muy Baja",'Mapa final'!$AD$22="Menor"),CONCATENATE("R7C",'Mapa final'!$R$22),"")</f>
        <v/>
      </c>
      <c r="N212" s="54" t="str">
        <f>IF(AND('Mapa final'!$AB$23="Muy Baja",'Mapa final'!$AD$23="Menor"),CONCATENATE("R7C",'Mapa final'!$R$23),"")</f>
        <v/>
      </c>
      <c r="O212" s="116" t="str">
        <f>IF(AND('Mapa final'!$AB$24="Muy Baja",'Mapa final'!$AD$24="Menor"),CONCATENATE("R7C",'Mapa final'!$R$24),"")</f>
        <v/>
      </c>
      <c r="P212" s="49" t="str">
        <f>IF(AND('Mapa final'!$AB$22="Muy Baja",'Mapa final'!$AD$22="Moderado"),CONCATENATE("R7C",'Mapa final'!$R$22),"")</f>
        <v>R7C1</v>
      </c>
      <c r="Q212" s="50" t="str">
        <f>IF(AND('Mapa final'!$AB$23="Muy Baja",'Mapa final'!$AD$23="Moderado"),CONCATENATE("R7C",'Mapa final'!$R$23),"")</f>
        <v/>
      </c>
      <c r="R212" s="111" t="str">
        <f>IF(AND('Mapa final'!$AB$24="Muy Baja",'Mapa final'!$AD$24="Moderado"),CONCATENATE("R7C",'Mapa final'!$R$24),"")</f>
        <v/>
      </c>
      <c r="S212" s="105" t="str">
        <f>IF(AND('Mapa final'!$AB$22="Muy Baja",'Mapa final'!$AD$22="Mayor"),CONCATENATE("R7C",'Mapa final'!$R$22),"")</f>
        <v/>
      </c>
      <c r="T212" s="42" t="str">
        <f>IF(AND('Mapa final'!$AB$23="Muy Baja",'Mapa final'!$AD$23="Mayor"),CONCATENATE("R7C",'Mapa final'!$R$23),"")</f>
        <v/>
      </c>
      <c r="U212" s="106" t="str">
        <f>IF(AND('Mapa final'!$AB$24="Muy Baja",'Mapa final'!$AD$24="Mayor"),CONCATENATE("R7C",'Mapa final'!$R$24),"")</f>
        <v/>
      </c>
      <c r="V212" s="43" t="str">
        <f>IF(AND('Mapa final'!$AB$22="Muy Baja",'Mapa final'!$AD$22="Catastrófico"),CONCATENATE("R7C",'Mapa final'!$R$22),"")</f>
        <v/>
      </c>
      <c r="W212" s="44" t="str">
        <f>IF(AND('Mapa final'!$AB$23="Muy Baja",'Mapa final'!$AD$23="Catastrófico"),CONCATENATE("R7C",'Mapa final'!$R$23),"")</f>
        <v/>
      </c>
      <c r="X212" s="100" t="str">
        <f>IF(AND('Mapa final'!$AB$24="Muy Baja",'Mapa final'!$AD$24="Catastrófico"),CONCATENATE("R7C",'Mapa final'!$R$24),"")</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5" x14ac:dyDescent="0.35">
      <c r="A213" s="56"/>
      <c r="B213" s="300"/>
      <c r="C213" s="300"/>
      <c r="D213" s="301"/>
      <c r="E213" s="287"/>
      <c r="F213" s="288"/>
      <c r="G213" s="288"/>
      <c r="H213" s="288"/>
      <c r="I213" s="288"/>
      <c r="J213" s="115" t="str">
        <f>IF(AND('Mapa final'!$AB$25="Muy Baja",'Mapa final'!$AD$25="Leve"),CONCATENATE("R8C",'Mapa final'!$R$25),"")</f>
        <v/>
      </c>
      <c r="K213" s="54" t="str">
        <f>IF(AND('Mapa final'!$AB$26="Muy Baja",'Mapa final'!$AD$26="Leve"),CONCATENATE("R8C",'Mapa final'!$R$26),"")</f>
        <v/>
      </c>
      <c r="L213" s="116" t="str">
        <f>IF(AND('Mapa final'!$AB$27="Muy Baja",'Mapa final'!$AD$27="Leve"),CONCATENATE("R8C",'Mapa final'!$R$27),"")</f>
        <v/>
      </c>
      <c r="M213" s="115" t="str">
        <f>IF(AND('Mapa final'!$AB$25="Muy Baja",'Mapa final'!$AD$25="Menor"),CONCATENATE("R8C",'Mapa final'!$R$25),"")</f>
        <v/>
      </c>
      <c r="N213" s="54" t="str">
        <f>IF(AND('Mapa final'!$AB$26="Muy Baja",'Mapa final'!$AD$26="Menor"),CONCATENATE("R8C",'Mapa final'!$R$26),"")</f>
        <v/>
      </c>
      <c r="O213" s="116" t="str">
        <f>IF(AND('Mapa final'!$AB$27="Muy Baja",'Mapa final'!$AD$27="Menor"),CONCATENATE("R8C",'Mapa final'!$R$27),"")</f>
        <v/>
      </c>
      <c r="P213" s="49" t="str">
        <f>IF(AND('Mapa final'!$AB$25="Muy Baja",'Mapa final'!$AD$25="Moderado"),CONCATENATE("R8C",'Mapa final'!$R$25),"")</f>
        <v/>
      </c>
      <c r="Q213" s="50" t="str">
        <f>IF(AND('Mapa final'!$AB$26="Muy Baja",'Mapa final'!$AD$26="Moderado"),CONCATENATE("R8C",'Mapa final'!$R$26),"")</f>
        <v/>
      </c>
      <c r="R213" s="111" t="str">
        <f>IF(AND('Mapa final'!$AB$27="Muy Baja",'Mapa final'!$AD$27="Moderado"),CONCATENATE("R8C",'Mapa final'!$R$27),"")</f>
        <v/>
      </c>
      <c r="S213" s="105" t="str">
        <f>IF(AND('Mapa final'!$AB$25="Muy Baja",'Mapa final'!$AD$25="Mayor"),CONCATENATE("R8C",'Mapa final'!$R$25),"")</f>
        <v/>
      </c>
      <c r="T213" s="42" t="str">
        <f>IF(AND('Mapa final'!$AB$26="Muy Baja",'Mapa final'!$AD$26="Mayor"),CONCATENATE("R8C",'Mapa final'!$R$26),"")</f>
        <v/>
      </c>
      <c r="U213" s="106" t="str">
        <f>IF(AND('Mapa final'!$AB$27="Muy Baja",'Mapa final'!$AD$27="Mayor"),CONCATENATE("R8C",'Mapa final'!$R$27),"")</f>
        <v/>
      </c>
      <c r="V213" s="43" t="str">
        <f>IF(AND('Mapa final'!$AB$25="Muy Baja",'Mapa final'!$AD$25="Catastrófico"),CONCATENATE("R8C",'Mapa final'!$R$25),"")</f>
        <v/>
      </c>
      <c r="W213" s="44" t="str">
        <f>IF(AND('Mapa final'!$AB$26="Muy Baja",'Mapa final'!$AD$26="Catastrófico"),CONCATENATE("R8C",'Mapa final'!$R$26),"")</f>
        <v/>
      </c>
      <c r="X213" s="100" t="str">
        <f>IF(AND('Mapa final'!$AB$27="Muy Baja",'Mapa final'!$AD$27="Catastrófico"),CONCATENATE("R8C",'Mapa final'!$R$27),"")</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5" x14ac:dyDescent="0.35">
      <c r="A214" s="56"/>
      <c r="B214" s="300"/>
      <c r="C214" s="300"/>
      <c r="D214" s="301"/>
      <c r="E214" s="287"/>
      <c r="F214" s="288"/>
      <c r="G214" s="288"/>
      <c r="H214" s="288"/>
      <c r="I214" s="288"/>
      <c r="J214" s="115" t="str">
        <f>IF(AND('Mapa final'!$AB$28="Muy Baja",'Mapa final'!$AD$28="Leve"),CONCATENATE("R9C",'Mapa final'!$R$28),"")</f>
        <v/>
      </c>
      <c r="K214" s="54" t="str">
        <f>IF(AND('Mapa final'!$AB$29="Muy Baja",'Mapa final'!$AD$29="Leve"),CONCATENATE("R9C",'Mapa final'!$R$29),"")</f>
        <v/>
      </c>
      <c r="L214" s="116" t="str">
        <f>IF(AND('Mapa final'!$AB$30="Muy Baja",'Mapa final'!$AD$30="Leve"),CONCATENATE("R9C",'Mapa final'!$R$30),"")</f>
        <v/>
      </c>
      <c r="M214" s="115" t="str">
        <f>IF(AND('Mapa final'!$AB$28="Muy Baja",'Mapa final'!$AD$28="Menor"),CONCATENATE("R9C",'Mapa final'!$R$28),"")</f>
        <v/>
      </c>
      <c r="N214" s="54" t="str">
        <f>IF(AND('Mapa final'!$AB$29="Muy Baja",'Mapa final'!$AD$29="Menor"),CONCATENATE("R9C",'Mapa final'!$R$29),"")</f>
        <v/>
      </c>
      <c r="O214" s="116" t="str">
        <f>IF(AND('Mapa final'!$AB$30="Muy Baja",'Mapa final'!$AD$30="Menor"),CONCATENATE("R9C",'Mapa final'!$R$30),"")</f>
        <v/>
      </c>
      <c r="P214" s="49" t="str">
        <f>IF(AND('Mapa final'!$AB$28="Muy Baja",'Mapa final'!$AD$28="Moderado"),CONCATENATE("R9C",'Mapa final'!$R$28),"")</f>
        <v/>
      </c>
      <c r="Q214" s="50" t="str">
        <f>IF(AND('Mapa final'!$AB$29="Muy Baja",'Mapa final'!$AD$29="Moderado"),CONCATENATE("R9C",'Mapa final'!$R$29),"")</f>
        <v/>
      </c>
      <c r="R214" s="111" t="str">
        <f>IF(AND('Mapa final'!$AB$30="Muy Baja",'Mapa final'!$AD$30="Moderado"),CONCATENATE("R9C",'Mapa final'!$R$30),"")</f>
        <v/>
      </c>
      <c r="S214" s="105" t="str">
        <f>IF(AND('Mapa final'!$AB$28="Muy Baja",'Mapa final'!$AD$28="Mayor"),CONCATENATE("R9C",'Mapa final'!$R$28),"")</f>
        <v/>
      </c>
      <c r="T214" s="42" t="str">
        <f>IF(AND('Mapa final'!$AB$29="Muy Baja",'Mapa final'!$AD$29="Mayor"),CONCATENATE("R9C",'Mapa final'!$R$29),"")</f>
        <v/>
      </c>
      <c r="U214" s="106" t="str">
        <f>IF(AND('Mapa final'!$AB$30="Muy Baja",'Mapa final'!$AD$30="Mayor"),CONCATENATE("R9C",'Mapa final'!$R$30),"")</f>
        <v/>
      </c>
      <c r="V214" s="43" t="str">
        <f>IF(AND('Mapa final'!$AB$28="Muy Baja",'Mapa final'!$AD$28="Catastrófico"),CONCATENATE("R9C",'Mapa final'!$R$28),"")</f>
        <v/>
      </c>
      <c r="W214" s="44" t="str">
        <f>IF(AND('Mapa final'!$AB$29="Muy Baja",'Mapa final'!$AD$29="Catastrófico"),CONCATENATE("R9C",'Mapa final'!$R$29),"")</f>
        <v/>
      </c>
      <c r="X214" s="100" t="str">
        <f>IF(AND('Mapa final'!$AB$30="Muy Baja",'Mapa final'!$AD$30="Catastrófico"),CONCATENATE("R9C",'Mapa final'!$R$30),"")</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5" x14ac:dyDescent="0.35">
      <c r="A215" s="56"/>
      <c r="B215" s="300"/>
      <c r="C215" s="300"/>
      <c r="D215" s="301"/>
      <c r="E215" s="287"/>
      <c r="F215" s="288"/>
      <c r="G215" s="288"/>
      <c r="H215" s="288"/>
      <c r="I215" s="288"/>
      <c r="J215" s="115" t="str">
        <f>IF(AND('Mapa final'!$AB$31="Muy Baja",'Mapa final'!$AD$31="Leve"),CONCATENATE("R10C",'Mapa final'!$R$31),"")</f>
        <v/>
      </c>
      <c r="K215" s="54" t="str">
        <f>IF(AND('Mapa final'!$AB$32="Muy Baja",'Mapa final'!$AD$32="Leve"),CONCATENATE("R10C",'Mapa final'!$R$32),"")</f>
        <v/>
      </c>
      <c r="L215" s="116" t="str">
        <f>IF(AND('Mapa final'!$AB$33="Muy Baja",'Mapa final'!$AD$33="Leve"),CONCATENATE("R10C",'Mapa final'!$R$33),"")</f>
        <v/>
      </c>
      <c r="M215" s="115" t="str">
        <f>IF(AND('Mapa final'!$AB$31="Muy Baja",'Mapa final'!$AD$31="Menor"),CONCATENATE("R10C",'Mapa final'!$R$31),"")</f>
        <v/>
      </c>
      <c r="N215" s="54" t="str">
        <f>IF(AND('Mapa final'!$AB$32="Muy Baja",'Mapa final'!$AD$32="Menor"),CONCATENATE("R10C",'Mapa final'!$R$32),"")</f>
        <v/>
      </c>
      <c r="O215" s="116" t="str">
        <f>IF(AND('Mapa final'!$AB$33="Muy Baja",'Mapa final'!$AD$33="Menor"),CONCATENATE("R10C",'Mapa final'!$R$33),"")</f>
        <v/>
      </c>
      <c r="P215" s="49" t="str">
        <f>IF(AND('Mapa final'!$AB$31="Muy Baja",'Mapa final'!$AD$31="Moderado"),CONCATENATE("R10C",'Mapa final'!$R$31),"")</f>
        <v/>
      </c>
      <c r="Q215" s="50" t="str">
        <f>IF(AND('Mapa final'!$AB$32="Muy Baja",'Mapa final'!$AD$32="Moderado"),CONCATENATE("R10C",'Mapa final'!$R$32),"")</f>
        <v/>
      </c>
      <c r="R215" s="111" t="str">
        <f>IF(AND('Mapa final'!$AB$33="Muy Baja",'Mapa final'!$AD$33="Moderado"),CONCATENATE("R10C",'Mapa final'!$R$33),"")</f>
        <v/>
      </c>
      <c r="S215" s="105" t="str">
        <f>IF(AND('Mapa final'!$AB$31="Muy Baja",'Mapa final'!$AD$31="Mayor"),CONCATENATE("R10C",'Mapa final'!$R$31),"")</f>
        <v/>
      </c>
      <c r="T215" s="42" t="str">
        <f>IF(AND('Mapa final'!$AB$32="Muy Baja",'Mapa final'!$AD$32="Mayor"),CONCATENATE("R10C",'Mapa final'!$R$32),"")</f>
        <v/>
      </c>
      <c r="U215" s="106" t="str">
        <f>IF(AND('Mapa final'!$AB$33="Muy Baja",'Mapa final'!$AD$33="Mayor"),CONCATENATE("R10C",'Mapa final'!$R$33),"")</f>
        <v/>
      </c>
      <c r="V215" s="43" t="str">
        <f>IF(AND('Mapa final'!$AB$31="Muy Baja",'Mapa final'!$AD$31="Catastrófico"),CONCATENATE("R10C",'Mapa final'!$R$31),"")</f>
        <v/>
      </c>
      <c r="W215" s="44" t="str">
        <f>IF(AND('Mapa final'!$AB$32="Muy Baja",'Mapa final'!$AD$32="Catastrófico"),CONCATENATE("R10C",'Mapa final'!$R$32),"")</f>
        <v/>
      </c>
      <c r="X215" s="100" t="str">
        <f>IF(AND('Mapa final'!$AB$33="Muy Baja",'Mapa final'!$AD$33="Catastrófico"),CONCATENATE("R10C",'Mapa final'!$R$33),"")</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5" x14ac:dyDescent="0.35">
      <c r="A216" s="56"/>
      <c r="B216" s="300"/>
      <c r="C216" s="300"/>
      <c r="D216" s="301"/>
      <c r="E216" s="287"/>
      <c r="F216" s="288"/>
      <c r="G216" s="288"/>
      <c r="H216" s="288"/>
      <c r="I216" s="288"/>
      <c r="J216" s="115" t="str">
        <f>IF(AND('Mapa final'!$AB$34="Muy Baja",'Mapa final'!$AD$34="Leve"),CONCATENATE("R11C",'Mapa final'!$R$34),"")</f>
        <v/>
      </c>
      <c r="K216" s="54" t="str">
        <f>IF(AND('Mapa final'!$AB$35="Muy Baja",'Mapa final'!$AD$35="Leve"),CONCATENATE("R11C",'Mapa final'!$R$35),"")</f>
        <v/>
      </c>
      <c r="L216" s="116" t="str">
        <f>IF(AND('Mapa final'!$AB$36="Muy Baja",'Mapa final'!$AD$36="Leve"),CONCATENATE("R11C",'Mapa final'!$R$36),"")</f>
        <v/>
      </c>
      <c r="M216" s="115" t="str">
        <f>IF(AND('Mapa final'!$AB$34="Muy Baja",'Mapa final'!$AD$34="Menor"),CONCATENATE("R11C",'Mapa final'!$R$34),"")</f>
        <v/>
      </c>
      <c r="N216" s="54" t="str">
        <f>IF(AND('Mapa final'!$AB$35="Muy Baja",'Mapa final'!$AD$35="Menor"),CONCATENATE("R11C",'Mapa final'!$R$35),"")</f>
        <v/>
      </c>
      <c r="O216" s="116" t="str">
        <f>IF(AND('Mapa final'!$AB$36="Muy Baja",'Mapa final'!$AD$36="Menor"),CONCATENATE("R11C",'Mapa final'!$R$36),"")</f>
        <v/>
      </c>
      <c r="P216" s="49" t="str">
        <f>IF(AND('Mapa final'!$AB$34="Muy Baja",'Mapa final'!$AD$34="Moderado"),CONCATENATE("R11C",'Mapa final'!$R$34),"")</f>
        <v/>
      </c>
      <c r="Q216" s="50" t="str">
        <f>IF(AND('Mapa final'!$AB$35="Muy Baja",'Mapa final'!$AD$35="Moderado"),CONCATENATE("R11C",'Mapa final'!$R$35),"")</f>
        <v/>
      </c>
      <c r="R216" s="111" t="str">
        <f>IF(AND('Mapa final'!$AB$36="Muy Baja",'Mapa final'!$AD$36="Moderado"),CONCATENATE("R11C",'Mapa final'!$R$36),"")</f>
        <v/>
      </c>
      <c r="S216" s="105" t="str">
        <f>IF(AND('Mapa final'!$AB$34="Muy Baja",'Mapa final'!$AD$34="Mayor"),CONCATENATE("R11C",'Mapa final'!$R$34),"")</f>
        <v/>
      </c>
      <c r="T216" s="42" t="str">
        <f>IF(AND('Mapa final'!$AB$35="Muy Baja",'Mapa final'!$AD$35="Mayor"),CONCATENATE("R11C",'Mapa final'!$R$35),"")</f>
        <v/>
      </c>
      <c r="U216" s="106" t="str">
        <f>IF(AND('Mapa final'!$AB$36="Muy Baja",'Mapa final'!$AD$36="Mayor"),CONCATENATE("R11C",'Mapa final'!$R$36),"")</f>
        <v/>
      </c>
      <c r="V216" s="43" t="str">
        <f>IF(AND('Mapa final'!$AB$34="Muy Baja",'Mapa final'!$AD$34="Catastrófico"),CONCATENATE("R11C",'Mapa final'!$R$34),"")</f>
        <v/>
      </c>
      <c r="W216" s="44" t="str">
        <f>IF(AND('Mapa final'!$AB$35="Muy Baja",'Mapa final'!$AD$35="Catastrófico"),CONCATENATE("R11C",'Mapa final'!$R$35),"")</f>
        <v/>
      </c>
      <c r="X216" s="100" t="str">
        <f>IF(AND('Mapa final'!$AB$36="Muy Baja",'Mapa final'!$AD$36="Catastrófico"),CONCATENATE("R11C",'Mapa final'!$R$36),"")</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5" x14ac:dyDescent="0.35">
      <c r="A217" s="56"/>
      <c r="B217" s="300"/>
      <c r="C217" s="300"/>
      <c r="D217" s="301"/>
      <c r="E217" s="287"/>
      <c r="F217" s="288"/>
      <c r="G217" s="288"/>
      <c r="H217" s="288"/>
      <c r="I217" s="288"/>
      <c r="J217" s="115" t="str">
        <f>IF(AND('Mapa final'!$AB$37="Muy Baja",'Mapa final'!$AD$37="Leve"),CONCATENATE("R12C",'Mapa final'!$R$37),"")</f>
        <v/>
      </c>
      <c r="K217" s="54" t="str">
        <f>IF(AND('Mapa final'!$AB$38="Muy Baja",'Mapa final'!$AD$38="Leve"),CONCATENATE("R12C",'Mapa final'!$R$38),"")</f>
        <v/>
      </c>
      <c r="L217" s="116" t="str">
        <f>IF(AND('Mapa final'!$AB$39="Muy Baja",'Mapa final'!$AD$39="Leve"),CONCATENATE("R12C",'Mapa final'!$R$39),"")</f>
        <v/>
      </c>
      <c r="M217" s="115" t="str">
        <f>IF(AND('Mapa final'!$AB$37="Muy Baja",'Mapa final'!$AD$37="Menor"),CONCATENATE("R12C",'Mapa final'!$R$37),"")</f>
        <v/>
      </c>
      <c r="N217" s="54" t="str">
        <f>IF(AND('Mapa final'!$AB$38="Muy Baja",'Mapa final'!$AD$38="Menor"),CONCATENATE("R12C",'Mapa final'!$R$38),"")</f>
        <v/>
      </c>
      <c r="O217" s="116" t="str">
        <f>IF(AND('Mapa final'!$AB$39="Muy Baja",'Mapa final'!$AD$39="Menor"),CONCATENATE("R12C",'Mapa final'!$R$39),"")</f>
        <v/>
      </c>
      <c r="P217" s="49" t="str">
        <f>IF(AND('Mapa final'!$AB$37="Muy Baja",'Mapa final'!$AD$37="Moderado"),CONCATENATE("R12C",'Mapa final'!$R$37),"")</f>
        <v/>
      </c>
      <c r="Q217" s="50" t="str">
        <f>IF(AND('Mapa final'!$AB$38="Muy Baja",'Mapa final'!$AD$38="Moderado"),CONCATENATE("R12C",'Mapa final'!$R$38),"")</f>
        <v/>
      </c>
      <c r="R217" s="111" t="str">
        <f>IF(AND('Mapa final'!$AB$39="Muy Baja",'Mapa final'!$AD$39="Moderado"),CONCATENATE("R12C",'Mapa final'!$R$39),"")</f>
        <v/>
      </c>
      <c r="S217" s="105" t="str">
        <f>IF(AND('Mapa final'!$AB$37="Muy Baja",'Mapa final'!$AD$37="Mayor"),CONCATENATE("R12C",'Mapa final'!$R$37),"")</f>
        <v/>
      </c>
      <c r="T217" s="42" t="str">
        <f>IF(AND('Mapa final'!$AB$38="Muy Baja",'Mapa final'!$AD$38="Mayor"),CONCATENATE("R12C",'Mapa final'!$R$38),"")</f>
        <v/>
      </c>
      <c r="U217" s="106" t="str">
        <f>IF(AND('Mapa final'!$AB$39="Muy Baja",'Mapa final'!$AD$39="Mayor"),CONCATENATE("R12C",'Mapa final'!$R$39),"")</f>
        <v/>
      </c>
      <c r="V217" s="43" t="str">
        <f>IF(AND('Mapa final'!$AB$37="Muy Baja",'Mapa final'!$AD$37="Catastrófico"),CONCATENATE("R12C",'Mapa final'!$R$37),"")</f>
        <v/>
      </c>
      <c r="W217" s="44" t="str">
        <f>IF(AND('Mapa final'!$AB$38="Muy Baja",'Mapa final'!$AD$38="Catastrófico"),CONCATENATE("R12C",'Mapa final'!$R$38),"")</f>
        <v/>
      </c>
      <c r="X217" s="100" t="str">
        <f>IF(AND('Mapa final'!$AB$39="Muy Baja",'Mapa final'!$AD$39="Catastrófico"),CONCATENATE("R12C",'Mapa final'!$R$39),"")</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5" x14ac:dyDescent="0.35">
      <c r="A218" s="56"/>
      <c r="B218" s="300"/>
      <c r="C218" s="300"/>
      <c r="D218" s="301"/>
      <c r="E218" s="287"/>
      <c r="F218" s="288"/>
      <c r="G218" s="288"/>
      <c r="H218" s="288"/>
      <c r="I218" s="288"/>
      <c r="J218" s="115" t="str">
        <f>IF(AND('Mapa final'!$AB$40="Muy Baja",'Mapa final'!$AD$40="Leve"),CONCATENATE("R13C",'Mapa final'!$R$40),"")</f>
        <v/>
      </c>
      <c r="K218" s="54" t="str">
        <f>IF(AND('Mapa final'!$AB$41="Muy Baja",'Mapa final'!$AD$41="Leve"),CONCATENATE("R13C",'Mapa final'!$R$41),"")</f>
        <v/>
      </c>
      <c r="L218" s="116" t="str">
        <f>IF(AND('Mapa final'!$AB$42="Muy Baja",'Mapa final'!$AD$42="Leve"),CONCATENATE("R13C",'Mapa final'!$R$42),"")</f>
        <v/>
      </c>
      <c r="M218" s="115" t="str">
        <f>IF(AND('Mapa final'!$AB$40="Muy Baja",'Mapa final'!$AD$40="Menor"),CONCATENATE("R13C",'Mapa final'!$R$40),"")</f>
        <v/>
      </c>
      <c r="N218" s="54" t="str">
        <f>IF(AND('Mapa final'!$AB$41="Muy Baja",'Mapa final'!$AD$41="Menor"),CONCATENATE("R13C",'Mapa final'!$R$41),"")</f>
        <v/>
      </c>
      <c r="O218" s="116" t="str">
        <f>IF(AND('Mapa final'!$AB$42="Muy Baja",'Mapa final'!$AD$42="Menor"),CONCATENATE("R13C",'Mapa final'!$R$42),"")</f>
        <v/>
      </c>
      <c r="P218" s="49" t="str">
        <f>IF(AND('Mapa final'!$AB$40="Muy Baja",'Mapa final'!$AD$40="Moderado"),CONCATENATE("R13C",'Mapa final'!$R$40),"")</f>
        <v>R13C1</v>
      </c>
      <c r="Q218" s="50" t="str">
        <f>IF(AND('Mapa final'!$AB$41="Muy Baja",'Mapa final'!$AD$41="Moderado"),CONCATENATE("R13C",'Mapa final'!$R$41),"")</f>
        <v/>
      </c>
      <c r="R218" s="111" t="str">
        <f>IF(AND('Mapa final'!$AB$42="Muy Baja",'Mapa final'!$AD$42="Moderado"),CONCATENATE("R13C",'Mapa final'!$R$42),"")</f>
        <v/>
      </c>
      <c r="S218" s="105" t="str">
        <f>IF(AND('Mapa final'!$AB$40="Muy Baja",'Mapa final'!$AD$40="Mayor"),CONCATENATE("R13C",'Mapa final'!$R$40),"")</f>
        <v/>
      </c>
      <c r="T218" s="42" t="str">
        <f>IF(AND('Mapa final'!$AB$41="Muy Baja",'Mapa final'!$AD$41="Mayor"),CONCATENATE("R13C",'Mapa final'!$R$41),"")</f>
        <v/>
      </c>
      <c r="U218" s="106" t="str">
        <f>IF(AND('Mapa final'!$AB$42="Muy Baja",'Mapa final'!$AD$42="Mayor"),CONCATENATE("R13C",'Mapa final'!$R$42),"")</f>
        <v/>
      </c>
      <c r="V218" s="43" t="str">
        <f>IF(AND('Mapa final'!$AB$40="Muy Baja",'Mapa final'!$AD$40="Catastrófico"),CONCATENATE("R13C",'Mapa final'!$R$40),"")</f>
        <v/>
      </c>
      <c r="W218" s="44" t="str">
        <f>IF(AND('Mapa final'!$AB$41="Muy Baja",'Mapa final'!$AD$41="Catastrófico"),CONCATENATE("R13C",'Mapa final'!$R$41),"")</f>
        <v/>
      </c>
      <c r="X218" s="100" t="str">
        <f>IF(AND('Mapa final'!$AB$42="Muy Baja",'Mapa final'!$AD$42="Catastrófico"),CONCATENATE("R13C",'Mapa final'!$R$42),"")</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5" x14ac:dyDescent="0.35">
      <c r="A219" s="56"/>
      <c r="B219" s="300"/>
      <c r="C219" s="300"/>
      <c r="D219" s="301"/>
      <c r="E219" s="287"/>
      <c r="F219" s="288"/>
      <c r="G219" s="288"/>
      <c r="H219" s="288"/>
      <c r="I219" s="288"/>
      <c r="J219" s="115" t="str">
        <f>IF(AND('Mapa final'!$AB$43="Muy Baja",'Mapa final'!$AD$43="Leve"),CONCATENATE("R14C",'Mapa final'!$R$43),"")</f>
        <v/>
      </c>
      <c r="K219" s="54" t="str">
        <f>IF(AND('Mapa final'!$AB$44="Muy Baja",'Mapa final'!$AD$44="Leve"),CONCATENATE("R14C",'Mapa final'!$R$44),"")</f>
        <v/>
      </c>
      <c r="L219" s="116" t="str">
        <f>IF(AND('Mapa final'!$AB$45="Muy Baja",'Mapa final'!$AD$45="Leve"),CONCATENATE("R14C",'Mapa final'!$R$45),"")</f>
        <v/>
      </c>
      <c r="M219" s="115" t="str">
        <f>IF(AND('Mapa final'!$AB$43="Muy Baja",'Mapa final'!$AD$43="Menor"),CONCATENATE("R14C",'Mapa final'!$R$43),"")</f>
        <v/>
      </c>
      <c r="N219" s="54" t="str">
        <f>IF(AND('Mapa final'!$AB$44="Muy Baja",'Mapa final'!$AD$44="Menor"),CONCATENATE("R14C",'Mapa final'!$R$44),"")</f>
        <v/>
      </c>
      <c r="O219" s="116" t="str">
        <f>IF(AND('Mapa final'!$AB$45="Muy Baja",'Mapa final'!$AD$45="Menor"),CONCATENATE("R14C",'Mapa final'!$R$45),"")</f>
        <v/>
      </c>
      <c r="P219" s="49" t="str">
        <f>IF(AND('Mapa final'!$AB$43="Muy Baja",'Mapa final'!$AD$43="Moderado"),CONCATENATE("R14C",'Mapa final'!$R$43),"")</f>
        <v/>
      </c>
      <c r="Q219" s="50" t="str">
        <f>IF(AND('Mapa final'!$AB$44="Muy Baja",'Mapa final'!$AD$44="Moderado"),CONCATENATE("R14C",'Mapa final'!$R$44),"")</f>
        <v>R14C2</v>
      </c>
      <c r="R219" s="111" t="str">
        <f>IF(AND('Mapa final'!$AB$45="Muy Baja",'Mapa final'!$AD$45="Moderado"),CONCATENATE("R14C",'Mapa final'!$R$45),"")</f>
        <v/>
      </c>
      <c r="S219" s="105" t="str">
        <f>IF(AND('Mapa final'!$AB$43="Muy Baja",'Mapa final'!$AD$43="Mayor"),CONCATENATE("R14C",'Mapa final'!$R$43),"")</f>
        <v/>
      </c>
      <c r="T219" s="42" t="str">
        <f>IF(AND('Mapa final'!$AB$44="Muy Baja",'Mapa final'!$AD$44="Mayor"),CONCATENATE("R14C",'Mapa final'!$R$44),"")</f>
        <v/>
      </c>
      <c r="U219" s="106" t="str">
        <f>IF(AND('Mapa final'!$AB$45="Muy Baja",'Mapa final'!$AD$45="Mayor"),CONCATENATE("R14C",'Mapa final'!$R$45),"")</f>
        <v/>
      </c>
      <c r="V219" s="43" t="str">
        <f>IF(AND('Mapa final'!$AB$43="Muy Baja",'Mapa final'!$AD$43="Catastrófico"),CONCATENATE("R14C",'Mapa final'!$R$43),"")</f>
        <v/>
      </c>
      <c r="W219" s="44" t="str">
        <f>IF(AND('Mapa final'!$AB$44="Muy Baja",'Mapa final'!$AD$44="Catastrófico"),CONCATENATE("R14C",'Mapa final'!$R$44),"")</f>
        <v/>
      </c>
      <c r="X219" s="100" t="str">
        <f>IF(AND('Mapa final'!$AB$45="Muy Baja",'Mapa final'!$AD$45="Catastrófico"),CONCATENATE("R14C",'Mapa final'!$R$45),"")</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5" x14ac:dyDescent="0.35">
      <c r="A220" s="56"/>
      <c r="B220" s="300"/>
      <c r="C220" s="300"/>
      <c r="D220" s="301"/>
      <c r="E220" s="287"/>
      <c r="F220" s="288"/>
      <c r="G220" s="288"/>
      <c r="H220" s="288"/>
      <c r="I220" s="288"/>
      <c r="J220" s="115" t="str">
        <f>IF(AND('Mapa final'!$AB$46="Muy Baja",'Mapa final'!$AD$46="Leve"),CONCATENATE("R15C",'Mapa final'!$R$46),"")</f>
        <v/>
      </c>
      <c r="K220" s="54" t="str">
        <f>IF(AND('Mapa final'!$AB$47="Muy Baja",'Mapa final'!$AD$47="Leve"),CONCATENATE("R15C",'Mapa final'!$R$47),"")</f>
        <v/>
      </c>
      <c r="L220" s="116" t="str">
        <f>IF(AND('Mapa final'!$AB$48="Muy Baja",'Mapa final'!$AD$48="Leve"),CONCATENATE("R15C",'Mapa final'!$R$48),"")</f>
        <v/>
      </c>
      <c r="M220" s="115" t="str">
        <f>IF(AND('Mapa final'!$AB$46="Muy Baja",'Mapa final'!$AD$46="Menor"),CONCATENATE("R15C",'Mapa final'!$R$46),"")</f>
        <v/>
      </c>
      <c r="N220" s="54" t="str">
        <f>IF(AND('Mapa final'!$AB$47="Muy Baja",'Mapa final'!$AD$47="Menor"),CONCATENATE("R15C",'Mapa final'!$R$47),"")</f>
        <v/>
      </c>
      <c r="O220" s="116" t="str">
        <f>IF(AND('Mapa final'!$AB$48="Muy Baja",'Mapa final'!$AD$48="Menor"),CONCATENATE("R15C",'Mapa final'!$R$48),"")</f>
        <v/>
      </c>
      <c r="P220" s="49" t="str">
        <f>IF(AND('Mapa final'!$AB$46="Muy Baja",'Mapa final'!$AD$46="Moderado"),CONCATENATE("R15C",'Mapa final'!$R$46),"")</f>
        <v/>
      </c>
      <c r="Q220" s="50" t="str">
        <f>IF(AND('Mapa final'!$AB$47="Muy Baja",'Mapa final'!$AD$47="Moderado"),CONCATENATE("R15C",'Mapa final'!$R$47),"")</f>
        <v/>
      </c>
      <c r="R220" s="111" t="str">
        <f>IF(AND('Mapa final'!$AB$48="Muy Baja",'Mapa final'!$AD$48="Moderado"),CONCATENATE("R15C",'Mapa final'!$R$48),"")</f>
        <v/>
      </c>
      <c r="S220" s="105" t="str">
        <f>IF(AND('Mapa final'!$AB$46="Muy Baja",'Mapa final'!$AD$46="Mayor"),CONCATENATE("R15C",'Mapa final'!$R$46),"")</f>
        <v/>
      </c>
      <c r="T220" s="42" t="str">
        <f>IF(AND('Mapa final'!$AB$47="Muy Baja",'Mapa final'!$AD$47="Mayor"),CONCATENATE("R15C",'Mapa final'!$R$47),"")</f>
        <v/>
      </c>
      <c r="U220" s="106" t="str">
        <f>IF(AND('Mapa final'!$AB$48="Muy Baja",'Mapa final'!$AD$48="Mayor"),CONCATENATE("R15C",'Mapa final'!$R$48),"")</f>
        <v/>
      </c>
      <c r="V220" s="43" t="str">
        <f>IF(AND('Mapa final'!$AB$46="Muy Baja",'Mapa final'!$AD$46="Catastrófico"),CONCATENATE("R15C",'Mapa final'!$R$46),"")</f>
        <v/>
      </c>
      <c r="W220" s="44" t="str">
        <f>IF(AND('Mapa final'!$AB$47="Muy Baja",'Mapa final'!$AD$47="Catastrófico"),CONCATENATE("R15C",'Mapa final'!$R$47),"")</f>
        <v/>
      </c>
      <c r="X220" s="100" t="str">
        <f>IF(AND('Mapa final'!$AB$48="Muy Baja",'Mapa final'!$AD$48="Catastrófico"),CONCATENATE("R15C",'Mapa final'!$R$48),"")</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5" x14ac:dyDescent="0.35">
      <c r="A221" s="56"/>
      <c r="B221" s="300"/>
      <c r="C221" s="300"/>
      <c r="D221" s="301"/>
      <c r="E221" s="287"/>
      <c r="F221" s="288"/>
      <c r="G221" s="288"/>
      <c r="H221" s="288"/>
      <c r="I221" s="288"/>
      <c r="J221" s="115" t="str">
        <f>IF(AND('Mapa final'!$AB$49="Muy Baja",'Mapa final'!$AD$49="Leve"),CONCATENATE("R16C",'Mapa final'!$R$49),"")</f>
        <v/>
      </c>
      <c r="K221" s="54" t="str">
        <f>IF(AND('Mapa final'!$AB$50="Muy Baja",'Mapa final'!$AD$50="Leve"),CONCATENATE("R16C",'Mapa final'!$R$50),"")</f>
        <v/>
      </c>
      <c r="L221" s="116" t="str">
        <f>IF(AND('Mapa final'!$AB$51="Muy Baja",'Mapa final'!$AD$51="Leve"),CONCATENATE("R16C",'Mapa final'!$R$51),"")</f>
        <v/>
      </c>
      <c r="M221" s="115" t="str">
        <f>IF(AND('Mapa final'!$AB$49="Muy Baja",'Mapa final'!$AD$49="Menor"),CONCATENATE("R16C",'Mapa final'!$R$49),"")</f>
        <v/>
      </c>
      <c r="N221" s="54" t="str">
        <f>IF(AND('Mapa final'!$AB$50="Muy Baja",'Mapa final'!$AD$50="Menor"),CONCATENATE("R16C",'Mapa final'!$R$50),"")</f>
        <v/>
      </c>
      <c r="O221" s="116" t="str">
        <f>IF(AND('Mapa final'!$AB$51="Muy Baja",'Mapa final'!$AD$51="Menor"),CONCATENATE("R16C",'Mapa final'!$R$51),"")</f>
        <v/>
      </c>
      <c r="P221" s="49" t="str">
        <f>IF(AND('Mapa final'!$AB$49="Muy Baja",'Mapa final'!$AD$49="Moderado"),CONCATENATE("R16C",'Mapa final'!$R$49),"")</f>
        <v/>
      </c>
      <c r="Q221" s="50" t="str">
        <f>IF(AND('Mapa final'!$AB$50="Muy Baja",'Mapa final'!$AD$50="Moderado"),CONCATENATE("R16C",'Mapa final'!$R$50),"")</f>
        <v/>
      </c>
      <c r="R221" s="111" t="str">
        <f>IF(AND('Mapa final'!$AB$51="Muy Baja",'Mapa final'!$AD$51="Moderado"),CONCATENATE("R16C",'Mapa final'!$R$51),"")</f>
        <v/>
      </c>
      <c r="S221" s="105" t="str">
        <f>IF(AND('Mapa final'!$AB$49="Muy Baja",'Mapa final'!$AD$49="Mayor"),CONCATENATE("R16C",'Mapa final'!$R$49),"")</f>
        <v/>
      </c>
      <c r="T221" s="42" t="str">
        <f>IF(AND('Mapa final'!$AB$50="Muy Baja",'Mapa final'!$AD$50="Mayor"),CONCATENATE("R16C",'Mapa final'!$R$50),"")</f>
        <v/>
      </c>
      <c r="U221" s="106" t="str">
        <f>IF(AND('Mapa final'!$AB$51="Muy Baja",'Mapa final'!$AD$51="Mayor"),CONCATENATE("R16C",'Mapa final'!$R$51),"")</f>
        <v/>
      </c>
      <c r="V221" s="43" t="str">
        <f>IF(AND('Mapa final'!$AB$49="Muy Baja",'Mapa final'!$AD$49="Catastrófico"),CONCATENATE("R16C",'Mapa final'!$R$49),"")</f>
        <v/>
      </c>
      <c r="W221" s="44" t="str">
        <f>IF(AND('Mapa final'!$AB$50="Muy Baja",'Mapa final'!$AD$50="Catastrófico"),CONCATENATE("R16C",'Mapa final'!$R$50),"")</f>
        <v/>
      </c>
      <c r="X221" s="100" t="str">
        <f>IF(AND('Mapa final'!$AB$51="Muy Baja",'Mapa final'!$AD$51="Catastrófico"),CONCATENATE("R16C",'Mapa final'!$R$51),"")</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5" x14ac:dyDescent="0.35">
      <c r="A222" s="56"/>
      <c r="B222" s="300"/>
      <c r="C222" s="300"/>
      <c r="D222" s="301"/>
      <c r="E222" s="287"/>
      <c r="F222" s="288"/>
      <c r="G222" s="288"/>
      <c r="H222" s="288"/>
      <c r="I222" s="288"/>
      <c r="J222" s="115" t="str">
        <f>IF(AND('Mapa final'!$AB$52="Muy Baja",'Mapa final'!$AD$52="Leve"),CONCATENATE("R17C",'Mapa final'!$R$52),"")</f>
        <v/>
      </c>
      <c r="K222" s="54" t="str">
        <f>IF(AND('Mapa final'!$AB$53="Muy Baja",'Mapa final'!$AD$53="Leve"),CONCATENATE("R17C",'Mapa final'!$R$53),"")</f>
        <v/>
      </c>
      <c r="L222" s="116" t="str">
        <f>IF(AND('Mapa final'!$AB$54="Muy Baja",'Mapa final'!$AD$54="Leve"),CONCATENATE("R17C",'Mapa final'!$R$54),"")</f>
        <v/>
      </c>
      <c r="M222" s="115" t="str">
        <f>IF(AND('Mapa final'!$AB$52="Muy Baja",'Mapa final'!$AD$52="Menor"),CONCATENATE("R17C",'Mapa final'!$R$52),"")</f>
        <v/>
      </c>
      <c r="N222" s="54" t="str">
        <f>IF(AND('Mapa final'!$AB$53="Muy Baja",'Mapa final'!$AD$53="Menor"),CONCATENATE("R17C",'Mapa final'!$R$53),"")</f>
        <v/>
      </c>
      <c r="O222" s="116" t="str">
        <f>IF(AND('Mapa final'!$AB$54="Muy Baja",'Mapa final'!$AD$54="Menor"),CONCATENATE("R17C",'Mapa final'!$R$54),"")</f>
        <v/>
      </c>
      <c r="P222" s="49" t="str">
        <f>IF(AND('Mapa final'!$AB$52="Muy Baja",'Mapa final'!$AD$52="Moderado"),CONCATENATE("R17C",'Mapa final'!$R$52),"")</f>
        <v/>
      </c>
      <c r="Q222" s="50" t="str">
        <f>IF(AND('Mapa final'!$AB$53="Muy Baja",'Mapa final'!$AD$53="Moderado"),CONCATENATE("R17C",'Mapa final'!$R$53),"")</f>
        <v/>
      </c>
      <c r="R222" s="111" t="str">
        <f>IF(AND('Mapa final'!$AB$54="Muy Baja",'Mapa final'!$AD$54="Moderado"),CONCATENATE("R17C",'Mapa final'!$R$54),"")</f>
        <v/>
      </c>
      <c r="S222" s="105" t="str">
        <f>IF(AND('Mapa final'!$AB$52="Muy Baja",'Mapa final'!$AD$52="Mayor"),CONCATENATE("R17C",'Mapa final'!$R$52),"")</f>
        <v/>
      </c>
      <c r="T222" s="42" t="str">
        <f>IF(AND('Mapa final'!$AB$53="Muy Baja",'Mapa final'!$AD$53="Mayor"),CONCATENATE("R17C",'Mapa final'!$R$53),"")</f>
        <v/>
      </c>
      <c r="U222" s="106" t="str">
        <f>IF(AND('Mapa final'!$AB$54="Muy Baja",'Mapa final'!$AD$54="Mayor"),CONCATENATE("R17C",'Mapa final'!$R$54),"")</f>
        <v/>
      </c>
      <c r="V222" s="43" t="str">
        <f>IF(AND('Mapa final'!$AB$52="Muy Baja",'Mapa final'!$AD$52="Catastrófico"),CONCATENATE("R17C",'Mapa final'!$R$52),"")</f>
        <v/>
      </c>
      <c r="W222" s="44" t="str">
        <f>IF(AND('Mapa final'!$AB$53="Muy Baja",'Mapa final'!$AD$53="Catastrófico"),CONCATENATE("R17C",'Mapa final'!$R$53),"")</f>
        <v/>
      </c>
      <c r="X222" s="100" t="str">
        <f>IF(AND('Mapa final'!$AB$54="Muy Baja",'Mapa final'!$AD$54="Catastrófico"),CONCATENATE("R17C",'Mapa final'!$R$54),"")</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5" x14ac:dyDescent="0.35">
      <c r="A223" s="56"/>
      <c r="B223" s="300"/>
      <c r="C223" s="300"/>
      <c r="D223" s="301"/>
      <c r="E223" s="287"/>
      <c r="F223" s="288"/>
      <c r="G223" s="288"/>
      <c r="H223" s="288"/>
      <c r="I223" s="288"/>
      <c r="J223" s="115" t="str">
        <f>IF(AND('Mapa final'!$AB$55="Muy Baja",'Mapa final'!$AD$55="Leve"),CONCATENATE("R18C",'Mapa final'!$R$55),"")</f>
        <v/>
      </c>
      <c r="K223" s="54" t="str">
        <f>IF(AND('Mapa final'!$AB$56="Muy Baja",'Mapa final'!$AD$56="Leve"),CONCATENATE("R18C",'Mapa final'!$R$56),"")</f>
        <v/>
      </c>
      <c r="L223" s="116" t="str">
        <f>IF(AND('Mapa final'!$AB$57="Muy Baja",'Mapa final'!$AD$57="Leve"),CONCATENATE("R18C",'Mapa final'!$R$57),"")</f>
        <v/>
      </c>
      <c r="M223" s="115" t="str">
        <f>IF(AND('Mapa final'!$AB$55="Muy Baja",'Mapa final'!$AD$55="Menor"),CONCATENATE("R18C",'Mapa final'!$R$55),"")</f>
        <v/>
      </c>
      <c r="N223" s="54" t="str">
        <f>IF(AND('Mapa final'!$AB$56="Muy Baja",'Mapa final'!$AD$56="Menor"),CONCATENATE("R18C",'Mapa final'!$R$56),"")</f>
        <v/>
      </c>
      <c r="O223" s="116" t="str">
        <f>IF(AND('Mapa final'!$AB$57="Muy Baja",'Mapa final'!$AD$57="Menor"),CONCATENATE("R18C",'Mapa final'!$R$57),"")</f>
        <v/>
      </c>
      <c r="P223" s="49" t="str">
        <f>IF(AND('Mapa final'!$AB$55="Muy Baja",'Mapa final'!$AD$55="Moderado"),CONCATENATE("R18C",'Mapa final'!$R$55),"")</f>
        <v/>
      </c>
      <c r="Q223" s="50" t="str">
        <f>IF(AND('Mapa final'!$AB$56="Muy Baja",'Mapa final'!$AD$56="Moderado"),CONCATENATE("R18C",'Mapa final'!$R$56),"")</f>
        <v/>
      </c>
      <c r="R223" s="111" t="str">
        <f>IF(AND('Mapa final'!$AB$57="Muy Baja",'Mapa final'!$AD$57="Moderado"),CONCATENATE("R18C",'Mapa final'!$R$57),"")</f>
        <v/>
      </c>
      <c r="S223" s="105" t="str">
        <f>IF(AND('Mapa final'!$AB$55="Muy Baja",'Mapa final'!$AD$55="Mayor"),CONCATENATE("R18C",'Mapa final'!$R$55),"")</f>
        <v/>
      </c>
      <c r="T223" s="42" t="str">
        <f>IF(AND('Mapa final'!$AB$56="Muy Baja",'Mapa final'!$AD$56="Mayor"),CONCATENATE("R18C",'Mapa final'!$R$56),"")</f>
        <v/>
      </c>
      <c r="U223" s="106" t="str">
        <f>IF(AND('Mapa final'!$AB$57="Muy Baja",'Mapa final'!$AD$57="Mayor"),CONCATENATE("R18C",'Mapa final'!$R$57),"")</f>
        <v/>
      </c>
      <c r="V223" s="43" t="str">
        <f>IF(AND('Mapa final'!$AB$55="Muy Baja",'Mapa final'!$AD$55="Catastrófico"),CONCATENATE("R18C",'Mapa final'!$R$55),"")</f>
        <v/>
      </c>
      <c r="W223" s="44" t="str">
        <f>IF(AND('Mapa final'!$AB$56="Muy Baja",'Mapa final'!$AD$56="Catastrófico"),CONCATENATE("R18C",'Mapa final'!$R$56),"")</f>
        <v/>
      </c>
      <c r="X223" s="100" t="str">
        <f>IF(AND('Mapa final'!$AB$57="Muy Baja",'Mapa final'!$AD$57="Catastrófico"),CONCATENATE("R18C",'Mapa final'!$R$57),"")</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5" x14ac:dyDescent="0.35">
      <c r="A224" s="56"/>
      <c r="B224" s="300"/>
      <c r="C224" s="300"/>
      <c r="D224" s="301"/>
      <c r="E224" s="287"/>
      <c r="F224" s="288"/>
      <c r="G224" s="288"/>
      <c r="H224" s="288"/>
      <c r="I224" s="288"/>
      <c r="J224" s="115" t="str">
        <f>IF(AND('Mapa final'!$AB$58="Muy Baja",'Mapa final'!$AD$58="Leve"),CONCATENATE("R19C",'Mapa final'!$R$58),"")</f>
        <v/>
      </c>
      <c r="K224" s="54" t="str">
        <f>IF(AND('Mapa final'!$AB$59="Muy Baja",'Mapa final'!$AD$59="Leve"),CONCATENATE("R19C",'Mapa final'!$R$59),"")</f>
        <v/>
      </c>
      <c r="L224" s="116" t="str">
        <f>IF(AND('Mapa final'!$AB$60="Muy Baja",'Mapa final'!$AD$60="Leve"),CONCATENATE("R19C",'Mapa final'!$R$60),"")</f>
        <v/>
      </c>
      <c r="M224" s="115" t="str">
        <f>IF(AND('Mapa final'!$AB$58="Muy Baja",'Mapa final'!$AD$58="Menor"),CONCATENATE("R19C",'Mapa final'!$R$58),"")</f>
        <v/>
      </c>
      <c r="N224" s="54" t="str">
        <f>IF(AND('Mapa final'!$AB$59="Muy Baja",'Mapa final'!$AD$59="Menor"),CONCATENATE("R19C",'Mapa final'!$R$59),"")</f>
        <v/>
      </c>
      <c r="O224" s="116" t="str">
        <f>IF(AND('Mapa final'!$AB$60="Muy Baja",'Mapa final'!$AD$60="Menor"),CONCATENATE("R19C",'Mapa final'!$R$60),"")</f>
        <v/>
      </c>
      <c r="P224" s="49" t="str">
        <f>IF(AND('Mapa final'!$AB$58="Muy Baja",'Mapa final'!$AD$58="Moderado"),CONCATENATE("R19C",'Mapa final'!$R$58),"")</f>
        <v/>
      </c>
      <c r="Q224" s="50" t="str">
        <f>IF(AND('Mapa final'!$AB$59="Muy Baja",'Mapa final'!$AD$59="Moderado"),CONCATENATE("R19C",'Mapa final'!$R$59),"")</f>
        <v/>
      </c>
      <c r="R224" s="111" t="str">
        <f>IF(AND('Mapa final'!$AB$60="Muy Baja",'Mapa final'!$AD$60="Moderado"),CONCATENATE("R19C",'Mapa final'!$R$60),"")</f>
        <v/>
      </c>
      <c r="S224" s="105" t="str">
        <f>IF(AND('Mapa final'!$AB$58="Muy Baja",'Mapa final'!$AD$58="Mayor"),CONCATENATE("R19C",'Mapa final'!$R$58),"")</f>
        <v/>
      </c>
      <c r="T224" s="42" t="str">
        <f>IF(AND('Mapa final'!$AB$59="Muy Baja",'Mapa final'!$AD$59="Mayor"),CONCATENATE("R19C",'Mapa final'!$R$59),"")</f>
        <v/>
      </c>
      <c r="U224" s="106" t="str">
        <f>IF(AND('Mapa final'!$AB$60="Muy Baja",'Mapa final'!$AD$60="Mayor"),CONCATENATE("R19C",'Mapa final'!$R$60),"")</f>
        <v/>
      </c>
      <c r="V224" s="43" t="str">
        <f>IF(AND('Mapa final'!$AB$58="Muy Baja",'Mapa final'!$AD$58="Catastrófico"),CONCATENATE("R19C",'Mapa final'!$R$58),"")</f>
        <v/>
      </c>
      <c r="W224" s="44" t="str">
        <f>IF(AND('Mapa final'!$AB$59="Muy Baja",'Mapa final'!$AD$59="Catastrófico"),CONCATENATE("R19C",'Mapa final'!$R$59),"")</f>
        <v/>
      </c>
      <c r="X224" s="100" t="str">
        <f>IF(AND('Mapa final'!$AB$60="Muy Baja",'Mapa final'!$AD$60="Catastrófico"),CONCATENATE("R19C",'Mapa final'!$R$60),"")</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5" x14ac:dyDescent="0.35">
      <c r="A225" s="56"/>
      <c r="B225" s="300"/>
      <c r="C225" s="300"/>
      <c r="D225" s="301"/>
      <c r="E225" s="287"/>
      <c r="F225" s="288"/>
      <c r="G225" s="288"/>
      <c r="H225" s="288"/>
      <c r="I225" s="288"/>
      <c r="J225" s="115" t="str">
        <f>IF(AND('Mapa final'!$AB$61="Muy Baja",'Mapa final'!$AD$61="Leve"),CONCATENATE("R20C",'Mapa final'!$R$61),"")</f>
        <v/>
      </c>
      <c r="K225" s="54" t="str">
        <f>IF(AND('Mapa final'!$AB$62="Muy Baja",'Mapa final'!$AD$62="Leve"),CONCATENATE("R20C",'Mapa final'!$R$62),"")</f>
        <v/>
      </c>
      <c r="L225" s="116" t="str">
        <f>IF(AND('Mapa final'!$AB$63="Muy Baja",'Mapa final'!$AD$63="Leve"),CONCATENATE("R20C",'Mapa final'!$R$63),"")</f>
        <v/>
      </c>
      <c r="M225" s="115" t="str">
        <f>IF(AND('Mapa final'!$AB$61="Muy Baja",'Mapa final'!$AD$61="Menor"),CONCATENATE("R20C",'Mapa final'!$R$61),"")</f>
        <v/>
      </c>
      <c r="N225" s="54" t="str">
        <f>IF(AND('Mapa final'!$AB$62="Muy Baja",'Mapa final'!$AD$62="Menor"),CONCATENATE("R20C",'Mapa final'!$R$62),"")</f>
        <v/>
      </c>
      <c r="O225" s="116" t="str">
        <f>IF(AND('Mapa final'!$AB$63="Muy Baja",'Mapa final'!$AD$63="Menor"),CONCATENATE("R20C",'Mapa final'!$R$63),"")</f>
        <v/>
      </c>
      <c r="P225" s="49" t="str">
        <f>IF(AND('Mapa final'!$AB$61="Muy Baja",'Mapa final'!$AD$61="Moderado"),CONCATENATE("R20C",'Mapa final'!$R$61),"")</f>
        <v/>
      </c>
      <c r="Q225" s="50" t="str">
        <f>IF(AND('Mapa final'!$AB$62="Muy Baja",'Mapa final'!$AD$62="Moderado"),CONCATENATE("R20C",'Mapa final'!$R$62),"")</f>
        <v/>
      </c>
      <c r="R225" s="111" t="str">
        <f>IF(AND('Mapa final'!$AB$63="Muy Baja",'Mapa final'!$AD$63="Moderado"),CONCATENATE("R20C",'Mapa final'!$R$63),"")</f>
        <v/>
      </c>
      <c r="S225" s="105" t="str">
        <f>IF(AND('Mapa final'!$AB$61="Muy Baja",'Mapa final'!$AD$61="Mayor"),CONCATENATE("R20C",'Mapa final'!$R$61),"")</f>
        <v/>
      </c>
      <c r="T225" s="42" t="str">
        <f>IF(AND('Mapa final'!$AB$62="Muy Baja",'Mapa final'!$AD$62="Mayor"),CONCATENATE("R20C",'Mapa final'!$R$62),"")</f>
        <v/>
      </c>
      <c r="U225" s="106" t="str">
        <f>IF(AND('Mapa final'!$AB$63="Muy Baja",'Mapa final'!$AD$63="Mayor"),CONCATENATE("R20C",'Mapa final'!$R$63),"")</f>
        <v/>
      </c>
      <c r="V225" s="43" t="str">
        <f>IF(AND('Mapa final'!$AB$61="Muy Baja",'Mapa final'!$AD$61="Catastrófico"),CONCATENATE("R20C",'Mapa final'!$R$61),"")</f>
        <v/>
      </c>
      <c r="W225" s="44" t="str">
        <f>IF(AND('Mapa final'!$AB$62="Muy Baja",'Mapa final'!$AD$62="Catastrófico"),CONCATENATE("R20C",'Mapa final'!$R$62),"")</f>
        <v/>
      </c>
      <c r="X225" s="100" t="str">
        <f>IF(AND('Mapa final'!$AB$63="Muy Baja",'Mapa final'!$AD$63="Catastrófico"),CONCATENATE("R20C",'Mapa final'!$R$63),"")</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5" x14ac:dyDescent="0.35">
      <c r="A226" s="56"/>
      <c r="B226" s="300"/>
      <c r="C226" s="300"/>
      <c r="D226" s="301"/>
      <c r="E226" s="287"/>
      <c r="F226" s="288"/>
      <c r="G226" s="288"/>
      <c r="H226" s="288"/>
      <c r="I226" s="288"/>
      <c r="J226" s="115" t="str">
        <f>IF(AND('Mapa final'!$AB$64="Muy Baja",'Mapa final'!$AD$64="Leve"),CONCATENATE("R21C",'Mapa final'!$R$64),"")</f>
        <v/>
      </c>
      <c r="K226" s="54" t="str">
        <f>IF(AND('Mapa final'!$AB$65="Muy Baja",'Mapa final'!$AD$65="Leve"),CONCATENATE("R21C",'Mapa final'!$R$65),"")</f>
        <v/>
      </c>
      <c r="L226" s="116" t="str">
        <f>IF(AND('Mapa final'!$AB$66="Muy Baja",'Mapa final'!$AD$66="Leve"),CONCATENATE("R21C",'Mapa final'!$R$66),"")</f>
        <v/>
      </c>
      <c r="M226" s="115" t="str">
        <f>IF(AND('Mapa final'!$AB$64="Muy Baja",'Mapa final'!$AD$64="Menor"),CONCATENATE("R21C",'Mapa final'!$R$64),"")</f>
        <v/>
      </c>
      <c r="N226" s="54" t="str">
        <f>IF(AND('Mapa final'!$AB$65="Muy Baja",'Mapa final'!$AD$65="Menor"),CONCATENATE("R21C",'Mapa final'!$R$65),"")</f>
        <v/>
      </c>
      <c r="O226" s="116" t="str">
        <f>IF(AND('Mapa final'!$AB$66="Muy Baja",'Mapa final'!$AD$66="Menor"),CONCATENATE("R21C",'Mapa final'!$R$66),"")</f>
        <v/>
      </c>
      <c r="P226" s="49" t="str">
        <f>IF(AND('Mapa final'!$AB$64="Muy Baja",'Mapa final'!$AD$64="Moderado"),CONCATENATE("R21C",'Mapa final'!$R$64),"")</f>
        <v/>
      </c>
      <c r="Q226" s="50" t="str">
        <f>IF(AND('Mapa final'!$AB$65="Muy Baja",'Mapa final'!$AD$65="Moderado"),CONCATENATE("R21C",'Mapa final'!$R$65),"")</f>
        <v/>
      </c>
      <c r="R226" s="111" t="str">
        <f>IF(AND('Mapa final'!$AB$66="Muy Baja",'Mapa final'!$AD$66="Moderado"),CONCATENATE("R21C",'Mapa final'!$R$66),"")</f>
        <v/>
      </c>
      <c r="S226" s="105" t="str">
        <f>IF(AND('Mapa final'!$AB$64="Muy Baja",'Mapa final'!$AD$64="Mayor"),CONCATENATE("R21C",'Mapa final'!$R$64),"")</f>
        <v/>
      </c>
      <c r="T226" s="42" t="str">
        <f>IF(AND('Mapa final'!$AB$65="Muy Baja",'Mapa final'!$AD$65="Mayor"),CONCATENATE("R21C",'Mapa final'!$R$65),"")</f>
        <v/>
      </c>
      <c r="U226" s="106" t="str">
        <f>IF(AND('Mapa final'!$AB$66="Muy Baja",'Mapa final'!$AD$66="Mayor"),CONCATENATE("R21C",'Mapa final'!$R$66),"")</f>
        <v/>
      </c>
      <c r="V226" s="43" t="str">
        <f>IF(AND('Mapa final'!$AB$64="Muy Baja",'Mapa final'!$AD$64="Catastrófico"),CONCATENATE("R21C",'Mapa final'!$R$64),"")</f>
        <v/>
      </c>
      <c r="W226" s="44" t="str">
        <f>IF(AND('Mapa final'!$AB$65="Muy Baja",'Mapa final'!$AD$65="Catastrófico"),CONCATENATE("R21C",'Mapa final'!$R$65),"")</f>
        <v/>
      </c>
      <c r="X226" s="100" t="str">
        <f>IF(AND('Mapa final'!$AB$66="Muy Baja",'Mapa final'!$AD$66="Catastrófico"),CONCATENATE("R21C",'Mapa final'!$R$66),"")</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5" x14ac:dyDescent="0.35">
      <c r="A227" s="56"/>
      <c r="B227" s="300"/>
      <c r="C227" s="300"/>
      <c r="D227" s="301"/>
      <c r="E227" s="287"/>
      <c r="F227" s="288"/>
      <c r="G227" s="288"/>
      <c r="H227" s="288"/>
      <c r="I227" s="288"/>
      <c r="J227" s="115" t="str">
        <f>IF(AND('Mapa final'!$AB$67="Muy Baja",'Mapa final'!$AD$67="Leve"),CONCATENATE("R22C",'Mapa final'!$R$67),"")</f>
        <v/>
      </c>
      <c r="K227" s="54" t="str">
        <f>IF(AND('Mapa final'!$AB$68="Muy Baja",'Mapa final'!$AD$68="Leve"),CONCATENATE("R22C",'Mapa final'!$R$68),"")</f>
        <v/>
      </c>
      <c r="L227" s="116" t="str">
        <f>IF(AND('Mapa final'!$AB$69="Muy Baja",'Mapa final'!$AD$69="Leve"),CONCATENATE("R22C",'Mapa final'!$R$69),"")</f>
        <v/>
      </c>
      <c r="M227" s="115" t="str">
        <f>IF(AND('Mapa final'!$AB$67="Muy Baja",'Mapa final'!$AD$67="Menor"),CONCATENATE("R22C",'Mapa final'!$R$67),"")</f>
        <v/>
      </c>
      <c r="N227" s="54" t="str">
        <f>IF(AND('Mapa final'!$AB$68="Muy Baja",'Mapa final'!$AD$68="Menor"),CONCATENATE("R22C",'Mapa final'!$R$68),"")</f>
        <v/>
      </c>
      <c r="O227" s="116" t="str">
        <f>IF(AND('Mapa final'!$AB$69="Muy Baja",'Mapa final'!$AD$69="Menor"),CONCATENATE("R22C",'Mapa final'!$R$69),"")</f>
        <v/>
      </c>
      <c r="P227" s="49" t="str">
        <f>IF(AND('Mapa final'!$AB$67="Muy Baja",'Mapa final'!$AD$67="Moderado"),CONCATENATE("R22C",'Mapa final'!$R$67),"")</f>
        <v/>
      </c>
      <c r="Q227" s="50" t="str">
        <f>IF(AND('Mapa final'!$AB$68="Muy Baja",'Mapa final'!$AD$68="Moderado"),CONCATENATE("R22C",'Mapa final'!$R$68),"")</f>
        <v/>
      </c>
      <c r="R227" s="111" t="str">
        <f>IF(AND('Mapa final'!$AB$69="Muy Baja",'Mapa final'!$AD$69="Moderado"),CONCATENATE("R22C",'Mapa final'!$R$69),"")</f>
        <v/>
      </c>
      <c r="S227" s="105" t="str">
        <f>IF(AND('Mapa final'!$AB$67="Muy Baja",'Mapa final'!$AD$67="Mayor"),CONCATENATE("R22C",'Mapa final'!$R$67),"")</f>
        <v/>
      </c>
      <c r="T227" s="42" t="str">
        <f>IF(AND('Mapa final'!$AB$68="Muy Baja",'Mapa final'!$AD$68="Mayor"),CONCATENATE("R22C",'Mapa final'!$R$68),"")</f>
        <v/>
      </c>
      <c r="U227" s="106" t="str">
        <f>IF(AND('Mapa final'!$AB$69="Muy Baja",'Mapa final'!$AD$69="Mayor"),CONCATENATE("R22C",'Mapa final'!$R$69),"")</f>
        <v/>
      </c>
      <c r="V227" s="43" t="str">
        <f>IF(AND('Mapa final'!$AB$67="Muy Baja",'Mapa final'!$AD$67="Catastrófico"),CONCATENATE("R22C",'Mapa final'!$R$67),"")</f>
        <v/>
      </c>
      <c r="W227" s="44" t="str">
        <f>IF(AND('Mapa final'!$AB$68="Muy Baja",'Mapa final'!$AD$68="Catastrófico"),CONCATENATE("R22C",'Mapa final'!$R$68),"")</f>
        <v/>
      </c>
      <c r="X227" s="100" t="str">
        <f>IF(AND('Mapa final'!$AB$69="Muy Baja",'Mapa final'!$AD$69="Catastrófico"),CONCATENATE("R22C",'Mapa final'!$R$69),"")</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5" x14ac:dyDescent="0.35">
      <c r="A228" s="56"/>
      <c r="B228" s="300"/>
      <c r="C228" s="300"/>
      <c r="D228" s="301"/>
      <c r="E228" s="287"/>
      <c r="F228" s="288"/>
      <c r="G228" s="288"/>
      <c r="H228" s="288"/>
      <c r="I228" s="288"/>
      <c r="J228" s="115" t="str">
        <f>IF(AND('Mapa final'!$AB$73="Muy Baja",'Mapa final'!$AD$73="Leve"),CONCATENATE("R23C",'Mapa final'!$R$73),"")</f>
        <v/>
      </c>
      <c r="K228" s="54" t="str">
        <f>IF(AND('Mapa final'!$AB$74="Muy Baja",'Mapa final'!$AD$74="Leve"),CONCATENATE("R23C",'Mapa final'!$R$74),"")</f>
        <v/>
      </c>
      <c r="L228" s="116" t="str">
        <f>IF(AND('Mapa final'!$AB$75="Muy Baja",'Mapa final'!$AD$75="Leve"),CONCATENATE("R23C",'Mapa final'!$R$75),"")</f>
        <v/>
      </c>
      <c r="M228" s="115" t="str">
        <f>IF(AND('Mapa final'!$AB$73="Muy Baja",'Mapa final'!$AD$73="Menor"),CONCATENATE("R23C",'Mapa final'!$R$73),"")</f>
        <v/>
      </c>
      <c r="N228" s="54" t="str">
        <f>IF(AND('Mapa final'!$AB$74="Muy Baja",'Mapa final'!$AD$74="Menor"),CONCATENATE("R23C",'Mapa final'!$R$74),"")</f>
        <v/>
      </c>
      <c r="O228" s="116" t="str">
        <f>IF(AND('Mapa final'!$AB$75="Muy Baja",'Mapa final'!$AD$75="Menor"),CONCATENATE("R23C",'Mapa final'!$R$75),"")</f>
        <v/>
      </c>
      <c r="P228" s="49" t="str">
        <f>IF(AND('Mapa final'!$AB$73="Muy Baja",'Mapa final'!$AD$73="Moderado"),CONCATENATE("R23C",'Mapa final'!$R$73),"")</f>
        <v/>
      </c>
      <c r="Q228" s="50" t="str">
        <f>IF(AND('Mapa final'!$AB$74="Muy Baja",'Mapa final'!$AD$74="Moderado"),CONCATENATE("R23C",'Mapa final'!$R$74),"")</f>
        <v/>
      </c>
      <c r="R228" s="111" t="str">
        <f>IF(AND('Mapa final'!$AB$75="Muy Baja",'Mapa final'!$AD$75="Moderado"),CONCATENATE("R23C",'Mapa final'!$R$75),"")</f>
        <v/>
      </c>
      <c r="S228" s="105" t="str">
        <f>IF(AND('Mapa final'!$AB$73="Muy Baja",'Mapa final'!$AD$73="Mayor"),CONCATENATE("R23C",'Mapa final'!$R$73),"")</f>
        <v/>
      </c>
      <c r="T228" s="42" t="str">
        <f>IF(AND('Mapa final'!$AB$74="Muy Baja",'Mapa final'!$AD$74="Mayor"),CONCATENATE("R23C",'Mapa final'!$R$74),"")</f>
        <v/>
      </c>
      <c r="U228" s="106" t="str">
        <f>IF(AND('Mapa final'!$AB$75="Muy Baja",'Mapa final'!$AD$75="Mayor"),CONCATENATE("R23C",'Mapa final'!$R$75),"")</f>
        <v/>
      </c>
      <c r="V228" s="43" t="str">
        <f>IF(AND('Mapa final'!$AB$73="Muy Baja",'Mapa final'!$AD$73="Catastrófico"),CONCATENATE("R23C",'Mapa final'!$R$73),"")</f>
        <v/>
      </c>
      <c r="W228" s="44" t="str">
        <f>IF(AND('Mapa final'!$AB$74="Muy Baja",'Mapa final'!$AD$74="Catastrófico"),CONCATENATE("R23C",'Mapa final'!$R$74),"")</f>
        <v/>
      </c>
      <c r="X228" s="100" t="str">
        <f>IF(AND('Mapa final'!$AB$75="Muy Baja",'Mapa final'!$AD$75="Catastrófico"),CONCATENATE("R23C",'Mapa final'!$R$75),"")</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5" x14ac:dyDescent="0.35">
      <c r="A229" s="56"/>
      <c r="B229" s="300"/>
      <c r="C229" s="300"/>
      <c r="D229" s="301"/>
      <c r="E229" s="287"/>
      <c r="F229" s="288"/>
      <c r="G229" s="288"/>
      <c r="H229" s="288"/>
      <c r="I229" s="288"/>
      <c r="J229" s="115" t="str">
        <f>IF(AND('Mapa final'!$AB$76="Muy Baja",'Mapa final'!$AD$76="Leve"),CONCATENATE("R24C",'Mapa final'!$R$76),"")</f>
        <v/>
      </c>
      <c r="K229" s="54" t="str">
        <f>IF(AND('Mapa final'!$AB$77="Muy Baja",'Mapa final'!$AD$77="Leve"),CONCATENATE("R24C",'Mapa final'!$R$77),"")</f>
        <v/>
      </c>
      <c r="L229" s="116" t="str">
        <f>IF(AND('Mapa final'!$AB$78="Muy Baja",'Mapa final'!$AD$78="Leve"),CONCATENATE("R24C",'Mapa final'!$R$78),"")</f>
        <v/>
      </c>
      <c r="M229" s="115" t="str">
        <f>IF(AND('Mapa final'!$AB$76="Muy Baja",'Mapa final'!$AD$76="Menor"),CONCATENATE("R24C",'Mapa final'!$R$76),"")</f>
        <v/>
      </c>
      <c r="N229" s="54" t="str">
        <f>IF(AND('Mapa final'!$AB$77="Muy Baja",'Mapa final'!$AD$77="Menor"),CONCATENATE("R24C",'Mapa final'!$R$77),"")</f>
        <v/>
      </c>
      <c r="O229" s="116" t="str">
        <f>IF(AND('Mapa final'!$AB$78="Muy Baja",'Mapa final'!$AD$78="Menor"),CONCATENATE("R24C",'Mapa final'!$R$78),"")</f>
        <v/>
      </c>
      <c r="P229" s="49" t="str">
        <f>IF(AND('Mapa final'!$AB$76="Muy Baja",'Mapa final'!$AD$76="Moderado"),CONCATENATE("R24C",'Mapa final'!$R$76),"")</f>
        <v/>
      </c>
      <c r="Q229" s="50" t="str">
        <f>IF(AND('Mapa final'!$AB$77="Muy Baja",'Mapa final'!$AD$77="Moderado"),CONCATENATE("R24C",'Mapa final'!$R$77),"")</f>
        <v/>
      </c>
      <c r="R229" s="111" t="str">
        <f>IF(AND('Mapa final'!$AB$78="Muy Baja",'Mapa final'!$AD$78="Moderado"),CONCATENATE("R24C",'Mapa final'!$R$78),"")</f>
        <v/>
      </c>
      <c r="S229" s="105" t="str">
        <f>IF(AND('Mapa final'!$AB$76="Muy Baja",'Mapa final'!$AD$76="Mayor"),CONCATENATE("R24C",'Mapa final'!$R$76),"")</f>
        <v/>
      </c>
      <c r="T229" s="42" t="str">
        <f>IF(AND('Mapa final'!$AB$77="Muy Baja",'Mapa final'!$AD$77="Mayor"),CONCATENATE("R24C",'Mapa final'!$R$77),"")</f>
        <v/>
      </c>
      <c r="U229" s="106" t="str">
        <f>IF(AND('Mapa final'!$AB$78="Muy Baja",'Mapa final'!$AD$78="Mayor"),CONCATENATE("R24C",'Mapa final'!$R$78),"")</f>
        <v/>
      </c>
      <c r="V229" s="43" t="str">
        <f>IF(AND('Mapa final'!$AB$76="Muy Baja",'Mapa final'!$AD$76="Catastrófico"),CONCATENATE("R24C",'Mapa final'!$R$76),"")</f>
        <v/>
      </c>
      <c r="W229" s="44" t="str">
        <f>IF(AND('Mapa final'!$AB$77="Muy Baja",'Mapa final'!$AD$77="Catastrófico"),CONCATENATE("R24C",'Mapa final'!$R$77),"")</f>
        <v/>
      </c>
      <c r="X229" s="100" t="str">
        <f>IF(AND('Mapa final'!$AB$78="Muy Baja",'Mapa final'!$AD$78="Catastrófico"),CONCATENATE("R24C",'Mapa final'!$R$78),"")</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5" x14ac:dyDescent="0.35">
      <c r="A230" s="56"/>
      <c r="B230" s="300"/>
      <c r="C230" s="300"/>
      <c r="D230" s="301"/>
      <c r="E230" s="287"/>
      <c r="F230" s="288"/>
      <c r="G230" s="288"/>
      <c r="H230" s="288"/>
      <c r="I230" s="288"/>
      <c r="J230" s="115" t="str">
        <f>IF(AND('Mapa final'!$AB$79="Muy Baja",'Mapa final'!$AD$79="Leve"),CONCATENATE("R25C",'Mapa final'!$R$79),"")</f>
        <v/>
      </c>
      <c r="K230" s="54" t="str">
        <f>IF(AND('Mapa final'!$AB$80="Muy Baja",'Mapa final'!$AD$80="Leve"),CONCATENATE("R25C",'Mapa final'!$R$80),"")</f>
        <v/>
      </c>
      <c r="L230" s="116" t="str">
        <f>IF(AND('Mapa final'!$AB$81="Muy Baja",'Mapa final'!$AD$81="Leve"),CONCATENATE("R25C",'Mapa final'!$R$81),"")</f>
        <v/>
      </c>
      <c r="M230" s="115" t="str">
        <f>IF(AND('Mapa final'!$AB$79="Muy Baja",'Mapa final'!$AD$79="Menor"),CONCATENATE("R25C",'Mapa final'!$R$79),"")</f>
        <v/>
      </c>
      <c r="N230" s="54" t="str">
        <f>IF(AND('Mapa final'!$AB$80="Muy Baja",'Mapa final'!$AD$80="Menor"),CONCATENATE("R25C",'Mapa final'!$R$80),"")</f>
        <v/>
      </c>
      <c r="O230" s="116" t="str">
        <f>IF(AND('Mapa final'!$AB$81="Muy Baja",'Mapa final'!$AD$81="Menor"),CONCATENATE("R25C",'Mapa final'!$R$81),"")</f>
        <v/>
      </c>
      <c r="P230" s="49" t="str">
        <f>IF(AND('Mapa final'!$AB$79="Muy Baja",'Mapa final'!$AD$79="Moderado"),CONCATENATE("R25C",'Mapa final'!$R$79),"")</f>
        <v/>
      </c>
      <c r="Q230" s="50" t="str">
        <f>IF(AND('Mapa final'!$AB$80="Muy Baja",'Mapa final'!$AD$80="Moderado"),CONCATENATE("R25C",'Mapa final'!$R$80),"")</f>
        <v>R25C2</v>
      </c>
      <c r="R230" s="111" t="str">
        <f>IF(AND('Mapa final'!$AB$81="Muy Baja",'Mapa final'!$AD$81="Moderado"),CONCATENATE("R25C",'Mapa final'!$R$81),"")</f>
        <v>R25C3</v>
      </c>
      <c r="S230" s="105" t="str">
        <f>IF(AND('Mapa final'!$AB$79="Muy Baja",'Mapa final'!$AD$79="Mayor"),CONCATENATE("R25C",'Mapa final'!$R$79),"")</f>
        <v/>
      </c>
      <c r="T230" s="42" t="str">
        <f>IF(AND('Mapa final'!$AB$80="Muy Baja",'Mapa final'!$AD$80="Mayor"),CONCATENATE("R25C",'Mapa final'!$R$80),"")</f>
        <v/>
      </c>
      <c r="U230" s="106" t="str">
        <f>IF(AND('Mapa final'!$AB$81="Muy Baja",'Mapa final'!$AD$81="Mayor"),CONCATENATE("R25C",'Mapa final'!$R$81),"")</f>
        <v/>
      </c>
      <c r="V230" s="43" t="str">
        <f>IF(AND('Mapa final'!$AB$79="Muy Baja",'Mapa final'!$AD$79="Catastrófico"),CONCATENATE("R25C",'Mapa final'!$R$79),"")</f>
        <v/>
      </c>
      <c r="W230" s="44" t="str">
        <f>IF(AND('Mapa final'!$AB$80="Muy Baja",'Mapa final'!$AD$80="Catastrófico"),CONCATENATE("R25C",'Mapa final'!$R$80),"")</f>
        <v/>
      </c>
      <c r="X230" s="100" t="str">
        <f>IF(AND('Mapa final'!$AB$81="Muy Baja",'Mapa final'!$AD$81="Catastrófico"),CONCATENATE("R25C",'Mapa final'!$R$81),"")</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5" x14ac:dyDescent="0.35">
      <c r="A231" s="56"/>
      <c r="B231" s="300"/>
      <c r="C231" s="300"/>
      <c r="D231" s="301"/>
      <c r="E231" s="287"/>
      <c r="F231" s="288"/>
      <c r="G231" s="288"/>
      <c r="H231" s="288"/>
      <c r="I231" s="288"/>
      <c r="J231" s="115" t="str">
        <f>IF(AND('Mapa final'!$AB$82="Muy Baja",'Mapa final'!$AD$82="Leve"),CONCATENATE("R26C",'Mapa final'!$R$82),"")</f>
        <v/>
      </c>
      <c r="K231" s="54" t="str">
        <f>IF(AND('Mapa final'!$AB$83="Muy Baja",'Mapa final'!$AD$83="Leve"),CONCATENATE("R26C",'Mapa final'!$R$83),"")</f>
        <v/>
      </c>
      <c r="L231" s="116" t="str">
        <f>IF(AND('Mapa final'!$AB$84="Muy Baja",'Mapa final'!$AD$84="Leve"),CONCATENATE("R26C",'Mapa final'!$R$84),"")</f>
        <v/>
      </c>
      <c r="M231" s="115" t="str">
        <f>IF(AND('Mapa final'!$AB$82="Muy Baja",'Mapa final'!$AD$82="Menor"),CONCATENATE("R26C",'Mapa final'!$R$82),"")</f>
        <v/>
      </c>
      <c r="N231" s="54" t="str">
        <f>IF(AND('Mapa final'!$AB$83="Muy Baja",'Mapa final'!$AD$83="Menor"),CONCATENATE("R26C",'Mapa final'!$R$83),"")</f>
        <v/>
      </c>
      <c r="O231" s="116" t="str">
        <f>IF(AND('Mapa final'!$AB$84="Muy Baja",'Mapa final'!$AD$84="Menor"),CONCATENATE("R26C",'Mapa final'!$R$84),"")</f>
        <v/>
      </c>
      <c r="P231" s="49" t="str">
        <f>IF(AND('Mapa final'!$AB$82="Muy Baja",'Mapa final'!$AD$82="Moderado"),CONCATENATE("R26C",'Mapa final'!$R$82),"")</f>
        <v>R26C1</v>
      </c>
      <c r="Q231" s="50" t="str">
        <f>IF(AND('Mapa final'!$AB$83="Muy Baja",'Mapa final'!$AD$83="Moderado"),CONCATENATE("R26C",'Mapa final'!$R$83),"")</f>
        <v>R26C2</v>
      </c>
      <c r="R231" s="111" t="str">
        <f>IF(AND('Mapa final'!$AB$84="Muy Baja",'Mapa final'!$AD$84="Moderado"),CONCATENATE("R26C",'Mapa final'!$R$84),"")</f>
        <v>R26C3</v>
      </c>
      <c r="S231" s="105" t="str">
        <f>IF(AND('Mapa final'!$AB$82="Muy Baja",'Mapa final'!$AD$82="Mayor"),CONCATENATE("R26C",'Mapa final'!$R$82),"")</f>
        <v/>
      </c>
      <c r="T231" s="42" t="str">
        <f>IF(AND('Mapa final'!$AB$83="Muy Baja",'Mapa final'!$AD$83="Mayor"),CONCATENATE("R26C",'Mapa final'!$R$83),"")</f>
        <v/>
      </c>
      <c r="U231" s="106" t="str">
        <f>IF(AND('Mapa final'!$AB$84="Muy Baja",'Mapa final'!$AD$84="Mayor"),CONCATENATE("R26C",'Mapa final'!$R$84),"")</f>
        <v/>
      </c>
      <c r="V231" s="43" t="str">
        <f>IF(AND('Mapa final'!$AB$82="Muy Baja",'Mapa final'!$AD$82="Catastrófico"),CONCATENATE("R26C",'Mapa final'!$R$82),"")</f>
        <v/>
      </c>
      <c r="W231" s="44" t="str">
        <f>IF(AND('Mapa final'!$AB$83="Muy Baja",'Mapa final'!$AD$83="Catastrófico"),CONCATENATE("R26C",'Mapa final'!$R$83),"")</f>
        <v/>
      </c>
      <c r="X231" s="100" t="str">
        <f>IF(AND('Mapa final'!$AB$84="Muy Baja",'Mapa final'!$AD$84="Catastrófico"),CONCATENATE("R26C",'Mapa final'!$R$84),"")</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5" x14ac:dyDescent="0.35">
      <c r="A232" s="56"/>
      <c r="B232" s="300"/>
      <c r="C232" s="300"/>
      <c r="D232" s="301"/>
      <c r="E232" s="287"/>
      <c r="F232" s="288"/>
      <c r="G232" s="288"/>
      <c r="H232" s="288"/>
      <c r="I232" s="288"/>
      <c r="J232" s="115" t="str">
        <f>IF(AND('Mapa final'!$AB$85="Muy Baja",'Mapa final'!$AD$85="Leve"),CONCATENATE("R27C",'Mapa final'!$R$85),"")</f>
        <v/>
      </c>
      <c r="K232" s="54" t="str">
        <f>IF(AND('Mapa final'!$AB$86="Muy Baja",'Mapa final'!$AD$86="Leve"),CONCATENATE("R27C",'Mapa final'!$R$86),"")</f>
        <v/>
      </c>
      <c r="L232" s="116" t="str">
        <f>IF(AND('Mapa final'!$AB$87="Muy Baja",'Mapa final'!$AD$87="Leve"),CONCATENATE("R27C",'Mapa final'!$R$87),"")</f>
        <v/>
      </c>
      <c r="M232" s="115" t="str">
        <f>IF(AND('Mapa final'!$AB$85="Muy Baja",'Mapa final'!$AD$85="Menor"),CONCATENATE("R27C",'Mapa final'!$R$85),"")</f>
        <v/>
      </c>
      <c r="N232" s="54" t="str">
        <f>IF(AND('Mapa final'!$AB$86="Muy Baja",'Mapa final'!$AD$86="Menor"),CONCATENATE("R27C",'Mapa final'!$R$86),"")</f>
        <v/>
      </c>
      <c r="O232" s="116" t="str">
        <f>IF(AND('Mapa final'!$AB$87="Muy Baja",'Mapa final'!$AD$87="Menor"),CONCATENATE("R27C",'Mapa final'!$R$87),"")</f>
        <v/>
      </c>
      <c r="P232" s="49" t="str">
        <f>IF(AND('Mapa final'!$AB$85="Muy Baja",'Mapa final'!$AD$85="Moderado"),CONCATENATE("R27C",'Mapa final'!$R$85),"")</f>
        <v/>
      </c>
      <c r="Q232" s="50" t="str">
        <f>IF(AND('Mapa final'!$AB$86="Muy Baja",'Mapa final'!$AD$86="Moderado"),CONCATENATE("R27C",'Mapa final'!$R$86),"")</f>
        <v/>
      </c>
      <c r="R232" s="111" t="str">
        <f>IF(AND('Mapa final'!$AB$87="Muy Baja",'Mapa final'!$AD$87="Moderado"),CONCATENATE("R27C",'Mapa final'!$R$87),"")</f>
        <v/>
      </c>
      <c r="S232" s="105" t="str">
        <f>IF(AND('Mapa final'!$AB$85="Muy Baja",'Mapa final'!$AD$85="Mayor"),CONCATENATE("R27C",'Mapa final'!$R$85),"")</f>
        <v/>
      </c>
      <c r="T232" s="42" t="str">
        <f>IF(AND('Mapa final'!$AB$86="Muy Baja",'Mapa final'!$AD$86="Mayor"),CONCATENATE("R27C",'Mapa final'!$R$86),"")</f>
        <v/>
      </c>
      <c r="U232" s="106" t="str">
        <f>IF(AND('Mapa final'!$AB$87="Muy Baja",'Mapa final'!$AD$87="Mayor"),CONCATENATE("R27C",'Mapa final'!$R$87),"")</f>
        <v/>
      </c>
      <c r="V232" s="43" t="str">
        <f>IF(AND('Mapa final'!$AB$85="Muy Baja",'Mapa final'!$AD$85="Catastrófico"),CONCATENATE("R27C",'Mapa final'!$R$85),"")</f>
        <v/>
      </c>
      <c r="W232" s="44" t="str">
        <f>IF(AND('Mapa final'!$AB$86="Muy Baja",'Mapa final'!$AD$86="Catastrófico"),CONCATENATE("R27C",'Mapa final'!$R$86),"")</f>
        <v/>
      </c>
      <c r="X232" s="100" t="str">
        <f>IF(AND('Mapa final'!$AB$87="Muy Baja",'Mapa final'!$AD$87="Catastrófico"),CONCATENATE("R27C",'Mapa final'!$R$87),"")</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5" x14ac:dyDescent="0.35">
      <c r="A233" s="56"/>
      <c r="B233" s="300"/>
      <c r="C233" s="300"/>
      <c r="D233" s="301"/>
      <c r="E233" s="287"/>
      <c r="F233" s="288"/>
      <c r="G233" s="288"/>
      <c r="H233" s="288"/>
      <c r="I233" s="288"/>
      <c r="J233" s="115" t="str">
        <f>IF(AND('Mapa final'!$AB$88="Muy Baja",'Mapa final'!$AD$88="Leve"),CONCATENATE("R28C",'Mapa final'!$R$88),"")</f>
        <v/>
      </c>
      <c r="K233" s="54" t="str">
        <f>IF(AND('Mapa final'!$AB$89="Muy Baja",'Mapa final'!$AD$89="Leve"),CONCATENATE("R28C",'Mapa final'!$R$89),"")</f>
        <v/>
      </c>
      <c r="L233" s="116" t="str">
        <f>IF(AND('Mapa final'!$AB$90="Muy Baja",'Mapa final'!$AD$90="Leve"),CONCATENATE("R28C",'Mapa final'!$R$90),"")</f>
        <v/>
      </c>
      <c r="M233" s="115" t="str">
        <f>IF(AND('Mapa final'!$AB$88="Muy Baja",'Mapa final'!$AD$88="Menor"),CONCATENATE("R28C",'Mapa final'!$R$88),"")</f>
        <v/>
      </c>
      <c r="N233" s="54" t="str">
        <f>IF(AND('Mapa final'!$AB$89="Muy Baja",'Mapa final'!$AD$89="Menor"),CONCATENATE("R28C",'Mapa final'!$R$89),"")</f>
        <v/>
      </c>
      <c r="O233" s="116" t="str">
        <f>IF(AND('Mapa final'!$AB$90="Muy Baja",'Mapa final'!$AD$90="Menor"),CONCATENATE("R28C",'Mapa final'!$R$90),"")</f>
        <v/>
      </c>
      <c r="P233" s="49" t="str">
        <f>IF(AND('Mapa final'!$AB$88="Muy Baja",'Mapa final'!$AD$88="Moderado"),CONCATENATE("R28C",'Mapa final'!$R$88),"")</f>
        <v/>
      </c>
      <c r="Q233" s="50" t="str">
        <f>IF(AND('Mapa final'!$AB$89="Muy Baja",'Mapa final'!$AD$89="Moderado"),CONCATENATE("R28C",'Mapa final'!$R$89),"")</f>
        <v/>
      </c>
      <c r="R233" s="111" t="str">
        <f>IF(AND('Mapa final'!$AB$90="Muy Baja",'Mapa final'!$AD$90="Moderado"),CONCATENATE("R28C",'Mapa final'!$R$90),"")</f>
        <v/>
      </c>
      <c r="S233" s="105" t="str">
        <f>IF(AND('Mapa final'!$AB$88="Muy Baja",'Mapa final'!$AD$88="Mayor"),CONCATENATE("R28C",'Mapa final'!$R$88),"")</f>
        <v/>
      </c>
      <c r="T233" s="42" t="str">
        <f>IF(AND('Mapa final'!$AB$89="Muy Baja",'Mapa final'!$AD$89="Mayor"),CONCATENATE("R28C",'Mapa final'!$R$89),"")</f>
        <v/>
      </c>
      <c r="U233" s="106" t="str">
        <f>IF(AND('Mapa final'!$AB$90="Muy Baja",'Mapa final'!$AD$90="Mayor"),CONCATENATE("R28C",'Mapa final'!$R$90),"")</f>
        <v/>
      </c>
      <c r="V233" s="43" t="str">
        <f>IF(AND('Mapa final'!$AB$88="Muy Baja",'Mapa final'!$AD$88="Catastrófico"),CONCATENATE("R28C",'Mapa final'!$R$88),"")</f>
        <v/>
      </c>
      <c r="W233" s="44" t="str">
        <f>IF(AND('Mapa final'!$AB$89="Muy Baja",'Mapa final'!$AD$89="Catastrófico"),CONCATENATE("R28C",'Mapa final'!$R$89),"")</f>
        <v/>
      </c>
      <c r="X233" s="100" t="str">
        <f>IF(AND('Mapa final'!$AB$90="Muy Baja",'Mapa final'!$AD$90="Catastrófico"),CONCATENATE("R28C",'Mapa final'!$R$90),"")</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35">
      <c r="A234" s="56"/>
      <c r="B234" s="300"/>
      <c r="C234" s="300"/>
      <c r="D234" s="301"/>
      <c r="E234" s="287"/>
      <c r="F234" s="288"/>
      <c r="G234" s="288"/>
      <c r="H234" s="288"/>
      <c r="I234" s="288"/>
      <c r="J234" s="115" t="str">
        <f>IF(AND('Mapa final'!$AB$91="Muy Baja",'Mapa final'!$AD$91="Leve"),CONCATENATE("R29C",'Mapa final'!$R$91),"")</f>
        <v/>
      </c>
      <c r="K234" s="54" t="str">
        <f>IF(AND('Mapa final'!$AB$92="Muy Baja",'Mapa final'!$AD$92="Leve"),CONCATENATE("R29C",'Mapa final'!$R$92),"")</f>
        <v/>
      </c>
      <c r="L234" s="116" t="str">
        <f>IF(AND('Mapa final'!$AB$93="Muy Baja",'Mapa final'!$AD$93="Leve"),CONCATENATE("R29C",'Mapa final'!$R$93),"")</f>
        <v/>
      </c>
      <c r="M234" s="115" t="str">
        <f>IF(AND('Mapa final'!$AB$91="Muy Baja",'Mapa final'!$AD$91="Menor"),CONCATENATE("R29C",'Mapa final'!$R$91),"")</f>
        <v/>
      </c>
      <c r="N234" s="54" t="str">
        <f>IF(AND('Mapa final'!$AB$92="Muy Baja",'Mapa final'!$AD$92="Menor"),CONCATENATE("R29C",'Mapa final'!$R$92),"")</f>
        <v/>
      </c>
      <c r="O234" s="116" t="str">
        <f>IF(AND('Mapa final'!$AB$93="Muy Baja",'Mapa final'!$AD$93="Menor"),CONCATENATE("R29C",'Mapa final'!$R$93),"")</f>
        <v/>
      </c>
      <c r="P234" s="49" t="str">
        <f>IF(AND('Mapa final'!$AB$91="Muy Baja",'Mapa final'!$AD$91="Moderado"),CONCATENATE("R29C",'Mapa final'!$R$91),"")</f>
        <v/>
      </c>
      <c r="Q234" s="50" t="str">
        <f>IF(AND('Mapa final'!$AB$92="Muy Baja",'Mapa final'!$AD$92="Moderado"),CONCATENATE("R29C",'Mapa final'!$R$92),"")</f>
        <v/>
      </c>
      <c r="R234" s="111" t="str">
        <f>IF(AND('Mapa final'!$AB$93="Muy Baja",'Mapa final'!$AD$93="Moderado"),CONCATENATE("R29C",'Mapa final'!$R$93),"")</f>
        <v/>
      </c>
      <c r="S234" s="105" t="str">
        <f>IF(AND('Mapa final'!$AB$91="Muy Baja",'Mapa final'!$AD$91="Mayor"),CONCATENATE("R29C",'Mapa final'!$R$91),"")</f>
        <v/>
      </c>
      <c r="T234" s="42" t="str">
        <f>IF(AND('Mapa final'!$AB$92="Muy Baja",'Mapa final'!$AD$92="Mayor"),CONCATENATE("R29C",'Mapa final'!$R$92),"")</f>
        <v/>
      </c>
      <c r="U234" s="106" t="str">
        <f>IF(AND('Mapa final'!$AB$93="Muy Baja",'Mapa final'!$AD$93="Mayor"),CONCATENATE("R29C",'Mapa final'!$R$93),"")</f>
        <v/>
      </c>
      <c r="V234" s="43" t="str">
        <f>IF(AND('Mapa final'!$AB$91="Muy Baja",'Mapa final'!$AD$91="Catastrófico"),CONCATENATE("R29C",'Mapa final'!$R$91),"")</f>
        <v/>
      </c>
      <c r="W234" s="44" t="str">
        <f>IF(AND('Mapa final'!$AB$92="Muy Baja",'Mapa final'!$AD$92="Catastrófico"),CONCATENATE("R29C",'Mapa final'!$R$92),"")</f>
        <v/>
      </c>
      <c r="X234" s="100" t="str">
        <f>IF(AND('Mapa final'!$AB$93="Muy Baja",'Mapa final'!$AD$93="Catastrófico"),CONCATENATE("R29C",'Mapa final'!$R$93),"")</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35">
      <c r="A235" s="56"/>
      <c r="B235" s="300"/>
      <c r="C235" s="300"/>
      <c r="D235" s="301"/>
      <c r="E235" s="289"/>
      <c r="F235" s="290"/>
      <c r="G235" s="290"/>
      <c r="H235" s="290"/>
      <c r="I235" s="288"/>
      <c r="J235" s="115" t="str">
        <f>IF(AND('Mapa final'!$AB$94="Muy Baja",'Mapa final'!$AD$94="Leve"),CONCATENATE("R30C",'Mapa final'!$R$94),"")</f>
        <v/>
      </c>
      <c r="K235" s="54" t="str">
        <f>IF(AND('Mapa final'!$AB$95="Muy Baja",'Mapa final'!$AD$95="Leve"),CONCATENATE("R30C",'Mapa final'!$R$95),"")</f>
        <v/>
      </c>
      <c r="L235" s="116" t="str">
        <f>IF(AND('Mapa final'!$AB$96="Muy Baja",'Mapa final'!$AD$96="Leve"),CONCATENATE("R30C",'Mapa final'!$R$96),"")</f>
        <v/>
      </c>
      <c r="M235" s="115" t="str">
        <f>IF(AND('Mapa final'!$AB$94="Muy Baja",'Mapa final'!$AD$94="Menor"),CONCATENATE("R30C",'Mapa final'!$R$94),"")</f>
        <v/>
      </c>
      <c r="N235" s="54" t="str">
        <f>IF(AND('Mapa final'!$AB$95="Muy Baja",'Mapa final'!$AD$95="Menor"),CONCATENATE("R30C",'Mapa final'!$R$95),"")</f>
        <v/>
      </c>
      <c r="O235" s="116" t="str">
        <f>IF(AND('Mapa final'!$AB$96="Muy Baja",'Mapa final'!$AD$96="Menor"),CONCATENATE("R30C",'Mapa final'!$R$96),"")</f>
        <v/>
      </c>
      <c r="P235" s="49" t="str">
        <f>IF(AND('Mapa final'!$AB$94="Muy Baja",'Mapa final'!$AD$94="Moderado"),CONCATENATE("R30C",'Mapa final'!$R$94),"")</f>
        <v/>
      </c>
      <c r="Q235" s="50" t="str">
        <f>IF(AND('Mapa final'!$AB$95="Muy Baja",'Mapa final'!$AD$95="Moderado"),CONCATENATE("R30C",'Mapa final'!$R$95),"")</f>
        <v/>
      </c>
      <c r="R235" s="111" t="str">
        <f>IF(AND('Mapa final'!$AB$96="Muy Baja",'Mapa final'!$AD$96="Moderado"),CONCATENATE("R30C",'Mapa final'!$R$96),"")</f>
        <v/>
      </c>
      <c r="S235" s="105" t="str">
        <f>IF(AND('Mapa final'!$AB$94="Muy Baja",'Mapa final'!$AD$94="Mayor"),CONCATENATE("R30C",'Mapa final'!$R$94),"")</f>
        <v/>
      </c>
      <c r="T235" s="42" t="str">
        <f>IF(AND('Mapa final'!$AB$95="Muy Baja",'Mapa final'!$AD$95="Mayor"),CONCATENATE("R30C",'Mapa final'!$R$95),"")</f>
        <v/>
      </c>
      <c r="U235" s="106" t="str">
        <f>IF(AND('Mapa final'!$AB$96="Muy Baja",'Mapa final'!$AD$96="Mayor"),CONCATENATE("R30C",'Mapa final'!$R$96),"")</f>
        <v/>
      </c>
      <c r="V235" s="43" t="str">
        <f>IF(AND('Mapa final'!$AB$94="Muy Baja",'Mapa final'!$AD$94="Catastrófico"),CONCATENATE("R30C",'Mapa final'!$R$94),"")</f>
        <v/>
      </c>
      <c r="W235" s="44" t="str">
        <f>IF(AND('Mapa final'!$AB$95="Muy Baja",'Mapa final'!$AD$95="Catastrófico"),CONCATENATE("R30C",'Mapa final'!$R$95),"")</f>
        <v/>
      </c>
      <c r="X235" s="100" t="str">
        <f>IF(AND('Mapa final'!$AB$96="Muy Baja",'Mapa final'!$AD$96="Catastrófico"),CONCATENATE("R30C",'Mapa final'!$R$96),"")</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35">
      <c r="A236" s="56"/>
      <c r="B236" s="300"/>
      <c r="C236" s="300"/>
      <c r="D236" s="301"/>
      <c r="E236" s="289"/>
      <c r="F236" s="290"/>
      <c r="G236" s="290"/>
      <c r="H236" s="290"/>
      <c r="I236" s="288"/>
      <c r="J236" s="115" t="str">
        <f>IF(AND('Mapa final'!$AB$97="Muy Baja",'Mapa final'!$AD$97="Leve"),CONCATENATE("R31C",'Mapa final'!$R$97),"")</f>
        <v/>
      </c>
      <c r="K236" s="54" t="str">
        <f>IF(AND('Mapa final'!$AB$98="Muy Baja",'Mapa final'!$AD$98="Leve"),CONCATENATE("R31C",'Mapa final'!$R$98),"")</f>
        <v/>
      </c>
      <c r="L236" s="116" t="str">
        <f>IF(AND('Mapa final'!$AB$99="Muy Baja",'Mapa final'!$AD$99="Leve"),CONCATENATE("R31C",'Mapa final'!$R$99),"")</f>
        <v/>
      </c>
      <c r="M236" s="115" t="str">
        <f>IF(AND('Mapa final'!$AB$97="Muy Baja",'Mapa final'!$AD$97="Menor"),CONCATENATE("R31C",'Mapa final'!$R$97),"")</f>
        <v/>
      </c>
      <c r="N236" s="54" t="str">
        <f>IF(AND('Mapa final'!$AB$98="Muy Baja",'Mapa final'!$AD$98="Menor"),CONCATENATE("R31C",'Mapa final'!$R$98),"")</f>
        <v/>
      </c>
      <c r="O236" s="116" t="str">
        <f>IF(AND('Mapa final'!$AB$99="Muy Baja",'Mapa final'!$AD$99="Menor"),CONCATENATE("R31C",'Mapa final'!$R$99),"")</f>
        <v/>
      </c>
      <c r="P236" s="49" t="str">
        <f>IF(AND('Mapa final'!$AB$97="Muy Baja",'Mapa final'!$AD$97="Moderado"),CONCATENATE("R31C",'Mapa final'!$R$97),"")</f>
        <v/>
      </c>
      <c r="Q236" s="50" t="str">
        <f>IF(AND('Mapa final'!$AB$98="Muy Baja",'Mapa final'!$AD$98="Moderado"),CONCATENATE("R31C",'Mapa final'!$R$98),"")</f>
        <v/>
      </c>
      <c r="R236" s="111" t="str">
        <f>IF(AND('Mapa final'!$AB$99="Muy Baja",'Mapa final'!$AD$99="Moderado"),CONCATENATE("R31C",'Mapa final'!$R$99),"")</f>
        <v/>
      </c>
      <c r="S236" s="105" t="str">
        <f>IF(AND('Mapa final'!$AB$97="Muy Baja",'Mapa final'!$AD$97="Mayor"),CONCATENATE("R31C",'Mapa final'!$R$97),"")</f>
        <v/>
      </c>
      <c r="T236" s="42" t="str">
        <f>IF(AND('Mapa final'!$AB$98="Muy Baja",'Mapa final'!$AD$98="Mayor"),CONCATENATE("R31C",'Mapa final'!$R$98),"")</f>
        <v/>
      </c>
      <c r="U236" s="106" t="str">
        <f>IF(AND('Mapa final'!$AB$99="Muy Baja",'Mapa final'!$AD$99="Mayor"),CONCATENATE("R31C",'Mapa final'!$R$99),"")</f>
        <v/>
      </c>
      <c r="V236" s="43" t="str">
        <f>IF(AND('Mapa final'!$AB$97="Muy Baja",'Mapa final'!$AD$97="Catastrófico"),CONCATENATE("R31C",'Mapa final'!$R$97),"")</f>
        <v/>
      </c>
      <c r="W236" s="44" t="str">
        <f>IF(AND('Mapa final'!$AB$98="Muy Baja",'Mapa final'!$AD$98="Catastrófico"),CONCATENATE("R31C",'Mapa final'!$R$98),"")</f>
        <v/>
      </c>
      <c r="X236" s="100" t="str">
        <f>IF(AND('Mapa final'!$AB$99="Muy Baja",'Mapa final'!$AD$99="Catastrófico"),CONCATENATE("R31C",'Mapa final'!$R$99),"")</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35">
      <c r="A237" s="56"/>
      <c r="B237" s="300"/>
      <c r="C237" s="300"/>
      <c r="D237" s="301"/>
      <c r="E237" s="289"/>
      <c r="F237" s="290"/>
      <c r="G237" s="290"/>
      <c r="H237" s="290"/>
      <c r="I237" s="288"/>
      <c r="J237" s="115" t="e">
        <f>IF(AND('Mapa final'!#REF!="Muy Baja",'Mapa final'!#REF!="Leve"),CONCATENATE("R32C",'Mapa final'!#REF!),"")</f>
        <v>#REF!</v>
      </c>
      <c r="K237" s="54" t="e">
        <f>IF(AND('Mapa final'!#REF!="Muy Baja",'Mapa final'!#REF!="Leve"),CONCATENATE("R32C",'Mapa final'!#REF!),"")</f>
        <v>#REF!</v>
      </c>
      <c r="L237" s="116" t="e">
        <f>IF(AND('Mapa final'!#REF!="Muy Baja",'Mapa final'!#REF!="Leve"),CONCATENATE("R32C",'Mapa final'!#REF!),"")</f>
        <v>#REF!</v>
      </c>
      <c r="M237" s="115" t="e">
        <f>IF(AND('Mapa final'!#REF!="Muy Baja",'Mapa final'!#REF!="Menor"),CONCATENATE("R32C",'Mapa final'!#REF!),"")</f>
        <v>#REF!</v>
      </c>
      <c r="N237" s="54" t="e">
        <f>IF(AND('Mapa final'!#REF!="Muy Baja",'Mapa final'!#REF!="Menor"),CONCATENATE("R32C",'Mapa final'!#REF!),"")</f>
        <v>#REF!</v>
      </c>
      <c r="O237" s="116" t="e">
        <f>IF(AND('Mapa final'!#REF!="Muy Baja",'Mapa final'!#REF!="Menor"),CONCATENATE("R32C",'Mapa final'!#REF!),"")</f>
        <v>#REF!</v>
      </c>
      <c r="P237" s="49" t="e">
        <f>IF(AND('Mapa final'!#REF!="Muy Baja",'Mapa final'!#REF!="Moderado"),CONCATENATE("R32C",'Mapa final'!#REF!),"")</f>
        <v>#REF!</v>
      </c>
      <c r="Q237" s="50" t="e">
        <f>IF(AND('Mapa final'!#REF!="Muy Baja",'Mapa final'!#REF!="Moderado"),CONCATENATE("R32C",'Mapa final'!#REF!),"")</f>
        <v>#REF!</v>
      </c>
      <c r="R237" s="111" t="e">
        <f>IF(AND('Mapa final'!#REF!="Muy Baja",'Mapa final'!#REF!="Moderado"),CONCATENATE("R32C",'Mapa final'!#REF!),"")</f>
        <v>#REF!</v>
      </c>
      <c r="S237" s="105" t="e">
        <f>IF(AND('Mapa final'!#REF!="Muy Baja",'Mapa final'!#REF!="Mayor"),CONCATENATE("R32C",'Mapa final'!#REF!),"")</f>
        <v>#REF!</v>
      </c>
      <c r="T237" s="42" t="e">
        <f>IF(AND('Mapa final'!#REF!="Muy Baja",'Mapa final'!#REF!="Mayor"),CONCATENATE("R32C",'Mapa final'!#REF!),"")</f>
        <v>#REF!</v>
      </c>
      <c r="U237" s="106" t="e">
        <f>IF(AND('Mapa final'!#REF!="Muy Baja",'Mapa final'!#REF!="Mayor"),CONCATENATE("R32C",'Mapa final'!#REF!),"")</f>
        <v>#REF!</v>
      </c>
      <c r="V237" s="43" t="e">
        <f>IF(AND('Mapa final'!#REF!="Muy Baja",'Mapa final'!#REF!="Catastrófico"),CONCATENATE("R32C",'Mapa final'!#REF!),"")</f>
        <v>#REF!</v>
      </c>
      <c r="W237" s="44" t="e">
        <f>IF(AND('Mapa final'!#REF!="Muy Baja",'Mapa final'!#REF!="Catastrófico"),CONCATENATE("R32C",'Mapa final'!#REF!),"")</f>
        <v>#REF!</v>
      </c>
      <c r="X237" s="100" t="e">
        <f>IF(AND('Mapa final'!#REF!="Muy Baja",'Mapa final'!#REF!="Catastrófico"),CONCATENATE("R32C",'Mapa final'!#REF!),"")</f>
        <v>#REF!</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35">
      <c r="A238" s="56"/>
      <c r="B238" s="300"/>
      <c r="C238" s="300"/>
      <c r="D238" s="301"/>
      <c r="E238" s="289"/>
      <c r="F238" s="290"/>
      <c r="G238" s="290"/>
      <c r="H238" s="290"/>
      <c r="I238" s="288"/>
      <c r="J238" s="115" t="str">
        <f>IF(AND('Mapa final'!$AB$100="Muy Baja",'Mapa final'!$AD$100="Leve"),CONCATENATE("R33C",'Mapa final'!$R$100),"")</f>
        <v/>
      </c>
      <c r="K238" s="54" t="str">
        <f>IF(AND('Mapa final'!$AB$101="Muy Baja",'Mapa final'!$AD$101="Leve"),CONCATENATE("R33C",'Mapa final'!$R$101),"")</f>
        <v/>
      </c>
      <c r="L238" s="116" t="str">
        <f>IF(AND('Mapa final'!$AB$102="Muy Baja",'Mapa final'!$AD$102="Leve"),CONCATENATE("R33C",'Mapa final'!$R$102),"")</f>
        <v/>
      </c>
      <c r="M238" s="115" t="str">
        <f>IF(AND('Mapa final'!$AB$100="Muy Baja",'Mapa final'!$AD$100="Menor"),CONCATENATE("R33C",'Mapa final'!$R$100),"")</f>
        <v/>
      </c>
      <c r="N238" s="54" t="str">
        <f>IF(AND('Mapa final'!$AB$101="Muy Baja",'Mapa final'!$AD$101="Menor"),CONCATENATE("R33C",'Mapa final'!$R$101),"")</f>
        <v/>
      </c>
      <c r="O238" s="116" t="str">
        <f>IF(AND('Mapa final'!$AB$102="Muy Baja",'Mapa final'!$AD$102="Menor"),CONCATENATE("R33C",'Mapa final'!$R$102),"")</f>
        <v/>
      </c>
      <c r="P238" s="49" t="str">
        <f>IF(AND('Mapa final'!$AB$100="Muy Baja",'Mapa final'!$AD$100="Moderado"),CONCATENATE("R33C",'Mapa final'!$R$100),"")</f>
        <v/>
      </c>
      <c r="Q238" s="50" t="str">
        <f>IF(AND('Mapa final'!$AB$101="Muy Baja",'Mapa final'!$AD$101="Moderado"),CONCATENATE("R33C",'Mapa final'!$R$101),"")</f>
        <v/>
      </c>
      <c r="R238" s="111" t="str">
        <f>IF(AND('Mapa final'!$AB$102="Muy Baja",'Mapa final'!$AD$102="Moderado"),CONCATENATE("R33C",'Mapa final'!$R$102),"")</f>
        <v/>
      </c>
      <c r="S238" s="105" t="str">
        <f>IF(AND('Mapa final'!$AB$100="Muy Baja",'Mapa final'!$AD$100="Mayor"),CONCATENATE("R33C",'Mapa final'!$R$100),"")</f>
        <v/>
      </c>
      <c r="T238" s="42" t="str">
        <f>IF(AND('Mapa final'!$AB$101="Muy Baja",'Mapa final'!$AD$101="Mayor"),CONCATENATE("R33C",'Mapa final'!$R$101),"")</f>
        <v/>
      </c>
      <c r="U238" s="106" t="str">
        <f>IF(AND('Mapa final'!$AB$102="Muy Baja",'Mapa final'!$AD$102="Mayor"),CONCATENATE("R33C",'Mapa final'!$R$102),"")</f>
        <v/>
      </c>
      <c r="V238" s="43" t="str">
        <f>IF(AND('Mapa final'!$AB$100="Muy Baja",'Mapa final'!$AD$100="Catastrófico"),CONCATENATE("R33C",'Mapa final'!$R$100),"")</f>
        <v/>
      </c>
      <c r="W238" s="44" t="str">
        <f>IF(AND('Mapa final'!$AB$101="Muy Baja",'Mapa final'!$AD$101="Catastrófico"),CONCATENATE("R33C",'Mapa final'!$R$101),"")</f>
        <v/>
      </c>
      <c r="X238" s="100" t="str">
        <f>IF(AND('Mapa final'!$AB$102="Muy Baja",'Mapa final'!$AD$102="Catastrófico"),CONCATENATE("R33C",'Mapa final'!$R$102),"")</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35">
      <c r="A239" s="56"/>
      <c r="B239" s="300"/>
      <c r="C239" s="300"/>
      <c r="D239" s="301"/>
      <c r="E239" s="289"/>
      <c r="F239" s="290"/>
      <c r="G239" s="290"/>
      <c r="H239" s="290"/>
      <c r="I239" s="288"/>
      <c r="J239" s="115" t="str">
        <f>IF(AND('Mapa final'!$AB$103="Muy Baja",'Mapa final'!$AD$103="Leve"),CONCATENATE("R34C",'Mapa final'!$R$103),"")</f>
        <v/>
      </c>
      <c r="K239" s="54" t="str">
        <f>IF(AND('Mapa final'!$AB$104="Muy Baja",'Mapa final'!$AD$104="Leve"),CONCATENATE("R34C",'Mapa final'!$R$104),"")</f>
        <v/>
      </c>
      <c r="L239" s="116" t="str">
        <f>IF(AND('Mapa final'!$AB$105="Muy Baja",'Mapa final'!$AD$105="Leve"),CONCATENATE("R34C",'Mapa final'!$R$105),"")</f>
        <v/>
      </c>
      <c r="M239" s="115" t="str">
        <f>IF(AND('Mapa final'!$AB$103="Muy Baja",'Mapa final'!$AD$103="Menor"),CONCATENATE("R34C",'Mapa final'!$R$103),"")</f>
        <v/>
      </c>
      <c r="N239" s="54" t="str">
        <f>IF(AND('Mapa final'!$AB$104="Muy Baja",'Mapa final'!$AD$104="Menor"),CONCATENATE("R34C",'Mapa final'!$R$104),"")</f>
        <v/>
      </c>
      <c r="O239" s="116" t="str">
        <f>IF(AND('Mapa final'!$AB$105="Muy Baja",'Mapa final'!$AD$105="Menor"),CONCATENATE("R34C",'Mapa final'!$R$105),"")</f>
        <v/>
      </c>
      <c r="P239" s="49" t="str">
        <f>IF(AND('Mapa final'!$AB$103="Muy Baja",'Mapa final'!$AD$103="Moderado"),CONCATENATE("R34C",'Mapa final'!$R$103),"")</f>
        <v/>
      </c>
      <c r="Q239" s="50" t="str">
        <f>IF(AND('Mapa final'!$AB$104="Muy Baja",'Mapa final'!$AD$104="Moderado"),CONCATENATE("R34C",'Mapa final'!$R$104),"")</f>
        <v/>
      </c>
      <c r="R239" s="111" t="str">
        <f>IF(AND('Mapa final'!$AB$105="Muy Baja",'Mapa final'!$AD$105="Moderado"),CONCATENATE("R34C",'Mapa final'!$R$105),"")</f>
        <v/>
      </c>
      <c r="S239" s="105" t="str">
        <f>IF(AND('Mapa final'!$AB$103="Muy Baja",'Mapa final'!$AD$103="Mayor"),CONCATENATE("R34C",'Mapa final'!$R$103),"")</f>
        <v/>
      </c>
      <c r="T239" s="42" t="str">
        <f>IF(AND('Mapa final'!$AB$104="Muy Baja",'Mapa final'!$AD$104="Mayor"),CONCATENATE("R34C",'Mapa final'!$R$104),"")</f>
        <v/>
      </c>
      <c r="U239" s="106" t="str">
        <f>IF(AND('Mapa final'!$AB$105="Muy Baja",'Mapa final'!$AD$105="Mayor"),CONCATENATE("R34C",'Mapa final'!$R$105),"")</f>
        <v/>
      </c>
      <c r="V239" s="43" t="str">
        <f>IF(AND('Mapa final'!$AB$103="Muy Baja",'Mapa final'!$AD$103="Catastrófico"),CONCATENATE("R34C",'Mapa final'!$R$103),"")</f>
        <v/>
      </c>
      <c r="W239" s="44" t="str">
        <f>IF(AND('Mapa final'!$AB$104="Muy Baja",'Mapa final'!$AD$104="Catastrófico"),CONCATENATE("R34C",'Mapa final'!$R$104),"")</f>
        <v/>
      </c>
      <c r="X239" s="100" t="str">
        <f>IF(AND('Mapa final'!$AB$105="Muy Baja",'Mapa final'!$AD$105="Catastrófico"),CONCATENATE("R34C",'Mapa final'!$R$105),"")</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35">
      <c r="A240" s="56"/>
      <c r="B240" s="300"/>
      <c r="C240" s="300"/>
      <c r="D240" s="301"/>
      <c r="E240" s="289"/>
      <c r="F240" s="290"/>
      <c r="G240" s="290"/>
      <c r="H240" s="290"/>
      <c r="I240" s="288"/>
      <c r="J240" s="115" t="str">
        <f>IF(AND('Mapa final'!$AB$106="Muy Baja",'Mapa final'!$AD$106="Leve"),CONCATENATE("R35C",'Mapa final'!$R$106),"")</f>
        <v/>
      </c>
      <c r="K240" s="54" t="str">
        <f>IF(AND('Mapa final'!$AB$107="Muy Baja",'Mapa final'!$AD$107="Leve"),CONCATENATE("R35C",'Mapa final'!$R$107),"")</f>
        <v/>
      </c>
      <c r="L240" s="116" t="str">
        <f>IF(AND('Mapa final'!$AB$108="Muy Baja",'Mapa final'!$AD$108="Leve"),CONCATENATE("R35C",'Mapa final'!$R$108),"")</f>
        <v/>
      </c>
      <c r="M240" s="115" t="str">
        <f>IF(AND('Mapa final'!$AB$106="Muy Baja",'Mapa final'!$AD$106="Menor"),CONCATENATE("R35C",'Mapa final'!$R$106),"")</f>
        <v/>
      </c>
      <c r="N240" s="54" t="str">
        <f>IF(AND('Mapa final'!$AB$107="Muy Baja",'Mapa final'!$AD$107="Menor"),CONCATENATE("R35C",'Mapa final'!$R$107),"")</f>
        <v/>
      </c>
      <c r="O240" s="116" t="str">
        <f>IF(AND('Mapa final'!$AB$108="Muy Baja",'Mapa final'!$AD$108="Menor"),CONCATENATE("R35C",'Mapa final'!$R$108),"")</f>
        <v/>
      </c>
      <c r="P240" s="49" t="str">
        <f>IF(AND('Mapa final'!$AB$106="Muy Baja",'Mapa final'!$AD$106="Moderado"),CONCATENATE("R35C",'Mapa final'!$R$106),"")</f>
        <v/>
      </c>
      <c r="Q240" s="50" t="str">
        <f>IF(AND('Mapa final'!$AB$107="Muy Baja",'Mapa final'!$AD$107="Moderado"),CONCATENATE("R35C",'Mapa final'!$R$107),"")</f>
        <v/>
      </c>
      <c r="R240" s="111" t="str">
        <f>IF(AND('Mapa final'!$AB$108="Muy Baja",'Mapa final'!$AD$108="Moderado"),CONCATENATE("R35C",'Mapa final'!$R$108),"")</f>
        <v/>
      </c>
      <c r="S240" s="105" t="str">
        <f>IF(AND('Mapa final'!$AB$106="Muy Baja",'Mapa final'!$AD$106="Mayor"),CONCATENATE("R35C",'Mapa final'!$R$106),"")</f>
        <v/>
      </c>
      <c r="T240" s="42" t="str">
        <f>IF(AND('Mapa final'!$AB$107="Muy Baja",'Mapa final'!$AD$107="Mayor"),CONCATENATE("R35C",'Mapa final'!$R$107),"")</f>
        <v/>
      </c>
      <c r="U240" s="106" t="str">
        <f>IF(AND('Mapa final'!$AB$108="Muy Baja",'Mapa final'!$AD$108="Mayor"),CONCATENATE("R35C",'Mapa final'!$R$108),"")</f>
        <v/>
      </c>
      <c r="V240" s="43" t="str">
        <f>IF(AND('Mapa final'!$AB$106="Muy Baja",'Mapa final'!$AD$106="Catastrófico"),CONCATENATE("R35C",'Mapa final'!$R$106),"")</f>
        <v/>
      </c>
      <c r="W240" s="44" t="str">
        <f>IF(AND('Mapa final'!$AB$107="Muy Baja",'Mapa final'!$AD$107="Catastrófico"),CONCATENATE("R35C",'Mapa final'!$R$107),"")</f>
        <v/>
      </c>
      <c r="X240" s="100" t="str">
        <f>IF(AND('Mapa final'!$AB$108="Muy Baja",'Mapa final'!$AD$108="Catastrófico"),CONCATENATE("R35C",'Mapa final'!$R$108),"")</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35">
      <c r="A241" s="56"/>
      <c r="B241" s="300"/>
      <c r="C241" s="300"/>
      <c r="D241" s="301"/>
      <c r="E241" s="289"/>
      <c r="F241" s="290"/>
      <c r="G241" s="290"/>
      <c r="H241" s="290"/>
      <c r="I241" s="288"/>
      <c r="J241" s="115" t="str">
        <f>IF(AND('Mapa final'!$AB$109="Muy Baja",'Mapa final'!$AD$109="Leve"),CONCATENATE("R36C",'Mapa final'!$R$109),"")</f>
        <v/>
      </c>
      <c r="K241" s="54" t="str">
        <f>IF(AND('Mapa final'!$AB$110="Muy Baja",'Mapa final'!$AD$110="Leve"),CONCATENATE("R36C",'Mapa final'!$R$110),"")</f>
        <v/>
      </c>
      <c r="L241" s="116" t="str">
        <f>IF(AND('Mapa final'!$AB$111="Muy Baja",'Mapa final'!$AD$111="Leve"),CONCATENATE("R36C",'Mapa final'!$R$111),"")</f>
        <v/>
      </c>
      <c r="M241" s="115" t="str">
        <f>IF(AND('Mapa final'!$AB$109="Muy Baja",'Mapa final'!$AD$109="Menor"),CONCATENATE("R36C",'Mapa final'!$R$109),"")</f>
        <v/>
      </c>
      <c r="N241" s="54" t="str">
        <f>IF(AND('Mapa final'!$AB$110="Muy Baja",'Mapa final'!$AD$110="Menor"),CONCATENATE("R36C",'Mapa final'!$R$110),"")</f>
        <v/>
      </c>
      <c r="O241" s="116" t="str">
        <f>IF(AND('Mapa final'!$AB$111="Muy Baja",'Mapa final'!$AD$111="Menor"),CONCATENATE("R36C",'Mapa final'!$R$111),"")</f>
        <v/>
      </c>
      <c r="P241" s="49" t="str">
        <f>IF(AND('Mapa final'!$AB$109="Muy Baja",'Mapa final'!$AD$109="Moderado"),CONCATENATE("R36C",'Mapa final'!$R$109),"")</f>
        <v/>
      </c>
      <c r="Q241" s="50" t="str">
        <f>IF(AND('Mapa final'!$AB$110="Muy Baja",'Mapa final'!$AD$110="Moderado"),CONCATENATE("R36C",'Mapa final'!$R$110),"")</f>
        <v/>
      </c>
      <c r="R241" s="111" t="str">
        <f>IF(AND('Mapa final'!$AB$111="Muy Baja",'Mapa final'!$AD$111="Moderado"),CONCATENATE("R36C",'Mapa final'!$R$111),"")</f>
        <v/>
      </c>
      <c r="S241" s="105" t="str">
        <f>IF(AND('Mapa final'!$AB$109="Muy Baja",'Mapa final'!$AD$109="Mayor"),CONCATENATE("R36C",'Mapa final'!$R$109),"")</f>
        <v/>
      </c>
      <c r="T241" s="42" t="str">
        <f>IF(AND('Mapa final'!$AB$110="Muy Baja",'Mapa final'!$AD$110="Mayor"),CONCATENATE("R36C",'Mapa final'!$R$110),"")</f>
        <v/>
      </c>
      <c r="U241" s="106" t="str">
        <f>IF(AND('Mapa final'!$AB$111="Muy Baja",'Mapa final'!$AD$111="Mayor"),CONCATENATE("R36C",'Mapa final'!$R$111),"")</f>
        <v/>
      </c>
      <c r="V241" s="43" t="str">
        <f>IF(AND('Mapa final'!$AB$109="Muy Baja",'Mapa final'!$AD$109="Catastrófico"),CONCATENATE("R36C",'Mapa final'!$R$109),"")</f>
        <v/>
      </c>
      <c r="W241" s="44" t="str">
        <f>IF(AND('Mapa final'!$AB$110="Muy Baja",'Mapa final'!$AD$110="Catastrófico"),CONCATENATE("R36C",'Mapa final'!$R$110),"")</f>
        <v/>
      </c>
      <c r="X241" s="100" t="str">
        <f>IF(AND('Mapa final'!$AB$111="Muy Baja",'Mapa final'!$AD$111="Catastrófico"),CONCATENATE("R36C",'Mapa final'!$R$111),"")</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35">
      <c r="A242" s="56"/>
      <c r="B242" s="300"/>
      <c r="C242" s="300"/>
      <c r="D242" s="301"/>
      <c r="E242" s="289"/>
      <c r="F242" s="290"/>
      <c r="G242" s="290"/>
      <c r="H242" s="290"/>
      <c r="I242" s="288"/>
      <c r="J242" s="115" t="str">
        <f>IF(AND('Mapa final'!$AB$112="Muy Baja",'Mapa final'!$AD$112="Leve"),CONCATENATE("R37C",'Mapa final'!$R$112),"")</f>
        <v/>
      </c>
      <c r="K242" s="54" t="str">
        <f>IF(AND('Mapa final'!$AB$113="Muy Baja",'Mapa final'!$AD$113="Leve"),CONCATENATE("R37C",'Mapa final'!$R$113),"")</f>
        <v/>
      </c>
      <c r="L242" s="116" t="str">
        <f>IF(AND('Mapa final'!$AB$114="Muy Baja",'Mapa final'!$AD$114="Leve"),CONCATENATE("R37C",'Mapa final'!$R$114),"")</f>
        <v/>
      </c>
      <c r="M242" s="115" t="str">
        <f>IF(AND('Mapa final'!$AB$112="Muy Baja",'Mapa final'!$AD$112="Menor"),CONCATENATE("R37C",'Mapa final'!$R$112),"")</f>
        <v/>
      </c>
      <c r="N242" s="54" t="str">
        <f>IF(AND('Mapa final'!$AB$113="Muy Baja",'Mapa final'!$AD$113="Menor"),CONCATENATE("R37C",'Mapa final'!$R$113),"")</f>
        <v/>
      </c>
      <c r="O242" s="116" t="str">
        <f>IF(AND('Mapa final'!$AB$114="Muy Baja",'Mapa final'!$AD$114="Menor"),CONCATENATE("R37C",'Mapa final'!$R$114),"")</f>
        <v/>
      </c>
      <c r="P242" s="49" t="str">
        <f>IF(AND('Mapa final'!$AB$112="Muy Baja",'Mapa final'!$AD$112="Moderado"),CONCATENATE("R37C",'Mapa final'!$R$112),"")</f>
        <v/>
      </c>
      <c r="Q242" s="50" t="str">
        <f>IF(AND('Mapa final'!$AB$113="Muy Baja",'Mapa final'!$AD$113="Moderado"),CONCATENATE("R37C",'Mapa final'!$R$113),"")</f>
        <v/>
      </c>
      <c r="R242" s="111" t="str">
        <f>IF(AND('Mapa final'!$AB$114="Muy Baja",'Mapa final'!$AD$114="Moderado"),CONCATENATE("R37C",'Mapa final'!$R$114),"")</f>
        <v/>
      </c>
      <c r="S242" s="105" t="str">
        <f>IF(AND('Mapa final'!$AB$112="Muy Baja",'Mapa final'!$AD$112="Mayor"),CONCATENATE("R37C",'Mapa final'!$R$112),"")</f>
        <v/>
      </c>
      <c r="T242" s="42" t="str">
        <f>IF(AND('Mapa final'!$AB$113="Muy Baja",'Mapa final'!$AD$113="Mayor"),CONCATENATE("R37C",'Mapa final'!$R$113),"")</f>
        <v/>
      </c>
      <c r="U242" s="106" t="str">
        <f>IF(AND('Mapa final'!$AB$114="Muy Baja",'Mapa final'!$AD$114="Mayor"),CONCATENATE("R37C",'Mapa final'!$R$114),"")</f>
        <v/>
      </c>
      <c r="V242" s="43" t="str">
        <f>IF(AND('Mapa final'!$AB$112="Muy Baja",'Mapa final'!$AD$112="Catastrófico"),CONCATENATE("R37C",'Mapa final'!$R$112),"")</f>
        <v/>
      </c>
      <c r="W242" s="44" t="str">
        <f>IF(AND('Mapa final'!$AB$113="Muy Baja",'Mapa final'!$AD$113="Catastrófico"),CONCATENATE("R37C",'Mapa final'!$R$113),"")</f>
        <v/>
      </c>
      <c r="X242" s="100" t="str">
        <f>IF(AND('Mapa final'!$AB$114="Muy Baja",'Mapa final'!$AD$114="Catastrófico"),CONCATENATE("R37C",'Mapa final'!$R$114),"")</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35">
      <c r="A243" s="56"/>
      <c r="B243" s="300"/>
      <c r="C243" s="300"/>
      <c r="D243" s="301"/>
      <c r="E243" s="289"/>
      <c r="F243" s="290"/>
      <c r="G243" s="290"/>
      <c r="H243" s="290"/>
      <c r="I243" s="288"/>
      <c r="J243" s="115" t="str">
        <f>IF(AND('Mapa final'!$AB$115="Muy Baja",'Mapa final'!$AD$115="Leve"),CONCATENATE("R38C",'Mapa final'!$R$115),"")</f>
        <v/>
      </c>
      <c r="K243" s="54" t="str">
        <f>IF(AND('Mapa final'!$AB$116="Muy Baja",'Mapa final'!$AD$116="Leve"),CONCATENATE("R38C",'Mapa final'!$R$116),"")</f>
        <v/>
      </c>
      <c r="L243" s="116" t="str">
        <f>IF(AND('Mapa final'!$AB$117="Muy Baja",'Mapa final'!$AD$117="Leve"),CONCATENATE("R38C",'Mapa final'!$R$117),"")</f>
        <v/>
      </c>
      <c r="M243" s="115" t="str">
        <f>IF(AND('Mapa final'!$AB$115="Muy Baja",'Mapa final'!$AD$115="Menor"),CONCATENATE("R38C",'Mapa final'!$R$115),"")</f>
        <v/>
      </c>
      <c r="N243" s="54" t="str">
        <f>IF(AND('Mapa final'!$AB$116="Muy Baja",'Mapa final'!$AD$116="Menor"),CONCATENATE("R38C",'Mapa final'!$R$116),"")</f>
        <v>R38C2</v>
      </c>
      <c r="O243" s="116" t="str">
        <f>IF(AND('Mapa final'!$AB$117="Muy Baja",'Mapa final'!$AD$117="Menor"),CONCATENATE("R38C",'Mapa final'!$R$117),"")</f>
        <v/>
      </c>
      <c r="P243" s="49" t="str">
        <f>IF(AND('Mapa final'!$AB$115="Muy Baja",'Mapa final'!$AD$115="Moderado"),CONCATENATE("R38C",'Mapa final'!$R$115),"")</f>
        <v/>
      </c>
      <c r="Q243" s="50" t="str">
        <f>IF(AND('Mapa final'!$AB$116="Muy Baja",'Mapa final'!$AD$116="Moderado"),CONCATENATE("R38C",'Mapa final'!$R$116),"")</f>
        <v/>
      </c>
      <c r="R243" s="111" t="str">
        <f>IF(AND('Mapa final'!$AB$117="Muy Baja",'Mapa final'!$AD$117="Moderado"),CONCATENATE("R38C",'Mapa final'!$R$117),"")</f>
        <v/>
      </c>
      <c r="S243" s="105" t="str">
        <f>IF(AND('Mapa final'!$AB$115="Muy Baja",'Mapa final'!$AD$115="Mayor"),CONCATENATE("R38C",'Mapa final'!$R$115),"")</f>
        <v/>
      </c>
      <c r="T243" s="42" t="str">
        <f>IF(AND('Mapa final'!$AB$116="Muy Baja",'Mapa final'!$AD$116="Mayor"),CONCATENATE("R38C",'Mapa final'!$R$116),"")</f>
        <v/>
      </c>
      <c r="U243" s="106" t="str">
        <f>IF(AND('Mapa final'!$AB$117="Muy Baja",'Mapa final'!$AD$117="Mayor"),CONCATENATE("R38C",'Mapa final'!$R$117),"")</f>
        <v/>
      </c>
      <c r="V243" s="43" t="str">
        <f>IF(AND('Mapa final'!$AB$115="Muy Baja",'Mapa final'!$AD$115="Catastrófico"),CONCATENATE("R38C",'Mapa final'!$R$115),"")</f>
        <v/>
      </c>
      <c r="W243" s="44" t="str">
        <f>IF(AND('Mapa final'!$AB$116="Muy Baja",'Mapa final'!$AD$116="Catastrófico"),CONCATENATE("R38C",'Mapa final'!$R$116),"")</f>
        <v/>
      </c>
      <c r="X243" s="100" t="str">
        <f>IF(AND('Mapa final'!$AB$117="Muy Baja",'Mapa final'!$AD$117="Catastrófico"),CONCATENATE("R38C",'Mapa final'!$R$117),"")</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35">
      <c r="A244" s="56"/>
      <c r="B244" s="300"/>
      <c r="C244" s="300"/>
      <c r="D244" s="301"/>
      <c r="E244" s="289"/>
      <c r="F244" s="290"/>
      <c r="G244" s="290"/>
      <c r="H244" s="290"/>
      <c r="I244" s="288"/>
      <c r="J244" s="115" t="str">
        <f>IF(AND('Mapa final'!$AB$118="Muy Baja",'Mapa final'!$AD$118="Leve"),CONCATENATE("R39C",'Mapa final'!$R$118),"")</f>
        <v/>
      </c>
      <c r="K244" s="54" t="str">
        <f>IF(AND('Mapa final'!$AB$119="Muy Baja",'Mapa final'!$AD$119="Leve"),CONCATENATE("R39C",'Mapa final'!$R$119),"")</f>
        <v/>
      </c>
      <c r="L244" s="116" t="str">
        <f>IF(AND('Mapa final'!$AB$120="Muy Baja",'Mapa final'!$AD$120="Leve"),CONCATENATE("R39C",'Mapa final'!$R$120),"")</f>
        <v/>
      </c>
      <c r="M244" s="115" t="str">
        <f>IF(AND('Mapa final'!$AB$118="Muy Baja",'Mapa final'!$AD$118="Menor"),CONCATENATE("R39C",'Mapa final'!$R$118),"")</f>
        <v/>
      </c>
      <c r="N244" s="54" t="str">
        <f>IF(AND('Mapa final'!$AB$119="Muy Baja",'Mapa final'!$AD$119="Menor"),CONCATENATE("R39C",'Mapa final'!$R$119),"")</f>
        <v/>
      </c>
      <c r="O244" s="116" t="str">
        <f>IF(AND('Mapa final'!$AB$120="Muy Baja",'Mapa final'!$AD$120="Menor"),CONCATENATE("R39C",'Mapa final'!$R$120),"")</f>
        <v/>
      </c>
      <c r="P244" s="49" t="str">
        <f>IF(AND('Mapa final'!$AB$118="Muy Baja",'Mapa final'!$AD$118="Moderado"),CONCATENATE("R39C",'Mapa final'!$R$118),"")</f>
        <v/>
      </c>
      <c r="Q244" s="50" t="str">
        <f>IF(AND('Mapa final'!$AB$119="Muy Baja",'Mapa final'!$AD$119="Moderado"),CONCATENATE("R39C",'Mapa final'!$R$119),"")</f>
        <v/>
      </c>
      <c r="R244" s="111" t="str">
        <f>IF(AND('Mapa final'!$AB$120="Muy Baja",'Mapa final'!$AD$120="Moderado"),CONCATENATE("R39C",'Mapa final'!$R$120),"")</f>
        <v/>
      </c>
      <c r="S244" s="105" t="str">
        <f>IF(AND('Mapa final'!$AB$118="Muy Baja",'Mapa final'!$AD$118="Mayor"),CONCATENATE("R39C",'Mapa final'!$R$118),"")</f>
        <v/>
      </c>
      <c r="T244" s="42" t="str">
        <f>IF(AND('Mapa final'!$AB$119="Muy Baja",'Mapa final'!$AD$119="Mayor"),CONCATENATE("R39C",'Mapa final'!$R$119),"")</f>
        <v/>
      </c>
      <c r="U244" s="106" t="str">
        <f>IF(AND('Mapa final'!$AB$120="Muy Baja",'Mapa final'!$AD$120="Mayor"),CONCATENATE("R39C",'Mapa final'!$R$120),"")</f>
        <v/>
      </c>
      <c r="V244" s="43" t="str">
        <f>IF(AND('Mapa final'!$AB$118="Muy Baja",'Mapa final'!$AD$118="Catastrófico"),CONCATENATE("R39C",'Mapa final'!$R$118),"")</f>
        <v/>
      </c>
      <c r="W244" s="44" t="str">
        <f>IF(AND('Mapa final'!$AB$119="Muy Baja",'Mapa final'!$AD$119="Catastrófico"),CONCATENATE("R39C",'Mapa final'!$R$119),"")</f>
        <v/>
      </c>
      <c r="X244" s="100" t="str">
        <f>IF(AND('Mapa final'!$AB$120="Muy Baja",'Mapa final'!$AD$120="Catastrófico"),CONCATENATE("R39C",'Mapa final'!$R$120),"")</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35">
      <c r="A245" s="56"/>
      <c r="B245" s="300"/>
      <c r="C245" s="300"/>
      <c r="D245" s="301"/>
      <c r="E245" s="289"/>
      <c r="F245" s="290"/>
      <c r="G245" s="290"/>
      <c r="H245" s="290"/>
      <c r="I245" s="288"/>
      <c r="J245" s="115" t="str">
        <f>IF(AND('Mapa final'!$AB$121="Muy Baja",'Mapa final'!$AD$121="Leve"),CONCATENATE("R40C",'Mapa final'!$R$121),"")</f>
        <v/>
      </c>
      <c r="K245" s="54" t="str">
        <f>IF(AND('Mapa final'!$AB$122="Muy Baja",'Mapa final'!$AD$122="Leve"),CONCATENATE("R40C",'Mapa final'!$R$122),"")</f>
        <v/>
      </c>
      <c r="L245" s="116" t="str">
        <f>IF(AND('Mapa final'!$AB$123="Muy Baja",'Mapa final'!$AD$123="Leve"),CONCATENATE("R40C",'Mapa final'!$R$123),"")</f>
        <v/>
      </c>
      <c r="M245" s="115" t="str">
        <f>IF(AND('Mapa final'!$AB$121="Muy Baja",'Mapa final'!$AD$121="Menor"),CONCATENATE("R40C",'Mapa final'!$R$121),"")</f>
        <v/>
      </c>
      <c r="N245" s="54" t="str">
        <f>IF(AND('Mapa final'!$AB$122="Muy Baja",'Mapa final'!$AD$122="Menor"),CONCATENATE("R40C",'Mapa final'!$R$122),"")</f>
        <v/>
      </c>
      <c r="O245" s="116" t="str">
        <f>IF(AND('Mapa final'!$AB$123="Muy Baja",'Mapa final'!$AD$123="Menor"),CONCATENATE("R40C",'Mapa final'!$R$123),"")</f>
        <v/>
      </c>
      <c r="P245" s="49" t="str">
        <f>IF(AND('Mapa final'!$AB$121="Muy Baja",'Mapa final'!$AD$121="Moderado"),CONCATENATE("R40C",'Mapa final'!$R$121),"")</f>
        <v/>
      </c>
      <c r="Q245" s="50" t="str">
        <f>IF(AND('Mapa final'!$AB$122="Muy Baja",'Mapa final'!$AD$122="Moderado"),CONCATENATE("R40C",'Mapa final'!$R$122),"")</f>
        <v/>
      </c>
      <c r="R245" s="111" t="str">
        <f>IF(AND('Mapa final'!$AB$123="Muy Baja",'Mapa final'!$AD$123="Moderado"),CONCATENATE("R40C",'Mapa final'!$R$123),"")</f>
        <v/>
      </c>
      <c r="S245" s="105" t="str">
        <f>IF(AND('Mapa final'!$AB$121="Muy Baja",'Mapa final'!$AD$121="Mayor"),CONCATENATE("R40C",'Mapa final'!$R$121),"")</f>
        <v/>
      </c>
      <c r="T245" s="42" t="str">
        <f>IF(AND('Mapa final'!$AB$122="Muy Baja",'Mapa final'!$AD$122="Mayor"),CONCATENATE("R40C",'Mapa final'!$R$122),"")</f>
        <v/>
      </c>
      <c r="U245" s="106" t="str">
        <f>IF(AND('Mapa final'!$AB$123="Muy Baja",'Mapa final'!$AD$123="Mayor"),CONCATENATE("R40C",'Mapa final'!$R$123),"")</f>
        <v/>
      </c>
      <c r="V245" s="43" t="str">
        <f>IF(AND('Mapa final'!$AB$121="Muy Baja",'Mapa final'!$AD$121="Catastrófico"),CONCATENATE("R40C",'Mapa final'!$R$121),"")</f>
        <v/>
      </c>
      <c r="W245" s="44" t="str">
        <f>IF(AND('Mapa final'!$AB$122="Muy Baja",'Mapa final'!$AD$122="Catastrófico"),CONCATENATE("R40C",'Mapa final'!$R$122),"")</f>
        <v/>
      </c>
      <c r="X245" s="100" t="str">
        <f>IF(AND('Mapa final'!$AB$123="Muy Baja",'Mapa final'!$AD$123="Catastrófico"),CONCATENATE("R40C",'Mapa final'!$R$123),"")</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35">
      <c r="A246" s="56"/>
      <c r="B246" s="300"/>
      <c r="C246" s="300"/>
      <c r="D246" s="301"/>
      <c r="E246" s="289"/>
      <c r="F246" s="290"/>
      <c r="G246" s="290"/>
      <c r="H246" s="290"/>
      <c r="I246" s="288"/>
      <c r="J246" s="115" t="str">
        <f>IF(AND('Mapa final'!$AB$124="Muy Baja",'Mapa final'!$AD$124="Leve"),CONCATENATE("R41C",'Mapa final'!$R$124),"")</f>
        <v/>
      </c>
      <c r="K246" s="54" t="str">
        <f>IF(AND('Mapa final'!$AB$125="Muy Baja",'Mapa final'!$AD$125="Leve"),CONCATENATE("R41C",'Mapa final'!$R$125),"")</f>
        <v/>
      </c>
      <c r="L246" s="116" t="str">
        <f>IF(AND('Mapa final'!$AB$126="Muy Baja",'Mapa final'!$AD$126="Leve"),CONCATENATE("R41C",'Mapa final'!$R$126),"")</f>
        <v/>
      </c>
      <c r="M246" s="115" t="str">
        <f>IF(AND('Mapa final'!$AB$124="Muy Baja",'Mapa final'!$AD$124="Menor"),CONCATENATE("R41C",'Mapa final'!$R$124),"")</f>
        <v/>
      </c>
      <c r="N246" s="54" t="str">
        <f>IF(AND('Mapa final'!$AB$125="Muy Baja",'Mapa final'!$AD$125="Menor"),CONCATENATE("R41C",'Mapa final'!$R$125),"")</f>
        <v/>
      </c>
      <c r="O246" s="116" t="str">
        <f>IF(AND('Mapa final'!$AB$126="Muy Baja",'Mapa final'!$AD$126="Menor"),CONCATENATE("R41C",'Mapa final'!$R$126),"")</f>
        <v/>
      </c>
      <c r="P246" s="49" t="str">
        <f>IF(AND('Mapa final'!$AB$124="Muy Baja",'Mapa final'!$AD$124="Moderado"),CONCATENATE("R41C",'Mapa final'!$R$124),"")</f>
        <v/>
      </c>
      <c r="Q246" s="50" t="str">
        <f>IF(AND('Mapa final'!$AB$125="Muy Baja",'Mapa final'!$AD$125="Moderado"),CONCATENATE("R41C",'Mapa final'!$R$125),"")</f>
        <v/>
      </c>
      <c r="R246" s="111" t="str">
        <f>IF(AND('Mapa final'!$AB$126="Muy Baja",'Mapa final'!$AD$126="Moderado"),CONCATENATE("R41C",'Mapa final'!$R$126),"")</f>
        <v/>
      </c>
      <c r="S246" s="105" t="str">
        <f>IF(AND('Mapa final'!$AB$124="Muy Baja",'Mapa final'!$AD$124="Mayor"),CONCATENATE("R41C",'Mapa final'!$R$124),"")</f>
        <v/>
      </c>
      <c r="T246" s="42" t="str">
        <f>IF(AND('Mapa final'!$AB$125="Muy Baja",'Mapa final'!$AD$125="Mayor"),CONCATENATE("R41C",'Mapa final'!$R$125),"")</f>
        <v/>
      </c>
      <c r="U246" s="106" t="str">
        <f>IF(AND('Mapa final'!$AB$126="Muy Baja",'Mapa final'!$AD$126="Mayor"),CONCATENATE("R41C",'Mapa final'!$R$126),"")</f>
        <v/>
      </c>
      <c r="V246" s="43" t="str">
        <f>IF(AND('Mapa final'!$AB$124="Muy Baja",'Mapa final'!$AD$124="Catastrófico"),CONCATENATE("R41C",'Mapa final'!$R$124),"")</f>
        <v/>
      </c>
      <c r="W246" s="44" t="str">
        <f>IF(AND('Mapa final'!$AB$125="Muy Baja",'Mapa final'!$AD$125="Catastrófico"),CONCATENATE("R41C",'Mapa final'!$R$125),"")</f>
        <v/>
      </c>
      <c r="X246" s="100" t="str">
        <f>IF(AND('Mapa final'!$AB$126="Muy Baja",'Mapa final'!$AD$126="Catastrófico"),CONCATENATE("R41C",'Mapa final'!$R$126),"")</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35">
      <c r="A247" s="56"/>
      <c r="B247" s="300"/>
      <c r="C247" s="300"/>
      <c r="D247" s="301"/>
      <c r="E247" s="289"/>
      <c r="F247" s="290"/>
      <c r="G247" s="290"/>
      <c r="H247" s="290"/>
      <c r="I247" s="288"/>
      <c r="J247" s="115" t="str">
        <f>IF(AND('Mapa final'!$AB$127="Muy Baja",'Mapa final'!$AD$127="Leve"),CONCATENATE("R42C",'Mapa final'!$R$127),"")</f>
        <v/>
      </c>
      <c r="K247" s="54" t="str">
        <f>IF(AND('Mapa final'!$AB$128="Muy Baja",'Mapa final'!$AD$128="Leve"),CONCATENATE("R42C",'Mapa final'!$R$128),"")</f>
        <v/>
      </c>
      <c r="L247" s="116" t="str">
        <f>IF(AND('Mapa final'!$AB$129="Muy Baja",'Mapa final'!$AD$129="Leve"),CONCATENATE("R42C",'Mapa final'!$R$129),"")</f>
        <v/>
      </c>
      <c r="M247" s="115" t="str">
        <f>IF(AND('Mapa final'!$AB$127="Muy Baja",'Mapa final'!$AD$127="Menor"),CONCATENATE("R42C",'Mapa final'!$R$127),"")</f>
        <v/>
      </c>
      <c r="N247" s="54" t="str">
        <f>IF(AND('Mapa final'!$AB$128="Muy Baja",'Mapa final'!$AD$128="Menor"),CONCATENATE("R42C",'Mapa final'!$R$128),"")</f>
        <v/>
      </c>
      <c r="O247" s="116" t="str">
        <f>IF(AND('Mapa final'!$AB$129="Muy Baja",'Mapa final'!$AD$129="Menor"),CONCATENATE("R42C",'Mapa final'!$R$129),"")</f>
        <v/>
      </c>
      <c r="P247" s="49" t="str">
        <f>IF(AND('Mapa final'!$AB$127="Muy Baja",'Mapa final'!$AD$127="Moderado"),CONCATENATE("R42C",'Mapa final'!$R$127),"")</f>
        <v/>
      </c>
      <c r="Q247" s="50" t="str">
        <f>IF(AND('Mapa final'!$AB$128="Muy Baja",'Mapa final'!$AD$128="Moderado"),CONCATENATE("R42C",'Mapa final'!$R$128),"")</f>
        <v/>
      </c>
      <c r="R247" s="111" t="str">
        <f>IF(AND('Mapa final'!$AB$129="Muy Baja",'Mapa final'!$AD$129="Moderado"),CONCATENATE("R42C",'Mapa final'!$R$129),"")</f>
        <v/>
      </c>
      <c r="S247" s="105" t="str">
        <f>IF(AND('Mapa final'!$AB$127="Muy Baja",'Mapa final'!$AD$127="Mayor"),CONCATENATE("R42C",'Mapa final'!$R$127),"")</f>
        <v/>
      </c>
      <c r="T247" s="42" t="str">
        <f>IF(AND('Mapa final'!$AB$128="Muy Baja",'Mapa final'!$AD$128="Mayor"),CONCATENATE("R42C",'Mapa final'!$R$128),"")</f>
        <v/>
      </c>
      <c r="U247" s="106" t="str">
        <f>IF(AND('Mapa final'!$AB$129="Muy Baja",'Mapa final'!$AD$129="Mayor"),CONCATENATE("R42C",'Mapa final'!$R$129),"")</f>
        <v/>
      </c>
      <c r="V247" s="43" t="str">
        <f>IF(AND('Mapa final'!$AB$127="Muy Baja",'Mapa final'!$AD$127="Catastrófico"),CONCATENATE("R42C",'Mapa final'!$R$127),"")</f>
        <v/>
      </c>
      <c r="W247" s="44" t="str">
        <f>IF(AND('Mapa final'!$AB$128="Muy Baja",'Mapa final'!$AD$128="Catastrófico"),CONCATENATE("R42C",'Mapa final'!$R$128),"")</f>
        <v/>
      </c>
      <c r="X247" s="100" t="str">
        <f>IF(AND('Mapa final'!$AB$129="Muy Baja",'Mapa final'!$AD$129="Catastrófico"),CONCATENATE("R42C",'Mapa final'!$R$129),"")</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35">
      <c r="A248" s="56"/>
      <c r="B248" s="300"/>
      <c r="C248" s="300"/>
      <c r="D248" s="301"/>
      <c r="E248" s="289"/>
      <c r="F248" s="290"/>
      <c r="G248" s="290"/>
      <c r="H248" s="290"/>
      <c r="I248" s="288"/>
      <c r="J248" s="115" t="str">
        <f>IF(AND('Mapa final'!$AB$130="Muy Baja",'Mapa final'!$AD$130="Leve"),CONCATENATE("R43C",'Mapa final'!$R$130),"")</f>
        <v/>
      </c>
      <c r="K248" s="54" t="str">
        <f>IF(AND('Mapa final'!$AB$131="Muy Baja",'Mapa final'!$AD$131="Leve"),CONCATENATE("R43C",'Mapa final'!$R$131),"")</f>
        <v/>
      </c>
      <c r="L248" s="116" t="str">
        <f>IF(AND('Mapa final'!$AB$132="Muy Baja",'Mapa final'!$AD$132="Leve"),CONCATENATE("R43C",'Mapa final'!$R$132),"")</f>
        <v/>
      </c>
      <c r="M248" s="115" t="str">
        <f>IF(AND('Mapa final'!$AB$130="Muy Baja",'Mapa final'!$AD$130="Menor"),CONCATENATE("R43C",'Mapa final'!$R$130),"")</f>
        <v/>
      </c>
      <c r="N248" s="54" t="str">
        <f>IF(AND('Mapa final'!$AB$131="Muy Baja",'Mapa final'!$AD$131="Menor"),CONCATENATE("R43C",'Mapa final'!$R$131),"")</f>
        <v/>
      </c>
      <c r="O248" s="116" t="str">
        <f>IF(AND('Mapa final'!$AB$132="Muy Baja",'Mapa final'!$AD$132="Menor"),CONCATENATE("R43C",'Mapa final'!$R$132),"")</f>
        <v/>
      </c>
      <c r="P248" s="49" t="str">
        <f>IF(AND('Mapa final'!$AB$130="Muy Baja",'Mapa final'!$AD$130="Moderado"),CONCATENATE("R43C",'Mapa final'!$R$130),"")</f>
        <v/>
      </c>
      <c r="Q248" s="50" t="str">
        <f>IF(AND('Mapa final'!$AB$131="Muy Baja",'Mapa final'!$AD$131="Moderado"),CONCATENATE("R43C",'Mapa final'!$R$131),"")</f>
        <v/>
      </c>
      <c r="R248" s="111" t="str">
        <f>IF(AND('Mapa final'!$AB$132="Muy Baja",'Mapa final'!$AD$132="Moderado"),CONCATENATE("R43C",'Mapa final'!$R$132),"")</f>
        <v/>
      </c>
      <c r="S248" s="105" t="str">
        <f>IF(AND('Mapa final'!$AB$130="Muy Baja",'Mapa final'!$AD$130="Mayor"),CONCATENATE("R43C",'Mapa final'!$R$130),"")</f>
        <v/>
      </c>
      <c r="T248" s="42" t="str">
        <f>IF(AND('Mapa final'!$AB$131="Muy Baja",'Mapa final'!$AD$131="Mayor"),CONCATENATE("R43C",'Mapa final'!$R$131),"")</f>
        <v/>
      </c>
      <c r="U248" s="106" t="str">
        <f>IF(AND('Mapa final'!$AB$132="Muy Baja",'Mapa final'!$AD$132="Mayor"),CONCATENATE("R43C",'Mapa final'!$R$132),"")</f>
        <v>R43C3</v>
      </c>
      <c r="V248" s="43" t="str">
        <f>IF(AND('Mapa final'!$AB$130="Muy Baja",'Mapa final'!$AD$130="Catastrófico"),CONCATENATE("R43C",'Mapa final'!$R$130),"")</f>
        <v/>
      </c>
      <c r="W248" s="44" t="str">
        <f>IF(AND('Mapa final'!$AB$131="Muy Baja",'Mapa final'!$AD$131="Catastrófico"),CONCATENATE("R43C",'Mapa final'!$R$131),"")</f>
        <v/>
      </c>
      <c r="X248" s="100" t="str">
        <f>IF(AND('Mapa final'!$AB$132="Muy Baja",'Mapa final'!$AD$132="Catastrófico"),CONCATENATE("R43C",'Mapa final'!$R$132),"")</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35">
      <c r="A249" s="56"/>
      <c r="B249" s="300"/>
      <c r="C249" s="300"/>
      <c r="D249" s="301"/>
      <c r="E249" s="289"/>
      <c r="F249" s="290"/>
      <c r="G249" s="290"/>
      <c r="H249" s="290"/>
      <c r="I249" s="288"/>
      <c r="J249" s="115" t="str">
        <f>IF(AND('Mapa final'!$AB$133="Muy Baja",'Mapa final'!$AD$133="Leve"),CONCATENATE("R44C",'Mapa final'!$R$133),"")</f>
        <v/>
      </c>
      <c r="K249" s="54" t="str">
        <f>IF(AND('Mapa final'!$AB$134="Muy Baja",'Mapa final'!$AD$134="Leve"),CONCATENATE("R44C",'Mapa final'!$R$134),"")</f>
        <v/>
      </c>
      <c r="L249" s="116" t="str">
        <f>IF(AND('Mapa final'!$AB$135="Muy Baja",'Mapa final'!$AD$135="Leve"),CONCATENATE("R44C",'Mapa final'!$R$135),"")</f>
        <v/>
      </c>
      <c r="M249" s="115" t="str">
        <f>IF(AND('Mapa final'!$AB$133="Muy Baja",'Mapa final'!$AD$133="Menor"),CONCATENATE("R44C",'Mapa final'!$R$133),"")</f>
        <v/>
      </c>
      <c r="N249" s="54" t="str">
        <f>IF(AND('Mapa final'!$AB$134="Muy Baja",'Mapa final'!$AD$134="Menor"),CONCATENATE("R44C",'Mapa final'!$R$134),"")</f>
        <v/>
      </c>
      <c r="O249" s="116" t="str">
        <f>IF(AND('Mapa final'!$AB$135="Muy Baja",'Mapa final'!$AD$135="Menor"),CONCATENATE("R44C",'Mapa final'!$R$135),"")</f>
        <v/>
      </c>
      <c r="P249" s="49" t="str">
        <f>IF(AND('Mapa final'!$AB$133="Muy Baja",'Mapa final'!$AD$133="Moderado"),CONCATENATE("R44C",'Mapa final'!$R$133),"")</f>
        <v/>
      </c>
      <c r="Q249" s="50" t="str">
        <f>IF(AND('Mapa final'!$AB$134="Muy Baja",'Mapa final'!$AD$134="Moderado"),CONCATENATE("R44C",'Mapa final'!$R$134),"")</f>
        <v/>
      </c>
      <c r="R249" s="111" t="str">
        <f>IF(AND('Mapa final'!$AB$135="Muy Baja",'Mapa final'!$AD$135="Moderado"),CONCATENATE("R44C",'Mapa final'!$R$135),"")</f>
        <v/>
      </c>
      <c r="S249" s="105" t="str">
        <f>IF(AND('Mapa final'!$AB$133="Muy Baja",'Mapa final'!$AD$133="Mayor"),CONCATENATE("R44C",'Mapa final'!$R$133),"")</f>
        <v/>
      </c>
      <c r="T249" s="42" t="str">
        <f>IF(AND('Mapa final'!$AB$134="Muy Baja",'Mapa final'!$AD$134="Mayor"),CONCATENATE("R44C",'Mapa final'!$R$134),"")</f>
        <v/>
      </c>
      <c r="U249" s="106" t="str">
        <f>IF(AND('Mapa final'!$AB$135="Muy Baja",'Mapa final'!$AD$135="Mayor"),CONCATENATE("R44C",'Mapa final'!$R$135),"")</f>
        <v/>
      </c>
      <c r="V249" s="43" t="str">
        <f>IF(AND('Mapa final'!$AB$133="Muy Baja",'Mapa final'!$AD$133="Catastrófico"),CONCATENATE("R44C",'Mapa final'!$R$133),"")</f>
        <v/>
      </c>
      <c r="W249" s="44" t="str">
        <f>IF(AND('Mapa final'!$AB$134="Muy Baja",'Mapa final'!$AD$134="Catastrófico"),CONCATENATE("R44C",'Mapa final'!$R$134),"")</f>
        <v/>
      </c>
      <c r="X249" s="100" t="str">
        <f>IF(AND('Mapa final'!$AB$135="Muy Baja",'Mapa final'!$AD$135="Catastrófico"),CONCATENATE("R44C",'Mapa final'!$R$135),"")</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35">
      <c r="A250" s="56"/>
      <c r="B250" s="300"/>
      <c r="C250" s="300"/>
      <c r="D250" s="301"/>
      <c r="E250" s="289"/>
      <c r="F250" s="290"/>
      <c r="G250" s="290"/>
      <c r="H250" s="290"/>
      <c r="I250" s="288"/>
      <c r="J250" s="115" t="str">
        <f>IF(AND('Mapa final'!$AB$136="Muy Baja",'Mapa final'!$AD$136="Leve"),CONCATENATE("R45C",'Mapa final'!$R$136),"")</f>
        <v/>
      </c>
      <c r="K250" s="54" t="str">
        <f>IF(AND('Mapa final'!$AB$137="Muy Baja",'Mapa final'!$AD$137="Leve"),CONCATENATE("R45C",'Mapa final'!$R$137),"")</f>
        <v/>
      </c>
      <c r="L250" s="116" t="str">
        <f>IF(AND('Mapa final'!$AB$138="Muy Baja",'Mapa final'!$AD$138="Leve"),CONCATENATE("R45C",'Mapa final'!$R$138),"")</f>
        <v/>
      </c>
      <c r="M250" s="115" t="str">
        <f>IF(AND('Mapa final'!$AB$136="Muy Baja",'Mapa final'!$AD$136="Menor"),CONCATENATE("R45C",'Mapa final'!$R$136),"")</f>
        <v/>
      </c>
      <c r="N250" s="54" t="str">
        <f>IF(AND('Mapa final'!$AB$137="Muy Baja",'Mapa final'!$AD$137="Menor"),CONCATENATE("R45C",'Mapa final'!$R$137),"")</f>
        <v/>
      </c>
      <c r="O250" s="116" t="str">
        <f>IF(AND('Mapa final'!$AB$138="Muy Baja",'Mapa final'!$AD$138="Menor"),CONCATENATE("R45C",'Mapa final'!$R$138),"")</f>
        <v/>
      </c>
      <c r="P250" s="49" t="str">
        <f>IF(AND('Mapa final'!$AB$136="Muy Baja",'Mapa final'!$AD$136="Moderado"),CONCATENATE("R45C",'Mapa final'!$R$136),"")</f>
        <v/>
      </c>
      <c r="Q250" s="50" t="str">
        <f>IF(AND('Mapa final'!$AB$137="Muy Baja",'Mapa final'!$AD$137="Moderado"),CONCATENATE("R45C",'Mapa final'!$R$137),"")</f>
        <v/>
      </c>
      <c r="R250" s="111" t="str">
        <f>IF(AND('Mapa final'!$AB$138="Muy Baja",'Mapa final'!$AD$138="Moderado"),CONCATENATE("R45C",'Mapa final'!$R$138),"")</f>
        <v/>
      </c>
      <c r="S250" s="105" t="str">
        <f>IF(AND('Mapa final'!$AB$136="Muy Baja",'Mapa final'!$AD$136="Mayor"),CONCATENATE("R45C",'Mapa final'!$R$136),"")</f>
        <v/>
      </c>
      <c r="T250" s="42" t="str">
        <f>IF(AND('Mapa final'!$AB$137="Muy Baja",'Mapa final'!$AD$137="Mayor"),CONCATENATE("R45C",'Mapa final'!$R$137),"")</f>
        <v/>
      </c>
      <c r="U250" s="106" t="str">
        <f>IF(AND('Mapa final'!$AB$138="Muy Baja",'Mapa final'!$AD$138="Mayor"),CONCATENATE("R45C",'Mapa final'!$R$138),"")</f>
        <v/>
      </c>
      <c r="V250" s="43" t="str">
        <f>IF(AND('Mapa final'!$AB$136="Muy Baja",'Mapa final'!$AD$136="Catastrófico"),CONCATENATE("R45C",'Mapa final'!$R$136),"")</f>
        <v/>
      </c>
      <c r="W250" s="44" t="str">
        <f>IF(AND('Mapa final'!$AB$137="Muy Baja",'Mapa final'!$AD$137="Catastrófico"),CONCATENATE("R45C",'Mapa final'!$R$137),"")</f>
        <v/>
      </c>
      <c r="X250" s="100" t="str">
        <f>IF(AND('Mapa final'!$AB$138="Muy Baja",'Mapa final'!$AD$138="Catastrófico"),CONCATENATE("R45C",'Mapa final'!$R$138),"")</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35">
      <c r="A251" s="56"/>
      <c r="B251" s="300"/>
      <c r="C251" s="300"/>
      <c r="D251" s="301"/>
      <c r="E251" s="289"/>
      <c r="F251" s="290"/>
      <c r="G251" s="290"/>
      <c r="H251" s="290"/>
      <c r="I251" s="288"/>
      <c r="J251" s="115" t="str">
        <f>IF(AND('Mapa final'!$AB$139="Muy Baja",'Mapa final'!$AD$139="Leve"),CONCATENATE("R46C",'Mapa final'!$R$139),"")</f>
        <v/>
      </c>
      <c r="K251" s="54" t="str">
        <f>IF(AND('Mapa final'!$AB$140="Muy Baja",'Mapa final'!$AD$140="Leve"),CONCATENATE("R46C",'Mapa final'!$R$140),"")</f>
        <v/>
      </c>
      <c r="L251" s="116" t="str">
        <f>IF(AND('Mapa final'!$AB$141="Muy Baja",'Mapa final'!$AD$141="Leve"),CONCATENATE("R46C",'Mapa final'!$R$141),"")</f>
        <v/>
      </c>
      <c r="M251" s="115" t="str">
        <f>IF(AND('Mapa final'!$AB$139="Muy Baja",'Mapa final'!$AD$139="Menor"),CONCATENATE("R46C",'Mapa final'!$R$139),"")</f>
        <v/>
      </c>
      <c r="N251" s="54" t="str">
        <f>IF(AND('Mapa final'!$AB$140="Muy Baja",'Mapa final'!$AD$140="Menor"),CONCATENATE("R46C",'Mapa final'!$R$140),"")</f>
        <v/>
      </c>
      <c r="O251" s="116" t="str">
        <f>IF(AND('Mapa final'!$AB$141="Muy Baja",'Mapa final'!$AD$141="Menor"),CONCATENATE("R46C",'Mapa final'!$R$141),"")</f>
        <v/>
      </c>
      <c r="P251" s="49" t="str">
        <f>IF(AND('Mapa final'!$AB$139="Muy Baja",'Mapa final'!$AD$139="Moderado"),CONCATENATE("R46C",'Mapa final'!$R$139),"")</f>
        <v/>
      </c>
      <c r="Q251" s="50" t="str">
        <f>IF(AND('Mapa final'!$AB$140="Muy Baja",'Mapa final'!$AD$140="Moderado"),CONCATENATE("R46C",'Mapa final'!$R$140),"")</f>
        <v/>
      </c>
      <c r="R251" s="111" t="str">
        <f>IF(AND('Mapa final'!$AB$141="Muy Baja",'Mapa final'!$AD$141="Moderado"),CONCATENATE("R46C",'Mapa final'!$R$141),"")</f>
        <v/>
      </c>
      <c r="S251" s="105" t="str">
        <f>IF(AND('Mapa final'!$AB$139="Muy Baja",'Mapa final'!$AD$139="Mayor"),CONCATENATE("R46C",'Mapa final'!$R$139),"")</f>
        <v/>
      </c>
      <c r="T251" s="42" t="str">
        <f>IF(AND('Mapa final'!$AB$140="Muy Baja",'Mapa final'!$AD$140="Mayor"),CONCATENATE("R46C",'Mapa final'!$R$140),"")</f>
        <v/>
      </c>
      <c r="U251" s="106" t="str">
        <f>IF(AND('Mapa final'!$AB$141="Muy Baja",'Mapa final'!$AD$141="Mayor"),CONCATENATE("R46C",'Mapa final'!$R$141),"")</f>
        <v/>
      </c>
      <c r="V251" s="43" t="str">
        <f>IF(AND('Mapa final'!$AB$139="Muy Baja",'Mapa final'!$AD$139="Catastrófico"),CONCATENATE("R46C",'Mapa final'!$R$139),"")</f>
        <v/>
      </c>
      <c r="W251" s="44" t="str">
        <f>IF(AND('Mapa final'!$AB$140="Muy Baja",'Mapa final'!$AD$140="Catastrófico"),CONCATENATE("R46C",'Mapa final'!$R$140),"")</f>
        <v/>
      </c>
      <c r="X251" s="100" t="str">
        <f>IF(AND('Mapa final'!$AB$141="Muy Baja",'Mapa final'!$AD$141="Catastrófico"),CONCATENATE("R46C",'Mapa final'!$R$141),"")</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35">
      <c r="A252" s="56"/>
      <c r="B252" s="300"/>
      <c r="C252" s="300"/>
      <c r="D252" s="301"/>
      <c r="E252" s="289"/>
      <c r="F252" s="290"/>
      <c r="G252" s="290"/>
      <c r="H252" s="290"/>
      <c r="I252" s="288"/>
      <c r="J252" s="115" t="str">
        <f>IF(AND('Mapa final'!$AB$142="Muy Baja",'Mapa final'!$AD$142="Leve"),CONCATENATE("R47C",'Mapa final'!$R$142),"")</f>
        <v/>
      </c>
      <c r="K252" s="54" t="str">
        <f>IF(AND('Mapa final'!$AB$143="Muy Baja",'Mapa final'!$AD$143="Leve"),CONCATENATE("R47C",'Mapa final'!$R$143),"")</f>
        <v/>
      </c>
      <c r="L252" s="116" t="str">
        <f>IF(AND('Mapa final'!$AB$144="Muy Baja",'Mapa final'!$AD$144="Leve"),CONCATENATE("R47C",'Mapa final'!$R$144),"")</f>
        <v/>
      </c>
      <c r="M252" s="115" t="str">
        <f>IF(AND('Mapa final'!$AB$142="Muy Baja",'Mapa final'!$AD$142="Menor"),CONCATENATE("R47C",'Mapa final'!$R$142),"")</f>
        <v/>
      </c>
      <c r="N252" s="54" t="str">
        <f>IF(AND('Mapa final'!$AB$143="Muy Baja",'Mapa final'!$AD$143="Menor"),CONCATENATE("R47C",'Mapa final'!$R$143),"")</f>
        <v/>
      </c>
      <c r="O252" s="116" t="str">
        <f>IF(AND('Mapa final'!$AB$144="Muy Baja",'Mapa final'!$AD$144="Menor"),CONCATENATE("R47C",'Mapa final'!$R$144),"")</f>
        <v/>
      </c>
      <c r="P252" s="49" t="str">
        <f>IF(AND('Mapa final'!$AB$142="Muy Baja",'Mapa final'!$AD$142="Moderado"),CONCATENATE("R47C",'Mapa final'!$R$142),"")</f>
        <v/>
      </c>
      <c r="Q252" s="50" t="str">
        <f>IF(AND('Mapa final'!$AB$143="Muy Baja",'Mapa final'!$AD$143="Moderado"),CONCATENATE("R47C",'Mapa final'!$R$143),"")</f>
        <v/>
      </c>
      <c r="R252" s="111" t="str">
        <f>IF(AND('Mapa final'!$AB$144="Muy Baja",'Mapa final'!$AD$144="Moderado"),CONCATENATE("R47C",'Mapa final'!$R$144),"")</f>
        <v/>
      </c>
      <c r="S252" s="105" t="str">
        <f>IF(AND('Mapa final'!$AB$142="Muy Baja",'Mapa final'!$AD$142="Mayor"),CONCATENATE("R47C",'Mapa final'!$R$142),"")</f>
        <v/>
      </c>
      <c r="T252" s="42" t="str">
        <f>IF(AND('Mapa final'!$AB$143="Muy Baja",'Mapa final'!$AD$143="Mayor"),CONCATENATE("R47C",'Mapa final'!$R$143),"")</f>
        <v/>
      </c>
      <c r="U252" s="106" t="str">
        <f>IF(AND('Mapa final'!$AB$144="Muy Baja",'Mapa final'!$AD$144="Mayor"),CONCATENATE("R47C",'Mapa final'!$R$144),"")</f>
        <v/>
      </c>
      <c r="V252" s="43" t="str">
        <f>IF(AND('Mapa final'!$AB$142="Muy Baja",'Mapa final'!$AD$142="Catastrófico"),CONCATENATE("R47C",'Mapa final'!$R$142),"")</f>
        <v/>
      </c>
      <c r="W252" s="44" t="str">
        <f>IF(AND('Mapa final'!$AB$143="Muy Baja",'Mapa final'!$AD$143="Catastrófico"),CONCATENATE("R47C",'Mapa final'!$R$143),"")</f>
        <v/>
      </c>
      <c r="X252" s="100" t="str">
        <f>IF(AND('Mapa final'!$AB$144="Muy Baja",'Mapa final'!$AD$144="Catastrófico"),CONCATENATE("R47C",'Mapa final'!$R$144),"")</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35">
      <c r="A253" s="56"/>
      <c r="B253" s="300"/>
      <c r="C253" s="300"/>
      <c r="D253" s="301"/>
      <c r="E253" s="289"/>
      <c r="F253" s="290"/>
      <c r="G253" s="290"/>
      <c r="H253" s="290"/>
      <c r="I253" s="288"/>
      <c r="J253" s="115" t="str">
        <f>IF(AND('Mapa final'!$AB$145="Muy Baja",'Mapa final'!$AD$145="Leve"),CONCATENATE("R48C",'Mapa final'!$R$145),"")</f>
        <v/>
      </c>
      <c r="K253" s="54" t="str">
        <f>IF(AND('Mapa final'!$AB$146="Muy Baja",'Mapa final'!$AD$146="Leve"),CONCATENATE("R48C",'Mapa final'!$R$146),"")</f>
        <v/>
      </c>
      <c r="L253" s="116" t="str">
        <f>IF(AND('Mapa final'!$AB$147="Muy Baja",'Mapa final'!$AD$147="Leve"),CONCATENATE("R48C",'Mapa final'!$R$147),"")</f>
        <v/>
      </c>
      <c r="M253" s="115" t="str">
        <f>IF(AND('Mapa final'!$AB$145="Muy Baja",'Mapa final'!$AD$145="Menor"),CONCATENATE("R48C",'Mapa final'!$R$145),"")</f>
        <v/>
      </c>
      <c r="N253" s="54" t="str">
        <f>IF(AND('Mapa final'!$AB$146="Muy Baja",'Mapa final'!$AD$146="Menor"),CONCATENATE("R48C",'Mapa final'!$R$146),"")</f>
        <v/>
      </c>
      <c r="O253" s="116" t="str">
        <f>IF(AND('Mapa final'!$AB$147="Muy Baja",'Mapa final'!$AD$147="Menor"),CONCATENATE("R48C",'Mapa final'!$R$147),"")</f>
        <v/>
      </c>
      <c r="P253" s="49" t="str">
        <f>IF(AND('Mapa final'!$AB$145="Muy Baja",'Mapa final'!$AD$145="Moderado"),CONCATENATE("R48C",'Mapa final'!$R$145),"")</f>
        <v/>
      </c>
      <c r="Q253" s="50" t="str">
        <f>IF(AND('Mapa final'!$AB$146="Muy Baja",'Mapa final'!$AD$146="Moderado"),CONCATENATE("R48C",'Mapa final'!$R$146),"")</f>
        <v/>
      </c>
      <c r="R253" s="111" t="str">
        <f>IF(AND('Mapa final'!$AB$147="Muy Baja",'Mapa final'!$AD$147="Moderado"),CONCATENATE("R48C",'Mapa final'!$R$147),"")</f>
        <v/>
      </c>
      <c r="S253" s="105" t="str">
        <f>IF(AND('Mapa final'!$AB$145="Muy Baja",'Mapa final'!$AD$145="Mayor"),CONCATENATE("R48C",'Mapa final'!$R$145),"")</f>
        <v/>
      </c>
      <c r="T253" s="42" t="str">
        <f>IF(AND('Mapa final'!$AB$146="Muy Baja",'Mapa final'!$AD$146="Mayor"),CONCATENATE("R48C",'Mapa final'!$R$146),"")</f>
        <v/>
      </c>
      <c r="U253" s="106" t="str">
        <f>IF(AND('Mapa final'!$AB$147="Muy Baja",'Mapa final'!$AD$147="Mayor"),CONCATENATE("R48C",'Mapa final'!$R$147),"")</f>
        <v/>
      </c>
      <c r="V253" s="43" t="str">
        <f>IF(AND('Mapa final'!$AB$145="Muy Baja",'Mapa final'!$AD$145="Catastrófico"),CONCATENATE("R48C",'Mapa final'!$R$145),"")</f>
        <v/>
      </c>
      <c r="W253" s="44" t="str">
        <f>IF(AND('Mapa final'!$AB$146="Muy Baja",'Mapa final'!$AD$146="Catastrófico"),CONCATENATE("R48C",'Mapa final'!$R$146),"")</f>
        <v/>
      </c>
      <c r="X253" s="100" t="str">
        <f>IF(AND('Mapa final'!$AB$147="Muy Baja",'Mapa final'!$AD$147="Catastrófico"),CONCATENATE("R48C",'Mapa final'!$R$147),"")</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35">
      <c r="A254" s="56"/>
      <c r="B254" s="300"/>
      <c r="C254" s="300"/>
      <c r="D254" s="301"/>
      <c r="E254" s="289"/>
      <c r="F254" s="290"/>
      <c r="G254" s="290"/>
      <c r="H254" s="290"/>
      <c r="I254" s="288"/>
      <c r="J254" s="115" t="str">
        <f>IF(AND('Mapa final'!$AB$148="Muy Baja",'Mapa final'!$AD$148="Leve"),CONCATENATE("R49C",'Mapa final'!$R$148),"")</f>
        <v/>
      </c>
      <c r="K254" s="54" t="str">
        <f>IF(AND('Mapa final'!$AB$149="Muy Baja",'Mapa final'!$AD$149="Leve"),CONCATENATE("R49C",'Mapa final'!$R$149),"")</f>
        <v/>
      </c>
      <c r="L254" s="116" t="str">
        <f>IF(AND('Mapa final'!$AB$150="Muy Baja",'Mapa final'!$AD$150="Leve"),CONCATENATE("R49C",'Mapa final'!$R$150),"")</f>
        <v/>
      </c>
      <c r="M254" s="115" t="str">
        <f>IF(AND('Mapa final'!$AB$148="Muy Baja",'Mapa final'!$AD$148="Menor"),CONCATENATE("R49C",'Mapa final'!$R$148),"")</f>
        <v/>
      </c>
      <c r="N254" s="54" t="str">
        <f>IF(AND('Mapa final'!$AB$149="Muy Baja",'Mapa final'!$AD$149="Menor"),CONCATENATE("R49C",'Mapa final'!$R$149),"")</f>
        <v/>
      </c>
      <c r="O254" s="116" t="str">
        <f>IF(AND('Mapa final'!$AB$150="Muy Baja",'Mapa final'!$AD$150="Menor"),CONCATENATE("R49C",'Mapa final'!$R$150),"")</f>
        <v/>
      </c>
      <c r="P254" s="49" t="str">
        <f>IF(AND('Mapa final'!$AB$148="Muy Baja",'Mapa final'!$AD$148="Moderado"),CONCATENATE("R49C",'Mapa final'!$R$148),"")</f>
        <v/>
      </c>
      <c r="Q254" s="50" t="str">
        <f>IF(AND('Mapa final'!$AB$149="Muy Baja",'Mapa final'!$AD$149="Moderado"),CONCATENATE("R49C",'Mapa final'!$R$149),"")</f>
        <v/>
      </c>
      <c r="R254" s="111" t="str">
        <f>IF(AND('Mapa final'!$AB$150="Muy Baja",'Mapa final'!$AD$150="Moderado"),CONCATENATE("R49C",'Mapa final'!$R$150),"")</f>
        <v/>
      </c>
      <c r="S254" s="105" t="str">
        <f>IF(AND('Mapa final'!$AB$148="Muy Baja",'Mapa final'!$AD$148="Mayor"),CONCATENATE("R49C",'Mapa final'!$R$148),"")</f>
        <v/>
      </c>
      <c r="T254" s="42" t="str">
        <f>IF(AND('Mapa final'!$AB$149="Muy Baja",'Mapa final'!$AD$149="Mayor"),CONCATENATE("R49C",'Mapa final'!$R$149),"")</f>
        <v/>
      </c>
      <c r="U254" s="106" t="str">
        <f>IF(AND('Mapa final'!$AB$150="Muy Baja",'Mapa final'!$AD$150="Mayor"),CONCATENATE("R49C",'Mapa final'!$R$150),"")</f>
        <v/>
      </c>
      <c r="V254" s="43" t="str">
        <f>IF(AND('Mapa final'!$AB$148="Muy Baja",'Mapa final'!$AD$148="Catastrófico"),CONCATENATE("R49C",'Mapa final'!$R$148),"")</f>
        <v/>
      </c>
      <c r="W254" s="44" t="str">
        <f>IF(AND('Mapa final'!$AB$149="Muy Baja",'Mapa final'!$AD$149="Catastrófico"),CONCATENATE("R49C",'Mapa final'!$R$149),"")</f>
        <v/>
      </c>
      <c r="X254" s="100" t="str">
        <f>IF(AND('Mapa final'!$AB$150="Muy Baja",'Mapa final'!$AD$150="Catastrófico"),CONCATENATE("R49C",'Mapa final'!$R$150),"")</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4">
      <c r="A255" s="56"/>
      <c r="B255" s="300"/>
      <c r="C255" s="300"/>
      <c r="D255" s="301"/>
      <c r="E255" s="289"/>
      <c r="F255" s="290"/>
      <c r="G255" s="290"/>
      <c r="H255" s="290"/>
      <c r="I255" s="288"/>
      <c r="J255" s="117" t="str">
        <f>IF(AND('Mapa final'!$AB$151="Muy Baja",'Mapa final'!$AD$151="Leve"),CONCATENATE("R50C",'Mapa final'!$R$151),"")</f>
        <v/>
      </c>
      <c r="K255" s="55" t="str">
        <f>IF(AND('Mapa final'!$AB$152="Muy Baja",'Mapa final'!$AD$152="Leve"),CONCATENATE("R50C",'Mapa final'!$R$152),"")</f>
        <v/>
      </c>
      <c r="L255" s="118" t="str">
        <f>IF(AND('Mapa final'!$AB$153="Muy Baja",'Mapa final'!$AD$153="Leve"),CONCATENATE("R50C",'Mapa final'!$R$153),"")</f>
        <v/>
      </c>
      <c r="M255" s="117" t="str">
        <f>IF(AND('Mapa final'!$AB$151="Muy Baja",'Mapa final'!$AD$151="Menor"),CONCATENATE("R50C",'Mapa final'!$R$151),"")</f>
        <v/>
      </c>
      <c r="N255" s="55" t="str">
        <f>IF(AND('Mapa final'!$AB$152="Muy Baja",'Mapa final'!$AD$152="Menor"),CONCATENATE("R50C",'Mapa final'!$R$152),"")</f>
        <v/>
      </c>
      <c r="O255" s="118" t="str">
        <f>IF(AND('Mapa final'!$AB$153="Muy Baja",'Mapa final'!$AD$153="Menor"),CONCATENATE("R50C",'Mapa final'!$R$153),"")</f>
        <v/>
      </c>
      <c r="P255" s="51" t="str">
        <f>IF(AND('Mapa final'!$AB$151="Muy Baja",'Mapa final'!$AD$151="Moderado"),CONCATENATE("R50C",'Mapa final'!$R$151),"")</f>
        <v/>
      </c>
      <c r="Q255" s="52" t="str">
        <f>IF(AND('Mapa final'!$AB$152="Muy Baja",'Mapa final'!$AD$152="Moderado"),CONCATENATE("R50C",'Mapa final'!$R$152),"")</f>
        <v/>
      </c>
      <c r="R255" s="112" t="str">
        <f>IF(AND('Mapa final'!$AB$153="Muy Baja",'Mapa final'!$AD$153="Moderado"),CONCATENATE("R50C",'Mapa final'!$R$153),"")</f>
        <v/>
      </c>
      <c r="S255" s="107" t="str">
        <f>IF(AND('Mapa final'!$AB$151="Muy Baja",'Mapa final'!$AD$151="Mayor"),CONCATENATE("R50C",'Mapa final'!$R$151),"")</f>
        <v/>
      </c>
      <c r="T255" s="108" t="str">
        <f>IF(AND('Mapa final'!$AB$152="Muy Baja",'Mapa final'!$AD$152="Mayor"),CONCATENATE("R50C",'Mapa final'!$R$152),"")</f>
        <v/>
      </c>
      <c r="U255" s="109" t="str">
        <f>IF(AND('Mapa final'!$AB$153="Muy Baja",'Mapa final'!$AD$153="Mayor"),CONCATENATE("R50C",'Mapa final'!$R$153),"")</f>
        <v/>
      </c>
      <c r="V255" s="45" t="str">
        <f>IF(AND('Mapa final'!$AB$151="Muy Baja",'Mapa final'!$AD$151="Catastrófico"),CONCATENATE("R50C",'Mapa final'!$R$151),"")</f>
        <v/>
      </c>
      <c r="W255" s="46" t="str">
        <f>IF(AND('Mapa final'!$AB$152="Muy Baja",'Mapa final'!$AD$152="Catastrófico"),CONCATENATE("R50C",'Mapa final'!$R$152),"")</f>
        <v/>
      </c>
      <c r="X255" s="101" t="str">
        <f>IF(AND('Mapa final'!$AB$153="Muy Baja",'Mapa final'!$AD$153="Catastrófico"),CONCATENATE("R50C",'Mapa final'!$R$153),"")</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35">
      <c r="A256" s="56"/>
      <c r="B256" s="56"/>
      <c r="C256" s="56"/>
      <c r="D256" s="56"/>
      <c r="E256" s="56"/>
      <c r="F256" s="56"/>
      <c r="G256" s="56"/>
      <c r="H256" s="56"/>
      <c r="I256" s="56"/>
      <c r="J256" s="314" t="s">
        <v>103</v>
      </c>
      <c r="K256" s="288"/>
      <c r="L256" s="288"/>
      <c r="M256" s="287" t="s">
        <v>102</v>
      </c>
      <c r="N256" s="288"/>
      <c r="O256" s="288"/>
      <c r="P256" s="287" t="s">
        <v>101</v>
      </c>
      <c r="Q256" s="288"/>
      <c r="R256" s="288"/>
      <c r="S256" s="287" t="s">
        <v>100</v>
      </c>
      <c r="T256" s="319"/>
      <c r="U256" s="288"/>
      <c r="V256" s="287" t="s">
        <v>99</v>
      </c>
      <c r="W256" s="288"/>
      <c r="X256" s="320"/>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35">
      <c r="A257" s="56"/>
      <c r="B257" s="56"/>
      <c r="C257" s="56"/>
      <c r="D257" s="56"/>
      <c r="E257" s="56"/>
      <c r="F257" s="56"/>
      <c r="G257" s="56"/>
      <c r="H257" s="56"/>
      <c r="I257" s="56"/>
      <c r="J257" s="315"/>
      <c r="K257" s="288"/>
      <c r="L257" s="288"/>
      <c r="M257" s="289"/>
      <c r="N257" s="288"/>
      <c r="O257" s="288"/>
      <c r="P257" s="289"/>
      <c r="Q257" s="288"/>
      <c r="R257" s="288"/>
      <c r="S257" s="289"/>
      <c r="T257" s="288"/>
      <c r="U257" s="288"/>
      <c r="V257" s="289"/>
      <c r="W257" s="288"/>
      <c r="X257" s="320"/>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35">
      <c r="A258" s="56"/>
      <c r="B258" s="56"/>
      <c r="C258" s="56"/>
      <c r="D258" s="56"/>
      <c r="E258" s="56"/>
      <c r="F258" s="56"/>
      <c r="G258" s="56"/>
      <c r="H258" s="56"/>
      <c r="I258" s="56"/>
      <c r="J258" s="315"/>
      <c r="K258" s="288"/>
      <c r="L258" s="288"/>
      <c r="M258" s="289"/>
      <c r="N258" s="288"/>
      <c r="O258" s="288"/>
      <c r="P258" s="289"/>
      <c r="Q258" s="288"/>
      <c r="R258" s="288"/>
      <c r="S258" s="289"/>
      <c r="T258" s="288"/>
      <c r="U258" s="288"/>
      <c r="V258" s="289"/>
      <c r="W258" s="288"/>
      <c r="X258" s="320"/>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35">
      <c r="A259" s="56"/>
      <c r="B259" s="56"/>
      <c r="C259" s="56"/>
      <c r="D259" s="56"/>
      <c r="E259" s="56"/>
      <c r="F259" s="56"/>
      <c r="G259" s="56"/>
      <c r="H259" s="56"/>
      <c r="I259" s="56"/>
      <c r="J259" s="315"/>
      <c r="K259" s="288"/>
      <c r="L259" s="288"/>
      <c r="M259" s="289"/>
      <c r="N259" s="288"/>
      <c r="O259" s="288"/>
      <c r="P259" s="289"/>
      <c r="Q259" s="288"/>
      <c r="R259" s="288"/>
      <c r="S259" s="289"/>
      <c r="T259" s="288"/>
      <c r="U259" s="288"/>
      <c r="V259" s="289"/>
      <c r="W259" s="288"/>
      <c r="X259" s="320"/>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35">
      <c r="A260" s="56"/>
      <c r="B260" s="56"/>
      <c r="C260" s="56"/>
      <c r="D260" s="56"/>
      <c r="E260" s="56"/>
      <c r="F260" s="56"/>
      <c r="G260" s="56"/>
      <c r="H260" s="56"/>
      <c r="I260" s="56"/>
      <c r="J260" s="315"/>
      <c r="K260" s="288"/>
      <c r="L260" s="288"/>
      <c r="M260" s="289"/>
      <c r="N260" s="288"/>
      <c r="O260" s="288"/>
      <c r="P260" s="289"/>
      <c r="Q260" s="288"/>
      <c r="R260" s="288"/>
      <c r="S260" s="289"/>
      <c r="T260" s="288"/>
      <c r="U260" s="288"/>
      <c r="V260" s="289"/>
      <c r="W260" s="288"/>
      <c r="X260" s="320"/>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 thickBot="1" x14ac:dyDescent="0.4">
      <c r="A261" s="56"/>
      <c r="B261" s="56"/>
      <c r="C261" s="56"/>
      <c r="D261" s="56"/>
      <c r="E261" s="56"/>
      <c r="F261" s="56"/>
      <c r="G261" s="56"/>
      <c r="H261" s="56"/>
      <c r="I261" s="56"/>
      <c r="J261" s="316"/>
      <c r="K261" s="317"/>
      <c r="L261" s="317"/>
      <c r="M261" s="318"/>
      <c r="N261" s="317"/>
      <c r="O261" s="317"/>
      <c r="P261" s="318"/>
      <c r="Q261" s="317"/>
      <c r="R261" s="317"/>
      <c r="S261" s="318"/>
      <c r="T261" s="317"/>
      <c r="U261" s="317"/>
      <c r="V261" s="318"/>
      <c r="W261" s="317"/>
      <c r="X261" s="321"/>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3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3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3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3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3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3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3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3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3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3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3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3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3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3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3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3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3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3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3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3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3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3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3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3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3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3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3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3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3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3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3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3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3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3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3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3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3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3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3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3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3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3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3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3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3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3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3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3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3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3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3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3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3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3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3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3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3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3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3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3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3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3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3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3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3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3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3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3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3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3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3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3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3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3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3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3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3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3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3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3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3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3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3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3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3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3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3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3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3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3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3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3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3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3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3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3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3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3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3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3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3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3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3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3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3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3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3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3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3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3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3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3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3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3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3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3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3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3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3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3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3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3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3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3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3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3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3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3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3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3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3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3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3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3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3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3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3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3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3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3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3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3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3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3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3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3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3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3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3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3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3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3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3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3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3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3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3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3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3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3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3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3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3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3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3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3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3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3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3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3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3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3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3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3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3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3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3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3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3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3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3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3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3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35">
      <c r="A445" s="56"/>
    </row>
    <row r="446" spans="1:45" x14ac:dyDescent="0.35">
      <c r="A446" s="56"/>
    </row>
    <row r="447" spans="1:45" x14ac:dyDescent="0.35">
      <c r="A447" s="56"/>
    </row>
    <row r="448" spans="1:45" x14ac:dyDescent="0.35">
      <c r="A448" s="56"/>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6"/>
  <sheetViews>
    <sheetView tabSelected="1" zoomScale="80" zoomScaleNormal="80" workbookViewId="0">
      <pane ySplit="6" topLeftCell="A7" activePane="bottomLeft" state="frozen"/>
      <selection activeCell="A6" sqref="A6"/>
      <selection pane="bottomLeft" activeCell="A5" sqref="A5:A6"/>
    </sheetView>
  </sheetViews>
  <sheetFormatPr baseColWidth="10" defaultColWidth="11.453125" defaultRowHeight="14" x14ac:dyDescent="0.35"/>
  <cols>
    <col min="1" max="1" width="4" style="1" bestFit="1" customWidth="1"/>
    <col min="2" max="2" width="21.7265625" style="1" customWidth="1"/>
    <col min="3" max="3" width="25.54296875" style="1" customWidth="1"/>
    <col min="4" max="4" width="20.54296875" style="1" customWidth="1"/>
    <col min="5" max="5" width="15.54296875" style="1" customWidth="1"/>
    <col min="6" max="6" width="24.453125" style="1" customWidth="1"/>
    <col min="7" max="7" width="21.81640625" style="1" customWidth="1"/>
    <col min="8" max="8" width="32.453125" style="2" customWidth="1"/>
    <col min="9" max="9" width="19" style="1" customWidth="1"/>
    <col min="10" max="10" width="17.81640625" style="1" customWidth="1"/>
    <col min="11" max="11" width="16.54296875" style="1" customWidth="1"/>
    <col min="12" max="12" width="6.26953125" style="1" customWidth="1"/>
    <col min="13" max="13" width="33" style="1" customWidth="1"/>
    <col min="14" max="14" width="42" style="1" customWidth="1"/>
    <col min="15" max="15" width="15.453125" style="1" customWidth="1"/>
    <col min="16" max="16" width="6.26953125" style="1" customWidth="1"/>
    <col min="17" max="17" width="16" style="1" customWidth="1"/>
    <col min="18" max="18" width="5.81640625" style="1" customWidth="1"/>
    <col min="19" max="19" width="45.1796875" style="2" customWidth="1"/>
    <col min="20" max="20" width="15.1796875" style="1" customWidth="1"/>
    <col min="21" max="21" width="6.81640625" style="1" customWidth="1"/>
    <col min="22" max="22" width="5" style="1" customWidth="1"/>
    <col min="23" max="23" width="5.54296875" style="1" customWidth="1"/>
    <col min="24" max="24" width="7.1796875" style="1" customWidth="1"/>
    <col min="25" max="25" width="6.7265625" style="1" customWidth="1"/>
    <col min="26" max="26" width="7.54296875" style="1" customWidth="1"/>
    <col min="27" max="27" width="10.54296875" style="1" hidden="1" customWidth="1"/>
    <col min="28" max="28" width="8.7265625" style="1" hidden="1" customWidth="1"/>
    <col min="29" max="29" width="8.81640625" style="1" hidden="1" customWidth="1"/>
    <col min="30" max="30" width="9.26953125" style="1" hidden="1" customWidth="1"/>
    <col min="31" max="31" width="9.453125" style="1" hidden="1" customWidth="1"/>
    <col min="32" max="32" width="8.453125" style="1" hidden="1" customWidth="1"/>
    <col min="33" max="33" width="7.26953125" style="1" customWidth="1"/>
    <col min="34" max="34" width="23" style="2" customWidth="1"/>
    <col min="35" max="35" width="18.81640625" style="1" customWidth="1"/>
    <col min="36" max="36" width="12.54296875" style="124" customWidth="1"/>
    <col min="37" max="37" width="16.1796875" style="124" bestFit="1" customWidth="1"/>
    <col min="38" max="38" width="18.54296875" style="125" customWidth="1"/>
    <col min="39" max="39" width="21" style="2" customWidth="1"/>
    <col min="40" max="94" width="11.453125" style="218" customWidth="1"/>
    <col min="95" max="16384" width="11.453125" style="218"/>
  </cols>
  <sheetData>
    <row r="1" spans="1:39" ht="16.5" customHeight="1" x14ac:dyDescent="0.35">
      <c r="A1" s="429" t="s">
        <v>527</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1"/>
    </row>
    <row r="2" spans="1:39" ht="24" customHeight="1" x14ac:dyDescent="0.35">
      <c r="A2" s="432"/>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4"/>
    </row>
    <row r="3" spans="1:39" x14ac:dyDescent="0.3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2"/>
      <c r="AK3" s="122"/>
      <c r="AL3" s="123"/>
      <c r="AM3" s="21"/>
    </row>
    <row r="4" spans="1:39" x14ac:dyDescent="0.35">
      <c r="A4" s="435" t="s">
        <v>125</v>
      </c>
      <c r="B4" s="436"/>
      <c r="C4" s="436"/>
      <c r="D4" s="436"/>
      <c r="E4" s="436"/>
      <c r="F4" s="436"/>
      <c r="G4" s="436"/>
      <c r="H4" s="436"/>
      <c r="I4" s="436"/>
      <c r="J4" s="437"/>
      <c r="K4" s="435" t="s">
        <v>126</v>
      </c>
      <c r="L4" s="436"/>
      <c r="M4" s="436"/>
      <c r="N4" s="436"/>
      <c r="O4" s="436"/>
      <c r="P4" s="436"/>
      <c r="Q4" s="437"/>
      <c r="R4" s="435" t="s">
        <v>127</v>
      </c>
      <c r="S4" s="436"/>
      <c r="T4" s="436"/>
      <c r="U4" s="436"/>
      <c r="V4" s="436"/>
      <c r="W4" s="436"/>
      <c r="X4" s="436"/>
      <c r="Y4" s="436"/>
      <c r="Z4" s="437"/>
      <c r="AA4" s="435" t="s">
        <v>128</v>
      </c>
      <c r="AB4" s="436"/>
      <c r="AC4" s="436"/>
      <c r="AD4" s="436"/>
      <c r="AE4" s="436"/>
      <c r="AF4" s="436"/>
      <c r="AG4" s="437"/>
      <c r="AH4" s="435" t="s">
        <v>34</v>
      </c>
      <c r="AI4" s="436"/>
      <c r="AJ4" s="436"/>
      <c r="AK4" s="436"/>
      <c r="AL4" s="436"/>
      <c r="AM4" s="437"/>
    </row>
    <row r="5" spans="1:39" ht="16.5" customHeight="1" x14ac:dyDescent="0.35">
      <c r="A5" s="442" t="s">
        <v>0</v>
      </c>
      <c r="B5" s="445" t="s">
        <v>188</v>
      </c>
      <c r="C5" s="445" t="s">
        <v>189</v>
      </c>
      <c r="D5" s="445" t="s">
        <v>172</v>
      </c>
      <c r="E5" s="447" t="s">
        <v>2</v>
      </c>
      <c r="F5" s="445" t="s">
        <v>3</v>
      </c>
      <c r="G5" s="445" t="s">
        <v>38</v>
      </c>
      <c r="H5" s="446" t="s">
        <v>1</v>
      </c>
      <c r="I5" s="444" t="s">
        <v>44</v>
      </c>
      <c r="J5" s="445" t="s">
        <v>121</v>
      </c>
      <c r="K5" s="448" t="s">
        <v>33</v>
      </c>
      <c r="L5" s="449" t="s">
        <v>5</v>
      </c>
      <c r="M5" s="444" t="s">
        <v>80</v>
      </c>
      <c r="N5" s="444" t="s">
        <v>85</v>
      </c>
      <c r="O5" s="451" t="s">
        <v>39</v>
      </c>
      <c r="P5" s="449" t="s">
        <v>5</v>
      </c>
      <c r="Q5" s="445" t="s">
        <v>42</v>
      </c>
      <c r="R5" s="438" t="s">
        <v>11</v>
      </c>
      <c r="S5" s="441" t="s">
        <v>137</v>
      </c>
      <c r="T5" s="444" t="s">
        <v>12</v>
      </c>
      <c r="U5" s="441" t="s">
        <v>8</v>
      </c>
      <c r="V5" s="441"/>
      <c r="W5" s="441"/>
      <c r="X5" s="441"/>
      <c r="Y5" s="441"/>
      <c r="Z5" s="441"/>
      <c r="AA5" s="440" t="s">
        <v>124</v>
      </c>
      <c r="AB5" s="440" t="s">
        <v>40</v>
      </c>
      <c r="AC5" s="440" t="s">
        <v>5</v>
      </c>
      <c r="AD5" s="440" t="s">
        <v>41</v>
      </c>
      <c r="AE5" s="440" t="s">
        <v>5</v>
      </c>
      <c r="AF5" s="440" t="s">
        <v>43</v>
      </c>
      <c r="AG5" s="438" t="s">
        <v>29</v>
      </c>
      <c r="AH5" s="441" t="s">
        <v>190</v>
      </c>
      <c r="AI5" s="441" t="s">
        <v>205</v>
      </c>
      <c r="AJ5" s="441" t="s">
        <v>195</v>
      </c>
      <c r="AK5" s="441" t="s">
        <v>196</v>
      </c>
      <c r="AL5" s="441" t="s">
        <v>191</v>
      </c>
      <c r="AM5" s="441" t="s">
        <v>35</v>
      </c>
    </row>
    <row r="6" spans="1:39" s="219" customFormat="1" ht="58.5" customHeight="1" x14ac:dyDescent="0.35">
      <c r="A6" s="443"/>
      <c r="B6" s="441"/>
      <c r="C6" s="441"/>
      <c r="D6" s="441"/>
      <c r="E6" s="447"/>
      <c r="F6" s="441"/>
      <c r="G6" s="441"/>
      <c r="H6" s="447"/>
      <c r="I6" s="445"/>
      <c r="J6" s="441"/>
      <c r="K6" s="445"/>
      <c r="L6" s="450"/>
      <c r="M6" s="445"/>
      <c r="N6" s="445"/>
      <c r="O6" s="450"/>
      <c r="P6" s="450"/>
      <c r="Q6" s="441"/>
      <c r="R6" s="439"/>
      <c r="S6" s="441"/>
      <c r="T6" s="445"/>
      <c r="U6" s="4" t="s">
        <v>13</v>
      </c>
      <c r="V6" s="4" t="s">
        <v>17</v>
      </c>
      <c r="W6" s="4" t="s">
        <v>28</v>
      </c>
      <c r="X6" s="4" t="s">
        <v>18</v>
      </c>
      <c r="Y6" s="4" t="s">
        <v>21</v>
      </c>
      <c r="Z6" s="4" t="s">
        <v>24</v>
      </c>
      <c r="AA6" s="440"/>
      <c r="AB6" s="440"/>
      <c r="AC6" s="440"/>
      <c r="AD6" s="440"/>
      <c r="AE6" s="440"/>
      <c r="AF6" s="440"/>
      <c r="AG6" s="439"/>
      <c r="AH6" s="441"/>
      <c r="AI6" s="441"/>
      <c r="AJ6" s="441"/>
      <c r="AK6" s="441"/>
      <c r="AL6" s="441"/>
      <c r="AM6" s="441"/>
    </row>
    <row r="7" spans="1:39" s="164" customFormat="1" ht="167.25" customHeight="1" x14ac:dyDescent="0.35">
      <c r="A7" s="395">
        <v>1</v>
      </c>
      <c r="B7" s="374" t="s">
        <v>328</v>
      </c>
      <c r="C7" s="372" t="s">
        <v>377</v>
      </c>
      <c r="D7" s="372" t="s">
        <v>192</v>
      </c>
      <c r="E7" s="371" t="s">
        <v>118</v>
      </c>
      <c r="F7" s="371" t="s">
        <v>434</v>
      </c>
      <c r="G7" s="371" t="s">
        <v>435</v>
      </c>
      <c r="H7" s="382" t="s">
        <v>545</v>
      </c>
      <c r="I7" s="371" t="s">
        <v>115</v>
      </c>
      <c r="J7" s="380">
        <v>4</v>
      </c>
      <c r="K7" s="377" t="str">
        <f>IF(J7&lt;=0,"",IF(J7&lt;=2,"Muy Baja",IF(J7&lt;=24,"Baja",IF(J7&lt;=500,"Media",IF(J7&lt;=5000,"Alta","Muy Alta")))))</f>
        <v>Baja</v>
      </c>
      <c r="L7" s="387">
        <f>IF(K7="","",IF(K7="Muy Baja",0.2,IF(K7="Baja",0.4,IF(K7="Media",0.6,IF(K7="Alta",0.8,IF(K7="Muy Alta",1,))))))</f>
        <v>0.4</v>
      </c>
      <c r="M7" s="390" t="s">
        <v>487</v>
      </c>
      <c r="N7" s="12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77" t="str">
        <f>IF(OR(N7='Tabla Impacto'!$C$11,N7='Tabla Impacto'!$D$11),"Leve",IF(OR(N7='Tabla Impacto'!$C$12,N7='Tabla Impacto'!$D$12),"Menor",IF(OR(N7='Tabla Impacto'!$C$13,N7='Tabla Impacto'!$D$13),"Moderado",IF(OR(N7='Tabla Impacto'!$C$14,N7='Tabla Impacto'!$D$14),"Mayor",IF(OR(N7='Tabla Impacto'!$C$15,N7='Tabla Impacto'!$D$15),"Catastrófico","")))))</f>
        <v>Moderado</v>
      </c>
      <c r="P7" s="387">
        <f>IF(O7="","",IF(O7="Leve",0.2,IF(O7="Menor",0.4,IF(O7="Moderado",0.6,IF(O7="Mayor",0.8,IF(O7="Catastrófico",1,))))))</f>
        <v>0.6</v>
      </c>
      <c r="Q7" s="384"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0">
        <v>1</v>
      </c>
      <c r="S7" s="98" t="s">
        <v>193</v>
      </c>
      <c r="T7" s="131" t="str">
        <f>IF(OR(U7="Preventivo",U7="Detectivo"),"Probabilidad",IF(U7="Correctivo","Impacto",""))</f>
        <v>Probabilidad</v>
      </c>
      <c r="U7" s="132" t="s">
        <v>14</v>
      </c>
      <c r="V7" s="132" t="s">
        <v>9</v>
      </c>
      <c r="W7" s="133" t="str">
        <f>IF(AND(U7="Preventivo",V7="Automático"),"50%",IF(AND(U7="Preventivo",V7="Manual"),"40%",IF(AND(U7="Detectivo",V7="Automático"),"40%",IF(AND(U7="Detectivo",V7="Manual"),"30%",IF(AND(U7="Correctivo",V7="Automático"),"35%",IF(AND(U7="Correctivo",V7="Manual"),"25%",""))))))</f>
        <v>40%</v>
      </c>
      <c r="X7" s="132" t="s">
        <v>19</v>
      </c>
      <c r="Y7" s="132" t="s">
        <v>22</v>
      </c>
      <c r="Z7" s="132" t="s">
        <v>110</v>
      </c>
      <c r="AA7" s="134">
        <f>IFERROR(IF(T7="Probabilidad",($L$7-(+$L$7*W7)),IF(T7="Impacto",$L$7,"")),"")</f>
        <v>0.24</v>
      </c>
      <c r="AB7" s="135" t="str">
        <f>IFERROR(IF(AA7="","",IF(AA7&lt;=0.2,"Muy Baja",IF(AA7&lt;=0.4,"Baja",IF(AA7&lt;=0.6,"Media",IF(AA7&lt;=0.8,"Alta","Muy Alta"))))),"")</f>
        <v>Baja</v>
      </c>
      <c r="AC7" s="136">
        <f>+AA7</f>
        <v>0.24</v>
      </c>
      <c r="AD7" s="135" t="str">
        <f>IFERROR(IF(AE7="","",IF(AE7&lt;=0.2,"Leve",IF(AE7&lt;=0.4,"Menor",IF(AE7&lt;=0.6,"Moderado",IF(AE7&lt;=0.8,"Mayor","Catastrófico"))))),"")</f>
        <v>Moderado</v>
      </c>
      <c r="AE7" s="136">
        <f>IFERROR(IF(T7="Impacto",($P$7-(+$P$7*W7)),IF(T7="Probabilidad",$P$7,"")),"")</f>
        <v>0.6</v>
      </c>
      <c r="AF7" s="137"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8" t="s">
        <v>122</v>
      </c>
      <c r="AH7" s="139" t="s">
        <v>544</v>
      </c>
      <c r="AI7" s="140" t="s">
        <v>204</v>
      </c>
      <c r="AJ7" s="141" t="s">
        <v>197</v>
      </c>
      <c r="AK7" s="141" t="s">
        <v>197</v>
      </c>
      <c r="AL7" s="98" t="s">
        <v>194</v>
      </c>
      <c r="AM7" s="140"/>
    </row>
    <row r="8" spans="1:39" s="164" customFormat="1" ht="167.25" customHeight="1" x14ac:dyDescent="0.35">
      <c r="A8" s="394"/>
      <c r="B8" s="375"/>
      <c r="C8" s="393"/>
      <c r="D8" s="373"/>
      <c r="E8" s="370"/>
      <c r="F8" s="370"/>
      <c r="G8" s="370"/>
      <c r="H8" s="383"/>
      <c r="I8" s="370"/>
      <c r="J8" s="381"/>
      <c r="K8" s="378"/>
      <c r="L8" s="388"/>
      <c r="M8" s="391"/>
      <c r="N8" s="142"/>
      <c r="O8" s="378"/>
      <c r="P8" s="388"/>
      <c r="Q8" s="385"/>
      <c r="R8" s="130">
        <v>2</v>
      </c>
      <c r="S8" s="98"/>
      <c r="T8" s="131" t="str">
        <f t="shared" ref="T8:T9" si="0">IF(OR(U8="Preventivo",U8="Detectivo"),"Probabilidad",IF(U8="Correctivo","Impacto",""))</f>
        <v/>
      </c>
      <c r="U8" s="132"/>
      <c r="V8" s="132"/>
      <c r="W8" s="133" t="str">
        <f t="shared" ref="W8" si="1">IF(AND(U8="Preventivo",V8="Automático"),"50%",IF(AND(U8="Preventivo",V8="Manual"),"40%",IF(AND(U8="Detectivo",V8="Automático"),"40%",IF(AND(U8="Detectivo",V8="Manual"),"30%",IF(AND(U8="Correctivo",V8="Automático"),"35%",IF(AND(U8="Correctivo",V8="Manual"),"25%",""))))))</f>
        <v/>
      </c>
      <c r="X8" s="132"/>
      <c r="Y8" s="132"/>
      <c r="Z8" s="132"/>
      <c r="AA8" s="134" t="str">
        <f>IFERROR(IF(T8="Probabilidad",(AA7-(+AA7*W8)),IF(T8="Impacto",$L$7,"")),"")</f>
        <v/>
      </c>
      <c r="AB8" s="135" t="str">
        <f t="shared" ref="AB8:AB9" si="2">IFERROR(IF(AA8="","",IF(AA8&lt;=0.2,"Muy Baja",IF(AA8&lt;=0.4,"Baja",IF(AA8&lt;=0.6,"Media",IF(AA8&lt;=0.8,"Alta","Muy Alta"))))),"")</f>
        <v/>
      </c>
      <c r="AC8" s="136" t="str">
        <f t="shared" ref="AC8:AC9" si="3">+AA8</f>
        <v/>
      </c>
      <c r="AD8" s="135" t="str">
        <f t="shared" ref="AD8:AD9" si="4">IFERROR(IF(AE8="","",IF(AE8&lt;=0.2,"Leve",IF(AE8&lt;=0.4,"Menor",IF(AE8&lt;=0.6,"Moderado",IF(AE8&lt;=0.8,"Mayor","Catastrófico"))))),"")</f>
        <v/>
      </c>
      <c r="AE8" s="136" t="str">
        <f t="shared" ref="AE8:AE9" si="5">IFERROR(IF(T8="Impacto",($P$7-(+$P$7*W8)),IF(T8="Probabilidad",$P$7,"")),"")</f>
        <v/>
      </c>
      <c r="AF8" s="137"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8"/>
      <c r="AH8" s="98"/>
      <c r="AI8" s="140"/>
      <c r="AJ8" s="141"/>
      <c r="AK8" s="141"/>
      <c r="AL8" s="98"/>
      <c r="AM8" s="140"/>
    </row>
    <row r="9" spans="1:39" s="164" customFormat="1" ht="167.25" customHeight="1" x14ac:dyDescent="0.35">
      <c r="A9" s="394"/>
      <c r="B9" s="376"/>
      <c r="C9" s="393"/>
      <c r="D9" s="373"/>
      <c r="E9" s="370"/>
      <c r="F9" s="370"/>
      <c r="G9" s="370"/>
      <c r="H9" s="383"/>
      <c r="I9" s="370"/>
      <c r="J9" s="381"/>
      <c r="K9" s="379"/>
      <c r="L9" s="389"/>
      <c r="M9" s="391"/>
      <c r="N9" s="142"/>
      <c r="O9" s="379"/>
      <c r="P9" s="389"/>
      <c r="Q9" s="386"/>
      <c r="R9" s="130">
        <v>3</v>
      </c>
      <c r="S9" s="98"/>
      <c r="T9" s="131" t="str">
        <f t="shared" si="0"/>
        <v/>
      </c>
      <c r="U9" s="132"/>
      <c r="V9" s="132"/>
      <c r="W9" s="133"/>
      <c r="X9" s="132"/>
      <c r="Y9" s="132"/>
      <c r="Z9" s="132"/>
      <c r="AA9" s="134" t="str">
        <f>IFERROR(IF(T9="Probabilidad",(AA8-(+AA8*W9)),IF(T9="Impacto",$L$7,"")),"")</f>
        <v/>
      </c>
      <c r="AB9" s="135" t="str">
        <f t="shared" si="2"/>
        <v/>
      </c>
      <c r="AC9" s="136" t="str">
        <f t="shared" si="3"/>
        <v/>
      </c>
      <c r="AD9" s="135" t="str">
        <f t="shared" si="4"/>
        <v/>
      </c>
      <c r="AE9" s="136" t="str">
        <f t="shared" si="5"/>
        <v/>
      </c>
      <c r="AF9" s="137" t="str">
        <f t="shared" si="6"/>
        <v/>
      </c>
      <c r="AG9" s="138"/>
      <c r="AH9" s="98"/>
      <c r="AI9" s="140"/>
      <c r="AJ9" s="141"/>
      <c r="AK9" s="141"/>
      <c r="AL9" s="98"/>
      <c r="AM9" s="140"/>
    </row>
    <row r="10" spans="1:39" s="164" customFormat="1" ht="151.5" customHeight="1" x14ac:dyDescent="0.35">
      <c r="A10" s="394">
        <v>2</v>
      </c>
      <c r="B10" s="374" t="s">
        <v>328</v>
      </c>
      <c r="C10" s="372" t="s">
        <v>377</v>
      </c>
      <c r="D10" s="372" t="s">
        <v>192</v>
      </c>
      <c r="E10" s="371" t="s">
        <v>120</v>
      </c>
      <c r="F10" s="369" t="s">
        <v>436</v>
      </c>
      <c r="G10" s="414" t="s">
        <v>437</v>
      </c>
      <c r="H10" s="416" t="s">
        <v>378</v>
      </c>
      <c r="I10" s="371" t="s">
        <v>329</v>
      </c>
      <c r="J10" s="380">
        <v>160</v>
      </c>
      <c r="K10" s="377" t="str">
        <f>IF(J10&lt;=0,"",IF(J10&lt;=2,"Muy Baja",IF(J10&lt;=24,"Baja",IF(J10&lt;=500,"Media",IF(J10&lt;=5000,"Alta","Muy Alta")))))</f>
        <v>Media</v>
      </c>
      <c r="L10" s="387">
        <f>IF(K10="","",IF(K10="Muy Baja",0.2,IF(K10="Baja",0.4,IF(K10="Media",0.6,IF(K10="Alta",0.8,IF(K10="Muy Alta",1,))))))</f>
        <v>0.6</v>
      </c>
      <c r="M10" s="390" t="s">
        <v>487</v>
      </c>
      <c r="N10" s="12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77" t="str">
        <f>IF(OR(N10='Tabla Impacto'!$C$11,N10='Tabla Impacto'!$D$11),"Leve",IF(OR(N10='Tabla Impacto'!$C$12,N10='Tabla Impacto'!$D$12),"Menor",IF(OR(N10='Tabla Impacto'!$C$13,N10='Tabla Impacto'!$D$13),"Moderado",IF(OR(N10='Tabla Impacto'!$C$14,N10='Tabla Impacto'!$D$14),"Mayor",IF(OR(N10='Tabla Impacto'!$C$15,N10='Tabla Impacto'!$D$15),"Catastrófico","")))))</f>
        <v>Moderado</v>
      </c>
      <c r="P10" s="387">
        <f>IF(O10="","",IF(O10="Leve",0.2,IF(O10="Menor",0.4,IF(O10="Moderado",0.6,IF(O10="Mayor",0.8,IF(O10="Catastrófico",1,))))))</f>
        <v>0.6</v>
      </c>
      <c r="Q10" s="384"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0">
        <v>1</v>
      </c>
      <c r="S10" s="98" t="s">
        <v>198</v>
      </c>
      <c r="T10" s="131" t="str">
        <f t="shared" ref="T10:T13" si="7">IF(OR(U10="Preventivo",U10="Detectivo"),"Probabilidad",IF(U10="Correctivo","Impacto",""))</f>
        <v>Probabilidad</v>
      </c>
      <c r="U10" s="132" t="s">
        <v>14</v>
      </c>
      <c r="V10" s="132" t="s">
        <v>9</v>
      </c>
      <c r="W10" s="133" t="str">
        <f t="shared" ref="W10:W13" si="8">IF(AND(U10="Preventivo",V10="Automático"),"50%",IF(AND(U10="Preventivo",V10="Manual"),"40%",IF(AND(U10="Detectivo",V10="Automático"),"40%",IF(AND(U10="Detectivo",V10="Manual"),"30%",IF(AND(U10="Correctivo",V10="Automático"),"35%",IF(AND(U10="Correctivo",V10="Manual"),"25%",""))))))</f>
        <v>40%</v>
      </c>
      <c r="X10" s="132" t="s">
        <v>19</v>
      </c>
      <c r="Y10" s="132" t="s">
        <v>22</v>
      </c>
      <c r="Z10" s="132" t="s">
        <v>110</v>
      </c>
      <c r="AA10" s="134">
        <f t="shared" ref="AA10:AA13" si="9">IFERROR(IF(T10="Probabilidad",(L10-(+L10*W10)),IF(T10="Impacto",L10,"")),"")</f>
        <v>0.36</v>
      </c>
      <c r="AB10" s="135" t="str">
        <f t="shared" ref="AB10:AB13" si="10">IFERROR(IF(AA10="","",IF(AA10&lt;=0.2,"Muy Baja",IF(AA10&lt;=0.4,"Baja",IF(AA10&lt;=0.6,"Media",IF(AA10&lt;=0.8,"Alta","Muy Alta"))))),"")</f>
        <v>Baja</v>
      </c>
      <c r="AC10" s="136">
        <f t="shared" ref="AC10:AC13" si="11">+AA10</f>
        <v>0.36</v>
      </c>
      <c r="AD10" s="135" t="str">
        <f t="shared" ref="AD10:AD13" si="12">IFERROR(IF(AE10="","",IF(AE10&lt;=0.2,"Leve",IF(AE10&lt;=0.4,"Menor",IF(AE10&lt;=0.6,"Moderado",IF(AE10&lt;=0.8,"Mayor","Catastrófico"))))),"")</f>
        <v>Moderado</v>
      </c>
      <c r="AE10" s="136">
        <f t="shared" ref="AE10:AE13" si="13">IFERROR(IF(T10="Impacto",(P10-(+P10*W10)),IF(T10="Probabilidad",P10,"")),"")</f>
        <v>0.6</v>
      </c>
      <c r="AF10" s="137"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8" t="s">
        <v>122</v>
      </c>
      <c r="AH10" s="119" t="s">
        <v>379</v>
      </c>
      <c r="AI10" s="127" t="s">
        <v>199</v>
      </c>
      <c r="AJ10" s="143" t="s">
        <v>200</v>
      </c>
      <c r="AK10" s="143" t="s">
        <v>200</v>
      </c>
      <c r="AL10" s="119" t="s">
        <v>380</v>
      </c>
      <c r="AM10" s="140"/>
    </row>
    <row r="11" spans="1:39" s="164" customFormat="1" ht="151.5" customHeight="1" x14ac:dyDescent="0.35">
      <c r="A11" s="394"/>
      <c r="B11" s="375"/>
      <c r="C11" s="393"/>
      <c r="D11" s="373"/>
      <c r="E11" s="370"/>
      <c r="F11" s="370"/>
      <c r="G11" s="415"/>
      <c r="H11" s="417"/>
      <c r="I11" s="370"/>
      <c r="J11" s="381"/>
      <c r="K11" s="378"/>
      <c r="L11" s="388"/>
      <c r="M11" s="391"/>
      <c r="N11" s="142"/>
      <c r="O11" s="378"/>
      <c r="P11" s="388"/>
      <c r="Q11" s="385"/>
      <c r="R11" s="130">
        <v>2</v>
      </c>
      <c r="S11" s="98"/>
      <c r="T11" s="131" t="str">
        <f t="shared" ref="T11:T12" si="15">IF(OR(U11="Preventivo",U11="Detectivo"),"Probabilidad",IF(U11="Correctivo","Impacto",""))</f>
        <v/>
      </c>
      <c r="U11" s="132"/>
      <c r="V11" s="132"/>
      <c r="W11" s="133"/>
      <c r="X11" s="132"/>
      <c r="Y11" s="132"/>
      <c r="Z11" s="132"/>
      <c r="AA11" s="134" t="str">
        <f>IFERROR(IF(T11="Probabilidad",(AA10-(+AA10*W11)),IF(T11="Impacto",L10,"")),"")</f>
        <v/>
      </c>
      <c r="AB11" s="135" t="str">
        <f t="shared" ref="AB11:AB12" si="16">IFERROR(IF(AA11="","",IF(AA11&lt;=0.2,"Muy Baja",IF(AA11&lt;=0.4,"Baja",IF(AA11&lt;=0.6,"Media",IF(AA11&lt;=0.8,"Alta","Muy Alta"))))),"")</f>
        <v/>
      </c>
      <c r="AC11" s="136" t="str">
        <f t="shared" ref="AC11:AC12" si="17">+AA11</f>
        <v/>
      </c>
      <c r="AD11" s="135" t="str">
        <f t="shared" ref="AD11:AD12" si="18">IFERROR(IF(AE11="","",IF(AE11&lt;=0.2,"Leve",IF(AE11&lt;=0.4,"Menor",IF(AE11&lt;=0.6,"Moderado",IF(AE11&lt;=0.8,"Mayor","Catastrófico"))))),"")</f>
        <v/>
      </c>
      <c r="AE11" s="136" t="str">
        <f>IFERROR(IF(T11="Impacto",(P10-(+P10*W11)),IF(T11="Probabilidad",P10,"")),"")</f>
        <v/>
      </c>
      <c r="AF11" s="137"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8"/>
      <c r="AH11" s="119"/>
      <c r="AI11" s="127"/>
      <c r="AJ11" s="143"/>
      <c r="AK11" s="143"/>
      <c r="AL11" s="119"/>
      <c r="AM11" s="140"/>
    </row>
    <row r="12" spans="1:39" s="164" customFormat="1" ht="151.5" customHeight="1" x14ac:dyDescent="0.35">
      <c r="A12" s="394"/>
      <c r="B12" s="376"/>
      <c r="C12" s="393"/>
      <c r="D12" s="373"/>
      <c r="E12" s="370"/>
      <c r="F12" s="370"/>
      <c r="G12" s="415"/>
      <c r="H12" s="417"/>
      <c r="I12" s="370"/>
      <c r="J12" s="381"/>
      <c r="K12" s="379"/>
      <c r="L12" s="389"/>
      <c r="M12" s="391"/>
      <c r="N12" s="142"/>
      <c r="O12" s="379"/>
      <c r="P12" s="389"/>
      <c r="Q12" s="386"/>
      <c r="R12" s="130">
        <v>3</v>
      </c>
      <c r="S12" s="98"/>
      <c r="T12" s="131" t="str">
        <f t="shared" si="15"/>
        <v/>
      </c>
      <c r="U12" s="132"/>
      <c r="V12" s="132"/>
      <c r="W12" s="133"/>
      <c r="X12" s="132"/>
      <c r="Y12" s="132"/>
      <c r="Z12" s="132"/>
      <c r="AA12" s="134" t="str">
        <f>IFERROR(IF(T12="Probabilidad",(AA11-(+AA11*W12)),IF(T12="Impacto",L10,"")),"")</f>
        <v/>
      </c>
      <c r="AB12" s="135" t="str">
        <f t="shared" si="16"/>
        <v/>
      </c>
      <c r="AC12" s="136" t="str">
        <f t="shared" si="17"/>
        <v/>
      </c>
      <c r="AD12" s="135" t="str">
        <f t="shared" si="18"/>
        <v/>
      </c>
      <c r="AE12" s="136" t="str">
        <f>IFERROR(IF(T12="Impacto",(P10-(+P10*W12)),IF(T12="Probabilidad",P10,"")),"")</f>
        <v/>
      </c>
      <c r="AF12" s="137" t="str">
        <f t="shared" si="19"/>
        <v/>
      </c>
      <c r="AG12" s="138"/>
      <c r="AH12" s="119"/>
      <c r="AI12" s="127"/>
      <c r="AJ12" s="143"/>
      <c r="AK12" s="143"/>
      <c r="AL12" s="119"/>
      <c r="AM12" s="140"/>
    </row>
    <row r="13" spans="1:39" s="220" customFormat="1" ht="151.5" customHeight="1" x14ac:dyDescent="0.35">
      <c r="A13" s="394">
        <v>3</v>
      </c>
      <c r="B13" s="374" t="s">
        <v>201</v>
      </c>
      <c r="C13" s="372" t="s">
        <v>355</v>
      </c>
      <c r="D13" s="372" t="s">
        <v>375</v>
      </c>
      <c r="E13" s="371" t="s">
        <v>118</v>
      </c>
      <c r="F13" s="371" t="s">
        <v>438</v>
      </c>
      <c r="G13" s="371" t="s">
        <v>202</v>
      </c>
      <c r="H13" s="382" t="s">
        <v>381</v>
      </c>
      <c r="I13" s="371" t="s">
        <v>329</v>
      </c>
      <c r="J13" s="380">
        <v>5000</v>
      </c>
      <c r="K13" s="377" t="str">
        <f>IF(J13&lt;=0,"",IF(J13&lt;=2,"Muy Baja",IF(J13&lt;=24,"Baja",IF(J13&lt;=500,"Media",IF(J13&lt;=5000,"Alta","Muy Alta")))))</f>
        <v>Alta</v>
      </c>
      <c r="L13" s="387">
        <f>IF(K13="","",IF(K13="Muy Baja",0.2,IF(K13="Baja",0.4,IF(K13="Media",0.6,IF(K13="Alta",0.8,IF(K13="Muy Alta",1,))))))</f>
        <v>0.8</v>
      </c>
      <c r="M13" s="390" t="s">
        <v>487</v>
      </c>
      <c r="N13" s="12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77" t="str">
        <f>IF(OR(N13='Tabla Impacto'!$C$11,N13='Tabla Impacto'!$D$11),"Leve",IF(OR(N13='Tabla Impacto'!$C$12,N13='Tabla Impacto'!$D$12),"Menor",IF(OR(N13='Tabla Impacto'!$C$13,N13='Tabla Impacto'!$D$13),"Moderado",IF(OR(N13='Tabla Impacto'!$C$14,N13='Tabla Impacto'!$D$14),"Mayor",IF(OR(N13='Tabla Impacto'!$C$15,N13='Tabla Impacto'!$D$15),"Catastrófico","")))))</f>
        <v>Moderado</v>
      </c>
      <c r="P13" s="387">
        <f>IF(O13="","",IF(O13="Leve",0.2,IF(O13="Menor",0.4,IF(O13="Moderado",0.6,IF(O13="Mayor",0.8,IF(O13="Catastrófico",1,))))))</f>
        <v>0.6</v>
      </c>
      <c r="Q13" s="384"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0">
        <v>1</v>
      </c>
      <c r="S13" s="98" t="s">
        <v>203</v>
      </c>
      <c r="T13" s="131" t="str">
        <f t="shared" si="7"/>
        <v>Probabilidad</v>
      </c>
      <c r="U13" s="132" t="s">
        <v>14</v>
      </c>
      <c r="V13" s="132" t="s">
        <v>9</v>
      </c>
      <c r="W13" s="133" t="str">
        <f t="shared" si="8"/>
        <v>40%</v>
      </c>
      <c r="X13" s="132" t="s">
        <v>19</v>
      </c>
      <c r="Y13" s="132" t="s">
        <v>22</v>
      </c>
      <c r="Z13" s="132" t="s">
        <v>110</v>
      </c>
      <c r="AA13" s="134">
        <f t="shared" si="9"/>
        <v>0.48</v>
      </c>
      <c r="AB13" s="135" t="str">
        <f t="shared" si="10"/>
        <v>Media</v>
      </c>
      <c r="AC13" s="136">
        <f t="shared" si="11"/>
        <v>0.48</v>
      </c>
      <c r="AD13" s="135" t="str">
        <f t="shared" si="12"/>
        <v>Moderado</v>
      </c>
      <c r="AE13" s="136">
        <f t="shared" si="13"/>
        <v>0.6</v>
      </c>
      <c r="AF13" s="137" t="str">
        <f t="shared" si="14"/>
        <v>Moderado</v>
      </c>
      <c r="AG13" s="138" t="s">
        <v>122</v>
      </c>
      <c r="AH13" s="126" t="s">
        <v>382</v>
      </c>
      <c r="AI13" s="144" t="s">
        <v>204</v>
      </c>
      <c r="AJ13" s="143" t="s">
        <v>200</v>
      </c>
      <c r="AK13" s="143" t="s">
        <v>200</v>
      </c>
      <c r="AL13" s="119" t="s">
        <v>383</v>
      </c>
      <c r="AM13" s="140"/>
    </row>
    <row r="14" spans="1:39" s="220" customFormat="1" ht="151.5" customHeight="1" x14ac:dyDescent="0.35">
      <c r="A14" s="394"/>
      <c r="B14" s="375"/>
      <c r="C14" s="393"/>
      <c r="D14" s="393"/>
      <c r="E14" s="370"/>
      <c r="F14" s="370"/>
      <c r="G14" s="370"/>
      <c r="H14" s="383"/>
      <c r="I14" s="370"/>
      <c r="J14" s="381"/>
      <c r="K14" s="378"/>
      <c r="L14" s="388"/>
      <c r="M14" s="391"/>
      <c r="N14" s="142"/>
      <c r="O14" s="378"/>
      <c r="P14" s="388"/>
      <c r="Q14" s="385"/>
      <c r="R14" s="130">
        <v>2</v>
      </c>
      <c r="S14" s="145"/>
      <c r="T14" s="131" t="str">
        <f t="shared" ref="T14:T15" si="20">IF(OR(U14="Preventivo",U14="Detectivo"),"Probabilidad",IF(U14="Correctivo","Impacto",""))</f>
        <v/>
      </c>
      <c r="U14" s="132"/>
      <c r="V14" s="132"/>
      <c r="W14" s="133"/>
      <c r="X14" s="132"/>
      <c r="Y14" s="132"/>
      <c r="Z14" s="132"/>
      <c r="AA14" s="134" t="str">
        <f>IFERROR(IF(T14="Probabilidad",(AA13-(+AA13*W14)),IF(T14="Impacto",L13,"")),"")</f>
        <v/>
      </c>
      <c r="AB14" s="135" t="str">
        <f t="shared" ref="AB14:AB15" si="21">IFERROR(IF(AA14="","",IF(AA14&lt;=0.2,"Muy Baja",IF(AA14&lt;=0.4,"Baja",IF(AA14&lt;=0.6,"Media",IF(AA14&lt;=0.8,"Alta","Muy Alta"))))),"")</f>
        <v/>
      </c>
      <c r="AC14" s="136" t="str">
        <f t="shared" ref="AC14:AC15" si="22">+AA14</f>
        <v/>
      </c>
      <c r="AD14" s="135" t="str">
        <f t="shared" ref="AD14:AD15" si="23">IFERROR(IF(AE14="","",IF(AE14&lt;=0.2,"Leve",IF(AE14&lt;=0.4,"Menor",IF(AE14&lt;=0.6,"Moderado",IF(AE14&lt;=0.8,"Mayor","Catastrófico"))))),"")</f>
        <v/>
      </c>
      <c r="AE14" s="136" t="str">
        <f>IFERROR(IF(T14="Impacto",(P13-(+P13*W14)),IF(T14="Probabilidad",P13,"")),"")</f>
        <v/>
      </c>
      <c r="AF14" s="137"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8"/>
      <c r="AH14" s="119"/>
      <c r="AI14" s="127"/>
      <c r="AJ14" s="143"/>
      <c r="AK14" s="143"/>
      <c r="AL14" s="119"/>
      <c r="AM14" s="140"/>
    </row>
    <row r="15" spans="1:39" s="220" customFormat="1" ht="151.5" customHeight="1" x14ac:dyDescent="0.35">
      <c r="A15" s="394"/>
      <c r="B15" s="376"/>
      <c r="C15" s="393"/>
      <c r="D15" s="393"/>
      <c r="E15" s="370"/>
      <c r="F15" s="424"/>
      <c r="G15" s="424"/>
      <c r="H15" s="425"/>
      <c r="I15" s="370"/>
      <c r="J15" s="381"/>
      <c r="K15" s="379"/>
      <c r="L15" s="389"/>
      <c r="M15" s="391"/>
      <c r="N15" s="142"/>
      <c r="O15" s="379"/>
      <c r="P15" s="389"/>
      <c r="Q15" s="386"/>
      <c r="R15" s="130">
        <v>3</v>
      </c>
      <c r="S15" s="145"/>
      <c r="T15" s="131" t="str">
        <f t="shared" si="20"/>
        <v/>
      </c>
      <c r="U15" s="132"/>
      <c r="V15" s="132"/>
      <c r="W15" s="133"/>
      <c r="X15" s="132"/>
      <c r="Y15" s="132"/>
      <c r="Z15" s="132"/>
      <c r="AA15" s="134" t="str">
        <f>IFERROR(IF(T15="Probabilidad",(AA14-(+AA14*W15)),IF(T15="Impacto",L13,"")),"")</f>
        <v/>
      </c>
      <c r="AB15" s="135" t="str">
        <f t="shared" si="21"/>
        <v/>
      </c>
      <c r="AC15" s="136" t="str">
        <f t="shared" si="22"/>
        <v/>
      </c>
      <c r="AD15" s="135" t="str">
        <f t="shared" si="23"/>
        <v/>
      </c>
      <c r="AE15" s="136" t="str">
        <f>IFERROR(IF(T15="Impacto",(P13-(+P13*W15)),IF(T15="Probabilidad",P13,"")),"")</f>
        <v/>
      </c>
      <c r="AF15" s="137" t="str">
        <f t="shared" si="24"/>
        <v/>
      </c>
      <c r="AG15" s="138"/>
      <c r="AH15" s="119"/>
      <c r="AI15" s="127"/>
      <c r="AJ15" s="143"/>
      <c r="AK15" s="143"/>
      <c r="AL15" s="119"/>
      <c r="AM15" s="140"/>
    </row>
    <row r="16" spans="1:39" s="232" customFormat="1" ht="162" customHeight="1" x14ac:dyDescent="0.35">
      <c r="A16" s="418">
        <v>4</v>
      </c>
      <c r="B16" s="419" t="s">
        <v>520</v>
      </c>
      <c r="C16" s="422" t="s">
        <v>521</v>
      </c>
      <c r="D16" s="422" t="s">
        <v>522</v>
      </c>
      <c r="E16" s="382" t="s">
        <v>118</v>
      </c>
      <c r="F16" s="400" t="s">
        <v>439</v>
      </c>
      <c r="G16" s="400" t="s">
        <v>557</v>
      </c>
      <c r="H16" s="382" t="s">
        <v>558</v>
      </c>
      <c r="I16" s="382" t="s">
        <v>329</v>
      </c>
      <c r="J16" s="401">
        <v>52</v>
      </c>
      <c r="K16" s="403" t="str">
        <f>IF(J16&lt;=0,"",IF(J16&lt;=2,"Muy Baja",IF(J16&lt;=24,"Baja",IF(J16&lt;=500,"Media",IF(J16&lt;=5000,"Alta","Muy Alta")))))</f>
        <v>Media</v>
      </c>
      <c r="L16" s="406">
        <f>IF(K16="","",IF(K16="Muy Baja",0.2,IF(K16="Baja",0.4,IF(K16="Media",0.6,IF(K16="Alta",0.8,IF(K16="Muy Alta",1,))))))</f>
        <v>0.6</v>
      </c>
      <c r="M16" s="409" t="s">
        <v>487</v>
      </c>
      <c r="N16" s="216"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403" t="str">
        <f>IF(OR(N16='Tabla Impacto'!$C$11,N16='Tabla Impacto'!$D$11),"Leve",IF(OR(N16='Tabla Impacto'!$C$12,N16='Tabla Impacto'!$D$12),"Menor",IF(OR(N16='Tabla Impacto'!$C$13,N16='Tabla Impacto'!$D$13),"Moderado",IF(OR(N16='Tabla Impacto'!$C$14,N16='Tabla Impacto'!$D$14),"Mayor",IF(OR(N16='Tabla Impacto'!$C$15,N16='Tabla Impacto'!$D$15),"Catastrófico","")))))</f>
        <v>Moderado</v>
      </c>
      <c r="P16" s="406">
        <f>IF(O16="","",IF(O16="Leve",0.2,IF(O16="Menor",0.4,IF(O16="Moderado",0.6,IF(O16="Mayor",0.8,IF(O16="Catastrófico",1,))))))</f>
        <v>0.6</v>
      </c>
      <c r="Q16" s="411"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208">
        <v>1</v>
      </c>
      <c r="S16" s="139" t="s">
        <v>559</v>
      </c>
      <c r="T16" s="209" t="str">
        <f t="shared" ref="T16:T106" si="25">IF(OR(U16="Preventivo",U16="Detectivo"),"Probabilidad",IF(U16="Correctivo","Impacto",""))</f>
        <v>Probabilidad</v>
      </c>
      <c r="U16" s="210" t="s">
        <v>15</v>
      </c>
      <c r="V16" s="210" t="s">
        <v>9</v>
      </c>
      <c r="W16" s="211" t="str">
        <f t="shared" ref="W16:W106" si="26">IF(AND(U16="Preventivo",V16="Automático"),"50%",IF(AND(U16="Preventivo",V16="Manual"),"40%",IF(AND(U16="Detectivo",V16="Automático"),"40%",IF(AND(U16="Detectivo",V16="Manual"),"30%",IF(AND(U16="Correctivo",V16="Automático"),"35%",IF(AND(U16="Correctivo",V16="Manual"),"25%",""))))))</f>
        <v>30%</v>
      </c>
      <c r="X16" s="210" t="s">
        <v>19</v>
      </c>
      <c r="Y16" s="210" t="s">
        <v>22</v>
      </c>
      <c r="Z16" s="210" t="s">
        <v>110</v>
      </c>
      <c r="AA16" s="161">
        <f t="shared" ref="AA16:AA106" si="27">IFERROR(IF(T16="Probabilidad",(L16-(+L16*W16)),IF(T16="Impacto",L16,"")),"")</f>
        <v>0.42</v>
      </c>
      <c r="AB16" s="212" t="str">
        <f t="shared" ref="AB16:AB106" si="28">IFERROR(IF(AA16="","",IF(AA16&lt;=0.2,"Muy Baja",IF(AA16&lt;=0.4,"Baja",IF(AA16&lt;=0.6,"Media",IF(AA16&lt;=0.8,"Alta","Muy Alta"))))),"")</f>
        <v>Media</v>
      </c>
      <c r="AC16" s="213">
        <f t="shared" ref="AC16:AC106" si="29">+AA16</f>
        <v>0.42</v>
      </c>
      <c r="AD16" s="212" t="str">
        <f t="shared" ref="AD16:AD106" si="30">IFERROR(IF(AE16="","",IF(AE16&lt;=0.2,"Leve",IF(AE16&lt;=0.4,"Menor",IF(AE16&lt;=0.6,"Moderado",IF(AE16&lt;=0.8,"Mayor","Catastrófico"))))),"")</f>
        <v>Moderado</v>
      </c>
      <c r="AE16" s="213">
        <f t="shared" ref="AE16:AE106" si="31">IFERROR(IF(T16="Impacto",(P16-(+P16*W16)),IF(T16="Probabilidad",P16,"")),"")</f>
        <v>0.6</v>
      </c>
      <c r="AF16" s="214" t="str">
        <f t="shared" ref="AF16:AF106"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15" t="s">
        <v>122</v>
      </c>
      <c r="AH16" s="126" t="s">
        <v>556</v>
      </c>
      <c r="AI16" s="146" t="s">
        <v>261</v>
      </c>
      <c r="AJ16" s="128" t="s">
        <v>200</v>
      </c>
      <c r="AK16" s="128" t="s">
        <v>200</v>
      </c>
      <c r="AL16" s="126" t="s">
        <v>560</v>
      </c>
      <c r="AM16" s="231"/>
    </row>
    <row r="17" spans="1:39" s="232" customFormat="1" ht="151.5" customHeight="1" x14ac:dyDescent="0.35">
      <c r="A17" s="418"/>
      <c r="B17" s="420"/>
      <c r="C17" s="423"/>
      <c r="D17" s="423"/>
      <c r="E17" s="383"/>
      <c r="F17" s="383"/>
      <c r="G17" s="383"/>
      <c r="H17" s="383"/>
      <c r="I17" s="383"/>
      <c r="J17" s="402"/>
      <c r="K17" s="404"/>
      <c r="L17" s="407"/>
      <c r="M17" s="410"/>
      <c r="N17" s="217"/>
      <c r="O17" s="404"/>
      <c r="P17" s="407"/>
      <c r="Q17" s="412"/>
      <c r="R17" s="208">
        <v>2</v>
      </c>
      <c r="S17" s="139"/>
      <c r="T17" s="209" t="str">
        <f t="shared" ref="T17:T18" si="33">IF(OR(U17="Preventivo",U17="Detectivo"),"Probabilidad",IF(U17="Correctivo","Impacto",""))</f>
        <v/>
      </c>
      <c r="U17" s="210"/>
      <c r="V17" s="210"/>
      <c r="W17" s="211"/>
      <c r="X17" s="210"/>
      <c r="Y17" s="210"/>
      <c r="Z17" s="210"/>
      <c r="AA17" s="161" t="str">
        <f>IFERROR(IF(T17="Probabilidad",(AA16-(+AA16*W17)),IF(T17="Impacto",L17,"")),"")</f>
        <v/>
      </c>
      <c r="AB17" s="212" t="str">
        <f t="shared" ref="AB17:AB18" si="34">IFERROR(IF(AA17="","",IF(AA17&lt;=0.2,"Muy Baja",IF(AA17&lt;=0.4,"Baja",IF(AA17&lt;=0.6,"Media",IF(AA17&lt;=0.8,"Alta","Muy Alta"))))),"")</f>
        <v/>
      </c>
      <c r="AC17" s="213" t="str">
        <f t="shared" ref="AC17:AC18" si="35">+AA17</f>
        <v/>
      </c>
      <c r="AD17" s="212" t="str">
        <f t="shared" ref="AD17:AD18" si="36">IFERROR(IF(AE17="","",IF(AE17&lt;=0.2,"Leve",IF(AE17&lt;=0.4,"Menor",IF(AE17&lt;=0.6,"Moderado",IF(AE17&lt;=0.8,"Mayor","Catastrófico"))))),"")</f>
        <v/>
      </c>
      <c r="AE17" s="213" t="str">
        <f t="shared" ref="AE17:AE18" si="37">IFERROR(IF(T17="Impacto",(P17-(+P17*W17)),IF(T17="Probabilidad",P17,"")),"")</f>
        <v/>
      </c>
      <c r="AF17" s="214"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15"/>
      <c r="AH17" s="126"/>
      <c r="AI17" s="121"/>
      <c r="AJ17" s="128"/>
      <c r="AK17" s="128"/>
      <c r="AL17" s="126"/>
      <c r="AM17" s="231"/>
    </row>
    <row r="18" spans="1:39" s="232" customFormat="1" ht="151.5" customHeight="1" x14ac:dyDescent="0.35">
      <c r="A18" s="418"/>
      <c r="B18" s="421"/>
      <c r="C18" s="423"/>
      <c r="D18" s="423"/>
      <c r="E18" s="383"/>
      <c r="F18" s="383"/>
      <c r="G18" s="383"/>
      <c r="H18" s="383"/>
      <c r="I18" s="383"/>
      <c r="J18" s="402"/>
      <c r="K18" s="405"/>
      <c r="L18" s="408"/>
      <c r="M18" s="410"/>
      <c r="N18" s="217"/>
      <c r="O18" s="405"/>
      <c r="P18" s="408"/>
      <c r="Q18" s="413"/>
      <c r="R18" s="208">
        <v>3</v>
      </c>
      <c r="S18" s="139"/>
      <c r="T18" s="209" t="str">
        <f t="shared" si="33"/>
        <v/>
      </c>
      <c r="U18" s="210"/>
      <c r="V18" s="210"/>
      <c r="W18" s="211"/>
      <c r="X18" s="210"/>
      <c r="Y18" s="210"/>
      <c r="Z18" s="210"/>
      <c r="AA18" s="161" t="str">
        <f>IFERROR(IF(T18="Probabilidad",(AA17-(+AA17*W18)),IF(T18="Impacto",L18,"")),"")</f>
        <v/>
      </c>
      <c r="AB18" s="212" t="str">
        <f t="shared" si="34"/>
        <v/>
      </c>
      <c r="AC18" s="213" t="str">
        <f t="shared" si="35"/>
        <v/>
      </c>
      <c r="AD18" s="212" t="str">
        <f t="shared" si="36"/>
        <v/>
      </c>
      <c r="AE18" s="213" t="str">
        <f t="shared" si="37"/>
        <v/>
      </c>
      <c r="AF18" s="214" t="str">
        <f t="shared" si="38"/>
        <v/>
      </c>
      <c r="AG18" s="215"/>
      <c r="AH18" s="126"/>
      <c r="AI18" s="121"/>
      <c r="AJ18" s="128"/>
      <c r="AK18" s="128"/>
      <c r="AL18" s="126"/>
      <c r="AM18" s="231"/>
    </row>
    <row r="19" spans="1:39" s="232" customFormat="1" ht="151.5" customHeight="1" x14ac:dyDescent="0.35">
      <c r="A19" s="394">
        <v>5</v>
      </c>
      <c r="B19" s="374" t="s">
        <v>207</v>
      </c>
      <c r="C19" s="372" t="s">
        <v>208</v>
      </c>
      <c r="D19" s="372" t="s">
        <v>376</v>
      </c>
      <c r="E19" s="371" t="s">
        <v>118</v>
      </c>
      <c r="F19" s="371" t="s">
        <v>209</v>
      </c>
      <c r="G19" s="371" t="s">
        <v>210</v>
      </c>
      <c r="H19" s="382" t="s">
        <v>550</v>
      </c>
      <c r="I19" s="371" t="s">
        <v>115</v>
      </c>
      <c r="J19" s="380">
        <v>1</v>
      </c>
      <c r="K19" s="377" t="str">
        <f>IF(J19&lt;=0,"",IF(J19&lt;=2,"Muy Baja",IF(J19&lt;=24,"Baja",IF(J19&lt;=500,"Media",IF(J19&lt;=5000,"Alta","Muy Alta")))))</f>
        <v>Muy Baja</v>
      </c>
      <c r="L19" s="387">
        <f>IF(K19="","",IF(K19="Muy Baja",0.2,IF(K19="Baja",0.4,IF(K19="Media",0.6,IF(K19="Alta",0.8,IF(K19="Muy Alta",1,))))))</f>
        <v>0.2</v>
      </c>
      <c r="M19" s="390" t="s">
        <v>487</v>
      </c>
      <c r="N19" s="216"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77" t="str">
        <f>IF(OR(N19='Tabla Impacto'!$C$11,N19='Tabla Impacto'!$D$11),"Leve",IF(OR(N19='Tabla Impacto'!$C$12,N19='Tabla Impacto'!$D$12),"Menor",IF(OR(N19='Tabla Impacto'!$C$13,N19='Tabla Impacto'!$D$13),"Moderado",IF(OR(N19='Tabla Impacto'!$C$14,N19='Tabla Impacto'!$D$14),"Mayor",IF(OR(N19='Tabla Impacto'!$C$15,N19='Tabla Impacto'!$D$15),"Catastrófico","")))))</f>
        <v>Moderado</v>
      </c>
      <c r="P19" s="387">
        <f>IF(O19="","",IF(O19="Leve",0.2,IF(O19="Menor",0.4,IF(O19="Moderado",0.6,IF(O19="Mayor",0.8,IF(O19="Catastrófico",1,))))))</f>
        <v>0.6</v>
      </c>
      <c r="Q19" s="384"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208">
        <v>1</v>
      </c>
      <c r="S19" s="139" t="s">
        <v>211</v>
      </c>
      <c r="T19" s="209" t="str">
        <f t="shared" si="25"/>
        <v>Probabilidad</v>
      </c>
      <c r="U19" s="210" t="s">
        <v>14</v>
      </c>
      <c r="V19" s="210" t="s">
        <v>9</v>
      </c>
      <c r="W19" s="211" t="str">
        <f t="shared" si="26"/>
        <v>40%</v>
      </c>
      <c r="X19" s="210" t="s">
        <v>19</v>
      </c>
      <c r="Y19" s="210" t="s">
        <v>22</v>
      </c>
      <c r="Z19" s="210" t="s">
        <v>110</v>
      </c>
      <c r="AA19" s="161">
        <f t="shared" si="27"/>
        <v>0.12</v>
      </c>
      <c r="AB19" s="212" t="str">
        <f t="shared" si="28"/>
        <v>Muy Baja</v>
      </c>
      <c r="AC19" s="213">
        <f t="shared" si="29"/>
        <v>0.12</v>
      </c>
      <c r="AD19" s="212" t="str">
        <f t="shared" si="30"/>
        <v>Moderado</v>
      </c>
      <c r="AE19" s="213">
        <f t="shared" si="31"/>
        <v>0.6</v>
      </c>
      <c r="AF19" s="214" t="str">
        <f t="shared" si="32"/>
        <v>Moderado</v>
      </c>
      <c r="AG19" s="215" t="s">
        <v>122</v>
      </c>
      <c r="AH19" s="126" t="s">
        <v>212</v>
      </c>
      <c r="AI19" s="121" t="s">
        <v>213</v>
      </c>
      <c r="AJ19" s="128">
        <v>44562</v>
      </c>
      <c r="AK19" s="128" t="s">
        <v>374</v>
      </c>
      <c r="AL19" s="126" t="s">
        <v>214</v>
      </c>
      <c r="AM19" s="231"/>
    </row>
    <row r="20" spans="1:39" s="232" customFormat="1" ht="151.5" customHeight="1" x14ac:dyDescent="0.35">
      <c r="A20" s="394"/>
      <c r="B20" s="375"/>
      <c r="C20" s="373"/>
      <c r="D20" s="393"/>
      <c r="E20" s="370"/>
      <c r="F20" s="370"/>
      <c r="G20" s="370"/>
      <c r="H20" s="383"/>
      <c r="I20" s="370"/>
      <c r="J20" s="381"/>
      <c r="K20" s="378"/>
      <c r="L20" s="388"/>
      <c r="M20" s="391"/>
      <c r="N20" s="217"/>
      <c r="O20" s="378"/>
      <c r="P20" s="388"/>
      <c r="Q20" s="385"/>
      <c r="R20" s="208">
        <v>2</v>
      </c>
      <c r="S20" s="139"/>
      <c r="T20" s="209" t="str">
        <f t="shared" ref="T20:T21" si="39">IF(OR(U20="Preventivo",U20="Detectivo"),"Probabilidad",IF(U20="Correctivo","Impacto",""))</f>
        <v/>
      </c>
      <c r="U20" s="233"/>
      <c r="V20" s="233"/>
      <c r="W20" s="234"/>
      <c r="X20" s="233"/>
      <c r="Y20" s="233"/>
      <c r="Z20" s="233"/>
      <c r="AA20" s="162" t="str">
        <f>IFERROR(IF(T20="Probabilidad",(AA19-(+AA19*W20)),IF(T20="Impacto",L20,"")),"")</f>
        <v/>
      </c>
      <c r="AB20" s="212" t="str">
        <f t="shared" ref="AB20:AB21" si="40">IFERROR(IF(AA20="","",IF(AA20&lt;=0.2,"Muy Baja",IF(AA20&lt;=0.4,"Baja",IF(AA20&lt;=0.6,"Media",IF(AA20&lt;=0.8,"Alta","Muy Alta"))))),"")</f>
        <v/>
      </c>
      <c r="AC20" s="235" t="str">
        <f t="shared" ref="AC20:AC21" si="41">+AA20</f>
        <v/>
      </c>
      <c r="AD20" s="212" t="str">
        <f t="shared" ref="AD20:AD21" si="42">IFERROR(IF(AE20="","",IF(AE20&lt;=0.2,"Leve",IF(AE20&lt;=0.4,"Menor",IF(AE20&lt;=0.6,"Moderado",IF(AE20&lt;=0.8,"Mayor","Catastrófico"))))),"")</f>
        <v/>
      </c>
      <c r="AE20" s="235" t="str">
        <f t="shared" ref="AE20:AE21" si="43">IFERROR(IF(T20="Impacto",(P20-(+P20*W20)),IF(T20="Probabilidad",P20,"")),"")</f>
        <v/>
      </c>
      <c r="AF20" s="236"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37"/>
      <c r="AH20" s="126"/>
      <c r="AI20" s="121"/>
      <c r="AJ20" s="128"/>
      <c r="AK20" s="128"/>
      <c r="AL20" s="126"/>
      <c r="AM20" s="231"/>
    </row>
    <row r="21" spans="1:39" s="164" customFormat="1" ht="151.5" customHeight="1" x14ac:dyDescent="0.35">
      <c r="A21" s="396"/>
      <c r="B21" s="376"/>
      <c r="C21" s="373"/>
      <c r="D21" s="393"/>
      <c r="E21" s="370"/>
      <c r="F21" s="370"/>
      <c r="G21" s="370"/>
      <c r="H21" s="383"/>
      <c r="I21" s="370"/>
      <c r="J21" s="381"/>
      <c r="K21" s="379"/>
      <c r="L21" s="389"/>
      <c r="M21" s="391"/>
      <c r="N21" s="142"/>
      <c r="O21" s="379"/>
      <c r="P21" s="389"/>
      <c r="Q21" s="386"/>
      <c r="R21" s="130">
        <v>3</v>
      </c>
      <c r="S21" s="98"/>
      <c r="T21" s="131" t="str">
        <f t="shared" si="39"/>
        <v/>
      </c>
      <c r="U21" s="147"/>
      <c r="V21" s="147"/>
      <c r="W21" s="148"/>
      <c r="X21" s="147"/>
      <c r="Y21" s="147"/>
      <c r="Z21" s="147"/>
      <c r="AA21" s="149" t="str">
        <f>IFERROR(IF(T21="Probabilidad",(AA20-(+AA20*W21)),IF(T21="Impacto",L21,"")),"")</f>
        <v/>
      </c>
      <c r="AB21" s="135" t="str">
        <f t="shared" si="40"/>
        <v/>
      </c>
      <c r="AC21" s="150" t="str">
        <f t="shared" si="41"/>
        <v/>
      </c>
      <c r="AD21" s="135" t="str">
        <f t="shared" si="42"/>
        <v/>
      </c>
      <c r="AE21" s="150" t="str">
        <f t="shared" si="43"/>
        <v/>
      </c>
      <c r="AF21" s="151" t="str">
        <f t="shared" si="44"/>
        <v/>
      </c>
      <c r="AG21" s="152"/>
      <c r="AH21" s="119"/>
      <c r="AI21" s="127"/>
      <c r="AJ21" s="143"/>
      <c r="AK21" s="143"/>
      <c r="AL21" s="119"/>
      <c r="AM21" s="140"/>
    </row>
    <row r="22" spans="1:39" s="164" customFormat="1" ht="172" customHeight="1" x14ac:dyDescent="0.35">
      <c r="A22" s="395">
        <v>6</v>
      </c>
      <c r="B22" s="374" t="s">
        <v>207</v>
      </c>
      <c r="C22" s="372" t="s">
        <v>208</v>
      </c>
      <c r="D22" s="372" t="s">
        <v>376</v>
      </c>
      <c r="E22" s="371" t="s">
        <v>119</v>
      </c>
      <c r="F22" s="369" t="s">
        <v>215</v>
      </c>
      <c r="G22" s="371" t="s">
        <v>216</v>
      </c>
      <c r="H22" s="382" t="s">
        <v>340</v>
      </c>
      <c r="I22" s="371" t="s">
        <v>329</v>
      </c>
      <c r="J22" s="380">
        <v>1</v>
      </c>
      <c r="K22" s="377" t="str">
        <f>IF(J22&lt;=0,"",IF(J22&lt;=2,"Muy Baja",IF(J22&lt;=24,"Baja",IF(J22&lt;=500,"Media",IF(J22&lt;=5000,"Alta","Muy Alta")))))</f>
        <v>Muy Baja</v>
      </c>
      <c r="L22" s="387">
        <f>IF(K22="","",IF(K22="Muy Baja",0.2,IF(K22="Baja",0.4,IF(K22="Media",0.6,IF(K22="Alta",0.8,IF(K22="Muy Alta",1,))))))</f>
        <v>0.2</v>
      </c>
      <c r="M22" s="390" t="s">
        <v>486</v>
      </c>
      <c r="N22" s="129" t="str">
        <f>IF(NOT(ISERROR(MATCH(M22,'Tabla Impacto'!$B$221:$B$223,0))),'Tabla Impacto'!$F$223&amp;"Por favor no seleccionar los criterios de impacto(Afectación Económica o presupuestal y Pérdida Reputacional)",M22)</f>
        <v xml:space="preserve"> Entre 50 y 100 SMLMV </v>
      </c>
      <c r="O22" s="377" t="str">
        <f>IF(OR(N22='Tabla Impacto'!$C$11,N22='Tabla Impacto'!$D$11),"Leve",IF(OR(N22='Tabla Impacto'!$C$12,N22='Tabla Impacto'!$D$12),"Menor",IF(OR(N22='Tabla Impacto'!$C$13,N22='Tabla Impacto'!$D$13),"Moderado",IF(OR(N22='Tabla Impacto'!$C$14,N22='Tabla Impacto'!$D$14),"Mayor",IF(OR(N22='Tabla Impacto'!$C$15,N22='Tabla Impacto'!$D$15),"Catastrófico","")))))</f>
        <v>Moderado</v>
      </c>
      <c r="P22" s="387">
        <f>IF(O22="","",IF(O22="Leve",0.2,IF(O22="Menor",0.4,IF(O22="Moderado",0.6,IF(O22="Mayor",0.8,IF(O22="Catastrófico",1,))))))</f>
        <v>0.6</v>
      </c>
      <c r="Q22" s="384"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30">
        <v>1</v>
      </c>
      <c r="S22" s="98" t="s">
        <v>217</v>
      </c>
      <c r="T22" s="131" t="str">
        <f t="shared" si="25"/>
        <v>Probabilidad</v>
      </c>
      <c r="U22" s="132" t="s">
        <v>15</v>
      </c>
      <c r="V22" s="132" t="s">
        <v>9</v>
      </c>
      <c r="W22" s="133" t="str">
        <f t="shared" si="26"/>
        <v>30%</v>
      </c>
      <c r="X22" s="132" t="s">
        <v>20</v>
      </c>
      <c r="Y22" s="132" t="s">
        <v>23</v>
      </c>
      <c r="Z22" s="132" t="s">
        <v>111</v>
      </c>
      <c r="AA22" s="134">
        <f t="shared" si="27"/>
        <v>0.14000000000000001</v>
      </c>
      <c r="AB22" s="135" t="str">
        <f t="shared" si="28"/>
        <v>Muy Baja</v>
      </c>
      <c r="AC22" s="136">
        <f t="shared" si="29"/>
        <v>0.14000000000000001</v>
      </c>
      <c r="AD22" s="135" t="str">
        <f t="shared" si="30"/>
        <v>Moderado</v>
      </c>
      <c r="AE22" s="136">
        <f t="shared" si="31"/>
        <v>0.6</v>
      </c>
      <c r="AF22" s="137" t="str">
        <f t="shared" si="32"/>
        <v>Moderado</v>
      </c>
      <c r="AG22" s="138" t="s">
        <v>122</v>
      </c>
      <c r="AH22" s="119" t="s">
        <v>218</v>
      </c>
      <c r="AI22" s="127" t="s">
        <v>204</v>
      </c>
      <c r="AJ22" s="128">
        <v>44562</v>
      </c>
      <c r="AK22" s="128" t="s">
        <v>374</v>
      </c>
      <c r="AL22" s="126" t="s">
        <v>330</v>
      </c>
      <c r="AM22" s="140"/>
    </row>
    <row r="23" spans="1:39" s="164" customFormat="1" ht="151.5" customHeight="1" x14ac:dyDescent="0.35">
      <c r="A23" s="394"/>
      <c r="B23" s="375"/>
      <c r="C23" s="373"/>
      <c r="D23" s="393"/>
      <c r="E23" s="370"/>
      <c r="F23" s="370"/>
      <c r="G23" s="370"/>
      <c r="H23" s="383"/>
      <c r="I23" s="370"/>
      <c r="J23" s="381"/>
      <c r="K23" s="378"/>
      <c r="L23" s="388"/>
      <c r="M23" s="391"/>
      <c r="N23" s="142"/>
      <c r="O23" s="378"/>
      <c r="P23" s="388"/>
      <c r="Q23" s="385"/>
      <c r="R23" s="130">
        <v>2</v>
      </c>
      <c r="S23" s="98"/>
      <c r="T23" s="131" t="str">
        <f t="shared" ref="T23:T45" si="45">IF(OR(U23="Preventivo",U23="Detectivo"),"Probabilidad",IF(U23="Correctivo","Impacto",""))</f>
        <v/>
      </c>
      <c r="U23" s="132"/>
      <c r="V23" s="132"/>
      <c r="W23" s="133" t="str">
        <f t="shared" ref="W23:W44" si="46">IF(AND(U23="Preventivo",V23="Automático"),"50%",IF(AND(U23="Preventivo",V23="Manual"),"40%",IF(AND(U23="Detectivo",V23="Automático"),"40%",IF(AND(U23="Detectivo",V23="Manual"),"30%",IF(AND(U23="Correctivo",V23="Automático"),"35%",IF(AND(U23="Correctivo",V23="Manual"),"25%",""))))))</f>
        <v/>
      </c>
      <c r="X23" s="132"/>
      <c r="Y23" s="132"/>
      <c r="Z23" s="132"/>
      <c r="AA23" s="134" t="str">
        <f>IFERROR(IF(T23="Probabilidad",(AA22-(+AA22*W23)),IF(T23="Impacto",L23,"")),"")</f>
        <v/>
      </c>
      <c r="AB23" s="135" t="str">
        <f t="shared" ref="AB23:AB45" si="47">IFERROR(IF(AA23="","",IF(AA23&lt;=0.2,"Muy Baja",IF(AA23&lt;=0.4,"Baja",IF(AA23&lt;=0.6,"Media",IF(AA23&lt;=0.8,"Alta","Muy Alta"))))),"")</f>
        <v/>
      </c>
      <c r="AC23" s="136" t="str">
        <f t="shared" ref="AC23:AC45" si="48">+AA23</f>
        <v/>
      </c>
      <c r="AD23" s="135" t="str">
        <f t="shared" ref="AD23:AD45" si="49">IFERROR(IF(AE23="","",IF(AE23&lt;=0.2,"Leve",IF(AE23&lt;=0.4,"Menor",IF(AE23&lt;=0.6,"Moderado",IF(AE23&lt;=0.8,"Mayor","Catastrófico"))))),"")</f>
        <v/>
      </c>
      <c r="AE23" s="136" t="str">
        <f t="shared" ref="AE23:AE45" si="50">IFERROR(IF(T23="Impacto",(P23-(+P23*W23)),IF(T23="Probabilidad",P23,"")),"")</f>
        <v/>
      </c>
      <c r="AF23" s="137"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8"/>
      <c r="AH23" s="119"/>
      <c r="AI23" s="127"/>
      <c r="AJ23" s="143"/>
      <c r="AK23" s="143"/>
      <c r="AL23" s="119"/>
      <c r="AM23" s="140"/>
    </row>
    <row r="24" spans="1:39" s="164" customFormat="1" ht="151.5" customHeight="1" x14ac:dyDescent="0.35">
      <c r="A24" s="394"/>
      <c r="B24" s="376"/>
      <c r="C24" s="373"/>
      <c r="D24" s="393"/>
      <c r="E24" s="370"/>
      <c r="F24" s="370"/>
      <c r="G24" s="370"/>
      <c r="H24" s="383"/>
      <c r="I24" s="370"/>
      <c r="J24" s="381"/>
      <c r="K24" s="379"/>
      <c r="L24" s="389"/>
      <c r="M24" s="391"/>
      <c r="N24" s="142"/>
      <c r="O24" s="379"/>
      <c r="P24" s="389"/>
      <c r="Q24" s="386"/>
      <c r="R24" s="130">
        <v>3</v>
      </c>
      <c r="S24" s="98"/>
      <c r="T24" s="131" t="str">
        <f t="shared" si="45"/>
        <v/>
      </c>
      <c r="U24" s="132"/>
      <c r="V24" s="132"/>
      <c r="W24" s="133" t="str">
        <f t="shared" si="46"/>
        <v/>
      </c>
      <c r="X24" s="132"/>
      <c r="Y24" s="132"/>
      <c r="Z24" s="132"/>
      <c r="AA24" s="134" t="str">
        <f>IFERROR(IF(T24="Probabilidad",(AA23-(+AA23*W24)),IF(T24="Impacto",L24,"")),"")</f>
        <v/>
      </c>
      <c r="AB24" s="135" t="str">
        <f t="shared" si="47"/>
        <v/>
      </c>
      <c r="AC24" s="136" t="str">
        <f t="shared" si="48"/>
        <v/>
      </c>
      <c r="AD24" s="135" t="str">
        <f t="shared" si="49"/>
        <v/>
      </c>
      <c r="AE24" s="136" t="str">
        <f t="shared" si="50"/>
        <v/>
      </c>
      <c r="AF24" s="137" t="str">
        <f t="shared" si="51"/>
        <v/>
      </c>
      <c r="AG24" s="138"/>
      <c r="AH24" s="119"/>
      <c r="AI24" s="127"/>
      <c r="AJ24" s="143"/>
      <c r="AK24" s="143"/>
      <c r="AL24" s="119"/>
      <c r="AM24" s="140"/>
    </row>
    <row r="25" spans="1:39" s="164" customFormat="1" ht="226.5" customHeight="1" x14ac:dyDescent="0.35">
      <c r="A25" s="394">
        <v>7</v>
      </c>
      <c r="B25" s="374" t="s">
        <v>219</v>
      </c>
      <c r="C25" s="372" t="s">
        <v>220</v>
      </c>
      <c r="D25" s="372" t="s">
        <v>221</v>
      </c>
      <c r="E25" s="371" t="s">
        <v>120</v>
      </c>
      <c r="F25" s="369" t="s">
        <v>222</v>
      </c>
      <c r="G25" s="371" t="s">
        <v>223</v>
      </c>
      <c r="H25" s="382" t="s">
        <v>586</v>
      </c>
      <c r="I25" s="371" t="s">
        <v>115</v>
      </c>
      <c r="J25" s="380">
        <v>1460</v>
      </c>
      <c r="K25" s="377" t="str">
        <f>IF(J25&lt;=0,"",IF(J25&lt;=2,"Muy Baja",IF(J25&lt;=24,"Baja",IF(J25&lt;=500,"Media",IF(J25&lt;=5000,"Alta","Muy Alta")))))</f>
        <v>Alta</v>
      </c>
      <c r="L25" s="387">
        <f>IF(K25="","",IF(K25="Muy Baja",0.2,IF(K25="Baja",0.4,IF(K25="Media",0.6,IF(K25="Alta",0.8,IF(K25="Muy Alta",1,))))))</f>
        <v>0.8</v>
      </c>
      <c r="M25" s="390" t="s">
        <v>487</v>
      </c>
      <c r="N25" s="129" t="str">
        <f>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77" t="str">
        <f>IF(OR(N25='Tabla Impacto'!$C$11,N25='Tabla Impacto'!$D$11),"Leve",IF(OR(N25='Tabla Impacto'!$C$12,N25='Tabla Impacto'!$D$12),"Menor",IF(OR(N25='Tabla Impacto'!$C$13,N25='Tabla Impacto'!$D$13),"Moderado",IF(OR(N25='Tabla Impacto'!$C$14,N25='Tabla Impacto'!$D$14),"Mayor",IF(OR(N25='Tabla Impacto'!$C$15,N25='Tabla Impacto'!$D$15),"Catastrófico","")))))</f>
        <v>Moderado</v>
      </c>
      <c r="P25" s="387">
        <f>IF(O25="","",IF(O25="Leve",0.2,IF(O25="Menor",0.4,IF(O25="Moderado",0.6,IF(O25="Mayor",0.8,IF(O25="Catastrófico",1,))))))</f>
        <v>0.6</v>
      </c>
      <c r="Q25" s="384"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30">
        <v>1</v>
      </c>
      <c r="S25" s="119" t="s">
        <v>587</v>
      </c>
      <c r="T25" s="159" t="str">
        <f t="shared" si="45"/>
        <v>Probabilidad</v>
      </c>
      <c r="U25" s="147" t="s">
        <v>14</v>
      </c>
      <c r="V25" s="132" t="s">
        <v>9</v>
      </c>
      <c r="W25" s="133" t="str">
        <f t="shared" si="46"/>
        <v>40%</v>
      </c>
      <c r="X25" s="132" t="s">
        <v>19</v>
      </c>
      <c r="Y25" s="132" t="s">
        <v>22</v>
      </c>
      <c r="Z25" s="132" t="s">
        <v>110</v>
      </c>
      <c r="AA25" s="134">
        <f t="shared" ref="AA25:AA43" si="52">IFERROR(IF(T25="Probabilidad",(L25-(+L25*W25)),IF(T25="Impacto",L25,"")),"")</f>
        <v>0.48</v>
      </c>
      <c r="AB25" s="135" t="str">
        <f t="shared" si="47"/>
        <v>Media</v>
      </c>
      <c r="AC25" s="136">
        <f t="shared" si="48"/>
        <v>0.48</v>
      </c>
      <c r="AD25" s="135" t="str">
        <f t="shared" si="49"/>
        <v>Moderado</v>
      </c>
      <c r="AE25" s="136">
        <f t="shared" si="50"/>
        <v>0.6</v>
      </c>
      <c r="AF25" s="137" t="str">
        <f t="shared" si="51"/>
        <v>Moderado</v>
      </c>
      <c r="AG25" s="138" t="s">
        <v>122</v>
      </c>
      <c r="AH25" s="153" t="s">
        <v>224</v>
      </c>
      <c r="AI25" s="154" t="s">
        <v>213</v>
      </c>
      <c r="AJ25" s="128">
        <v>44562</v>
      </c>
      <c r="AK25" s="128" t="s">
        <v>374</v>
      </c>
      <c r="AL25" s="153" t="s">
        <v>588</v>
      </c>
      <c r="AM25" s="140"/>
    </row>
    <row r="26" spans="1:39" s="164" customFormat="1" ht="151.5" customHeight="1" x14ac:dyDescent="0.35">
      <c r="A26" s="394"/>
      <c r="B26" s="375"/>
      <c r="C26" s="373"/>
      <c r="D26" s="393"/>
      <c r="E26" s="370"/>
      <c r="F26" s="370"/>
      <c r="G26" s="370"/>
      <c r="H26" s="383"/>
      <c r="I26" s="370"/>
      <c r="J26" s="381"/>
      <c r="K26" s="378"/>
      <c r="L26" s="388"/>
      <c r="M26" s="391"/>
      <c r="N26" s="142"/>
      <c r="O26" s="378"/>
      <c r="P26" s="388"/>
      <c r="Q26" s="385"/>
      <c r="R26" s="130">
        <v>2</v>
      </c>
      <c r="S26" s="98"/>
      <c r="T26" s="131" t="str">
        <f t="shared" si="45"/>
        <v/>
      </c>
      <c r="U26" s="132"/>
      <c r="V26" s="132"/>
      <c r="W26" s="133"/>
      <c r="X26" s="132"/>
      <c r="Y26" s="132"/>
      <c r="Z26" s="132"/>
      <c r="AA26" s="134" t="str">
        <f>IFERROR(IF(T26="Probabilidad",(AA25-(+AA25*W26)),IF(T26="Impacto",L26,"")),"")</f>
        <v/>
      </c>
      <c r="AB26" s="135" t="str">
        <f t="shared" si="47"/>
        <v/>
      </c>
      <c r="AC26" s="136" t="str">
        <f t="shared" si="48"/>
        <v/>
      </c>
      <c r="AD26" s="135" t="str">
        <f t="shared" si="49"/>
        <v/>
      </c>
      <c r="AE26" s="136" t="str">
        <f t="shared" si="50"/>
        <v/>
      </c>
      <c r="AF26" s="137" t="str">
        <f t="shared" si="51"/>
        <v/>
      </c>
      <c r="AG26" s="138"/>
      <c r="AH26" s="119"/>
      <c r="AI26" s="127"/>
      <c r="AJ26" s="143"/>
      <c r="AK26" s="143"/>
      <c r="AL26" s="119"/>
      <c r="AM26" s="140"/>
    </row>
    <row r="27" spans="1:39" s="164" customFormat="1" ht="151.5" customHeight="1" x14ac:dyDescent="0.35">
      <c r="A27" s="394"/>
      <c r="B27" s="376"/>
      <c r="C27" s="373"/>
      <c r="D27" s="393"/>
      <c r="E27" s="370"/>
      <c r="F27" s="370"/>
      <c r="G27" s="370"/>
      <c r="H27" s="383"/>
      <c r="I27" s="370"/>
      <c r="J27" s="381"/>
      <c r="K27" s="379"/>
      <c r="L27" s="389"/>
      <c r="M27" s="391"/>
      <c r="N27" s="142"/>
      <c r="O27" s="379"/>
      <c r="P27" s="389"/>
      <c r="Q27" s="386"/>
      <c r="R27" s="130">
        <v>3</v>
      </c>
      <c r="S27" s="98"/>
      <c r="T27" s="131" t="str">
        <f t="shared" si="45"/>
        <v/>
      </c>
      <c r="U27" s="132"/>
      <c r="V27" s="132"/>
      <c r="W27" s="133"/>
      <c r="X27" s="132"/>
      <c r="Y27" s="132"/>
      <c r="Z27" s="132"/>
      <c r="AA27" s="134" t="str">
        <f>IFERROR(IF(T27="Probabilidad",(AA26-(+AA26*W27)),IF(T27="Impacto",L27,"")),"")</f>
        <v/>
      </c>
      <c r="AB27" s="135" t="str">
        <f t="shared" si="47"/>
        <v/>
      </c>
      <c r="AC27" s="136" t="str">
        <f t="shared" si="48"/>
        <v/>
      </c>
      <c r="AD27" s="135" t="str">
        <f t="shared" si="49"/>
        <v/>
      </c>
      <c r="AE27" s="136" t="str">
        <f t="shared" si="50"/>
        <v/>
      </c>
      <c r="AF27" s="137" t="str">
        <f t="shared" si="51"/>
        <v/>
      </c>
      <c r="AG27" s="138"/>
      <c r="AH27" s="119"/>
      <c r="AI27" s="127"/>
      <c r="AJ27" s="143"/>
      <c r="AK27" s="143"/>
      <c r="AL27" s="119"/>
      <c r="AM27" s="140"/>
    </row>
    <row r="28" spans="1:39" s="164" customFormat="1" ht="151.5" customHeight="1" x14ac:dyDescent="0.35">
      <c r="A28" s="394">
        <v>8</v>
      </c>
      <c r="B28" s="374" t="s">
        <v>225</v>
      </c>
      <c r="C28" s="372" t="s">
        <v>220</v>
      </c>
      <c r="D28" s="372" t="s">
        <v>221</v>
      </c>
      <c r="E28" s="371" t="s">
        <v>118</v>
      </c>
      <c r="F28" s="371" t="s">
        <v>226</v>
      </c>
      <c r="G28" s="371" t="s">
        <v>440</v>
      </c>
      <c r="H28" s="382" t="s">
        <v>227</v>
      </c>
      <c r="I28" s="371" t="s">
        <v>329</v>
      </c>
      <c r="J28" s="380">
        <v>1460</v>
      </c>
      <c r="K28" s="377" t="str">
        <f>IF(J28&lt;=0,"",IF(J28&lt;=2,"Muy Baja",IF(J28&lt;=24,"Baja",IF(J28&lt;=500,"Media",IF(J28&lt;=5000,"Alta","Muy Alta")))))</f>
        <v>Alta</v>
      </c>
      <c r="L28" s="387">
        <f>IF(K28="","",IF(K28="Muy Baja",0.2,IF(K28="Baja",0.4,IF(K28="Media",0.6,IF(K28="Alta",0.8,IF(K28="Muy Alta",1,))))))</f>
        <v>0.8</v>
      </c>
      <c r="M28" s="390" t="s">
        <v>494</v>
      </c>
      <c r="N28" s="129" t="str">
        <f>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377" t="str">
        <f>IF(OR(N28='Tabla Impacto'!$C$11,N28='Tabla Impacto'!$D$11),"Leve",IF(OR(N28='Tabla Impacto'!$C$12,N28='Tabla Impacto'!$D$12),"Menor",IF(OR(N28='Tabla Impacto'!$C$13,N28='Tabla Impacto'!$D$13),"Moderado",IF(OR(N28='Tabla Impacto'!$C$14,N28='Tabla Impacto'!$D$14),"Mayor",IF(OR(N28='Tabla Impacto'!$C$15,N28='Tabla Impacto'!$D$15),"Catastrófico","")))))</f>
        <v>Mayor</v>
      </c>
      <c r="P28" s="387">
        <f>IF(O28="","",IF(O28="Leve",0.2,IF(O28="Menor",0.4,IF(O28="Moderado",0.6,IF(O28="Mayor",0.8,IF(O28="Catastrófico",1,))))))</f>
        <v>0.8</v>
      </c>
      <c r="Q28" s="384"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0">
        <v>1</v>
      </c>
      <c r="S28" s="120" t="s">
        <v>228</v>
      </c>
      <c r="T28" s="131" t="str">
        <f t="shared" si="45"/>
        <v>Probabilidad</v>
      </c>
      <c r="U28" s="132" t="s">
        <v>14</v>
      </c>
      <c r="V28" s="132" t="s">
        <v>9</v>
      </c>
      <c r="W28" s="133" t="str">
        <f t="shared" si="46"/>
        <v>40%</v>
      </c>
      <c r="X28" s="132" t="s">
        <v>19</v>
      </c>
      <c r="Y28" s="132" t="s">
        <v>22</v>
      </c>
      <c r="Z28" s="132" t="s">
        <v>110</v>
      </c>
      <c r="AA28" s="134">
        <f t="shared" si="52"/>
        <v>0.48</v>
      </c>
      <c r="AB28" s="135" t="str">
        <f t="shared" si="47"/>
        <v>Media</v>
      </c>
      <c r="AC28" s="136">
        <f t="shared" si="48"/>
        <v>0.48</v>
      </c>
      <c r="AD28" s="135" t="str">
        <f t="shared" si="49"/>
        <v>Mayor</v>
      </c>
      <c r="AE28" s="136">
        <f t="shared" si="50"/>
        <v>0.8</v>
      </c>
      <c r="AF28" s="137" t="str">
        <f t="shared" si="51"/>
        <v>Alto</v>
      </c>
      <c r="AG28" s="138" t="s">
        <v>122</v>
      </c>
      <c r="AH28" s="153" t="s">
        <v>230</v>
      </c>
      <c r="AI28" s="154" t="s">
        <v>213</v>
      </c>
      <c r="AJ28" s="128">
        <v>44562</v>
      </c>
      <c r="AK28" s="128" t="s">
        <v>374</v>
      </c>
      <c r="AL28" s="153" t="s">
        <v>231</v>
      </c>
      <c r="AM28" s="140"/>
    </row>
    <row r="29" spans="1:39" s="164" customFormat="1" ht="151.5" customHeight="1" x14ac:dyDescent="0.35">
      <c r="A29" s="394"/>
      <c r="B29" s="375"/>
      <c r="C29" s="373"/>
      <c r="D29" s="393"/>
      <c r="E29" s="370"/>
      <c r="F29" s="370"/>
      <c r="G29" s="370"/>
      <c r="H29" s="383"/>
      <c r="I29" s="370"/>
      <c r="J29" s="381"/>
      <c r="K29" s="378"/>
      <c r="L29" s="388"/>
      <c r="M29" s="391"/>
      <c r="N29" s="142"/>
      <c r="O29" s="378"/>
      <c r="P29" s="388"/>
      <c r="Q29" s="385"/>
      <c r="R29" s="130">
        <v>2</v>
      </c>
      <c r="S29" s="120" t="s">
        <v>229</v>
      </c>
      <c r="T29" s="131" t="str">
        <f t="shared" si="45"/>
        <v>Probabilidad</v>
      </c>
      <c r="U29" s="132" t="s">
        <v>14</v>
      </c>
      <c r="V29" s="132" t="s">
        <v>9</v>
      </c>
      <c r="W29" s="133" t="str">
        <f t="shared" si="46"/>
        <v>40%</v>
      </c>
      <c r="X29" s="132" t="s">
        <v>19</v>
      </c>
      <c r="Y29" s="132" t="s">
        <v>22</v>
      </c>
      <c r="Z29" s="132" t="s">
        <v>110</v>
      </c>
      <c r="AA29" s="134">
        <f>IFERROR(IF(T29="Probabilidad",(AA28-(+AA28*W29)),IF(T29="Impacto",L29,"")),"")</f>
        <v>0.28799999999999998</v>
      </c>
      <c r="AB29" s="135" t="str">
        <f t="shared" si="47"/>
        <v>Baja</v>
      </c>
      <c r="AC29" s="136">
        <f t="shared" si="48"/>
        <v>0.28799999999999998</v>
      </c>
      <c r="AD29" s="135" t="str">
        <f t="shared" si="49"/>
        <v>Mayor</v>
      </c>
      <c r="AE29" s="136">
        <v>0.8</v>
      </c>
      <c r="AF29" s="137" t="str">
        <f t="shared" si="51"/>
        <v>Alto</v>
      </c>
      <c r="AG29" s="138" t="s">
        <v>122</v>
      </c>
      <c r="AH29" s="153" t="s">
        <v>232</v>
      </c>
      <c r="AI29" s="154" t="s">
        <v>213</v>
      </c>
      <c r="AJ29" s="128">
        <v>44562</v>
      </c>
      <c r="AK29" s="128" t="s">
        <v>374</v>
      </c>
      <c r="AL29" s="153" t="s">
        <v>231</v>
      </c>
      <c r="AM29" s="140"/>
    </row>
    <row r="30" spans="1:39" s="164" customFormat="1" ht="151.5" customHeight="1" x14ac:dyDescent="0.35">
      <c r="A30" s="394"/>
      <c r="B30" s="376"/>
      <c r="C30" s="373"/>
      <c r="D30" s="393"/>
      <c r="E30" s="370"/>
      <c r="F30" s="370"/>
      <c r="G30" s="370"/>
      <c r="H30" s="383"/>
      <c r="I30" s="370"/>
      <c r="J30" s="381"/>
      <c r="K30" s="379"/>
      <c r="L30" s="389"/>
      <c r="M30" s="391"/>
      <c r="N30" s="142"/>
      <c r="O30" s="379"/>
      <c r="P30" s="389"/>
      <c r="Q30" s="386"/>
      <c r="R30" s="130">
        <v>3</v>
      </c>
      <c r="S30" s="98"/>
      <c r="T30" s="131" t="str">
        <f t="shared" si="45"/>
        <v/>
      </c>
      <c r="U30" s="132"/>
      <c r="V30" s="132"/>
      <c r="W30" s="133"/>
      <c r="X30" s="132"/>
      <c r="Y30" s="132"/>
      <c r="Z30" s="132"/>
      <c r="AA30" s="134" t="str">
        <f>IFERROR(IF(T30="Probabilidad",(AA29-(+AA29*W30)),IF(T30="Impacto",L30,"")),"")</f>
        <v/>
      </c>
      <c r="AB30" s="135" t="str">
        <f t="shared" si="47"/>
        <v/>
      </c>
      <c r="AC30" s="136" t="str">
        <f t="shared" si="48"/>
        <v/>
      </c>
      <c r="AD30" s="135" t="str">
        <f t="shared" si="49"/>
        <v/>
      </c>
      <c r="AE30" s="136" t="str">
        <f t="shared" si="50"/>
        <v/>
      </c>
      <c r="AF30" s="137" t="str">
        <f t="shared" si="51"/>
        <v/>
      </c>
      <c r="AG30" s="138"/>
      <c r="AH30" s="119"/>
      <c r="AI30" s="127"/>
      <c r="AJ30" s="143"/>
      <c r="AK30" s="143"/>
      <c r="AL30" s="119"/>
      <c r="AM30" s="140"/>
    </row>
    <row r="31" spans="1:39" s="164" customFormat="1" ht="151.5" customHeight="1" x14ac:dyDescent="0.35">
      <c r="A31" s="394">
        <v>9</v>
      </c>
      <c r="B31" s="374" t="s">
        <v>225</v>
      </c>
      <c r="C31" s="372" t="s">
        <v>220</v>
      </c>
      <c r="D31" s="372" t="s">
        <v>221</v>
      </c>
      <c r="E31" s="371" t="s">
        <v>120</v>
      </c>
      <c r="F31" s="371" t="s">
        <v>512</v>
      </c>
      <c r="G31" s="371" t="s">
        <v>233</v>
      </c>
      <c r="H31" s="382" t="s">
        <v>234</v>
      </c>
      <c r="I31" s="371" t="s">
        <v>329</v>
      </c>
      <c r="J31" s="380">
        <v>1460</v>
      </c>
      <c r="K31" s="377" t="str">
        <f>IF(J31&lt;=0,"",IF(J31&lt;=2,"Muy Baja",IF(J31&lt;=24,"Baja",IF(J31&lt;=500,"Media",IF(J31&lt;=5000,"Alta","Muy Alta")))))</f>
        <v>Alta</v>
      </c>
      <c r="L31" s="387">
        <f>IF(K31="","",IF(K31="Muy Baja",0.2,IF(K31="Baja",0.4,IF(K31="Media",0.6,IF(K31="Alta",0.8,IF(K31="Muy Alta",1,))))))</f>
        <v>0.8</v>
      </c>
      <c r="M31" s="390" t="s">
        <v>487</v>
      </c>
      <c r="N31" s="129"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77" t="str">
        <f>IF(OR(N31='Tabla Impacto'!$C$11,N31='Tabla Impacto'!$D$11),"Leve",IF(OR(N31='Tabla Impacto'!$C$12,N31='Tabla Impacto'!$D$12),"Menor",IF(OR(N31='Tabla Impacto'!$C$13,N31='Tabla Impacto'!$D$13),"Moderado",IF(OR(N31='Tabla Impacto'!$C$14,N31='Tabla Impacto'!$D$14),"Mayor",IF(OR(N31='Tabla Impacto'!$C$15,N31='Tabla Impacto'!$D$15),"Catastrófico","")))))</f>
        <v>Moderado</v>
      </c>
      <c r="P31" s="387">
        <f>IF(O31="","",IF(O31="Leve",0.2,IF(O31="Menor",0.4,IF(O31="Moderado",0.6,IF(O31="Mayor",0.8,IF(O31="Catastrófico",1,))))))</f>
        <v>0.6</v>
      </c>
      <c r="Q31" s="384"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0">
        <v>1</v>
      </c>
      <c r="S31" s="98" t="s">
        <v>228</v>
      </c>
      <c r="T31" s="131" t="str">
        <f t="shared" si="45"/>
        <v>Probabilidad</v>
      </c>
      <c r="U31" s="132" t="s">
        <v>14</v>
      </c>
      <c r="V31" s="132" t="s">
        <v>9</v>
      </c>
      <c r="W31" s="133" t="str">
        <f t="shared" si="46"/>
        <v>40%</v>
      </c>
      <c r="X31" s="132" t="s">
        <v>19</v>
      </c>
      <c r="Y31" s="132" t="s">
        <v>23</v>
      </c>
      <c r="Z31" s="132" t="s">
        <v>110</v>
      </c>
      <c r="AA31" s="134">
        <f t="shared" si="52"/>
        <v>0.48</v>
      </c>
      <c r="AB31" s="135" t="str">
        <f t="shared" si="47"/>
        <v>Media</v>
      </c>
      <c r="AC31" s="136">
        <f t="shared" si="48"/>
        <v>0.48</v>
      </c>
      <c r="AD31" s="135" t="str">
        <f t="shared" si="49"/>
        <v>Moderado</v>
      </c>
      <c r="AE31" s="136">
        <f t="shared" si="50"/>
        <v>0.6</v>
      </c>
      <c r="AF31" s="137" t="str">
        <f t="shared" si="51"/>
        <v>Moderado</v>
      </c>
      <c r="AG31" s="138" t="s">
        <v>122</v>
      </c>
      <c r="AH31" s="153" t="s">
        <v>237</v>
      </c>
      <c r="AI31" s="154" t="s">
        <v>213</v>
      </c>
      <c r="AJ31" s="128">
        <v>44562</v>
      </c>
      <c r="AK31" s="128" t="s">
        <v>374</v>
      </c>
      <c r="AL31" s="153" t="s">
        <v>236</v>
      </c>
      <c r="AM31" s="127"/>
    </row>
    <row r="32" spans="1:39" s="164" customFormat="1" ht="151.5" customHeight="1" x14ac:dyDescent="0.35">
      <c r="A32" s="394"/>
      <c r="B32" s="375"/>
      <c r="C32" s="373"/>
      <c r="D32" s="393"/>
      <c r="E32" s="370"/>
      <c r="F32" s="370"/>
      <c r="G32" s="370"/>
      <c r="H32" s="383"/>
      <c r="I32" s="370"/>
      <c r="J32" s="381"/>
      <c r="K32" s="378"/>
      <c r="L32" s="388"/>
      <c r="M32" s="391"/>
      <c r="N32" s="142"/>
      <c r="O32" s="378"/>
      <c r="P32" s="388"/>
      <c r="Q32" s="385"/>
      <c r="R32" s="130">
        <v>2</v>
      </c>
      <c r="S32" s="98" t="s">
        <v>229</v>
      </c>
      <c r="T32" s="131" t="str">
        <f t="shared" si="45"/>
        <v>Probabilidad</v>
      </c>
      <c r="U32" s="132" t="s">
        <v>14</v>
      </c>
      <c r="V32" s="132" t="s">
        <v>9</v>
      </c>
      <c r="W32" s="133" t="str">
        <f t="shared" si="46"/>
        <v>40%</v>
      </c>
      <c r="X32" s="132" t="s">
        <v>19</v>
      </c>
      <c r="Y32" s="132" t="s">
        <v>23</v>
      </c>
      <c r="Z32" s="132" t="s">
        <v>111</v>
      </c>
      <c r="AA32" s="134">
        <f>IFERROR(IF(T32="Probabilidad",(AA31-(+AA31*W32)),IF(T32="Impacto",L32,"")),"")</f>
        <v>0.28799999999999998</v>
      </c>
      <c r="AB32" s="135" t="str">
        <f t="shared" si="47"/>
        <v>Baja</v>
      </c>
      <c r="AC32" s="136">
        <f t="shared" si="48"/>
        <v>0.28799999999999998</v>
      </c>
      <c r="AD32" s="135" t="str">
        <f t="shared" si="49"/>
        <v>Moderado</v>
      </c>
      <c r="AE32" s="136">
        <v>0.6</v>
      </c>
      <c r="AF32" s="137" t="str">
        <f t="shared" si="51"/>
        <v>Moderado</v>
      </c>
      <c r="AG32" s="138" t="s">
        <v>122</v>
      </c>
      <c r="AH32" s="153" t="s">
        <v>237</v>
      </c>
      <c r="AI32" s="154" t="s">
        <v>213</v>
      </c>
      <c r="AJ32" s="128">
        <v>44562</v>
      </c>
      <c r="AK32" s="128" t="s">
        <v>374</v>
      </c>
      <c r="AL32" s="153" t="s">
        <v>236</v>
      </c>
      <c r="AM32" s="127"/>
    </row>
    <row r="33" spans="1:39" s="164" customFormat="1" ht="151.5" customHeight="1" x14ac:dyDescent="0.35">
      <c r="A33" s="394"/>
      <c r="B33" s="376"/>
      <c r="C33" s="373"/>
      <c r="D33" s="393"/>
      <c r="E33" s="370"/>
      <c r="F33" s="370"/>
      <c r="G33" s="370"/>
      <c r="H33" s="383"/>
      <c r="I33" s="370"/>
      <c r="J33" s="381"/>
      <c r="K33" s="379"/>
      <c r="L33" s="389"/>
      <c r="M33" s="391"/>
      <c r="N33" s="142"/>
      <c r="O33" s="379"/>
      <c r="P33" s="389"/>
      <c r="Q33" s="386"/>
      <c r="R33" s="130">
        <v>3</v>
      </c>
      <c r="S33" s="98" t="s">
        <v>235</v>
      </c>
      <c r="T33" s="131" t="str">
        <f t="shared" si="45"/>
        <v>Probabilidad</v>
      </c>
      <c r="U33" s="132" t="s">
        <v>15</v>
      </c>
      <c r="V33" s="132" t="s">
        <v>9</v>
      </c>
      <c r="W33" s="133" t="str">
        <f t="shared" si="46"/>
        <v>30%</v>
      </c>
      <c r="X33" s="132" t="s">
        <v>19</v>
      </c>
      <c r="Y33" s="132" t="s">
        <v>22</v>
      </c>
      <c r="Z33" s="132" t="s">
        <v>110</v>
      </c>
      <c r="AA33" s="134">
        <f>IFERROR(IF(T33="Probabilidad",(AA32-(+AA32*W33)),IF(T33="Impacto",L33,"")),"")</f>
        <v>0.2016</v>
      </c>
      <c r="AB33" s="135" t="str">
        <f t="shared" si="47"/>
        <v>Baja</v>
      </c>
      <c r="AC33" s="136">
        <f t="shared" si="48"/>
        <v>0.2016</v>
      </c>
      <c r="AD33" s="135" t="str">
        <f t="shared" si="49"/>
        <v>Moderado</v>
      </c>
      <c r="AE33" s="136">
        <v>0.6</v>
      </c>
      <c r="AF33" s="137" t="str">
        <f t="shared" si="51"/>
        <v>Moderado</v>
      </c>
      <c r="AG33" s="138" t="s">
        <v>122</v>
      </c>
      <c r="AH33" s="153" t="s">
        <v>237</v>
      </c>
      <c r="AI33" s="154" t="s">
        <v>213</v>
      </c>
      <c r="AJ33" s="128">
        <v>44562</v>
      </c>
      <c r="AK33" s="128" t="s">
        <v>374</v>
      </c>
      <c r="AL33" s="153" t="s">
        <v>236</v>
      </c>
      <c r="AM33" s="127"/>
    </row>
    <row r="34" spans="1:39" s="164" customFormat="1" ht="285" customHeight="1" x14ac:dyDescent="0.35">
      <c r="A34" s="394">
        <v>10</v>
      </c>
      <c r="B34" s="374" t="s">
        <v>238</v>
      </c>
      <c r="C34" s="372" t="s">
        <v>356</v>
      </c>
      <c r="D34" s="372" t="s">
        <v>384</v>
      </c>
      <c r="E34" s="371" t="s">
        <v>118</v>
      </c>
      <c r="F34" s="369" t="s">
        <v>365</v>
      </c>
      <c r="G34" s="369" t="s">
        <v>366</v>
      </c>
      <c r="H34" s="382" t="s">
        <v>546</v>
      </c>
      <c r="I34" s="371" t="s">
        <v>115</v>
      </c>
      <c r="J34" s="380">
        <v>20</v>
      </c>
      <c r="K34" s="377" t="str">
        <f>IF(J34&lt;=0,"",IF(J34&lt;=2,"Muy Baja",IF(J34&lt;=24,"Baja",IF(J34&lt;=500,"Media",IF(J34&lt;=5000,"Alta","Muy Alta")))))</f>
        <v>Baja</v>
      </c>
      <c r="L34" s="387">
        <f>IF(K34="","",IF(K34="Muy Baja",0.2,IF(K34="Baja",0.4,IF(K34="Media",0.6,IF(K34="Alta",0.8,IF(K34="Muy Alta",1,))))))</f>
        <v>0.4</v>
      </c>
      <c r="M34" s="390" t="s">
        <v>494</v>
      </c>
      <c r="N34" s="129" t="str">
        <f>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377" t="str">
        <f>IF(OR(N34='Tabla Impacto'!$C$11,N34='Tabla Impacto'!$D$11),"Leve",IF(OR(N34='Tabla Impacto'!$C$12,N34='Tabla Impacto'!$D$12),"Menor",IF(OR(N34='Tabla Impacto'!$C$13,N34='Tabla Impacto'!$D$13),"Moderado",IF(OR(N34='Tabla Impacto'!$C$14,N34='Tabla Impacto'!$D$14),"Mayor",IF(OR(N34='Tabla Impacto'!$C$15,N34='Tabla Impacto'!$D$15),"Catastrófico","")))))</f>
        <v>Mayor</v>
      </c>
      <c r="P34" s="387">
        <f>IF(O34="","",IF(O34="Leve",0.2,IF(O34="Menor",0.4,IF(O34="Moderado",0.6,IF(O34="Mayor",0.8,IF(O34="Catastrófico",1,))))))</f>
        <v>0.8</v>
      </c>
      <c r="Q34" s="384"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0">
        <v>1</v>
      </c>
      <c r="S34" s="98" t="s">
        <v>584</v>
      </c>
      <c r="T34" s="131" t="str">
        <f t="shared" si="45"/>
        <v>Probabilidad</v>
      </c>
      <c r="U34" s="132" t="s">
        <v>14</v>
      </c>
      <c r="V34" s="132" t="s">
        <v>9</v>
      </c>
      <c r="W34" s="133" t="str">
        <f t="shared" si="46"/>
        <v>40%</v>
      </c>
      <c r="X34" s="132" t="s">
        <v>19</v>
      </c>
      <c r="Y34" s="132" t="s">
        <v>22</v>
      </c>
      <c r="Z34" s="132" t="s">
        <v>110</v>
      </c>
      <c r="AA34" s="134">
        <f t="shared" si="52"/>
        <v>0.24</v>
      </c>
      <c r="AB34" s="135" t="str">
        <f t="shared" si="47"/>
        <v>Baja</v>
      </c>
      <c r="AC34" s="136">
        <f t="shared" si="48"/>
        <v>0.24</v>
      </c>
      <c r="AD34" s="135" t="str">
        <f t="shared" si="49"/>
        <v>Mayor</v>
      </c>
      <c r="AE34" s="136">
        <f t="shared" si="50"/>
        <v>0.8</v>
      </c>
      <c r="AF34" s="137" t="str">
        <f t="shared" si="51"/>
        <v>Alto</v>
      </c>
      <c r="AG34" s="138" t="s">
        <v>122</v>
      </c>
      <c r="AH34" s="153" t="s">
        <v>585</v>
      </c>
      <c r="AI34" s="121" t="s">
        <v>199</v>
      </c>
      <c r="AJ34" s="128" t="s">
        <v>287</v>
      </c>
      <c r="AK34" s="128" t="s">
        <v>288</v>
      </c>
      <c r="AL34" s="119" t="s">
        <v>367</v>
      </c>
      <c r="AM34" s="127"/>
    </row>
    <row r="35" spans="1:39" s="164" customFormat="1" ht="151.5" customHeight="1" x14ac:dyDescent="0.35">
      <c r="A35" s="394"/>
      <c r="B35" s="375"/>
      <c r="C35" s="393"/>
      <c r="D35" s="393"/>
      <c r="E35" s="370"/>
      <c r="F35" s="370"/>
      <c r="G35" s="370"/>
      <c r="H35" s="383"/>
      <c r="I35" s="370"/>
      <c r="J35" s="381"/>
      <c r="K35" s="378"/>
      <c r="L35" s="388"/>
      <c r="M35" s="391"/>
      <c r="N35" s="142"/>
      <c r="O35" s="378"/>
      <c r="P35" s="388"/>
      <c r="Q35" s="385"/>
      <c r="R35" s="130">
        <v>2</v>
      </c>
      <c r="S35" s="98"/>
      <c r="T35" s="131" t="str">
        <f t="shared" si="45"/>
        <v/>
      </c>
      <c r="U35" s="132"/>
      <c r="V35" s="132"/>
      <c r="W35" s="133"/>
      <c r="X35" s="132"/>
      <c r="Y35" s="132"/>
      <c r="Z35" s="132"/>
      <c r="AA35" s="134" t="str">
        <f>IFERROR(IF(T35="Probabilidad",(AA34-(+AA34*W35)),IF(T35="Impacto",L35,"")),"")</f>
        <v/>
      </c>
      <c r="AB35" s="135" t="str">
        <f t="shared" si="47"/>
        <v/>
      </c>
      <c r="AC35" s="136" t="str">
        <f t="shared" si="48"/>
        <v/>
      </c>
      <c r="AD35" s="135" t="str">
        <f t="shared" si="49"/>
        <v/>
      </c>
      <c r="AE35" s="136" t="str">
        <f t="shared" si="50"/>
        <v/>
      </c>
      <c r="AF35" s="137" t="str">
        <f t="shared" si="51"/>
        <v/>
      </c>
      <c r="AG35" s="138"/>
      <c r="AH35" s="119"/>
      <c r="AI35" s="127"/>
      <c r="AJ35" s="143"/>
      <c r="AK35" s="143"/>
      <c r="AL35" s="119"/>
      <c r="AM35" s="127"/>
    </row>
    <row r="36" spans="1:39" s="164" customFormat="1" ht="151.5" customHeight="1" x14ac:dyDescent="0.35">
      <c r="A36" s="394"/>
      <c r="B36" s="376"/>
      <c r="C36" s="393"/>
      <c r="D36" s="393"/>
      <c r="E36" s="370"/>
      <c r="F36" s="370"/>
      <c r="G36" s="370"/>
      <c r="H36" s="383"/>
      <c r="I36" s="370"/>
      <c r="J36" s="381"/>
      <c r="K36" s="379"/>
      <c r="L36" s="389"/>
      <c r="M36" s="391"/>
      <c r="N36" s="142"/>
      <c r="O36" s="379"/>
      <c r="P36" s="389"/>
      <c r="Q36" s="386"/>
      <c r="R36" s="130">
        <v>3</v>
      </c>
      <c r="S36" s="98"/>
      <c r="T36" s="131" t="str">
        <f t="shared" si="45"/>
        <v/>
      </c>
      <c r="U36" s="132"/>
      <c r="V36" s="132"/>
      <c r="W36" s="133"/>
      <c r="X36" s="132"/>
      <c r="Y36" s="132"/>
      <c r="Z36" s="132"/>
      <c r="AA36" s="134" t="str">
        <f>IFERROR(IF(T36="Probabilidad",(AA35-(+AA35*W36)),IF(T36="Impacto",L36,"")),"")</f>
        <v/>
      </c>
      <c r="AB36" s="135" t="str">
        <f t="shared" si="47"/>
        <v/>
      </c>
      <c r="AC36" s="136" t="str">
        <f t="shared" si="48"/>
        <v/>
      </c>
      <c r="AD36" s="135" t="str">
        <f t="shared" si="49"/>
        <v/>
      </c>
      <c r="AE36" s="136" t="str">
        <f t="shared" si="50"/>
        <v/>
      </c>
      <c r="AF36" s="137" t="str">
        <f t="shared" si="51"/>
        <v/>
      </c>
      <c r="AG36" s="138"/>
      <c r="AH36" s="119"/>
      <c r="AI36" s="127"/>
      <c r="AJ36" s="143"/>
      <c r="AK36" s="143"/>
      <c r="AL36" s="119"/>
      <c r="AM36" s="127"/>
    </row>
    <row r="37" spans="1:39" s="164" customFormat="1" ht="176.25" customHeight="1" x14ac:dyDescent="0.35">
      <c r="A37" s="394">
        <v>11</v>
      </c>
      <c r="B37" s="374" t="s">
        <v>238</v>
      </c>
      <c r="C37" s="372" t="s">
        <v>356</v>
      </c>
      <c r="D37" s="372" t="s">
        <v>384</v>
      </c>
      <c r="E37" s="371" t="s">
        <v>120</v>
      </c>
      <c r="F37" s="369" t="s">
        <v>368</v>
      </c>
      <c r="G37" s="369" t="s">
        <v>366</v>
      </c>
      <c r="H37" s="382" t="s">
        <v>239</v>
      </c>
      <c r="I37" s="371" t="s">
        <v>115</v>
      </c>
      <c r="J37" s="380">
        <v>20</v>
      </c>
      <c r="K37" s="377" t="str">
        <f>IF(J37&lt;=0,"",IF(J37&lt;=2,"Muy Baja",IF(J37&lt;=24,"Baja",IF(J37&lt;=500,"Media",IF(J37&lt;=5000,"Alta","Muy Alta")))))</f>
        <v>Baja</v>
      </c>
      <c r="L37" s="387">
        <f>IF(K37="","",IF(K37="Muy Baja",0.2,IF(K37="Baja",0.4,IF(K37="Media",0.6,IF(K37="Alta",0.8,IF(K37="Muy Alta",1,))))))</f>
        <v>0.4</v>
      </c>
      <c r="M37" s="390" t="s">
        <v>487</v>
      </c>
      <c r="N37" s="129"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77" t="str">
        <f>IF(OR(N37='Tabla Impacto'!$C$11,N37='Tabla Impacto'!$D$11),"Leve",IF(OR(N37='Tabla Impacto'!$C$12,N37='Tabla Impacto'!$D$12),"Menor",IF(OR(N37='Tabla Impacto'!$C$13,N37='Tabla Impacto'!$D$13),"Moderado",IF(OR(N37='Tabla Impacto'!$C$14,N37='Tabla Impacto'!$D$14),"Mayor",IF(OR(N37='Tabla Impacto'!$C$15,N37='Tabla Impacto'!$D$15),"Catastrófico","")))))</f>
        <v>Moderado</v>
      </c>
      <c r="P37" s="387">
        <f>IF(O37="","",IF(O37="Leve",0.2,IF(O37="Menor",0.4,IF(O37="Moderado",0.6,IF(O37="Mayor",0.8,IF(O37="Catastrófico",1,))))))</f>
        <v>0.6</v>
      </c>
      <c r="Q37" s="384"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30">
        <v>1</v>
      </c>
      <c r="S37" s="98" t="s">
        <v>547</v>
      </c>
      <c r="T37" s="131" t="str">
        <f t="shared" si="45"/>
        <v>Probabilidad</v>
      </c>
      <c r="U37" s="132" t="s">
        <v>14</v>
      </c>
      <c r="V37" s="132" t="s">
        <v>9</v>
      </c>
      <c r="W37" s="133" t="str">
        <f t="shared" si="46"/>
        <v>40%</v>
      </c>
      <c r="X37" s="132" t="s">
        <v>19</v>
      </c>
      <c r="Y37" s="132" t="s">
        <v>22</v>
      </c>
      <c r="Z37" s="132" t="s">
        <v>110</v>
      </c>
      <c r="AA37" s="134">
        <f t="shared" si="52"/>
        <v>0.24</v>
      </c>
      <c r="AB37" s="135" t="str">
        <f t="shared" si="47"/>
        <v>Baja</v>
      </c>
      <c r="AC37" s="136">
        <f t="shared" si="48"/>
        <v>0.24</v>
      </c>
      <c r="AD37" s="135" t="str">
        <f t="shared" si="49"/>
        <v>Moderado</v>
      </c>
      <c r="AE37" s="136">
        <f t="shared" si="50"/>
        <v>0.6</v>
      </c>
      <c r="AF37" s="137" t="str">
        <f t="shared" si="51"/>
        <v>Moderado</v>
      </c>
      <c r="AG37" s="138" t="s">
        <v>122</v>
      </c>
      <c r="AH37" s="119" t="s">
        <v>369</v>
      </c>
      <c r="AI37" s="127" t="s">
        <v>240</v>
      </c>
      <c r="AJ37" s="128">
        <v>44562</v>
      </c>
      <c r="AK37" s="128" t="s">
        <v>374</v>
      </c>
      <c r="AL37" s="119" t="s">
        <v>367</v>
      </c>
      <c r="AM37" s="140"/>
    </row>
    <row r="38" spans="1:39" s="164" customFormat="1" ht="151.5" customHeight="1" x14ac:dyDescent="0.35">
      <c r="A38" s="394"/>
      <c r="B38" s="375"/>
      <c r="C38" s="393"/>
      <c r="D38" s="393"/>
      <c r="E38" s="370"/>
      <c r="F38" s="370"/>
      <c r="G38" s="370"/>
      <c r="H38" s="383"/>
      <c r="I38" s="370"/>
      <c r="J38" s="381"/>
      <c r="K38" s="378"/>
      <c r="L38" s="388"/>
      <c r="M38" s="391"/>
      <c r="N38" s="142"/>
      <c r="O38" s="378"/>
      <c r="P38" s="388"/>
      <c r="Q38" s="385"/>
      <c r="R38" s="130">
        <v>2</v>
      </c>
      <c r="S38" s="98"/>
      <c r="T38" s="131" t="str">
        <f t="shared" si="45"/>
        <v/>
      </c>
      <c r="U38" s="132"/>
      <c r="V38" s="132"/>
      <c r="W38" s="133"/>
      <c r="X38" s="132"/>
      <c r="Y38" s="132"/>
      <c r="Z38" s="132"/>
      <c r="AA38" s="134" t="str">
        <f>IFERROR(IF(T38="Probabilidad",(AA37-(+AA37*W38)),IF(T38="Impacto",L38,"")),"")</f>
        <v/>
      </c>
      <c r="AB38" s="135" t="str">
        <f t="shared" si="47"/>
        <v/>
      </c>
      <c r="AC38" s="136" t="str">
        <f t="shared" si="48"/>
        <v/>
      </c>
      <c r="AD38" s="135" t="str">
        <f t="shared" si="49"/>
        <v/>
      </c>
      <c r="AE38" s="136" t="str">
        <f t="shared" si="50"/>
        <v/>
      </c>
      <c r="AF38" s="137" t="str">
        <f t="shared" si="51"/>
        <v/>
      </c>
      <c r="AG38" s="138"/>
      <c r="AH38" s="119"/>
      <c r="AI38" s="127"/>
      <c r="AJ38" s="143"/>
      <c r="AK38" s="143"/>
      <c r="AL38" s="119"/>
      <c r="AM38" s="140"/>
    </row>
    <row r="39" spans="1:39" s="164" customFormat="1" ht="151.5" customHeight="1" x14ac:dyDescent="0.35">
      <c r="A39" s="396"/>
      <c r="B39" s="376"/>
      <c r="C39" s="393"/>
      <c r="D39" s="393"/>
      <c r="E39" s="370"/>
      <c r="F39" s="370"/>
      <c r="G39" s="370"/>
      <c r="H39" s="383"/>
      <c r="I39" s="370"/>
      <c r="J39" s="381"/>
      <c r="K39" s="379"/>
      <c r="L39" s="389"/>
      <c r="M39" s="391"/>
      <c r="N39" s="142"/>
      <c r="O39" s="379"/>
      <c r="P39" s="389"/>
      <c r="Q39" s="386"/>
      <c r="R39" s="130">
        <v>3</v>
      </c>
      <c r="S39" s="98"/>
      <c r="T39" s="131" t="str">
        <f t="shared" si="45"/>
        <v/>
      </c>
      <c r="U39" s="132"/>
      <c r="V39" s="132"/>
      <c r="W39" s="133"/>
      <c r="X39" s="132"/>
      <c r="Y39" s="132"/>
      <c r="Z39" s="132"/>
      <c r="AA39" s="134" t="str">
        <f>IFERROR(IF(T39="Probabilidad",(AA38-(+AA38*W39)),IF(T39="Impacto",L39,"")),"")</f>
        <v/>
      </c>
      <c r="AB39" s="135" t="str">
        <f t="shared" si="47"/>
        <v/>
      </c>
      <c r="AC39" s="136" t="str">
        <f t="shared" si="48"/>
        <v/>
      </c>
      <c r="AD39" s="135" t="str">
        <f t="shared" si="49"/>
        <v/>
      </c>
      <c r="AE39" s="136" t="str">
        <f t="shared" si="50"/>
        <v/>
      </c>
      <c r="AF39" s="137" t="str">
        <f t="shared" si="51"/>
        <v/>
      </c>
      <c r="AG39" s="138"/>
      <c r="AH39" s="119"/>
      <c r="AI39" s="127"/>
      <c r="AJ39" s="143"/>
      <c r="AK39" s="143"/>
      <c r="AL39" s="119"/>
      <c r="AM39" s="140"/>
    </row>
    <row r="40" spans="1:39" s="164" customFormat="1" ht="183.75" customHeight="1" x14ac:dyDescent="0.35">
      <c r="A40" s="395">
        <v>12</v>
      </c>
      <c r="B40" s="374" t="s">
        <v>238</v>
      </c>
      <c r="C40" s="372" t="s">
        <v>356</v>
      </c>
      <c r="D40" s="372" t="s">
        <v>384</v>
      </c>
      <c r="E40" s="371" t="s">
        <v>120</v>
      </c>
      <c r="F40" s="370" t="s">
        <v>441</v>
      </c>
      <c r="G40" s="370" t="s">
        <v>442</v>
      </c>
      <c r="H40" s="382" t="s">
        <v>443</v>
      </c>
      <c r="I40" s="371" t="s">
        <v>329</v>
      </c>
      <c r="J40" s="380">
        <v>2</v>
      </c>
      <c r="K40" s="377" t="str">
        <f>IF(J40&lt;=0,"",IF(J40&lt;=2,"Muy Baja",IF(J40&lt;=24,"Baja",IF(J40&lt;=500,"Media",IF(J40&lt;=5000,"Alta","Muy Alta")))))</f>
        <v>Muy Baja</v>
      </c>
      <c r="L40" s="387">
        <f>IF(K40="","",IF(K40="Muy Baja",0.2,IF(K40="Baja",0.4,IF(K40="Media",0.6,IF(K40="Alta",0.8,IF(K40="Muy Alta",1,))))))</f>
        <v>0.2</v>
      </c>
      <c r="M40" s="390" t="s">
        <v>487</v>
      </c>
      <c r="N40" s="12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77" t="str">
        <f>IF(OR(N40='Tabla Impacto'!$C$11,N40='Tabla Impacto'!$D$11),"Leve",IF(OR(N40='Tabla Impacto'!$C$12,N40='Tabla Impacto'!$D$12),"Menor",IF(OR(N40='Tabla Impacto'!$C$13,N40='Tabla Impacto'!$D$13),"Moderado",IF(OR(N40='Tabla Impacto'!$C$14,N40='Tabla Impacto'!$D$14),"Mayor",IF(OR(N40='Tabla Impacto'!$C$15,N40='Tabla Impacto'!$D$15),"Catastrófico","")))))</f>
        <v>Moderado</v>
      </c>
      <c r="P40" s="387">
        <f>IF(O40="","",IF(O40="Leve",0.2,IF(O40="Menor",0.4,IF(O40="Moderado",0.6,IF(O40="Mayor",0.8,IF(O40="Catastrófico",1,))))))</f>
        <v>0.6</v>
      </c>
      <c r="Q40" s="384"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0">
        <v>1</v>
      </c>
      <c r="S40" s="98" t="s">
        <v>370</v>
      </c>
      <c r="T40" s="131" t="str">
        <f t="shared" si="45"/>
        <v>Probabilidad</v>
      </c>
      <c r="U40" s="132" t="s">
        <v>14</v>
      </c>
      <c r="V40" s="132" t="s">
        <v>9</v>
      </c>
      <c r="W40" s="133" t="str">
        <f t="shared" si="46"/>
        <v>40%</v>
      </c>
      <c r="X40" s="132" t="s">
        <v>19</v>
      </c>
      <c r="Y40" s="132" t="s">
        <v>22</v>
      </c>
      <c r="Z40" s="132" t="s">
        <v>110</v>
      </c>
      <c r="AA40" s="134">
        <f t="shared" si="52"/>
        <v>0.12</v>
      </c>
      <c r="AB40" s="135" t="str">
        <f t="shared" si="47"/>
        <v>Muy Baja</v>
      </c>
      <c r="AC40" s="136">
        <f t="shared" si="48"/>
        <v>0.12</v>
      </c>
      <c r="AD40" s="135" t="str">
        <f t="shared" si="49"/>
        <v>Moderado</v>
      </c>
      <c r="AE40" s="136">
        <f t="shared" si="50"/>
        <v>0.6</v>
      </c>
      <c r="AF40" s="137" t="str">
        <f t="shared" si="51"/>
        <v>Moderado</v>
      </c>
      <c r="AG40" s="138" t="s">
        <v>122</v>
      </c>
      <c r="AH40" s="119" t="s">
        <v>371</v>
      </c>
      <c r="AI40" s="127" t="s">
        <v>240</v>
      </c>
      <c r="AJ40" s="128">
        <v>44562</v>
      </c>
      <c r="AK40" s="128" t="s">
        <v>374</v>
      </c>
      <c r="AL40" s="119" t="s">
        <v>372</v>
      </c>
      <c r="AM40" s="140"/>
    </row>
    <row r="41" spans="1:39" s="164" customFormat="1" ht="151.5" customHeight="1" x14ac:dyDescent="0.35">
      <c r="A41" s="394"/>
      <c r="B41" s="375"/>
      <c r="C41" s="393"/>
      <c r="D41" s="393"/>
      <c r="E41" s="370"/>
      <c r="F41" s="370" t="s">
        <v>241</v>
      </c>
      <c r="G41" s="370" t="s">
        <v>242</v>
      </c>
      <c r="H41" s="383"/>
      <c r="I41" s="370"/>
      <c r="J41" s="381"/>
      <c r="K41" s="378"/>
      <c r="L41" s="388"/>
      <c r="M41" s="391"/>
      <c r="N41" s="142"/>
      <c r="O41" s="378"/>
      <c r="P41" s="388"/>
      <c r="Q41" s="385"/>
      <c r="R41" s="130">
        <v>2</v>
      </c>
      <c r="S41" s="98"/>
      <c r="T41" s="131" t="str">
        <f t="shared" si="45"/>
        <v/>
      </c>
      <c r="U41" s="132"/>
      <c r="V41" s="132"/>
      <c r="W41" s="133"/>
      <c r="X41" s="132"/>
      <c r="Y41" s="132"/>
      <c r="Z41" s="132"/>
      <c r="AA41" s="134"/>
      <c r="AB41" s="135"/>
      <c r="AC41" s="136"/>
      <c r="AD41" s="135"/>
      <c r="AE41" s="136"/>
      <c r="AF41" s="137"/>
      <c r="AG41" s="138"/>
      <c r="AH41" s="119"/>
      <c r="AI41" s="127"/>
      <c r="AJ41" s="143"/>
      <c r="AK41" s="143"/>
      <c r="AL41" s="119"/>
      <c r="AM41" s="140"/>
    </row>
    <row r="42" spans="1:39" s="164" customFormat="1" ht="151.5" customHeight="1" x14ac:dyDescent="0.35">
      <c r="A42" s="394"/>
      <c r="B42" s="376"/>
      <c r="C42" s="393"/>
      <c r="D42" s="393"/>
      <c r="E42" s="370"/>
      <c r="F42" s="370" t="s">
        <v>241</v>
      </c>
      <c r="G42" s="370" t="s">
        <v>242</v>
      </c>
      <c r="H42" s="383"/>
      <c r="I42" s="370"/>
      <c r="J42" s="381"/>
      <c r="K42" s="379"/>
      <c r="L42" s="389"/>
      <c r="M42" s="391"/>
      <c r="N42" s="142"/>
      <c r="O42" s="379"/>
      <c r="P42" s="389"/>
      <c r="Q42" s="386"/>
      <c r="R42" s="130">
        <v>3</v>
      </c>
      <c r="S42" s="98"/>
      <c r="T42" s="131" t="str">
        <f t="shared" si="45"/>
        <v/>
      </c>
      <c r="U42" s="132"/>
      <c r="V42" s="132"/>
      <c r="W42" s="133"/>
      <c r="X42" s="132"/>
      <c r="Y42" s="132"/>
      <c r="Z42" s="132"/>
      <c r="AA42" s="134"/>
      <c r="AB42" s="135"/>
      <c r="AC42" s="136"/>
      <c r="AD42" s="135"/>
      <c r="AE42" s="136"/>
      <c r="AF42" s="137"/>
      <c r="AG42" s="138"/>
      <c r="AH42" s="119"/>
      <c r="AI42" s="127"/>
      <c r="AJ42" s="143"/>
      <c r="AK42" s="143"/>
      <c r="AL42" s="119"/>
      <c r="AM42" s="140"/>
    </row>
    <row r="43" spans="1:39" s="164" customFormat="1" ht="151.5" customHeight="1" x14ac:dyDescent="0.35">
      <c r="A43" s="394">
        <v>13</v>
      </c>
      <c r="B43" s="374" t="s">
        <v>243</v>
      </c>
      <c r="C43" s="372" t="s">
        <v>386</v>
      </c>
      <c r="D43" s="372" t="s">
        <v>250</v>
      </c>
      <c r="E43" s="371" t="s">
        <v>120</v>
      </c>
      <c r="F43" s="369" t="s">
        <v>244</v>
      </c>
      <c r="G43" s="369" t="s">
        <v>245</v>
      </c>
      <c r="H43" s="382" t="s">
        <v>385</v>
      </c>
      <c r="I43" s="371" t="s">
        <v>329</v>
      </c>
      <c r="J43" s="380">
        <v>12</v>
      </c>
      <c r="K43" s="377" t="str">
        <f>IF(J43&lt;=0,"",IF(J43&lt;=2,"Muy Baja",IF(J43&lt;=24,"Baja",IF(J43&lt;=500,"Media",IF(J43&lt;=5000,"Alta","Muy Alta")))))</f>
        <v>Baja</v>
      </c>
      <c r="L43" s="387">
        <f>IF(K43="","",IF(K43="Muy Baja",0.2,IF(K43="Baja",0.4,IF(K43="Media",0.6,IF(K43="Alta",0.8,IF(K43="Muy Alta",1,))))))</f>
        <v>0.4</v>
      </c>
      <c r="M43" s="390" t="s">
        <v>487</v>
      </c>
      <c r="N43" s="12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77" t="str">
        <f>IF(OR(N43='Tabla Impacto'!$C$11,N43='Tabla Impacto'!$D$11),"Leve",IF(OR(N43='Tabla Impacto'!$C$12,N43='Tabla Impacto'!$D$12),"Menor",IF(OR(N43='Tabla Impacto'!$C$13,N43='Tabla Impacto'!$D$13),"Moderado",IF(OR(N43='Tabla Impacto'!$C$14,N43='Tabla Impacto'!$D$14),"Mayor",IF(OR(N43='Tabla Impacto'!$C$15,N43='Tabla Impacto'!$D$15),"Catastrófico","")))))</f>
        <v>Moderado</v>
      </c>
      <c r="P43" s="387">
        <f>IF(O43="","",IF(O43="Leve",0.2,IF(O43="Menor",0.4,IF(O43="Moderado",0.6,IF(O43="Mayor",0.8,IF(O43="Catastrófico",1,))))))</f>
        <v>0.6</v>
      </c>
      <c r="Q43" s="384"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30">
        <v>1</v>
      </c>
      <c r="S43" s="98" t="s">
        <v>246</v>
      </c>
      <c r="T43" s="131" t="str">
        <f t="shared" si="45"/>
        <v>Probabilidad</v>
      </c>
      <c r="U43" s="132" t="s">
        <v>14</v>
      </c>
      <c r="V43" s="132" t="s">
        <v>9</v>
      </c>
      <c r="W43" s="133" t="str">
        <f t="shared" si="46"/>
        <v>40%</v>
      </c>
      <c r="X43" s="132" t="s">
        <v>19</v>
      </c>
      <c r="Y43" s="132" t="s">
        <v>22</v>
      </c>
      <c r="Z43" s="132" t="s">
        <v>110</v>
      </c>
      <c r="AA43" s="134">
        <f t="shared" si="52"/>
        <v>0.24</v>
      </c>
      <c r="AB43" s="135" t="str">
        <f t="shared" si="47"/>
        <v>Baja</v>
      </c>
      <c r="AC43" s="136">
        <f t="shared" si="48"/>
        <v>0.24</v>
      </c>
      <c r="AD43" s="135" t="str">
        <f t="shared" si="49"/>
        <v>Moderado</v>
      </c>
      <c r="AE43" s="136">
        <f t="shared" si="50"/>
        <v>0.6</v>
      </c>
      <c r="AF43" s="137" t="str">
        <f t="shared" si="51"/>
        <v>Moderado</v>
      </c>
      <c r="AG43" s="138" t="s">
        <v>122</v>
      </c>
      <c r="AH43" s="119" t="s">
        <v>247</v>
      </c>
      <c r="AI43" s="127" t="s">
        <v>204</v>
      </c>
      <c r="AJ43" s="143">
        <v>44562</v>
      </c>
      <c r="AK43" s="143">
        <v>44926</v>
      </c>
      <c r="AL43" s="119" t="s">
        <v>248</v>
      </c>
      <c r="AM43" s="140"/>
    </row>
    <row r="44" spans="1:39" s="164" customFormat="1" ht="151.5" customHeight="1" x14ac:dyDescent="0.35">
      <c r="A44" s="394"/>
      <c r="B44" s="375"/>
      <c r="C44" s="393"/>
      <c r="D44" s="373"/>
      <c r="E44" s="370"/>
      <c r="F44" s="370"/>
      <c r="G44" s="370"/>
      <c r="H44" s="383"/>
      <c r="I44" s="370"/>
      <c r="J44" s="381"/>
      <c r="K44" s="378"/>
      <c r="L44" s="388"/>
      <c r="M44" s="391"/>
      <c r="N44" s="142"/>
      <c r="O44" s="378"/>
      <c r="P44" s="388"/>
      <c r="Q44" s="385"/>
      <c r="R44" s="130">
        <v>2</v>
      </c>
      <c r="S44" s="98" t="s">
        <v>206</v>
      </c>
      <c r="T44" s="131" t="str">
        <f t="shared" si="45"/>
        <v>Probabilidad</v>
      </c>
      <c r="U44" s="132" t="s">
        <v>14</v>
      </c>
      <c r="V44" s="132" t="s">
        <v>9</v>
      </c>
      <c r="W44" s="133" t="str">
        <f t="shared" si="46"/>
        <v>40%</v>
      </c>
      <c r="X44" s="132" t="s">
        <v>19</v>
      </c>
      <c r="Y44" s="132" t="s">
        <v>22</v>
      </c>
      <c r="Z44" s="132" t="s">
        <v>110</v>
      </c>
      <c r="AA44" s="155">
        <f>IFERROR(IF(T44="Probabilidad",(AA43-(+AA43*W44)),IF(T44="Impacto",L44,"")),"")</f>
        <v>0.14399999999999999</v>
      </c>
      <c r="AB44" s="135" t="str">
        <f t="shared" si="47"/>
        <v>Muy Baja</v>
      </c>
      <c r="AC44" s="136">
        <f t="shared" si="48"/>
        <v>0.14399999999999999</v>
      </c>
      <c r="AD44" s="135" t="str">
        <f t="shared" si="49"/>
        <v>Moderado</v>
      </c>
      <c r="AE44" s="136">
        <v>0.6</v>
      </c>
      <c r="AF44" s="137" t="str">
        <f t="shared" si="51"/>
        <v>Moderado</v>
      </c>
      <c r="AG44" s="138" t="s">
        <v>122</v>
      </c>
      <c r="AH44" s="119" t="s">
        <v>249</v>
      </c>
      <c r="AI44" s="127" t="s">
        <v>204</v>
      </c>
      <c r="AJ44" s="143">
        <v>44562</v>
      </c>
      <c r="AK44" s="143">
        <v>44926</v>
      </c>
      <c r="AL44" s="119" t="s">
        <v>248</v>
      </c>
      <c r="AM44" s="140"/>
    </row>
    <row r="45" spans="1:39" s="164" customFormat="1" ht="151.5" customHeight="1" x14ac:dyDescent="0.35">
      <c r="A45" s="394"/>
      <c r="B45" s="376"/>
      <c r="C45" s="393"/>
      <c r="D45" s="373"/>
      <c r="E45" s="370"/>
      <c r="F45" s="370"/>
      <c r="G45" s="370"/>
      <c r="H45" s="383"/>
      <c r="I45" s="370"/>
      <c r="J45" s="381"/>
      <c r="K45" s="379"/>
      <c r="L45" s="389"/>
      <c r="M45" s="391"/>
      <c r="N45" s="142"/>
      <c r="O45" s="379"/>
      <c r="P45" s="389"/>
      <c r="Q45" s="386"/>
      <c r="R45" s="130">
        <v>3</v>
      </c>
      <c r="S45" s="98"/>
      <c r="T45" s="131" t="str">
        <f t="shared" si="45"/>
        <v/>
      </c>
      <c r="U45" s="132"/>
      <c r="V45" s="132"/>
      <c r="W45" s="133"/>
      <c r="X45" s="132"/>
      <c r="Y45" s="132"/>
      <c r="Z45" s="132"/>
      <c r="AA45" s="134" t="str">
        <f>IFERROR(IF(T45="Probabilidad",(AA44-(+AA44*W45)),IF(T45="Impacto",L45,"")),"")</f>
        <v/>
      </c>
      <c r="AB45" s="135" t="str">
        <f t="shared" si="47"/>
        <v/>
      </c>
      <c r="AC45" s="136" t="str">
        <f t="shared" si="48"/>
        <v/>
      </c>
      <c r="AD45" s="135" t="str">
        <f t="shared" si="49"/>
        <v/>
      </c>
      <c r="AE45" s="136" t="str">
        <f t="shared" si="50"/>
        <v/>
      </c>
      <c r="AF45" s="137" t="str">
        <f t="shared" si="51"/>
        <v/>
      </c>
      <c r="AG45" s="138"/>
      <c r="AH45" s="119"/>
      <c r="AI45" s="127"/>
      <c r="AJ45" s="143"/>
      <c r="AK45" s="143"/>
      <c r="AL45" s="119"/>
      <c r="AM45" s="140"/>
    </row>
    <row r="46" spans="1:39" s="164" customFormat="1" ht="151.5" customHeight="1" x14ac:dyDescent="0.35">
      <c r="A46" s="394">
        <v>14</v>
      </c>
      <c r="B46" s="374" t="s">
        <v>243</v>
      </c>
      <c r="C46" s="372" t="s">
        <v>386</v>
      </c>
      <c r="D46" s="372" t="s">
        <v>250</v>
      </c>
      <c r="E46" s="371" t="s">
        <v>120</v>
      </c>
      <c r="F46" s="371" t="s">
        <v>251</v>
      </c>
      <c r="G46" s="369" t="s">
        <v>252</v>
      </c>
      <c r="H46" s="382" t="s">
        <v>253</v>
      </c>
      <c r="I46" s="371" t="s">
        <v>329</v>
      </c>
      <c r="J46" s="380">
        <v>900</v>
      </c>
      <c r="K46" s="377" t="str">
        <f>IF(J46&lt;=0,"",IF(J46&lt;=2,"Muy Baja",IF(J46&lt;=24,"Baja",IF(J46&lt;=500,"Media",IF(J46&lt;=5000,"Alta","Muy Alta")))))</f>
        <v>Alta</v>
      </c>
      <c r="L46" s="387">
        <f>IF(K46="","",IF(K46="Muy Baja",0.2,IF(K46="Baja",0.4,IF(K46="Media",0.6,IF(K46="Alta",0.8,IF(K46="Muy Alta",1,))))))</f>
        <v>0.8</v>
      </c>
      <c r="M46" s="390" t="s">
        <v>487</v>
      </c>
      <c r="N46" s="12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77" t="str">
        <f>IF(OR(N46='Tabla Impacto'!$C$11,N46='Tabla Impacto'!$D$11),"Leve",IF(OR(N46='Tabla Impacto'!$C$12,N46='Tabla Impacto'!$D$12),"Menor",IF(OR(N46='Tabla Impacto'!$C$13,N46='Tabla Impacto'!$D$13),"Moderado",IF(OR(N46='Tabla Impacto'!$C$14,N46='Tabla Impacto'!$D$14),"Mayor",IF(OR(N46='Tabla Impacto'!$C$15,N46='Tabla Impacto'!$D$15),"Catastrófico","")))))</f>
        <v>Moderado</v>
      </c>
      <c r="P46" s="387">
        <f>IF(O46="","",IF(O46="Leve",0.2,IF(O46="Menor",0.4,IF(O46="Moderado",0.6,IF(O46="Mayor",0.8,IF(O46="Catastrófico",1,))))))</f>
        <v>0.6</v>
      </c>
      <c r="Q46" s="384"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30">
        <v>1</v>
      </c>
      <c r="S46" s="98" t="s">
        <v>254</v>
      </c>
      <c r="T46" s="131" t="str">
        <f t="shared" ref="T46:T48" si="53">IF(OR(U46="Preventivo",U46="Detectivo"),"Probabilidad",IF(U46="Correctivo","Impacto",""))</f>
        <v>Probabilidad</v>
      </c>
      <c r="U46" s="132" t="s">
        <v>14</v>
      </c>
      <c r="V46" s="132" t="s">
        <v>9</v>
      </c>
      <c r="W46" s="133" t="str">
        <f t="shared" ref="W46" si="54">IF(AND(U46="Preventivo",V46="Automático"),"50%",IF(AND(U46="Preventivo",V46="Manual"),"40%",IF(AND(U46="Detectivo",V46="Automático"),"40%",IF(AND(U46="Detectivo",V46="Manual"),"30%",IF(AND(U46="Correctivo",V46="Automático"),"35%",IF(AND(U46="Correctivo",V46="Manual"),"25%",""))))))</f>
        <v>40%</v>
      </c>
      <c r="X46" s="132" t="s">
        <v>19</v>
      </c>
      <c r="Y46" s="132" t="s">
        <v>22</v>
      </c>
      <c r="Z46" s="132" t="s">
        <v>110</v>
      </c>
      <c r="AA46" s="134">
        <f t="shared" ref="AA46" si="55">IFERROR(IF(T46="Probabilidad",(L46-(+L46*W46)),IF(T46="Impacto",L46,"")),"")</f>
        <v>0.48</v>
      </c>
      <c r="AB46" s="135" t="str">
        <f t="shared" ref="AB46:AB48" si="56">IFERROR(IF(AA46="","",IF(AA46&lt;=0.2,"Muy Baja",IF(AA46&lt;=0.4,"Baja",IF(AA46&lt;=0.6,"Media",IF(AA46&lt;=0.8,"Alta","Muy Alta"))))),"")</f>
        <v>Media</v>
      </c>
      <c r="AC46" s="136">
        <f t="shared" ref="AC46:AC48" si="57">+AA46</f>
        <v>0.48</v>
      </c>
      <c r="AD46" s="135" t="str">
        <f t="shared" ref="AD46:AD48" si="58">IFERROR(IF(AE46="","",IF(AE46&lt;=0.2,"Leve",IF(AE46&lt;=0.4,"Menor",IF(AE46&lt;=0.6,"Moderado",IF(AE46&lt;=0.8,"Mayor","Catastrófico"))))),"")</f>
        <v>Moderado</v>
      </c>
      <c r="AE46" s="136">
        <f t="shared" ref="AE46:AE48" si="59">IFERROR(IF(T46="Impacto",(P46-(+P46*W46)),IF(T46="Probabilidad",P46,"")),"")</f>
        <v>0.6</v>
      </c>
      <c r="AF46" s="137" t="str">
        <f t="shared" ref="AF46:AF48" si="60">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8" t="s">
        <v>122</v>
      </c>
      <c r="AH46" s="119" t="s">
        <v>255</v>
      </c>
      <c r="AI46" s="127" t="s">
        <v>204</v>
      </c>
      <c r="AJ46" s="143">
        <v>44562</v>
      </c>
      <c r="AK46" s="143">
        <v>44926</v>
      </c>
      <c r="AL46" s="119" t="s">
        <v>256</v>
      </c>
      <c r="AM46" s="140"/>
    </row>
    <row r="47" spans="1:39" s="164" customFormat="1" ht="151.5" customHeight="1" x14ac:dyDescent="0.35">
      <c r="A47" s="394"/>
      <c r="B47" s="375"/>
      <c r="C47" s="393"/>
      <c r="D47" s="373"/>
      <c r="E47" s="370"/>
      <c r="F47" s="370"/>
      <c r="G47" s="370"/>
      <c r="H47" s="383"/>
      <c r="I47" s="370"/>
      <c r="J47" s="381"/>
      <c r="K47" s="378"/>
      <c r="L47" s="388"/>
      <c r="M47" s="391"/>
      <c r="N47" s="142"/>
      <c r="O47" s="378"/>
      <c r="P47" s="388"/>
      <c r="Q47" s="385"/>
      <c r="R47" s="130">
        <v>2</v>
      </c>
      <c r="S47" s="98"/>
      <c r="T47" s="131" t="str">
        <f t="shared" si="53"/>
        <v/>
      </c>
      <c r="U47" s="132"/>
      <c r="V47" s="132"/>
      <c r="W47" s="133"/>
      <c r="X47" s="132"/>
      <c r="Y47" s="132"/>
      <c r="Z47" s="132"/>
      <c r="AA47" s="134" t="str">
        <f>IFERROR(IF(T47="Probabilidad",(AA46-(+AA46*W47)),IF(T47="Impacto",L47,"")),"")</f>
        <v/>
      </c>
      <c r="AB47" s="135" t="str">
        <f t="shared" si="56"/>
        <v/>
      </c>
      <c r="AC47" s="136" t="str">
        <f t="shared" si="57"/>
        <v/>
      </c>
      <c r="AD47" s="135" t="str">
        <f t="shared" si="58"/>
        <v/>
      </c>
      <c r="AE47" s="136" t="str">
        <f t="shared" si="59"/>
        <v/>
      </c>
      <c r="AF47" s="137" t="str">
        <f t="shared" si="60"/>
        <v/>
      </c>
      <c r="AG47" s="138"/>
      <c r="AH47" s="119"/>
      <c r="AI47" s="127"/>
      <c r="AJ47" s="143"/>
      <c r="AK47" s="143"/>
      <c r="AL47" s="119"/>
      <c r="AM47" s="140"/>
    </row>
    <row r="48" spans="1:39" s="164" customFormat="1" ht="151.5" customHeight="1" x14ac:dyDescent="0.35">
      <c r="A48" s="394"/>
      <c r="B48" s="376"/>
      <c r="C48" s="393"/>
      <c r="D48" s="373"/>
      <c r="E48" s="370"/>
      <c r="F48" s="370"/>
      <c r="G48" s="370"/>
      <c r="H48" s="383"/>
      <c r="I48" s="370"/>
      <c r="J48" s="381"/>
      <c r="K48" s="379"/>
      <c r="L48" s="389"/>
      <c r="M48" s="391"/>
      <c r="N48" s="142"/>
      <c r="O48" s="379"/>
      <c r="P48" s="389"/>
      <c r="Q48" s="386"/>
      <c r="R48" s="130">
        <v>3</v>
      </c>
      <c r="S48" s="98"/>
      <c r="T48" s="131" t="str">
        <f t="shared" si="53"/>
        <v/>
      </c>
      <c r="U48" s="132"/>
      <c r="V48" s="132"/>
      <c r="W48" s="133"/>
      <c r="X48" s="132"/>
      <c r="Y48" s="132"/>
      <c r="Z48" s="132"/>
      <c r="AA48" s="134" t="str">
        <f>IFERROR(IF(T48="Probabilidad",(AA47-(+AA47*W48)),IF(T48="Impacto",L48,"")),"")</f>
        <v/>
      </c>
      <c r="AB48" s="135" t="str">
        <f t="shared" si="56"/>
        <v/>
      </c>
      <c r="AC48" s="136" t="str">
        <f t="shared" si="57"/>
        <v/>
      </c>
      <c r="AD48" s="135" t="str">
        <f t="shared" si="58"/>
        <v/>
      </c>
      <c r="AE48" s="136" t="str">
        <f t="shared" si="59"/>
        <v/>
      </c>
      <c r="AF48" s="137" t="str">
        <f t="shared" si="60"/>
        <v/>
      </c>
      <c r="AG48" s="138"/>
      <c r="AH48" s="119"/>
      <c r="AI48" s="127"/>
      <c r="AJ48" s="143"/>
      <c r="AK48" s="143"/>
      <c r="AL48" s="119"/>
      <c r="AM48" s="140"/>
    </row>
    <row r="49" spans="1:39" s="164" customFormat="1" ht="151.5" customHeight="1" x14ac:dyDescent="0.35">
      <c r="A49" s="394">
        <v>15</v>
      </c>
      <c r="B49" s="359" t="s">
        <v>243</v>
      </c>
      <c r="C49" s="372" t="s">
        <v>386</v>
      </c>
      <c r="D49" s="372" t="s">
        <v>250</v>
      </c>
      <c r="E49" s="371" t="s">
        <v>118</v>
      </c>
      <c r="F49" s="371" t="s">
        <v>257</v>
      </c>
      <c r="G49" s="371" t="s">
        <v>258</v>
      </c>
      <c r="H49" s="382" t="s">
        <v>551</v>
      </c>
      <c r="I49" s="371" t="s">
        <v>115</v>
      </c>
      <c r="J49" s="398">
        <v>40</v>
      </c>
      <c r="K49" s="377" t="str">
        <f>IF(J49&lt;=0,"",IF(J49&lt;=2,"Muy Baja",IF(J49&lt;=24,"Baja",IF(J49&lt;=500,"Media",IF(J49&lt;=5000,"Alta","Muy Alta")))))</f>
        <v>Media</v>
      </c>
      <c r="L49" s="387">
        <f>IF(K49="","",IF(K49="Muy Baja",0.2,IF(K49="Baja",0.4,IF(K49="Media",0.6,IF(K49="Alta",0.8,IF(K49="Muy Alta",1,))))))</f>
        <v>0.6</v>
      </c>
      <c r="M49" s="390" t="s">
        <v>487</v>
      </c>
      <c r="N49" s="129"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77" t="str">
        <f>IF(OR(N49='Tabla Impacto'!$C$11,N49='Tabla Impacto'!$D$11),"Leve",IF(OR(N49='Tabla Impacto'!$C$12,N49='Tabla Impacto'!$D$12),"Menor",IF(OR(N49='Tabla Impacto'!$C$13,N49='Tabla Impacto'!$D$13),"Moderado",IF(OR(N49='Tabla Impacto'!$C$14,N49='Tabla Impacto'!$D$14),"Mayor",IF(OR(N49='Tabla Impacto'!$C$15,N49='Tabla Impacto'!$D$15),"Catastrófico","")))))</f>
        <v>Moderado</v>
      </c>
      <c r="P49" s="387">
        <f>IF(O49="","",IF(O49="Leve",0.2,IF(O49="Menor",0.4,IF(O49="Moderado",0.6,IF(O49="Mayor",0.8,IF(O49="Catastrófico",1,))))))</f>
        <v>0.6</v>
      </c>
      <c r="Q49" s="384"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30">
        <v>1</v>
      </c>
      <c r="S49" s="98" t="s">
        <v>552</v>
      </c>
      <c r="T49" s="131" t="str">
        <f t="shared" si="25"/>
        <v>Probabilidad</v>
      </c>
      <c r="U49" s="132" t="s">
        <v>14</v>
      </c>
      <c r="V49" s="132" t="s">
        <v>9</v>
      </c>
      <c r="W49" s="133" t="str">
        <f t="shared" si="26"/>
        <v>40%</v>
      </c>
      <c r="X49" s="132" t="s">
        <v>19</v>
      </c>
      <c r="Y49" s="132" t="s">
        <v>22</v>
      </c>
      <c r="Z49" s="132" t="s">
        <v>110</v>
      </c>
      <c r="AA49" s="134">
        <f t="shared" si="27"/>
        <v>0.36</v>
      </c>
      <c r="AB49" s="135" t="str">
        <f t="shared" si="28"/>
        <v>Baja</v>
      </c>
      <c r="AC49" s="136">
        <f t="shared" si="29"/>
        <v>0.36</v>
      </c>
      <c r="AD49" s="135" t="str">
        <f t="shared" si="30"/>
        <v>Moderado</v>
      </c>
      <c r="AE49" s="136">
        <f t="shared" si="31"/>
        <v>0.6</v>
      </c>
      <c r="AF49" s="137" t="str">
        <f t="shared" si="32"/>
        <v>Moderado</v>
      </c>
      <c r="AG49" s="138" t="s">
        <v>122</v>
      </c>
      <c r="AH49" s="126" t="s">
        <v>260</v>
      </c>
      <c r="AI49" s="127" t="s">
        <v>261</v>
      </c>
      <c r="AJ49" s="143">
        <v>44562</v>
      </c>
      <c r="AK49" s="143">
        <v>44926</v>
      </c>
      <c r="AL49" s="119" t="s">
        <v>256</v>
      </c>
      <c r="AM49" s="140"/>
    </row>
    <row r="50" spans="1:39" s="164" customFormat="1" ht="151.5" customHeight="1" x14ac:dyDescent="0.35">
      <c r="A50" s="394"/>
      <c r="B50" s="360"/>
      <c r="C50" s="393"/>
      <c r="D50" s="373"/>
      <c r="E50" s="370"/>
      <c r="F50" s="370"/>
      <c r="G50" s="370"/>
      <c r="H50" s="383"/>
      <c r="I50" s="370"/>
      <c r="J50" s="399"/>
      <c r="K50" s="378"/>
      <c r="L50" s="388"/>
      <c r="M50" s="391"/>
      <c r="N50" s="142"/>
      <c r="O50" s="378"/>
      <c r="P50" s="388"/>
      <c r="Q50" s="385"/>
      <c r="R50" s="130">
        <v>2</v>
      </c>
      <c r="S50" s="98"/>
      <c r="T50" s="131" t="str">
        <f t="shared" ref="T50:T51" si="61">IF(OR(U50="Preventivo",U50="Detectivo"),"Probabilidad",IF(U50="Correctivo","Impacto",""))</f>
        <v/>
      </c>
      <c r="U50" s="132"/>
      <c r="V50" s="132"/>
      <c r="W50" s="133"/>
      <c r="X50" s="132"/>
      <c r="Y50" s="132"/>
      <c r="Z50" s="132"/>
      <c r="AA50" s="134" t="str">
        <f>IFERROR(IF(T50="Probabilidad",(AA49-(+AA49*W50)),IF(T50="Impacto",L50,"")),"")</f>
        <v/>
      </c>
      <c r="AB50" s="135" t="str">
        <f t="shared" ref="AB50:AB51" si="62">IFERROR(IF(AA50="","",IF(AA50&lt;=0.2,"Muy Baja",IF(AA50&lt;=0.4,"Baja",IF(AA50&lt;=0.6,"Media",IF(AA50&lt;=0.8,"Alta","Muy Alta"))))),"")</f>
        <v/>
      </c>
      <c r="AC50" s="136" t="str">
        <f t="shared" ref="AC50:AC51" si="63">+AA50</f>
        <v/>
      </c>
      <c r="AD50" s="135" t="str">
        <f t="shared" ref="AD50:AD51" si="64">IFERROR(IF(AE50="","",IF(AE50&lt;=0.2,"Leve",IF(AE50&lt;=0.4,"Menor",IF(AE50&lt;=0.6,"Moderado",IF(AE50&lt;=0.8,"Mayor","Catastrófico"))))),"")</f>
        <v/>
      </c>
      <c r="AE50" s="136" t="str">
        <f t="shared" ref="AE50:AE51" si="65">IFERROR(IF(T50="Impacto",(P50-(+P50*W50)),IF(T50="Probabilidad",P50,"")),"")</f>
        <v/>
      </c>
      <c r="AF50" s="137" t="str">
        <f t="shared" ref="AF50:AF51" si="66">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8"/>
      <c r="AH50" s="119"/>
      <c r="AI50" s="127"/>
      <c r="AJ50" s="143"/>
      <c r="AK50" s="143"/>
      <c r="AL50" s="119"/>
      <c r="AM50" s="140"/>
    </row>
    <row r="51" spans="1:39" s="164" customFormat="1" ht="151.5" customHeight="1" x14ac:dyDescent="0.35">
      <c r="A51" s="394"/>
      <c r="B51" s="361"/>
      <c r="C51" s="393"/>
      <c r="D51" s="373"/>
      <c r="E51" s="370"/>
      <c r="F51" s="370"/>
      <c r="G51" s="370"/>
      <c r="H51" s="383"/>
      <c r="I51" s="370"/>
      <c r="J51" s="399"/>
      <c r="K51" s="379"/>
      <c r="L51" s="389"/>
      <c r="M51" s="391"/>
      <c r="N51" s="142"/>
      <c r="O51" s="379"/>
      <c r="P51" s="389"/>
      <c r="Q51" s="386"/>
      <c r="R51" s="130">
        <v>3</v>
      </c>
      <c r="S51" s="98"/>
      <c r="T51" s="131" t="str">
        <f t="shared" si="61"/>
        <v/>
      </c>
      <c r="U51" s="132"/>
      <c r="V51" s="132"/>
      <c r="W51" s="133"/>
      <c r="X51" s="132"/>
      <c r="Y51" s="132"/>
      <c r="Z51" s="132"/>
      <c r="AA51" s="134" t="str">
        <f>IFERROR(IF(T51="Probabilidad",(AA50-(+AA50*W51)),IF(T51="Impacto",L51,"")),"")</f>
        <v/>
      </c>
      <c r="AB51" s="135" t="str">
        <f t="shared" si="62"/>
        <v/>
      </c>
      <c r="AC51" s="136" t="str">
        <f t="shared" si="63"/>
        <v/>
      </c>
      <c r="AD51" s="135" t="str">
        <f t="shared" si="64"/>
        <v/>
      </c>
      <c r="AE51" s="136" t="str">
        <f t="shared" si="65"/>
        <v/>
      </c>
      <c r="AF51" s="137" t="str">
        <f t="shared" si="66"/>
        <v/>
      </c>
      <c r="AG51" s="138"/>
      <c r="AH51" s="119"/>
      <c r="AI51" s="127"/>
      <c r="AJ51" s="143"/>
      <c r="AK51" s="143"/>
      <c r="AL51" s="119"/>
      <c r="AM51" s="140"/>
    </row>
    <row r="52" spans="1:39" s="164" customFormat="1" ht="151.5" customHeight="1" x14ac:dyDescent="0.35">
      <c r="A52" s="394">
        <v>16</v>
      </c>
      <c r="B52" s="374" t="s">
        <v>243</v>
      </c>
      <c r="C52" s="372" t="s">
        <v>386</v>
      </c>
      <c r="D52" s="372" t="s">
        <v>250</v>
      </c>
      <c r="E52" s="371" t="s">
        <v>120</v>
      </c>
      <c r="F52" s="371" t="s">
        <v>444</v>
      </c>
      <c r="G52" s="371" t="s">
        <v>263</v>
      </c>
      <c r="H52" s="382" t="s">
        <v>262</v>
      </c>
      <c r="I52" s="371" t="s">
        <v>329</v>
      </c>
      <c r="J52" s="380" t="s">
        <v>259</v>
      </c>
      <c r="K52" s="377" t="str">
        <f>IF(J52&lt;=0,"",IF(J52&lt;=2,"Muy Baja",IF(J52&lt;=24,"Baja",IF(J52&lt;=500,"Media",IF(J52&lt;=5000,"Alta","Muy Alta")))))</f>
        <v>Muy Alta</v>
      </c>
      <c r="L52" s="387">
        <f>IF(K52="","",IF(K52="Muy Baja",0.2,IF(K52="Baja",0.4,IF(K52="Media",0.6,IF(K52="Alta",0.8,IF(K52="Muy Alta",1,))))))</f>
        <v>1</v>
      </c>
      <c r="M52" s="390" t="s">
        <v>494</v>
      </c>
      <c r="N52" s="129" t="str">
        <f>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77" t="str">
        <f>IF(OR(N52='Tabla Impacto'!$C$11,N52='Tabla Impacto'!$D$11),"Leve",IF(OR(N52='Tabla Impacto'!$C$12,N52='Tabla Impacto'!$D$12),"Menor",IF(OR(N52='Tabla Impacto'!$C$13,N52='Tabla Impacto'!$D$13),"Moderado",IF(OR(N52='Tabla Impacto'!$C$14,N52='Tabla Impacto'!$D$14),"Mayor",IF(OR(N52='Tabla Impacto'!$C$15,N52='Tabla Impacto'!$D$15),"Catastrófico","")))))</f>
        <v>Mayor</v>
      </c>
      <c r="P52" s="387">
        <f>IF(O52="","",IF(O52="Leve",0.2,IF(O52="Menor",0.4,IF(O52="Moderado",0.6,IF(O52="Mayor",0.8,IF(O52="Catastrófico",1,))))))</f>
        <v>0.8</v>
      </c>
      <c r="Q52" s="384"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30">
        <v>1</v>
      </c>
      <c r="S52" s="98" t="s">
        <v>264</v>
      </c>
      <c r="T52" s="131" t="str">
        <f t="shared" ref="T52:T54" si="67">IF(OR(U52="Preventivo",U52="Detectivo"),"Probabilidad",IF(U52="Correctivo","Impacto",""))</f>
        <v>Probabilidad</v>
      </c>
      <c r="U52" s="132" t="s">
        <v>14</v>
      </c>
      <c r="V52" s="132" t="s">
        <v>9</v>
      </c>
      <c r="W52" s="133" t="str">
        <f t="shared" ref="W52" si="68">IF(AND(U52="Preventivo",V52="Automático"),"50%",IF(AND(U52="Preventivo",V52="Manual"),"40%",IF(AND(U52="Detectivo",V52="Automático"),"40%",IF(AND(U52="Detectivo",V52="Manual"),"30%",IF(AND(U52="Correctivo",V52="Automático"),"35%",IF(AND(U52="Correctivo",V52="Manual"),"25%",""))))))</f>
        <v>40%</v>
      </c>
      <c r="X52" s="132" t="s">
        <v>19</v>
      </c>
      <c r="Y52" s="132" t="s">
        <v>22</v>
      </c>
      <c r="Z52" s="132" t="s">
        <v>110</v>
      </c>
      <c r="AA52" s="134">
        <f t="shared" ref="AA52" si="69">IFERROR(IF(T52="Probabilidad",(L52-(+L52*W52)),IF(T52="Impacto",L52,"")),"")</f>
        <v>0.6</v>
      </c>
      <c r="AB52" s="135" t="str">
        <f t="shared" ref="AB52:AB54" si="70">IFERROR(IF(AA52="","",IF(AA52&lt;=0.2,"Muy Baja",IF(AA52&lt;=0.4,"Baja",IF(AA52&lt;=0.6,"Media",IF(AA52&lt;=0.8,"Alta","Muy Alta"))))),"")</f>
        <v>Media</v>
      </c>
      <c r="AC52" s="136">
        <f t="shared" ref="AC52:AC54" si="71">+AA52</f>
        <v>0.6</v>
      </c>
      <c r="AD52" s="135" t="str">
        <f t="shared" ref="AD52:AD54" si="72">IFERROR(IF(AE52="","",IF(AE52&lt;=0.2,"Leve",IF(AE52&lt;=0.4,"Menor",IF(AE52&lt;=0.6,"Moderado",IF(AE52&lt;=0.8,"Mayor","Catastrófico"))))),"")</f>
        <v>Mayor</v>
      </c>
      <c r="AE52" s="136">
        <f t="shared" ref="AE52:AE54" si="73">IFERROR(IF(T52="Impacto",(P52-(+P52*W52)),IF(T52="Probabilidad",P52,"")),"")</f>
        <v>0.8</v>
      </c>
      <c r="AF52" s="137" t="str">
        <f t="shared" ref="AF52:AF54" si="74">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8" t="s">
        <v>122</v>
      </c>
      <c r="AH52" s="119" t="s">
        <v>523</v>
      </c>
      <c r="AI52" s="127" t="s">
        <v>204</v>
      </c>
      <c r="AJ52" s="143">
        <v>44562</v>
      </c>
      <c r="AK52" s="143">
        <v>44926</v>
      </c>
      <c r="AL52" s="126" t="s">
        <v>265</v>
      </c>
      <c r="AM52" s="140"/>
    </row>
    <row r="53" spans="1:39" s="164" customFormat="1" ht="151.5" customHeight="1" x14ac:dyDescent="0.35">
      <c r="A53" s="394"/>
      <c r="B53" s="375"/>
      <c r="C53" s="393"/>
      <c r="D53" s="373"/>
      <c r="E53" s="370"/>
      <c r="F53" s="370"/>
      <c r="G53" s="370"/>
      <c r="H53" s="383"/>
      <c r="I53" s="370"/>
      <c r="J53" s="381"/>
      <c r="K53" s="378"/>
      <c r="L53" s="388"/>
      <c r="M53" s="391"/>
      <c r="N53" s="142"/>
      <c r="O53" s="378"/>
      <c r="P53" s="388"/>
      <c r="Q53" s="385"/>
      <c r="R53" s="130">
        <v>2</v>
      </c>
      <c r="S53" s="98"/>
      <c r="T53" s="131" t="str">
        <f t="shared" si="67"/>
        <v/>
      </c>
      <c r="U53" s="132"/>
      <c r="V53" s="132"/>
      <c r="W53" s="133"/>
      <c r="X53" s="132"/>
      <c r="Y53" s="132"/>
      <c r="Z53" s="132"/>
      <c r="AA53" s="134" t="str">
        <f>IFERROR(IF(T53="Probabilidad",(AA52-(+AA52*W53)),IF(T53="Impacto",L53,"")),"")</f>
        <v/>
      </c>
      <c r="AB53" s="135" t="str">
        <f t="shared" si="70"/>
        <v/>
      </c>
      <c r="AC53" s="136" t="str">
        <f t="shared" si="71"/>
        <v/>
      </c>
      <c r="AD53" s="135" t="str">
        <f t="shared" si="72"/>
        <v/>
      </c>
      <c r="AE53" s="136" t="str">
        <f t="shared" si="73"/>
        <v/>
      </c>
      <c r="AF53" s="137" t="str">
        <f t="shared" si="74"/>
        <v/>
      </c>
      <c r="AG53" s="138"/>
      <c r="AH53" s="119"/>
      <c r="AI53" s="127"/>
      <c r="AJ53" s="143"/>
      <c r="AK53" s="143"/>
      <c r="AL53" s="119"/>
      <c r="AM53" s="140"/>
    </row>
    <row r="54" spans="1:39" s="164" customFormat="1" ht="151.5" customHeight="1" x14ac:dyDescent="0.35">
      <c r="A54" s="396"/>
      <c r="B54" s="376"/>
      <c r="C54" s="393"/>
      <c r="D54" s="373"/>
      <c r="E54" s="370"/>
      <c r="F54" s="370"/>
      <c r="G54" s="370"/>
      <c r="H54" s="383"/>
      <c r="I54" s="370"/>
      <c r="J54" s="381"/>
      <c r="K54" s="379"/>
      <c r="L54" s="389"/>
      <c r="M54" s="391"/>
      <c r="N54" s="142"/>
      <c r="O54" s="379"/>
      <c r="P54" s="389"/>
      <c r="Q54" s="386"/>
      <c r="R54" s="130">
        <v>3</v>
      </c>
      <c r="S54" s="98"/>
      <c r="T54" s="131" t="str">
        <f t="shared" si="67"/>
        <v/>
      </c>
      <c r="U54" s="132"/>
      <c r="V54" s="132"/>
      <c r="W54" s="133"/>
      <c r="X54" s="132"/>
      <c r="Y54" s="132"/>
      <c r="Z54" s="132"/>
      <c r="AA54" s="134" t="str">
        <f>IFERROR(IF(T54="Probabilidad",(AA53-(+AA53*W54)),IF(T54="Impacto",L54,"")),"")</f>
        <v/>
      </c>
      <c r="AB54" s="135" t="str">
        <f t="shared" si="70"/>
        <v/>
      </c>
      <c r="AC54" s="136" t="str">
        <f t="shared" si="71"/>
        <v/>
      </c>
      <c r="AD54" s="135" t="str">
        <f t="shared" si="72"/>
        <v/>
      </c>
      <c r="AE54" s="136" t="str">
        <f t="shared" si="73"/>
        <v/>
      </c>
      <c r="AF54" s="137" t="str">
        <f t="shared" si="74"/>
        <v/>
      </c>
      <c r="AG54" s="138"/>
      <c r="AH54" s="119"/>
      <c r="AI54" s="127"/>
      <c r="AJ54" s="143"/>
      <c r="AK54" s="143"/>
      <c r="AL54" s="119"/>
      <c r="AM54" s="140"/>
    </row>
    <row r="55" spans="1:39" s="164" customFormat="1" ht="151.5" customHeight="1" x14ac:dyDescent="0.35">
      <c r="A55" s="395">
        <v>17</v>
      </c>
      <c r="B55" s="374" t="s">
        <v>243</v>
      </c>
      <c r="C55" s="372" t="s">
        <v>386</v>
      </c>
      <c r="D55" s="372" t="s">
        <v>250</v>
      </c>
      <c r="E55" s="371" t="s">
        <v>120</v>
      </c>
      <c r="F55" s="371" t="s">
        <v>445</v>
      </c>
      <c r="G55" s="371" t="s">
        <v>267</v>
      </c>
      <c r="H55" s="382" t="s">
        <v>266</v>
      </c>
      <c r="I55" s="371" t="s">
        <v>329</v>
      </c>
      <c r="J55" s="380">
        <v>60</v>
      </c>
      <c r="K55" s="377" t="str">
        <f>IF(J55&lt;=0,"",IF(J55&lt;=2,"Muy Baja",IF(J55&lt;=24,"Baja",IF(J55&lt;=500,"Media",IF(J55&lt;=5000,"Alta","Muy Alta")))))</f>
        <v>Media</v>
      </c>
      <c r="L55" s="387">
        <f>IF(K55="","",IF(K55="Muy Baja",0.2,IF(K55="Baja",0.4,IF(K55="Media",0.6,IF(K55="Alta",0.8,IF(K55="Muy Alta",1,))))))</f>
        <v>0.6</v>
      </c>
      <c r="M55" s="390" t="s">
        <v>487</v>
      </c>
      <c r="N55" s="129"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77" t="str">
        <f>IF(OR(N55='Tabla Impacto'!$C$11,N55='Tabla Impacto'!$D$11),"Leve",IF(OR(N55='Tabla Impacto'!$C$12,N55='Tabla Impacto'!$D$12),"Menor",IF(OR(N55='Tabla Impacto'!$C$13,N55='Tabla Impacto'!$D$13),"Moderado",IF(OR(N55='Tabla Impacto'!$C$14,N55='Tabla Impacto'!$D$14),"Mayor",IF(OR(N55='Tabla Impacto'!$C$15,N55='Tabla Impacto'!$D$15),"Catastrófico","")))))</f>
        <v>Moderado</v>
      </c>
      <c r="P55" s="387">
        <f>IF(O55="","",IF(O55="Leve",0.2,IF(O55="Menor",0.4,IF(O55="Moderado",0.6,IF(O55="Mayor",0.8,IF(O55="Catastrófico",1,))))))</f>
        <v>0.6</v>
      </c>
      <c r="Q55" s="384"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30">
        <v>1</v>
      </c>
      <c r="S55" s="98" t="s">
        <v>268</v>
      </c>
      <c r="T55" s="131" t="str">
        <f t="shared" si="25"/>
        <v>Probabilidad</v>
      </c>
      <c r="U55" s="132" t="s">
        <v>15</v>
      </c>
      <c r="V55" s="132" t="s">
        <v>9</v>
      </c>
      <c r="W55" s="133" t="str">
        <f t="shared" si="26"/>
        <v>30%</v>
      </c>
      <c r="X55" s="132" t="s">
        <v>19</v>
      </c>
      <c r="Y55" s="132" t="s">
        <v>22</v>
      </c>
      <c r="Z55" s="132" t="s">
        <v>110</v>
      </c>
      <c r="AA55" s="134">
        <f t="shared" si="27"/>
        <v>0.42</v>
      </c>
      <c r="AB55" s="135" t="str">
        <f t="shared" si="28"/>
        <v>Media</v>
      </c>
      <c r="AC55" s="136">
        <f t="shared" si="29"/>
        <v>0.42</v>
      </c>
      <c r="AD55" s="135" t="str">
        <f t="shared" si="30"/>
        <v>Moderado</v>
      </c>
      <c r="AE55" s="136">
        <f t="shared" si="31"/>
        <v>0.6</v>
      </c>
      <c r="AF55" s="137" t="str">
        <f t="shared" si="32"/>
        <v>Moderado</v>
      </c>
      <c r="AG55" s="138" t="s">
        <v>122</v>
      </c>
      <c r="AH55" s="119" t="s">
        <v>270</v>
      </c>
      <c r="AI55" s="144" t="s">
        <v>271</v>
      </c>
      <c r="AJ55" s="143">
        <v>44562</v>
      </c>
      <c r="AK55" s="143">
        <v>44926</v>
      </c>
      <c r="AL55" s="119" t="s">
        <v>272</v>
      </c>
      <c r="AM55" s="140"/>
    </row>
    <row r="56" spans="1:39" s="164" customFormat="1" ht="151.5" customHeight="1" x14ac:dyDescent="0.35">
      <c r="A56" s="394"/>
      <c r="B56" s="375"/>
      <c r="C56" s="393"/>
      <c r="D56" s="373"/>
      <c r="E56" s="370"/>
      <c r="F56" s="370"/>
      <c r="G56" s="370"/>
      <c r="H56" s="383"/>
      <c r="I56" s="370"/>
      <c r="J56" s="381"/>
      <c r="K56" s="378"/>
      <c r="L56" s="388"/>
      <c r="M56" s="391"/>
      <c r="N56" s="142"/>
      <c r="O56" s="378"/>
      <c r="P56" s="388"/>
      <c r="Q56" s="385"/>
      <c r="R56" s="130">
        <v>2</v>
      </c>
      <c r="S56" s="98" t="s">
        <v>269</v>
      </c>
      <c r="T56" s="131" t="str">
        <f t="shared" ref="T56:T57" si="75">IF(OR(U56="Preventivo",U56="Detectivo"),"Probabilidad",IF(U56="Correctivo","Impacto",""))</f>
        <v>Probabilidad</v>
      </c>
      <c r="U56" s="132" t="s">
        <v>15</v>
      </c>
      <c r="V56" s="132" t="s">
        <v>9</v>
      </c>
      <c r="W56" s="133" t="str">
        <f t="shared" ref="W56" si="76">IF(AND(U56="Preventivo",V56="Automático"),"50%",IF(AND(U56="Preventivo",V56="Manual"),"40%",IF(AND(U56="Detectivo",V56="Automático"),"40%",IF(AND(U56="Detectivo",V56="Manual"),"30%",IF(AND(U56="Correctivo",V56="Automático"),"35%",IF(AND(U56="Correctivo",V56="Manual"),"25%",""))))))</f>
        <v>30%</v>
      </c>
      <c r="X56" s="132" t="s">
        <v>19</v>
      </c>
      <c r="Y56" s="132" t="s">
        <v>22</v>
      </c>
      <c r="Z56" s="132" t="s">
        <v>110</v>
      </c>
      <c r="AA56" s="134">
        <f>IFERROR(IF(T56="Probabilidad",(AA55-(+AA55*W56)),IF(T56="Impacto",L56,"")),"")</f>
        <v>0.29399999999999998</v>
      </c>
      <c r="AB56" s="135" t="str">
        <f t="shared" ref="AB56:AB57" si="77">IFERROR(IF(AA56="","",IF(AA56&lt;=0.2,"Muy Baja",IF(AA56&lt;=0.4,"Baja",IF(AA56&lt;=0.6,"Media",IF(AA56&lt;=0.8,"Alta","Muy Alta"))))),"")</f>
        <v>Baja</v>
      </c>
      <c r="AC56" s="136">
        <f t="shared" ref="AC56:AC57" si="78">+AA56</f>
        <v>0.29399999999999998</v>
      </c>
      <c r="AD56" s="135" t="str">
        <f t="shared" ref="AD56:AD57" si="79">IFERROR(IF(AE56="","",IF(AE56&lt;=0.2,"Leve",IF(AE56&lt;=0.4,"Menor",IF(AE56&lt;=0.6,"Moderado",IF(AE56&lt;=0.8,"Mayor","Catastrófico"))))),"")</f>
        <v>Moderado</v>
      </c>
      <c r="AE56" s="136">
        <v>0.6</v>
      </c>
      <c r="AF56" s="137" t="str">
        <f t="shared" ref="AF56:AF57" si="80">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8" t="s">
        <v>122</v>
      </c>
      <c r="AH56" s="119" t="s">
        <v>270</v>
      </c>
      <c r="AI56" s="144" t="s">
        <v>271</v>
      </c>
      <c r="AJ56" s="143">
        <v>44562</v>
      </c>
      <c r="AK56" s="143">
        <v>44926</v>
      </c>
      <c r="AL56" s="119" t="s">
        <v>272</v>
      </c>
      <c r="AM56" s="140"/>
    </row>
    <row r="57" spans="1:39" s="164" customFormat="1" ht="151.5" customHeight="1" x14ac:dyDescent="0.35">
      <c r="A57" s="394"/>
      <c r="B57" s="376"/>
      <c r="C57" s="393"/>
      <c r="D57" s="373"/>
      <c r="E57" s="370"/>
      <c r="F57" s="370"/>
      <c r="G57" s="370"/>
      <c r="H57" s="383"/>
      <c r="I57" s="370"/>
      <c r="J57" s="381"/>
      <c r="K57" s="379"/>
      <c r="L57" s="389"/>
      <c r="M57" s="391"/>
      <c r="N57" s="142"/>
      <c r="O57" s="379"/>
      <c r="P57" s="389"/>
      <c r="Q57" s="386"/>
      <c r="R57" s="130">
        <v>3</v>
      </c>
      <c r="S57" s="98"/>
      <c r="T57" s="131" t="str">
        <f t="shared" si="75"/>
        <v/>
      </c>
      <c r="U57" s="132"/>
      <c r="V57" s="132"/>
      <c r="W57" s="133"/>
      <c r="X57" s="132"/>
      <c r="Y57" s="132"/>
      <c r="Z57" s="132"/>
      <c r="AA57" s="134" t="str">
        <f>IFERROR(IF(T57="Probabilidad",(AA56-(+AA56*W57)),IF(T57="Impacto",L57,"")),"")</f>
        <v/>
      </c>
      <c r="AB57" s="135" t="str">
        <f t="shared" si="77"/>
        <v/>
      </c>
      <c r="AC57" s="136" t="str">
        <f t="shared" si="78"/>
        <v/>
      </c>
      <c r="AD57" s="135" t="str">
        <f t="shared" si="79"/>
        <v/>
      </c>
      <c r="AE57" s="136" t="str">
        <f t="shared" ref="AE57" si="81">IFERROR(IF(T57="Impacto",(P57-(+P57*W57)),IF(T57="Probabilidad",P57,"")),"")</f>
        <v/>
      </c>
      <c r="AF57" s="137" t="str">
        <f t="shared" si="80"/>
        <v/>
      </c>
      <c r="AG57" s="138"/>
      <c r="AH57" s="119"/>
      <c r="AI57" s="127"/>
      <c r="AJ57" s="143"/>
      <c r="AK57" s="143"/>
      <c r="AL57" s="119"/>
      <c r="AM57" s="140"/>
    </row>
    <row r="58" spans="1:39" s="164" customFormat="1" ht="151.5" customHeight="1" x14ac:dyDescent="0.35">
      <c r="A58" s="394">
        <v>18</v>
      </c>
      <c r="B58" s="374" t="s">
        <v>273</v>
      </c>
      <c r="C58" s="372" t="s">
        <v>274</v>
      </c>
      <c r="D58" s="372" t="s">
        <v>388</v>
      </c>
      <c r="E58" s="371" t="s">
        <v>120</v>
      </c>
      <c r="F58" s="371" t="s">
        <v>275</v>
      </c>
      <c r="G58" s="371" t="s">
        <v>276</v>
      </c>
      <c r="H58" s="382" t="s">
        <v>446</v>
      </c>
      <c r="I58" s="371" t="s">
        <v>117</v>
      </c>
      <c r="J58" s="380">
        <v>360</v>
      </c>
      <c r="K58" s="377" t="str">
        <f>IF(J58&lt;=0,"",IF(J58&lt;=2,"Muy Baja",IF(J58&lt;=24,"Baja",IF(J58&lt;=500,"Media",IF(J58&lt;=5000,"Alta","Muy Alta")))))</f>
        <v>Media</v>
      </c>
      <c r="L58" s="387">
        <f>IF(K58="","",IF(K58="Muy Baja",0.2,IF(K58="Baja",0.4,IF(K58="Media",0.6,IF(K58="Alta",0.8,IF(K58="Muy Alta",1,))))))</f>
        <v>0.6</v>
      </c>
      <c r="M58" s="390" t="s">
        <v>487</v>
      </c>
      <c r="N58" s="129"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77" t="str">
        <f>IF(OR(N58='Tabla Impacto'!$C$11,N58='Tabla Impacto'!$D$11),"Leve",IF(OR(N58='Tabla Impacto'!$C$12,N58='Tabla Impacto'!$D$12),"Menor",IF(OR(N58='Tabla Impacto'!$C$13,N58='Tabla Impacto'!$D$13),"Moderado",IF(OR(N58='Tabla Impacto'!$C$14,N58='Tabla Impacto'!$D$14),"Mayor",IF(OR(N58='Tabla Impacto'!$C$15,N58='Tabla Impacto'!$D$15),"Catastrófico","")))))</f>
        <v>Moderado</v>
      </c>
      <c r="P58" s="387">
        <f>IF(O58="","",IF(O58="Leve",0.2,IF(O58="Menor",0.4,IF(O58="Moderado",0.6,IF(O58="Mayor",0.8,IF(O58="Catastrófico",1,))))))</f>
        <v>0.6</v>
      </c>
      <c r="Q58" s="384"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30">
        <v>1</v>
      </c>
      <c r="S58" s="98" t="s">
        <v>277</v>
      </c>
      <c r="T58" s="131" t="str">
        <f t="shared" si="25"/>
        <v>Probabilidad</v>
      </c>
      <c r="U58" s="132" t="s">
        <v>15</v>
      </c>
      <c r="V58" s="132" t="s">
        <v>9</v>
      </c>
      <c r="W58" s="133" t="str">
        <f t="shared" si="26"/>
        <v>30%</v>
      </c>
      <c r="X58" s="132" t="s">
        <v>20</v>
      </c>
      <c r="Y58" s="132" t="s">
        <v>22</v>
      </c>
      <c r="Z58" s="132" t="s">
        <v>110</v>
      </c>
      <c r="AA58" s="134">
        <f t="shared" si="27"/>
        <v>0.42</v>
      </c>
      <c r="AB58" s="135" t="str">
        <f t="shared" si="28"/>
        <v>Media</v>
      </c>
      <c r="AC58" s="136">
        <f t="shared" si="29"/>
        <v>0.42</v>
      </c>
      <c r="AD58" s="135" t="str">
        <f t="shared" si="30"/>
        <v>Moderado</v>
      </c>
      <c r="AE58" s="136">
        <f t="shared" si="31"/>
        <v>0.6</v>
      </c>
      <c r="AF58" s="137" t="str">
        <f t="shared" si="32"/>
        <v>Moderado</v>
      </c>
      <c r="AG58" s="138" t="s">
        <v>122</v>
      </c>
      <c r="AH58" s="119" t="s">
        <v>387</v>
      </c>
      <c r="AI58" s="127" t="s">
        <v>199</v>
      </c>
      <c r="AJ58" s="143">
        <v>44562</v>
      </c>
      <c r="AK58" s="143">
        <v>44926</v>
      </c>
      <c r="AL58" s="119" t="s">
        <v>278</v>
      </c>
      <c r="AM58" s="140"/>
    </row>
    <row r="59" spans="1:39" s="164" customFormat="1" ht="151.5" customHeight="1" x14ac:dyDescent="0.35">
      <c r="A59" s="394"/>
      <c r="B59" s="375"/>
      <c r="C59" s="373"/>
      <c r="D59" s="393"/>
      <c r="E59" s="370"/>
      <c r="F59" s="370"/>
      <c r="G59" s="370"/>
      <c r="H59" s="383"/>
      <c r="I59" s="370"/>
      <c r="J59" s="381"/>
      <c r="K59" s="378"/>
      <c r="L59" s="388"/>
      <c r="M59" s="391"/>
      <c r="N59" s="142"/>
      <c r="O59" s="378"/>
      <c r="P59" s="388"/>
      <c r="Q59" s="385"/>
      <c r="R59" s="130">
        <v>2</v>
      </c>
      <c r="S59" s="98"/>
      <c r="T59" s="131" t="str">
        <f t="shared" ref="T59:T60" si="82">IF(OR(U59="Preventivo",U59="Detectivo"),"Probabilidad",IF(U59="Correctivo","Impacto",""))</f>
        <v/>
      </c>
      <c r="U59" s="132"/>
      <c r="V59" s="132"/>
      <c r="W59" s="133"/>
      <c r="X59" s="132"/>
      <c r="Y59" s="132"/>
      <c r="Z59" s="132"/>
      <c r="AA59" s="134" t="str">
        <f>IFERROR(IF(T59="Probabilidad",(AA58-(+AA58*W59)),IF(T59="Impacto",L59,"")),"")</f>
        <v/>
      </c>
      <c r="AB59" s="135" t="str">
        <f t="shared" ref="AB59:AB60" si="83">IFERROR(IF(AA59="","",IF(AA59&lt;=0.2,"Muy Baja",IF(AA59&lt;=0.4,"Baja",IF(AA59&lt;=0.6,"Media",IF(AA59&lt;=0.8,"Alta","Muy Alta"))))),"")</f>
        <v/>
      </c>
      <c r="AC59" s="136" t="str">
        <f t="shared" ref="AC59:AC60" si="84">+AA59</f>
        <v/>
      </c>
      <c r="AD59" s="135" t="str">
        <f t="shared" ref="AD59:AD60" si="85">IFERROR(IF(AE59="","",IF(AE59&lt;=0.2,"Leve",IF(AE59&lt;=0.4,"Menor",IF(AE59&lt;=0.6,"Moderado",IF(AE59&lt;=0.8,"Mayor","Catastrófico"))))),"")</f>
        <v/>
      </c>
      <c r="AE59" s="136" t="str">
        <f t="shared" ref="AE59:AE60" si="86">IFERROR(IF(T59="Impacto",(P59-(+P59*W59)),IF(T59="Probabilidad",P59,"")),"")</f>
        <v/>
      </c>
      <c r="AF59" s="137"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8"/>
      <c r="AH59" s="119"/>
      <c r="AI59" s="127"/>
      <c r="AJ59" s="143"/>
      <c r="AK59" s="143"/>
      <c r="AL59" s="119"/>
      <c r="AM59" s="140"/>
    </row>
    <row r="60" spans="1:39" s="164" customFormat="1" ht="151.5" customHeight="1" x14ac:dyDescent="0.35">
      <c r="A60" s="394"/>
      <c r="B60" s="376"/>
      <c r="C60" s="373"/>
      <c r="D60" s="393"/>
      <c r="E60" s="370"/>
      <c r="F60" s="370"/>
      <c r="G60" s="370"/>
      <c r="H60" s="383"/>
      <c r="I60" s="370"/>
      <c r="J60" s="381"/>
      <c r="K60" s="379"/>
      <c r="L60" s="389"/>
      <c r="M60" s="397"/>
      <c r="N60" s="142"/>
      <c r="O60" s="379"/>
      <c r="P60" s="389"/>
      <c r="Q60" s="386"/>
      <c r="R60" s="130">
        <v>3</v>
      </c>
      <c r="S60" s="98"/>
      <c r="T60" s="131" t="str">
        <f t="shared" si="82"/>
        <v/>
      </c>
      <c r="U60" s="132"/>
      <c r="V60" s="132"/>
      <c r="W60" s="133"/>
      <c r="X60" s="132"/>
      <c r="Y60" s="132"/>
      <c r="Z60" s="132"/>
      <c r="AA60" s="134" t="str">
        <f>IFERROR(IF(T60="Probabilidad",(AA59-(+AA59*W60)),IF(T60="Impacto",L60,"")),"")</f>
        <v/>
      </c>
      <c r="AB60" s="135" t="str">
        <f t="shared" si="83"/>
        <v/>
      </c>
      <c r="AC60" s="136" t="str">
        <f t="shared" si="84"/>
        <v/>
      </c>
      <c r="AD60" s="135" t="str">
        <f t="shared" si="85"/>
        <v/>
      </c>
      <c r="AE60" s="136" t="str">
        <f t="shared" si="86"/>
        <v/>
      </c>
      <c r="AF60" s="137" t="str">
        <f t="shared" si="87"/>
        <v/>
      </c>
      <c r="AG60" s="138"/>
      <c r="AH60" s="119"/>
      <c r="AI60" s="127"/>
      <c r="AJ60" s="143"/>
      <c r="AK60" s="143"/>
      <c r="AL60" s="119"/>
      <c r="AM60" s="140"/>
    </row>
    <row r="61" spans="1:39" s="164" customFormat="1" ht="151.5" customHeight="1" x14ac:dyDescent="0.35">
      <c r="A61" s="394">
        <v>19</v>
      </c>
      <c r="B61" s="374" t="s">
        <v>273</v>
      </c>
      <c r="C61" s="372" t="s">
        <v>274</v>
      </c>
      <c r="D61" s="372" t="s">
        <v>388</v>
      </c>
      <c r="E61" s="371" t="s">
        <v>120</v>
      </c>
      <c r="F61" s="369" t="s">
        <v>279</v>
      </c>
      <c r="G61" s="371" t="s">
        <v>280</v>
      </c>
      <c r="H61" s="382" t="s">
        <v>583</v>
      </c>
      <c r="I61" s="371" t="s">
        <v>115</v>
      </c>
      <c r="J61" s="380">
        <v>246</v>
      </c>
      <c r="K61" s="377" t="str">
        <f>IF(J61&lt;=0,"",IF(J61&lt;=2,"Muy Baja",IF(J61&lt;=24,"Baja",IF(J61&lt;=500,"Media",IF(J61&lt;=5000,"Alta","Muy Alta")))))</f>
        <v>Media</v>
      </c>
      <c r="L61" s="387">
        <f>IF(K61="","",IF(K61="Muy Baja",0.2,IF(K61="Baja",0.4,IF(K61="Media",0.6,IF(K61="Alta",0.8,IF(K61="Muy Alta",1,))))))</f>
        <v>0.6</v>
      </c>
      <c r="M61" s="390" t="s">
        <v>494</v>
      </c>
      <c r="N61" s="129"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77" t="str">
        <f>IF(OR(N61='Tabla Impacto'!$C$11,N61='Tabla Impacto'!$D$11),"Leve",IF(OR(N61='Tabla Impacto'!$C$12,N61='Tabla Impacto'!$D$12),"Menor",IF(OR(N61='Tabla Impacto'!$C$13,N61='Tabla Impacto'!$D$13),"Moderado",IF(OR(N61='Tabla Impacto'!$C$14,N61='Tabla Impacto'!$D$14),"Mayor",IF(OR(N61='Tabla Impacto'!$C$15,N61='Tabla Impacto'!$D$15),"Catastrófico","")))))</f>
        <v>Mayor</v>
      </c>
      <c r="P61" s="387">
        <f>IF(O61="","",IF(O61="Leve",0.2,IF(O61="Menor",0.4,IF(O61="Moderado",0.6,IF(O61="Mayor",0.8,IF(O61="Catastrófico",1,))))))</f>
        <v>0.8</v>
      </c>
      <c r="Q61" s="384"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30">
        <v>1</v>
      </c>
      <c r="S61" s="98" t="s">
        <v>548</v>
      </c>
      <c r="T61" s="131" t="str">
        <f t="shared" si="25"/>
        <v>Probabilidad</v>
      </c>
      <c r="U61" s="132" t="s">
        <v>14</v>
      </c>
      <c r="V61" s="132" t="s">
        <v>9</v>
      </c>
      <c r="W61" s="133" t="str">
        <f t="shared" si="26"/>
        <v>40%</v>
      </c>
      <c r="X61" s="132" t="s">
        <v>20</v>
      </c>
      <c r="Y61" s="132" t="s">
        <v>22</v>
      </c>
      <c r="Z61" s="132" t="s">
        <v>110</v>
      </c>
      <c r="AA61" s="134">
        <f t="shared" si="27"/>
        <v>0.36</v>
      </c>
      <c r="AB61" s="135" t="str">
        <f t="shared" si="28"/>
        <v>Baja</v>
      </c>
      <c r="AC61" s="136">
        <f t="shared" si="29"/>
        <v>0.36</v>
      </c>
      <c r="AD61" s="135" t="str">
        <f t="shared" si="30"/>
        <v>Mayor</v>
      </c>
      <c r="AE61" s="136">
        <f t="shared" si="31"/>
        <v>0.8</v>
      </c>
      <c r="AF61" s="137" t="str">
        <f t="shared" si="32"/>
        <v>Alto</v>
      </c>
      <c r="AG61" s="138" t="s">
        <v>122</v>
      </c>
      <c r="AH61" s="126" t="s">
        <v>373</v>
      </c>
      <c r="AI61" s="121" t="s">
        <v>213</v>
      </c>
      <c r="AJ61" s="156">
        <v>44562</v>
      </c>
      <c r="AK61" s="157" t="s">
        <v>374</v>
      </c>
      <c r="AL61" s="119" t="s">
        <v>281</v>
      </c>
      <c r="AM61" s="140"/>
    </row>
    <row r="62" spans="1:39" s="164" customFormat="1" ht="151.5" customHeight="1" x14ac:dyDescent="0.35">
      <c r="A62" s="394"/>
      <c r="B62" s="375"/>
      <c r="C62" s="373"/>
      <c r="D62" s="393"/>
      <c r="E62" s="370"/>
      <c r="F62" s="370"/>
      <c r="G62" s="370"/>
      <c r="H62" s="383"/>
      <c r="I62" s="370"/>
      <c r="J62" s="381"/>
      <c r="K62" s="378"/>
      <c r="L62" s="388"/>
      <c r="M62" s="391"/>
      <c r="N62" s="142"/>
      <c r="O62" s="378"/>
      <c r="P62" s="388"/>
      <c r="Q62" s="385"/>
      <c r="R62" s="130">
        <v>2</v>
      </c>
      <c r="S62" s="98"/>
      <c r="T62" s="131" t="str">
        <f t="shared" ref="T62:T63" si="88">IF(OR(U62="Preventivo",U62="Detectivo"),"Probabilidad",IF(U62="Correctivo","Impacto",""))</f>
        <v/>
      </c>
      <c r="U62" s="132"/>
      <c r="V62" s="132"/>
      <c r="W62" s="133"/>
      <c r="X62" s="132"/>
      <c r="Y62" s="132"/>
      <c r="Z62" s="132"/>
      <c r="AA62" s="134" t="str">
        <f>IFERROR(IF(T62="Probabilidad",(AA61-(+AA61*W62)),IF(T62="Impacto",L62,"")),"")</f>
        <v/>
      </c>
      <c r="AB62" s="135" t="str">
        <f t="shared" ref="AB62:AB63" si="89">IFERROR(IF(AA62="","",IF(AA62&lt;=0.2,"Muy Baja",IF(AA62&lt;=0.4,"Baja",IF(AA62&lt;=0.6,"Media",IF(AA62&lt;=0.8,"Alta","Muy Alta"))))),"")</f>
        <v/>
      </c>
      <c r="AC62" s="136" t="str">
        <f t="shared" ref="AC62:AC63" si="90">+AA62</f>
        <v/>
      </c>
      <c r="AD62" s="135" t="str">
        <f t="shared" ref="AD62:AD63" si="91">IFERROR(IF(AE62="","",IF(AE62&lt;=0.2,"Leve",IF(AE62&lt;=0.4,"Menor",IF(AE62&lt;=0.6,"Moderado",IF(AE62&lt;=0.8,"Mayor","Catastrófico"))))),"")</f>
        <v/>
      </c>
      <c r="AE62" s="136" t="str">
        <f t="shared" ref="AE62:AE63" si="92">IFERROR(IF(T62="Impacto",(P62-(+P62*W62)),IF(T62="Probabilidad",P62,"")),"")</f>
        <v/>
      </c>
      <c r="AF62" s="137" t="str">
        <f t="shared" ref="AF62:AF63" si="93">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8"/>
      <c r="AH62" s="119"/>
      <c r="AI62" s="127"/>
      <c r="AJ62" s="143"/>
      <c r="AK62" s="143"/>
      <c r="AL62" s="119"/>
      <c r="AM62" s="140"/>
    </row>
    <row r="63" spans="1:39" s="164" customFormat="1" ht="151.5" customHeight="1" x14ac:dyDescent="0.35">
      <c r="A63" s="394"/>
      <c r="B63" s="376"/>
      <c r="C63" s="373"/>
      <c r="D63" s="393"/>
      <c r="E63" s="370"/>
      <c r="F63" s="370"/>
      <c r="G63" s="370"/>
      <c r="H63" s="383"/>
      <c r="I63" s="370"/>
      <c r="J63" s="381"/>
      <c r="K63" s="379"/>
      <c r="L63" s="389"/>
      <c r="M63" s="391"/>
      <c r="N63" s="142"/>
      <c r="O63" s="379"/>
      <c r="P63" s="389"/>
      <c r="Q63" s="386"/>
      <c r="R63" s="130">
        <v>3</v>
      </c>
      <c r="S63" s="98"/>
      <c r="T63" s="131" t="str">
        <f t="shared" si="88"/>
        <v/>
      </c>
      <c r="U63" s="132"/>
      <c r="V63" s="132"/>
      <c r="W63" s="133"/>
      <c r="X63" s="132"/>
      <c r="Y63" s="132"/>
      <c r="Z63" s="132"/>
      <c r="AA63" s="134" t="str">
        <f>IFERROR(IF(T63="Probabilidad",(AA62-(+AA62*W63)),IF(T63="Impacto",L63,"")),"")</f>
        <v/>
      </c>
      <c r="AB63" s="135" t="str">
        <f t="shared" si="89"/>
        <v/>
      </c>
      <c r="AC63" s="136" t="str">
        <f t="shared" si="90"/>
        <v/>
      </c>
      <c r="AD63" s="135" t="str">
        <f t="shared" si="91"/>
        <v/>
      </c>
      <c r="AE63" s="136" t="str">
        <f t="shared" si="92"/>
        <v/>
      </c>
      <c r="AF63" s="137" t="str">
        <f t="shared" si="93"/>
        <v/>
      </c>
      <c r="AG63" s="138"/>
      <c r="AH63" s="119"/>
      <c r="AI63" s="127"/>
      <c r="AJ63" s="143"/>
      <c r="AK63" s="143"/>
      <c r="AL63" s="119"/>
      <c r="AM63" s="140"/>
    </row>
    <row r="64" spans="1:39" s="164" customFormat="1" ht="151.5" customHeight="1" x14ac:dyDescent="0.35">
      <c r="A64" s="394">
        <v>20</v>
      </c>
      <c r="B64" s="374" t="s">
        <v>282</v>
      </c>
      <c r="C64" s="372" t="s">
        <v>357</v>
      </c>
      <c r="D64" s="372" t="s">
        <v>389</v>
      </c>
      <c r="E64" s="371" t="s">
        <v>120</v>
      </c>
      <c r="F64" s="369" t="s">
        <v>531</v>
      </c>
      <c r="G64" s="369" t="s">
        <v>532</v>
      </c>
      <c r="H64" s="382" t="s">
        <v>530</v>
      </c>
      <c r="I64" s="371" t="s">
        <v>331</v>
      </c>
      <c r="J64" s="380">
        <v>4</v>
      </c>
      <c r="K64" s="377" t="str">
        <f>IF(J64&lt;=0,"",IF(J64&lt;=2,"Muy Baja",IF(J64&lt;=24,"Baja",IF(J64&lt;=500,"Media",IF(J64&lt;=5000,"Alta","Muy Alta")))))</f>
        <v>Baja</v>
      </c>
      <c r="L64" s="387">
        <f>IF(K64="","",IF(K64="Muy Baja",0.2,IF(K64="Baja",0.4,IF(K64="Media",0.6,IF(K64="Alta",0.8,IF(K64="Muy Alta",1,))))))</f>
        <v>0.4</v>
      </c>
      <c r="M64" s="390" t="s">
        <v>483</v>
      </c>
      <c r="N64" s="129" t="str">
        <f>IF(NOT(ISERROR(MATCH(M64,'Tabla Impacto'!$B$221:$B$223,0))),'Tabla Impacto'!$F$223&amp;"Por favor no seleccionar los criterios de impacto(Afectación Económica o presupuestal y Pérdida Reputacional)",M64)</f>
        <v xml:space="preserve"> Afectación menor a 10 SMLMV .</v>
      </c>
      <c r="O64" s="377" t="str">
        <f>IF(OR(N64='Tabla Impacto'!$C$11,N64='Tabla Impacto'!$D$11),"Leve",IF(OR(N64='Tabla Impacto'!$C$12,N64='Tabla Impacto'!$D$12),"Menor",IF(OR(N64='Tabla Impacto'!$C$13,N64='Tabla Impacto'!$D$13),"Moderado",IF(OR(N64='Tabla Impacto'!$C$14,N64='Tabla Impacto'!$D$14),"Mayor",IF(OR(N64='Tabla Impacto'!$C$15,N64='Tabla Impacto'!$D$15),"Catastrófico","")))))</f>
        <v>Leve</v>
      </c>
      <c r="P64" s="387">
        <f>IF(O64="","",IF(O64="Leve",0.2,IF(O64="Menor",0.4,IF(O64="Moderado",0.6,IF(O64="Mayor",0.8,IF(O64="Catastrófico",1,))))))</f>
        <v>0.2</v>
      </c>
      <c r="Q64" s="384"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30">
        <v>1</v>
      </c>
      <c r="S64" s="98" t="s">
        <v>533</v>
      </c>
      <c r="T64" s="131" t="str">
        <f t="shared" si="25"/>
        <v>Probabilidad</v>
      </c>
      <c r="U64" s="132" t="s">
        <v>14</v>
      </c>
      <c r="V64" s="132" t="s">
        <v>9</v>
      </c>
      <c r="W64" s="133" t="str">
        <f t="shared" si="26"/>
        <v>40%</v>
      </c>
      <c r="X64" s="132" t="s">
        <v>19</v>
      </c>
      <c r="Y64" s="132" t="s">
        <v>22</v>
      </c>
      <c r="Z64" s="132" t="s">
        <v>110</v>
      </c>
      <c r="AA64" s="134">
        <f t="shared" si="27"/>
        <v>0.24</v>
      </c>
      <c r="AB64" s="135" t="str">
        <f t="shared" si="28"/>
        <v>Baja</v>
      </c>
      <c r="AC64" s="136">
        <f t="shared" si="29"/>
        <v>0.24</v>
      </c>
      <c r="AD64" s="135" t="str">
        <f t="shared" si="30"/>
        <v>Leve</v>
      </c>
      <c r="AE64" s="136">
        <f t="shared" si="31"/>
        <v>0.2</v>
      </c>
      <c r="AF64" s="137" t="str">
        <f t="shared" si="32"/>
        <v>Bajo</v>
      </c>
      <c r="AG64" s="138" t="s">
        <v>122</v>
      </c>
      <c r="AH64" s="119" t="s">
        <v>534</v>
      </c>
      <c r="AI64" s="127" t="s">
        <v>213</v>
      </c>
      <c r="AJ64" s="143" t="s">
        <v>287</v>
      </c>
      <c r="AK64" s="143" t="s">
        <v>288</v>
      </c>
      <c r="AL64" s="158" t="s">
        <v>543</v>
      </c>
      <c r="AM64" s="140"/>
    </row>
    <row r="65" spans="1:39" s="164" customFormat="1" ht="151.5" customHeight="1" x14ac:dyDescent="0.35">
      <c r="A65" s="394"/>
      <c r="B65" s="375"/>
      <c r="C65" s="393"/>
      <c r="D65" s="393"/>
      <c r="E65" s="370"/>
      <c r="F65" s="370"/>
      <c r="G65" s="370"/>
      <c r="H65" s="383"/>
      <c r="I65" s="370"/>
      <c r="J65" s="381"/>
      <c r="K65" s="378"/>
      <c r="L65" s="388"/>
      <c r="M65" s="391"/>
      <c r="N65" s="142"/>
      <c r="O65" s="378"/>
      <c r="P65" s="388"/>
      <c r="Q65" s="385"/>
      <c r="R65" s="130">
        <v>2</v>
      </c>
      <c r="S65" s="98"/>
      <c r="T65" s="131"/>
      <c r="U65" s="132"/>
      <c r="V65" s="132"/>
      <c r="W65" s="133"/>
      <c r="X65" s="132"/>
      <c r="Y65" s="132"/>
      <c r="Z65" s="132"/>
      <c r="AA65" s="134"/>
      <c r="AB65" s="135"/>
      <c r="AC65" s="136"/>
      <c r="AD65" s="135"/>
      <c r="AE65" s="136"/>
      <c r="AF65" s="137"/>
      <c r="AG65" s="138"/>
      <c r="AH65" s="119"/>
      <c r="AI65" s="127"/>
      <c r="AJ65" s="143"/>
      <c r="AK65" s="143"/>
      <c r="AL65" s="158"/>
      <c r="AM65" s="140"/>
    </row>
    <row r="66" spans="1:39" s="164" customFormat="1" ht="151.5" customHeight="1" x14ac:dyDescent="0.35">
      <c r="A66" s="394"/>
      <c r="B66" s="376"/>
      <c r="C66" s="393"/>
      <c r="D66" s="393"/>
      <c r="E66" s="370"/>
      <c r="F66" s="370"/>
      <c r="G66" s="370"/>
      <c r="H66" s="383"/>
      <c r="I66" s="370"/>
      <c r="J66" s="381"/>
      <c r="K66" s="379"/>
      <c r="L66" s="389"/>
      <c r="M66" s="391"/>
      <c r="N66" s="142"/>
      <c r="O66" s="379"/>
      <c r="P66" s="389"/>
      <c r="Q66" s="386"/>
      <c r="R66" s="130">
        <v>3</v>
      </c>
      <c r="S66" s="98"/>
      <c r="T66" s="131" t="str">
        <f t="shared" ref="T66" si="94">IF(OR(U66="Preventivo",U66="Detectivo"),"Probabilidad",IF(U66="Correctivo","Impacto",""))</f>
        <v/>
      </c>
      <c r="U66" s="132"/>
      <c r="V66" s="132"/>
      <c r="W66" s="133"/>
      <c r="X66" s="132"/>
      <c r="Y66" s="132"/>
      <c r="Z66" s="132"/>
      <c r="AA66" s="134"/>
      <c r="AB66" s="135"/>
      <c r="AC66" s="136"/>
      <c r="AD66" s="135"/>
      <c r="AE66" s="136"/>
      <c r="AF66" s="137"/>
      <c r="AG66" s="138"/>
      <c r="AH66" s="119"/>
      <c r="AI66" s="127"/>
      <c r="AJ66" s="143"/>
      <c r="AK66" s="143"/>
      <c r="AL66" s="119"/>
      <c r="AM66" s="140"/>
    </row>
    <row r="67" spans="1:39" s="164" customFormat="1" ht="151.5" customHeight="1" x14ac:dyDescent="0.35">
      <c r="A67" s="394">
        <v>21</v>
      </c>
      <c r="B67" s="374" t="s">
        <v>282</v>
      </c>
      <c r="C67" s="372" t="s">
        <v>357</v>
      </c>
      <c r="D67" s="372" t="s">
        <v>389</v>
      </c>
      <c r="E67" s="371" t="s">
        <v>118</v>
      </c>
      <c r="F67" s="371" t="s">
        <v>447</v>
      </c>
      <c r="G67" s="371" t="s">
        <v>285</v>
      </c>
      <c r="H67" s="382" t="s">
        <v>284</v>
      </c>
      <c r="I67" s="371" t="s">
        <v>329</v>
      </c>
      <c r="J67" s="380">
        <v>12</v>
      </c>
      <c r="K67" s="377" t="str">
        <f>IF(J67&lt;=0,"",IF(J67&lt;=2,"Muy Baja",IF(J67&lt;=24,"Baja",IF(J67&lt;=500,"Media",IF(J67&lt;=5000,"Alta","Muy Alta")))))</f>
        <v>Baja</v>
      </c>
      <c r="L67" s="387">
        <f>IF(K67="","",IF(K67="Muy Baja",0.2,IF(K67="Baja",0.4,IF(K67="Media",0.6,IF(K67="Alta",0.8,IF(K67="Muy Alta",1,))))))</f>
        <v>0.4</v>
      </c>
      <c r="M67" s="390" t="s">
        <v>492</v>
      </c>
      <c r="N67" s="129" t="str">
        <f>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377" t="str">
        <f>IF(OR(N67='Tabla Impacto'!$C$11,N67='Tabla Impacto'!$D$11),"Leve",IF(OR(N67='Tabla Impacto'!$C$12,N67='Tabla Impacto'!$D$12),"Menor",IF(OR(N67='Tabla Impacto'!$C$13,N67='Tabla Impacto'!$D$13),"Moderado",IF(OR(N67='Tabla Impacto'!$C$14,N67='Tabla Impacto'!$D$14),"Mayor",IF(OR(N67='Tabla Impacto'!$C$15,N67='Tabla Impacto'!$D$15),"Catastrófico","")))))</f>
        <v>Menor</v>
      </c>
      <c r="P67" s="387">
        <f>IF(O67="","",IF(O67="Leve",0.2,IF(O67="Menor",0.4,IF(O67="Moderado",0.6,IF(O67="Mayor",0.8,IF(O67="Catastrófico",1,))))))</f>
        <v>0.4</v>
      </c>
      <c r="Q67" s="384"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30">
        <v>1</v>
      </c>
      <c r="S67" s="119" t="s">
        <v>535</v>
      </c>
      <c r="T67" s="131" t="str">
        <f t="shared" si="25"/>
        <v>Probabilidad</v>
      </c>
      <c r="U67" s="132" t="s">
        <v>15</v>
      </c>
      <c r="V67" s="132" t="s">
        <v>9</v>
      </c>
      <c r="W67" s="133" t="str">
        <f t="shared" si="26"/>
        <v>30%</v>
      </c>
      <c r="X67" s="132" t="s">
        <v>19</v>
      </c>
      <c r="Y67" s="132" t="s">
        <v>22</v>
      </c>
      <c r="Z67" s="132" t="s">
        <v>110</v>
      </c>
      <c r="AA67" s="134">
        <f t="shared" si="27"/>
        <v>0.28000000000000003</v>
      </c>
      <c r="AB67" s="135" t="str">
        <f t="shared" si="28"/>
        <v>Baja</v>
      </c>
      <c r="AC67" s="136">
        <f t="shared" si="29"/>
        <v>0.28000000000000003</v>
      </c>
      <c r="AD67" s="135" t="str">
        <f t="shared" si="30"/>
        <v>Menor</v>
      </c>
      <c r="AE67" s="136">
        <f t="shared" si="31"/>
        <v>0.4</v>
      </c>
      <c r="AF67" s="137" t="str">
        <f t="shared" si="32"/>
        <v>Moderado</v>
      </c>
      <c r="AG67" s="138" t="s">
        <v>122</v>
      </c>
      <c r="AH67" s="119" t="s">
        <v>536</v>
      </c>
      <c r="AI67" s="127" t="s">
        <v>261</v>
      </c>
      <c r="AJ67" s="143" t="s">
        <v>287</v>
      </c>
      <c r="AK67" s="143" t="s">
        <v>288</v>
      </c>
      <c r="AL67" s="119" t="s">
        <v>537</v>
      </c>
      <c r="AM67" s="140"/>
    </row>
    <row r="68" spans="1:39" s="164" customFormat="1" ht="151.5" customHeight="1" x14ac:dyDescent="0.35">
      <c r="A68" s="394"/>
      <c r="B68" s="375"/>
      <c r="C68" s="393"/>
      <c r="D68" s="393"/>
      <c r="E68" s="370"/>
      <c r="F68" s="370"/>
      <c r="G68" s="370"/>
      <c r="H68" s="383"/>
      <c r="I68" s="370"/>
      <c r="J68" s="381"/>
      <c r="K68" s="378"/>
      <c r="L68" s="388"/>
      <c r="M68" s="391"/>
      <c r="N68" s="142"/>
      <c r="O68" s="378"/>
      <c r="P68" s="388"/>
      <c r="Q68" s="385"/>
      <c r="R68" s="130">
        <v>2</v>
      </c>
      <c r="S68" s="119"/>
      <c r="T68" s="131"/>
      <c r="U68" s="132"/>
      <c r="V68" s="132"/>
      <c r="W68" s="133"/>
      <c r="X68" s="132"/>
      <c r="Y68" s="132"/>
      <c r="Z68" s="132"/>
      <c r="AA68" s="134"/>
      <c r="AB68" s="135"/>
      <c r="AC68" s="136"/>
      <c r="AD68" s="135"/>
      <c r="AE68" s="136"/>
      <c r="AF68" s="137"/>
      <c r="AG68" s="138"/>
      <c r="AH68" s="119"/>
      <c r="AI68" s="127"/>
      <c r="AJ68" s="143"/>
      <c r="AK68" s="143"/>
      <c r="AL68" s="119"/>
      <c r="AM68" s="140"/>
    </row>
    <row r="69" spans="1:39" s="164" customFormat="1" ht="151.5" customHeight="1" x14ac:dyDescent="0.35">
      <c r="A69" s="394"/>
      <c r="B69" s="376"/>
      <c r="C69" s="393"/>
      <c r="D69" s="393"/>
      <c r="E69" s="370"/>
      <c r="F69" s="370"/>
      <c r="G69" s="370"/>
      <c r="H69" s="383"/>
      <c r="I69" s="370"/>
      <c r="J69" s="381"/>
      <c r="K69" s="379"/>
      <c r="L69" s="389"/>
      <c r="M69" s="391"/>
      <c r="N69" s="142"/>
      <c r="O69" s="379"/>
      <c r="P69" s="389"/>
      <c r="Q69" s="386"/>
      <c r="R69" s="130">
        <v>3</v>
      </c>
      <c r="S69" s="119"/>
      <c r="T69" s="131"/>
      <c r="U69" s="132"/>
      <c r="V69" s="132"/>
      <c r="W69" s="133"/>
      <c r="X69" s="132"/>
      <c r="Y69" s="132"/>
      <c r="Z69" s="132"/>
      <c r="AA69" s="134"/>
      <c r="AB69" s="135"/>
      <c r="AC69" s="136"/>
      <c r="AD69" s="135"/>
      <c r="AE69" s="136"/>
      <c r="AF69" s="137"/>
      <c r="AG69" s="138"/>
      <c r="AH69" s="119"/>
      <c r="AI69" s="127"/>
      <c r="AJ69" s="143"/>
      <c r="AK69" s="143"/>
      <c r="AL69" s="119"/>
      <c r="AM69" s="140"/>
    </row>
    <row r="70" spans="1:39" s="221" customFormat="1" ht="151.5" customHeight="1" x14ac:dyDescent="0.35">
      <c r="A70" s="418">
        <v>22</v>
      </c>
      <c r="B70" s="419" t="s">
        <v>282</v>
      </c>
      <c r="C70" s="422" t="s">
        <v>357</v>
      </c>
      <c r="D70" s="422" t="s">
        <v>389</v>
      </c>
      <c r="E70" s="382" t="s">
        <v>120</v>
      </c>
      <c r="F70" s="382" t="s">
        <v>539</v>
      </c>
      <c r="G70" s="382" t="s">
        <v>366</v>
      </c>
      <c r="H70" s="382" t="s">
        <v>538</v>
      </c>
      <c r="I70" s="382" t="s">
        <v>115</v>
      </c>
      <c r="J70" s="401">
        <v>20</v>
      </c>
      <c r="K70" s="403" t="str">
        <f>IF(J70&lt;=0,"",IF(J70&lt;=2,"Muy Baja",IF(J70&lt;=24,"Baja",IF(J70&lt;=500,"Media",IF(J70&lt;=5000,"Alta","Muy Alta")))))</f>
        <v>Baja</v>
      </c>
      <c r="L70" s="406">
        <f>IF(K70="","",IF(K70="Muy Baja",0.2,IF(K70="Baja",0.4,IF(K70="Media",0.6,IF(K70="Alta",0.8,IF(K70="Muy Alta",1,))))))</f>
        <v>0.4</v>
      </c>
      <c r="M70" s="409" t="s">
        <v>487</v>
      </c>
      <c r="N70" s="206" t="str">
        <f>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403" t="str">
        <f>IF(OR(N70='Tabla Impacto'!$C$11,N70='Tabla Impacto'!$D$11),"Leve",IF(OR(N70='Tabla Impacto'!$C$12,N70='Tabla Impacto'!$D$12),"Menor",IF(OR(N70='Tabla Impacto'!$C$13,N70='Tabla Impacto'!$D$13),"Moderado",IF(OR(N70='Tabla Impacto'!$C$14,N70='Tabla Impacto'!$D$14),"Mayor",IF(OR(N70='Tabla Impacto'!$C$15,N70='Tabla Impacto'!$D$15),"Catastrófico","")))))</f>
        <v>Moderado</v>
      </c>
      <c r="P70" s="406">
        <f>IF(O70="","",IF(O70="Leve",0.2,IF(O70="Menor",0.4,IF(O70="Moderado",0.6,IF(O70="Mayor",0.8,IF(O70="Catastrófico",1,))))))</f>
        <v>0.6</v>
      </c>
      <c r="Q70" s="411"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208">
        <v>1</v>
      </c>
      <c r="S70" s="126" t="s">
        <v>540</v>
      </c>
      <c r="T70" s="209" t="str">
        <f t="shared" ref="T70:T76" si="95">IF(OR(U70="Preventivo",U70="Detectivo"),"Probabilidad",IF(U70="Correctivo","Impacto",""))</f>
        <v>Probabilidad</v>
      </c>
      <c r="U70" s="210" t="s">
        <v>15</v>
      </c>
      <c r="V70" s="210" t="s">
        <v>9</v>
      </c>
      <c r="W70" s="211" t="str">
        <f t="shared" ref="W70:W76" si="96">IF(AND(U70="Preventivo",V70="Automático"),"50%",IF(AND(U70="Preventivo",V70="Manual"),"40%",IF(AND(U70="Detectivo",V70="Automático"),"40%",IF(AND(U70="Detectivo",V70="Manual"),"30%",IF(AND(U70="Correctivo",V70="Automático"),"35%",IF(AND(U70="Correctivo",V70="Manual"),"25%",""))))))</f>
        <v>30%</v>
      </c>
      <c r="X70" s="210" t="s">
        <v>19</v>
      </c>
      <c r="Y70" s="210" t="s">
        <v>22</v>
      </c>
      <c r="Z70" s="210" t="s">
        <v>110</v>
      </c>
      <c r="AA70" s="161">
        <f t="shared" ref="AA70" si="97">IFERROR(IF(T70="Probabilidad",(L70-(+L70*W70)),IF(T70="Impacto",L70,"")),"")</f>
        <v>0.28000000000000003</v>
      </c>
      <c r="AB70" s="212" t="str">
        <f t="shared" ref="AB70:AB76" si="98">IFERROR(IF(AA70="","",IF(AA70&lt;=0.2,"Muy Baja",IF(AA70&lt;=0.4,"Baja",IF(AA70&lt;=0.6,"Media",IF(AA70&lt;=0.8,"Alta","Muy Alta"))))),"")</f>
        <v>Baja</v>
      </c>
      <c r="AC70" s="213">
        <f t="shared" ref="AC70:AC76" si="99">+AA70</f>
        <v>0.28000000000000003</v>
      </c>
      <c r="AD70" s="212" t="str">
        <f t="shared" ref="AD70:AD76" si="100">IFERROR(IF(AE70="","",IF(AE70&lt;=0.2,"Leve",IF(AE70&lt;=0.4,"Menor",IF(AE70&lt;=0.6,"Moderado",IF(AE70&lt;=0.8,"Mayor","Catastrófico"))))),"")</f>
        <v>Moderado</v>
      </c>
      <c r="AE70" s="213">
        <f t="shared" ref="AE70" si="101">IFERROR(IF(T70="Impacto",(P70-(+P70*W70)),IF(T70="Probabilidad",P70,"")),"")</f>
        <v>0.6</v>
      </c>
      <c r="AF70" s="214" t="str">
        <f t="shared" ref="AF70:AF76" si="102">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215" t="s">
        <v>122</v>
      </c>
      <c r="AH70" s="126" t="s">
        <v>541</v>
      </c>
      <c r="AI70" s="121" t="s">
        <v>213</v>
      </c>
      <c r="AJ70" s="128" t="s">
        <v>287</v>
      </c>
      <c r="AK70" s="128" t="s">
        <v>288</v>
      </c>
      <c r="AL70" s="126" t="s">
        <v>542</v>
      </c>
      <c r="AM70" s="205"/>
    </row>
    <row r="71" spans="1:39" s="221" customFormat="1" ht="151.5" customHeight="1" x14ac:dyDescent="0.35">
      <c r="A71" s="418"/>
      <c r="B71" s="420"/>
      <c r="C71" s="423"/>
      <c r="D71" s="423"/>
      <c r="E71" s="383"/>
      <c r="F71" s="383"/>
      <c r="G71" s="383"/>
      <c r="H71" s="383"/>
      <c r="I71" s="383"/>
      <c r="J71" s="402"/>
      <c r="K71" s="404"/>
      <c r="L71" s="407"/>
      <c r="M71" s="410"/>
      <c r="N71" s="207"/>
      <c r="O71" s="404"/>
      <c r="P71" s="407"/>
      <c r="Q71" s="412"/>
      <c r="R71" s="208">
        <v>2</v>
      </c>
      <c r="S71" s="202"/>
      <c r="T71" s="194"/>
      <c r="U71" s="195"/>
      <c r="V71" s="195"/>
      <c r="W71" s="196"/>
      <c r="X71" s="195"/>
      <c r="Y71" s="195"/>
      <c r="Z71" s="195"/>
      <c r="AA71" s="197"/>
      <c r="AB71" s="198"/>
      <c r="AC71" s="199"/>
      <c r="AD71" s="198"/>
      <c r="AE71" s="199"/>
      <c r="AF71" s="200"/>
      <c r="AG71" s="201"/>
      <c r="AH71" s="202"/>
      <c r="AI71" s="203"/>
      <c r="AJ71" s="204"/>
      <c r="AK71" s="204"/>
      <c r="AL71" s="202"/>
      <c r="AM71" s="205"/>
    </row>
    <row r="72" spans="1:39" s="221" customFormat="1" ht="151.5" customHeight="1" x14ac:dyDescent="0.35">
      <c r="A72" s="418"/>
      <c r="B72" s="421"/>
      <c r="C72" s="423"/>
      <c r="D72" s="423"/>
      <c r="E72" s="383"/>
      <c r="F72" s="383"/>
      <c r="G72" s="383"/>
      <c r="H72" s="383"/>
      <c r="I72" s="383"/>
      <c r="J72" s="402"/>
      <c r="K72" s="405"/>
      <c r="L72" s="408"/>
      <c r="M72" s="410"/>
      <c r="N72" s="207"/>
      <c r="O72" s="405"/>
      <c r="P72" s="408"/>
      <c r="Q72" s="413"/>
      <c r="R72" s="208">
        <v>3</v>
      </c>
      <c r="S72" s="202"/>
      <c r="T72" s="194"/>
      <c r="U72" s="195"/>
      <c r="V72" s="195"/>
      <c r="W72" s="196"/>
      <c r="X72" s="195"/>
      <c r="Y72" s="195"/>
      <c r="Z72" s="195"/>
      <c r="AA72" s="197"/>
      <c r="AB72" s="198"/>
      <c r="AC72" s="199"/>
      <c r="AD72" s="198"/>
      <c r="AE72" s="199"/>
      <c r="AF72" s="200"/>
      <c r="AG72" s="201"/>
      <c r="AH72" s="202"/>
      <c r="AI72" s="203"/>
      <c r="AJ72" s="204"/>
      <c r="AK72" s="204"/>
      <c r="AL72" s="202"/>
      <c r="AM72" s="205"/>
    </row>
    <row r="73" spans="1:39" s="164" customFormat="1" ht="151.5" customHeight="1" x14ac:dyDescent="0.35">
      <c r="A73" s="394">
        <v>23</v>
      </c>
      <c r="B73" s="374" t="s">
        <v>286</v>
      </c>
      <c r="C73" s="372" t="s">
        <v>390</v>
      </c>
      <c r="D73" s="372" t="s">
        <v>391</v>
      </c>
      <c r="E73" s="371" t="s">
        <v>118</v>
      </c>
      <c r="F73" s="371" t="s">
        <v>332</v>
      </c>
      <c r="G73" s="371" t="s">
        <v>448</v>
      </c>
      <c r="H73" s="382" t="s">
        <v>568</v>
      </c>
      <c r="I73" s="371" t="s">
        <v>115</v>
      </c>
      <c r="J73" s="380">
        <v>30</v>
      </c>
      <c r="K73" s="377" t="str">
        <f>IF(J73&lt;=0,"",IF(J73&lt;=2,"Muy Baja",IF(J73&lt;=24,"Baja",IF(J73&lt;=500,"Media",IF(J73&lt;=5000,"Alta","Muy Alta")))))</f>
        <v>Media</v>
      </c>
      <c r="L73" s="387">
        <f>IF(K73="","",IF(K73="Muy Baja",0.2,IF(K73="Baja",0.4,IF(K73="Media",0.6,IF(K73="Alta",0.8,IF(K73="Muy Alta",1,))))))</f>
        <v>0.6</v>
      </c>
      <c r="M73" s="390" t="s">
        <v>494</v>
      </c>
      <c r="N73" s="129"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77" t="str">
        <f>IF(OR(N73='Tabla Impacto'!$C$11,N73='Tabla Impacto'!$D$11),"Leve",IF(OR(N73='Tabla Impacto'!$C$12,N73='Tabla Impacto'!$D$12),"Menor",IF(OR(N73='Tabla Impacto'!$C$13,N73='Tabla Impacto'!$D$13),"Moderado",IF(OR(N73='Tabla Impacto'!$C$14,N73='Tabla Impacto'!$D$14),"Mayor",IF(OR(N73='Tabla Impacto'!$C$15,N73='Tabla Impacto'!$D$15),"Catastrófico","")))))</f>
        <v>Mayor</v>
      </c>
      <c r="P73" s="387">
        <f>IF(O73="","",IF(O73="Leve",0.2,IF(O73="Menor",0.4,IF(O73="Moderado",0.6,IF(O73="Mayor",0.8,IF(O73="Catastrófico",1,))))))</f>
        <v>0.8</v>
      </c>
      <c r="Q73" s="384"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0">
        <v>1</v>
      </c>
      <c r="S73" s="119" t="s">
        <v>589</v>
      </c>
      <c r="T73" s="159" t="str">
        <f t="shared" si="95"/>
        <v>Probabilidad</v>
      </c>
      <c r="U73" s="147" t="s">
        <v>14</v>
      </c>
      <c r="V73" s="132" t="s">
        <v>9</v>
      </c>
      <c r="W73" s="133" t="str">
        <f t="shared" si="96"/>
        <v>40%</v>
      </c>
      <c r="X73" s="132" t="s">
        <v>19</v>
      </c>
      <c r="Y73" s="132" t="s">
        <v>22</v>
      </c>
      <c r="Z73" s="132" t="s">
        <v>110</v>
      </c>
      <c r="AA73" s="134">
        <f t="shared" ref="AA73:AA76" si="103">IFERROR(IF(T73="Probabilidad",(L73-(+L73*W73)),IF(T73="Impacto",L73,"")),"")</f>
        <v>0.36</v>
      </c>
      <c r="AB73" s="135" t="str">
        <f t="shared" si="98"/>
        <v>Baja</v>
      </c>
      <c r="AC73" s="136">
        <f t="shared" si="99"/>
        <v>0.36</v>
      </c>
      <c r="AD73" s="135" t="str">
        <f t="shared" si="100"/>
        <v>Mayor</v>
      </c>
      <c r="AE73" s="136">
        <f t="shared" ref="AE73:AE76" si="104">IFERROR(IF(T73="Impacto",(P73-(+P73*W73)),IF(T73="Probabilidad",P73,"")),"")</f>
        <v>0.8</v>
      </c>
      <c r="AF73" s="137" t="str">
        <f t="shared" si="102"/>
        <v>Alto</v>
      </c>
      <c r="AG73" s="138" t="s">
        <v>122</v>
      </c>
      <c r="AH73" s="126" t="s">
        <v>569</v>
      </c>
      <c r="AI73" s="121" t="s">
        <v>213</v>
      </c>
      <c r="AJ73" s="128" t="s">
        <v>287</v>
      </c>
      <c r="AK73" s="128" t="s">
        <v>288</v>
      </c>
      <c r="AL73" s="126" t="s">
        <v>392</v>
      </c>
      <c r="AM73" s="140"/>
    </row>
    <row r="74" spans="1:39" s="164" customFormat="1" ht="151.5" customHeight="1" x14ac:dyDescent="0.35">
      <c r="A74" s="394"/>
      <c r="B74" s="375"/>
      <c r="C74" s="373"/>
      <c r="D74" s="393"/>
      <c r="E74" s="370"/>
      <c r="F74" s="370"/>
      <c r="G74" s="370"/>
      <c r="H74" s="383"/>
      <c r="I74" s="370"/>
      <c r="J74" s="381"/>
      <c r="K74" s="378"/>
      <c r="L74" s="388"/>
      <c r="M74" s="391"/>
      <c r="N74" s="142"/>
      <c r="O74" s="378"/>
      <c r="P74" s="388"/>
      <c r="Q74" s="385"/>
      <c r="R74" s="130">
        <v>2</v>
      </c>
      <c r="S74" s="119"/>
      <c r="T74" s="159"/>
      <c r="U74" s="147"/>
      <c r="V74" s="132"/>
      <c r="W74" s="133"/>
      <c r="X74" s="132"/>
      <c r="Y74" s="132"/>
      <c r="Z74" s="132"/>
      <c r="AA74" s="134"/>
      <c r="AB74" s="135"/>
      <c r="AC74" s="136"/>
      <c r="AD74" s="135"/>
      <c r="AE74" s="136"/>
      <c r="AF74" s="137"/>
      <c r="AG74" s="138"/>
      <c r="AH74" s="126"/>
      <c r="AI74" s="121"/>
      <c r="AJ74" s="128"/>
      <c r="AK74" s="128"/>
      <c r="AL74" s="126"/>
      <c r="AM74" s="140"/>
    </row>
    <row r="75" spans="1:39" s="164" customFormat="1" ht="151.5" customHeight="1" x14ac:dyDescent="0.35">
      <c r="A75" s="396"/>
      <c r="B75" s="376"/>
      <c r="C75" s="373"/>
      <c r="D75" s="393"/>
      <c r="E75" s="370"/>
      <c r="F75" s="370"/>
      <c r="G75" s="370"/>
      <c r="H75" s="383"/>
      <c r="I75" s="370"/>
      <c r="J75" s="381"/>
      <c r="K75" s="379"/>
      <c r="L75" s="389"/>
      <c r="M75" s="391"/>
      <c r="N75" s="142"/>
      <c r="O75" s="379"/>
      <c r="P75" s="389"/>
      <c r="Q75" s="386"/>
      <c r="R75" s="130">
        <v>3</v>
      </c>
      <c r="S75" s="119"/>
      <c r="T75" s="159"/>
      <c r="U75" s="147"/>
      <c r="V75" s="132"/>
      <c r="W75" s="133"/>
      <c r="X75" s="132"/>
      <c r="Y75" s="132"/>
      <c r="Z75" s="132"/>
      <c r="AA75" s="134"/>
      <c r="AB75" s="135"/>
      <c r="AC75" s="136"/>
      <c r="AD75" s="135"/>
      <c r="AE75" s="136"/>
      <c r="AF75" s="137"/>
      <c r="AG75" s="138"/>
      <c r="AH75" s="126"/>
      <c r="AI75" s="121"/>
      <c r="AJ75" s="128"/>
      <c r="AK75" s="128"/>
      <c r="AL75" s="126"/>
      <c r="AM75" s="140"/>
    </row>
    <row r="76" spans="1:39" s="164" customFormat="1" ht="151.5" customHeight="1" x14ac:dyDescent="0.35">
      <c r="A76" s="395">
        <v>24</v>
      </c>
      <c r="B76" s="374" t="s">
        <v>286</v>
      </c>
      <c r="C76" s="372" t="s">
        <v>390</v>
      </c>
      <c r="D76" s="372" t="s">
        <v>391</v>
      </c>
      <c r="E76" s="371" t="s">
        <v>118</v>
      </c>
      <c r="F76" s="371" t="s">
        <v>289</v>
      </c>
      <c r="G76" s="371" t="s">
        <v>449</v>
      </c>
      <c r="H76" s="382" t="s">
        <v>393</v>
      </c>
      <c r="I76" s="371" t="s">
        <v>329</v>
      </c>
      <c r="J76" s="380">
        <v>12</v>
      </c>
      <c r="K76" s="377" t="str">
        <f>IF(J76&lt;=0,"",IF(J76&lt;=2,"Muy Baja",IF(J76&lt;=24,"Baja",IF(J76&lt;=500,"Media",IF(J76&lt;=5000,"Alta","Muy Alta")))))</f>
        <v>Baja</v>
      </c>
      <c r="L76" s="387">
        <f>IF(K76="","",IF(K76="Muy Baja",0.2,IF(K76="Baja",0.4,IF(K76="Media",0.6,IF(K76="Alta",0.8,IF(K76="Muy Alta",1,))))))</f>
        <v>0.4</v>
      </c>
      <c r="M76" s="390" t="s">
        <v>487</v>
      </c>
      <c r="N76" s="12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77" t="str">
        <f>IF(OR(N76='Tabla Impacto'!$C$11,N76='Tabla Impacto'!$D$11),"Leve",IF(OR(N76='Tabla Impacto'!$C$12,N76='Tabla Impacto'!$D$12),"Menor",IF(OR(N76='Tabla Impacto'!$C$13,N76='Tabla Impacto'!$D$13),"Moderado",IF(OR(N76='Tabla Impacto'!$C$14,N76='Tabla Impacto'!$D$14),"Mayor",IF(OR(N76='Tabla Impacto'!$C$15,N76='Tabla Impacto'!$D$15),"Catastrófico","")))))</f>
        <v>Moderado</v>
      </c>
      <c r="P76" s="387">
        <f>IF(O76="","",IF(O76="Leve",0.2,IF(O76="Menor",0.4,IF(O76="Moderado",0.6,IF(O76="Mayor",0.8,IF(O76="Catastrófico",1,))))))</f>
        <v>0.6</v>
      </c>
      <c r="Q76" s="384"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0">
        <v>1</v>
      </c>
      <c r="S76" s="98" t="s">
        <v>570</v>
      </c>
      <c r="T76" s="131" t="str">
        <f t="shared" si="95"/>
        <v>Probabilidad</v>
      </c>
      <c r="U76" s="132" t="s">
        <v>14</v>
      </c>
      <c r="V76" s="132" t="s">
        <v>9</v>
      </c>
      <c r="W76" s="133" t="str">
        <f t="shared" si="96"/>
        <v>40%</v>
      </c>
      <c r="X76" s="132" t="s">
        <v>19</v>
      </c>
      <c r="Y76" s="132" t="s">
        <v>22</v>
      </c>
      <c r="Z76" s="132" t="s">
        <v>110</v>
      </c>
      <c r="AA76" s="134">
        <f t="shared" si="103"/>
        <v>0.24</v>
      </c>
      <c r="AB76" s="135" t="str">
        <f t="shared" si="98"/>
        <v>Baja</v>
      </c>
      <c r="AC76" s="136">
        <f t="shared" si="99"/>
        <v>0.24</v>
      </c>
      <c r="AD76" s="135" t="str">
        <f t="shared" si="100"/>
        <v>Moderado</v>
      </c>
      <c r="AE76" s="136">
        <f t="shared" si="104"/>
        <v>0.6</v>
      </c>
      <c r="AF76" s="137" t="str">
        <f t="shared" si="102"/>
        <v>Moderado</v>
      </c>
      <c r="AG76" s="138" t="s">
        <v>122</v>
      </c>
      <c r="AH76" s="119" t="s">
        <v>394</v>
      </c>
      <c r="AI76" s="127" t="s">
        <v>199</v>
      </c>
      <c r="AJ76" s="143" t="s">
        <v>200</v>
      </c>
      <c r="AK76" s="143" t="s">
        <v>200</v>
      </c>
      <c r="AL76" s="119" t="s">
        <v>290</v>
      </c>
      <c r="AM76" s="140"/>
    </row>
    <row r="77" spans="1:39" s="164" customFormat="1" ht="151.5" customHeight="1" x14ac:dyDescent="0.35">
      <c r="A77" s="394"/>
      <c r="B77" s="375"/>
      <c r="C77" s="373"/>
      <c r="D77" s="393"/>
      <c r="E77" s="370"/>
      <c r="F77" s="370"/>
      <c r="G77" s="370"/>
      <c r="H77" s="383"/>
      <c r="I77" s="370"/>
      <c r="J77" s="381"/>
      <c r="K77" s="378"/>
      <c r="L77" s="388"/>
      <c r="M77" s="391"/>
      <c r="N77" s="142"/>
      <c r="O77" s="378"/>
      <c r="P77" s="388"/>
      <c r="Q77" s="385"/>
      <c r="R77" s="130">
        <v>2</v>
      </c>
      <c r="S77" s="98"/>
      <c r="T77" s="131" t="str">
        <f t="shared" ref="T77:T78" si="105">IF(OR(U77="Preventivo",U77="Detectivo"),"Probabilidad",IF(U77="Correctivo","Impacto",""))</f>
        <v/>
      </c>
      <c r="U77" s="132"/>
      <c r="V77" s="132"/>
      <c r="W77" s="133"/>
      <c r="X77" s="132"/>
      <c r="Y77" s="132"/>
      <c r="Z77" s="132"/>
      <c r="AA77" s="134" t="str">
        <f>IFERROR(IF(T77="Probabilidad",(AA76-(+AA76*W77)),IF(T77="Impacto",L77,"")),"")</f>
        <v/>
      </c>
      <c r="AB77" s="135" t="str">
        <f t="shared" ref="AB77:AB78" si="106">IFERROR(IF(AA77="","",IF(AA77&lt;=0.2,"Muy Baja",IF(AA77&lt;=0.4,"Baja",IF(AA77&lt;=0.6,"Media",IF(AA77&lt;=0.8,"Alta","Muy Alta"))))),"")</f>
        <v/>
      </c>
      <c r="AC77" s="136" t="str">
        <f t="shared" ref="AC77:AC78" si="107">+AA77</f>
        <v/>
      </c>
      <c r="AD77" s="135" t="str">
        <f t="shared" ref="AD77:AD78" si="108">IFERROR(IF(AE77="","",IF(AE77&lt;=0.2,"Leve",IF(AE77&lt;=0.4,"Menor",IF(AE77&lt;=0.6,"Moderado",IF(AE77&lt;=0.8,"Mayor","Catastrófico"))))),"")</f>
        <v/>
      </c>
      <c r="AE77" s="136" t="str">
        <f t="shared" ref="AE77:AE78" si="109">IFERROR(IF(T77="Impacto",(P77-(+P77*W77)),IF(T77="Probabilidad",P77,"")),"")</f>
        <v/>
      </c>
      <c r="AF77" s="137"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8"/>
      <c r="AH77" s="119"/>
      <c r="AI77" s="127"/>
      <c r="AJ77" s="143"/>
      <c r="AK77" s="143"/>
      <c r="AL77" s="119"/>
      <c r="AM77" s="140"/>
    </row>
    <row r="78" spans="1:39" s="164" customFormat="1" ht="151.5" customHeight="1" x14ac:dyDescent="0.35">
      <c r="A78" s="394"/>
      <c r="B78" s="376"/>
      <c r="C78" s="373"/>
      <c r="D78" s="393"/>
      <c r="E78" s="370"/>
      <c r="F78" s="370"/>
      <c r="G78" s="370"/>
      <c r="H78" s="383"/>
      <c r="I78" s="370"/>
      <c r="J78" s="381"/>
      <c r="K78" s="379"/>
      <c r="L78" s="389"/>
      <c r="M78" s="391"/>
      <c r="N78" s="142"/>
      <c r="O78" s="379"/>
      <c r="P78" s="389"/>
      <c r="Q78" s="386"/>
      <c r="R78" s="130">
        <v>3</v>
      </c>
      <c r="S78" s="98"/>
      <c r="T78" s="131" t="str">
        <f t="shared" si="105"/>
        <v/>
      </c>
      <c r="U78" s="132"/>
      <c r="V78" s="132"/>
      <c r="W78" s="133"/>
      <c r="X78" s="132"/>
      <c r="Y78" s="132"/>
      <c r="Z78" s="132"/>
      <c r="AA78" s="134" t="str">
        <f>IFERROR(IF(T78="Probabilidad",(AA77-(+AA77*W78)),IF(T78="Impacto",L78,"")),"")</f>
        <v/>
      </c>
      <c r="AB78" s="135" t="str">
        <f t="shared" si="106"/>
        <v/>
      </c>
      <c r="AC78" s="136" t="str">
        <f t="shared" si="107"/>
        <v/>
      </c>
      <c r="AD78" s="135" t="str">
        <f t="shared" si="108"/>
        <v/>
      </c>
      <c r="AE78" s="136" t="str">
        <f t="shared" si="109"/>
        <v/>
      </c>
      <c r="AF78" s="137" t="str">
        <f t="shared" si="110"/>
        <v/>
      </c>
      <c r="AG78" s="138"/>
      <c r="AH78" s="119"/>
      <c r="AI78" s="127"/>
      <c r="AJ78" s="143"/>
      <c r="AK78" s="143"/>
      <c r="AL78" s="119"/>
      <c r="AM78" s="140"/>
    </row>
    <row r="79" spans="1:39" s="164" customFormat="1" ht="151.5" customHeight="1" x14ac:dyDescent="0.35">
      <c r="A79" s="394">
        <v>25</v>
      </c>
      <c r="B79" s="374" t="s">
        <v>286</v>
      </c>
      <c r="C79" s="372" t="s">
        <v>390</v>
      </c>
      <c r="D79" s="372" t="s">
        <v>391</v>
      </c>
      <c r="E79" s="371" t="s">
        <v>120</v>
      </c>
      <c r="F79" s="371" t="s">
        <v>451</v>
      </c>
      <c r="G79" s="371" t="s">
        <v>450</v>
      </c>
      <c r="H79" s="382" t="s">
        <v>398</v>
      </c>
      <c r="I79" s="371" t="s">
        <v>329</v>
      </c>
      <c r="J79" s="380">
        <v>12</v>
      </c>
      <c r="K79" s="377" t="str">
        <f>IF(J79&lt;=0,"",IF(J79&lt;=2,"Muy Baja",IF(J79&lt;=24,"Baja",IF(J79&lt;=500,"Media",IF(J79&lt;=5000,"Alta","Muy Alta")))))</f>
        <v>Baja</v>
      </c>
      <c r="L79" s="387">
        <f>IF(K79="","",IF(K79="Muy Baja",0.2,IF(K79="Baja",0.4,IF(K79="Media",0.6,IF(K79="Alta",0.8,IF(K79="Muy Alta",1,))))))</f>
        <v>0.4</v>
      </c>
      <c r="M79" s="390" t="s">
        <v>487</v>
      </c>
      <c r="N79" s="129"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77" t="str">
        <f>IF(OR(N79='Tabla Impacto'!$C$11,N79='Tabla Impacto'!$D$11),"Leve",IF(OR(N79='Tabla Impacto'!$C$12,N79='Tabla Impacto'!$D$12),"Menor",IF(OR(N79='Tabla Impacto'!$C$13,N79='Tabla Impacto'!$D$13),"Moderado",IF(OR(N79='Tabla Impacto'!$C$14,N79='Tabla Impacto'!$D$14),"Mayor",IF(OR(N79='Tabla Impacto'!$C$15,N79='Tabla Impacto'!$D$15),"Catastrófico","")))))</f>
        <v>Moderado</v>
      </c>
      <c r="P79" s="387">
        <f>IF(O79="","",IF(O79="Leve",0.2,IF(O79="Menor",0.4,IF(O79="Moderado",0.6,IF(O79="Mayor",0.8,IF(O79="Catastrófico",1,))))))</f>
        <v>0.6</v>
      </c>
      <c r="Q79" s="384"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0">
        <v>1</v>
      </c>
      <c r="S79" s="98" t="s">
        <v>341</v>
      </c>
      <c r="T79" s="131" t="str">
        <f t="shared" si="25"/>
        <v>Probabilidad</v>
      </c>
      <c r="U79" s="132" t="s">
        <v>14</v>
      </c>
      <c r="V79" s="132" t="s">
        <v>9</v>
      </c>
      <c r="W79" s="133" t="str">
        <f t="shared" si="26"/>
        <v>40%</v>
      </c>
      <c r="X79" s="132" t="s">
        <v>19</v>
      </c>
      <c r="Y79" s="132" t="s">
        <v>22</v>
      </c>
      <c r="Z79" s="132" t="s">
        <v>110</v>
      </c>
      <c r="AA79" s="134">
        <f t="shared" si="27"/>
        <v>0.24</v>
      </c>
      <c r="AB79" s="135" t="str">
        <f t="shared" si="28"/>
        <v>Baja</v>
      </c>
      <c r="AC79" s="136">
        <f t="shared" si="29"/>
        <v>0.24</v>
      </c>
      <c r="AD79" s="135" t="str">
        <f t="shared" si="30"/>
        <v>Moderado</v>
      </c>
      <c r="AE79" s="136">
        <f t="shared" si="31"/>
        <v>0.6</v>
      </c>
      <c r="AF79" s="137" t="str">
        <f t="shared" si="32"/>
        <v>Moderado</v>
      </c>
      <c r="AG79" s="138" t="s">
        <v>122</v>
      </c>
      <c r="AH79" s="119" t="s">
        <v>291</v>
      </c>
      <c r="AI79" s="144" t="s">
        <v>261</v>
      </c>
      <c r="AJ79" s="143" t="s">
        <v>287</v>
      </c>
      <c r="AK79" s="143" t="s">
        <v>288</v>
      </c>
      <c r="AL79" s="119" t="s">
        <v>292</v>
      </c>
      <c r="AM79" s="140"/>
    </row>
    <row r="80" spans="1:39" s="164" customFormat="1" ht="151.5" customHeight="1" x14ac:dyDescent="0.35">
      <c r="A80" s="394"/>
      <c r="B80" s="375"/>
      <c r="C80" s="373"/>
      <c r="D80" s="393"/>
      <c r="E80" s="370"/>
      <c r="F80" s="370"/>
      <c r="G80" s="370"/>
      <c r="H80" s="383"/>
      <c r="I80" s="370"/>
      <c r="J80" s="381"/>
      <c r="K80" s="378"/>
      <c r="L80" s="388"/>
      <c r="M80" s="391"/>
      <c r="N80" s="142"/>
      <c r="O80" s="378"/>
      <c r="P80" s="388"/>
      <c r="Q80" s="385"/>
      <c r="R80" s="130">
        <v>2</v>
      </c>
      <c r="S80" s="98" t="s">
        <v>395</v>
      </c>
      <c r="T80" s="131" t="str">
        <f t="shared" ref="T80:T81" si="111">IF(OR(U80="Preventivo",U80="Detectivo"),"Probabilidad",IF(U80="Correctivo","Impacto",""))</f>
        <v>Probabilidad</v>
      </c>
      <c r="U80" s="132" t="s">
        <v>15</v>
      </c>
      <c r="V80" s="132" t="s">
        <v>9</v>
      </c>
      <c r="W80" s="133" t="str">
        <f t="shared" ref="W80:W81" si="112">IF(AND(U80="Preventivo",V80="Automático"),"50%",IF(AND(U80="Preventivo",V80="Manual"),"40%",IF(AND(U80="Detectivo",V80="Automático"),"40%",IF(AND(U80="Detectivo",V80="Manual"),"30%",IF(AND(U80="Correctivo",V80="Automático"),"35%",IF(AND(U80="Correctivo",V80="Manual"),"25%",""))))))</f>
        <v>30%</v>
      </c>
      <c r="X80" s="132" t="s">
        <v>20</v>
      </c>
      <c r="Y80" s="132" t="s">
        <v>23</v>
      </c>
      <c r="Z80" s="132" t="s">
        <v>110</v>
      </c>
      <c r="AA80" s="134">
        <f>IFERROR(IF(T80="Probabilidad",(AA79-(+AA79*W80)),IF(T80="Impacto",L80,"")),"")</f>
        <v>0.16799999999999998</v>
      </c>
      <c r="AB80" s="135" t="str">
        <f t="shared" ref="AB80:AB81" si="113">IFERROR(IF(AA80="","",IF(AA80&lt;=0.2,"Muy Baja",IF(AA80&lt;=0.4,"Baja",IF(AA80&lt;=0.6,"Media",IF(AA80&lt;=0.8,"Alta","Muy Alta"))))),"")</f>
        <v>Muy Baja</v>
      </c>
      <c r="AC80" s="136">
        <f t="shared" ref="AC80:AC81" si="114">+AA80</f>
        <v>0.16799999999999998</v>
      </c>
      <c r="AD80" s="135" t="str">
        <f t="shared" ref="AD80:AD81" si="115">IFERROR(IF(AE80="","",IF(AE80&lt;=0.2,"Leve",IF(AE80&lt;=0.4,"Menor",IF(AE80&lt;=0.6,"Moderado",IF(AE80&lt;=0.8,"Mayor","Catastrófico"))))),"")</f>
        <v>Moderado</v>
      </c>
      <c r="AE80" s="136">
        <v>0.6</v>
      </c>
      <c r="AF80" s="137" t="str">
        <f t="shared" ref="AF80:AF8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8" t="s">
        <v>122</v>
      </c>
      <c r="AH80" s="119" t="s">
        <v>396</v>
      </c>
      <c r="AI80" s="144" t="s">
        <v>261</v>
      </c>
      <c r="AJ80" s="143" t="s">
        <v>287</v>
      </c>
      <c r="AK80" s="143" t="s">
        <v>288</v>
      </c>
      <c r="AL80" s="119" t="s">
        <v>292</v>
      </c>
      <c r="AM80" s="140"/>
    </row>
    <row r="81" spans="1:39" s="164" customFormat="1" ht="151.5" customHeight="1" x14ac:dyDescent="0.35">
      <c r="A81" s="394"/>
      <c r="B81" s="376"/>
      <c r="C81" s="373"/>
      <c r="D81" s="393"/>
      <c r="E81" s="370"/>
      <c r="F81" s="370"/>
      <c r="G81" s="370"/>
      <c r="H81" s="383"/>
      <c r="I81" s="370"/>
      <c r="J81" s="381"/>
      <c r="K81" s="379"/>
      <c r="L81" s="389"/>
      <c r="M81" s="391"/>
      <c r="N81" s="142"/>
      <c r="O81" s="379"/>
      <c r="P81" s="389"/>
      <c r="Q81" s="386"/>
      <c r="R81" s="130">
        <v>3</v>
      </c>
      <c r="S81" s="98" t="s">
        <v>342</v>
      </c>
      <c r="T81" s="131" t="str">
        <f t="shared" si="111"/>
        <v>Probabilidad</v>
      </c>
      <c r="U81" s="132" t="s">
        <v>14</v>
      </c>
      <c r="V81" s="132" t="s">
        <v>9</v>
      </c>
      <c r="W81" s="133" t="str">
        <f t="shared" si="112"/>
        <v>40%</v>
      </c>
      <c r="X81" s="132" t="s">
        <v>19</v>
      </c>
      <c r="Y81" s="132" t="s">
        <v>22</v>
      </c>
      <c r="Z81" s="132" t="s">
        <v>110</v>
      </c>
      <c r="AA81" s="134">
        <f>IFERROR(IF(T81="Probabilidad",(AA80-(+AA80*W81)),IF(T81="Impacto",L81,"")),"")</f>
        <v>0.10079999999999999</v>
      </c>
      <c r="AB81" s="135" t="str">
        <f t="shared" si="113"/>
        <v>Muy Baja</v>
      </c>
      <c r="AC81" s="136">
        <f t="shared" si="114"/>
        <v>0.10079999999999999</v>
      </c>
      <c r="AD81" s="135" t="str">
        <f t="shared" si="115"/>
        <v>Moderado</v>
      </c>
      <c r="AE81" s="136">
        <v>0.6</v>
      </c>
      <c r="AF81" s="137" t="str">
        <f t="shared" si="116"/>
        <v>Moderado</v>
      </c>
      <c r="AG81" s="138" t="s">
        <v>122</v>
      </c>
      <c r="AH81" s="119" t="s">
        <v>397</v>
      </c>
      <c r="AI81" s="144" t="s">
        <v>261</v>
      </c>
      <c r="AJ81" s="143" t="s">
        <v>287</v>
      </c>
      <c r="AK81" s="143" t="s">
        <v>288</v>
      </c>
      <c r="AL81" s="119" t="s">
        <v>292</v>
      </c>
      <c r="AM81" s="140"/>
    </row>
    <row r="82" spans="1:39" s="164" customFormat="1" ht="151.5" customHeight="1" x14ac:dyDescent="0.35">
      <c r="A82" s="394">
        <v>26</v>
      </c>
      <c r="B82" s="322" t="s">
        <v>293</v>
      </c>
      <c r="C82" s="372" t="s">
        <v>358</v>
      </c>
      <c r="D82" s="372" t="s">
        <v>399</v>
      </c>
      <c r="E82" s="371" t="s">
        <v>120</v>
      </c>
      <c r="F82" s="371" t="s">
        <v>294</v>
      </c>
      <c r="G82" s="371" t="s">
        <v>295</v>
      </c>
      <c r="H82" s="382" t="s">
        <v>563</v>
      </c>
      <c r="I82" s="371" t="s">
        <v>115</v>
      </c>
      <c r="J82" s="380">
        <v>2</v>
      </c>
      <c r="K82" s="377" t="str">
        <f>IF(J82&lt;=0,"",IF(J82&lt;=2,"Muy Baja",IF(J82&lt;=24,"Baja",IF(J82&lt;=500,"Media",IF(J82&lt;=5000,"Alta","Muy Alta")))))</f>
        <v>Muy Baja</v>
      </c>
      <c r="L82" s="387">
        <f>IF(K82="","",IF(K82="Muy Baja",0.2,IF(K82="Baja",0.4,IF(K82="Media",0.6,IF(K82="Alta",0.8,IF(K82="Muy Alta",1,))))))</f>
        <v>0.2</v>
      </c>
      <c r="M82" s="390" t="s">
        <v>486</v>
      </c>
      <c r="N82" s="129" t="str">
        <f>IF(NOT(ISERROR(MATCH(M82,'Tabla Impacto'!$B$221:$B$223,0))),'Tabla Impacto'!$F$223&amp;"Por favor no seleccionar los criterios de impacto(Afectación Económica o presupuestal y Pérdida Reputacional)",M82)</f>
        <v xml:space="preserve"> Entre 50 y 100 SMLMV </v>
      </c>
      <c r="O82" s="377" t="str">
        <f>IF(OR(N82='Tabla Impacto'!$C$11,N82='Tabla Impacto'!$D$11),"Leve",IF(OR(N82='Tabla Impacto'!$C$12,N82='Tabla Impacto'!$D$12),"Menor",IF(OR(N82='Tabla Impacto'!$C$13,N82='Tabla Impacto'!$D$13),"Moderado",IF(OR(N82='Tabla Impacto'!$C$14,N82='Tabla Impacto'!$D$14),"Mayor",IF(OR(N82='Tabla Impacto'!$C$15,N82='Tabla Impacto'!$D$15),"Catastrófico","")))))</f>
        <v>Moderado</v>
      </c>
      <c r="P82" s="387">
        <f>IF(O82="","",IF(O82="Leve",0.2,IF(O82="Menor",0.4,IF(O82="Moderado",0.6,IF(O82="Mayor",0.8,IF(O82="Catastrófico",1,))))))</f>
        <v>0.6</v>
      </c>
      <c r="Q82" s="384"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0">
        <v>1</v>
      </c>
      <c r="S82" s="98" t="s">
        <v>564</v>
      </c>
      <c r="T82" s="131" t="str">
        <f t="shared" si="25"/>
        <v>Probabilidad</v>
      </c>
      <c r="U82" s="132" t="s">
        <v>14</v>
      </c>
      <c r="V82" s="132" t="s">
        <v>9</v>
      </c>
      <c r="W82" s="133" t="str">
        <f t="shared" si="26"/>
        <v>40%</v>
      </c>
      <c r="X82" s="132" t="s">
        <v>20</v>
      </c>
      <c r="Y82" s="132" t="s">
        <v>22</v>
      </c>
      <c r="Z82" s="132" t="s">
        <v>110</v>
      </c>
      <c r="AA82" s="134">
        <f t="shared" si="27"/>
        <v>0.12</v>
      </c>
      <c r="AB82" s="135" t="str">
        <f t="shared" si="28"/>
        <v>Muy Baja</v>
      </c>
      <c r="AC82" s="136">
        <f t="shared" si="29"/>
        <v>0.12</v>
      </c>
      <c r="AD82" s="135" t="str">
        <f t="shared" si="30"/>
        <v>Moderado</v>
      </c>
      <c r="AE82" s="136">
        <f t="shared" si="31"/>
        <v>0.6</v>
      </c>
      <c r="AF82" s="137" t="str">
        <f t="shared" si="32"/>
        <v>Moderado</v>
      </c>
      <c r="AG82" s="138" t="s">
        <v>122</v>
      </c>
      <c r="AH82" s="119" t="s">
        <v>565</v>
      </c>
      <c r="AI82" s="127" t="s">
        <v>261</v>
      </c>
      <c r="AJ82" s="156">
        <v>44562</v>
      </c>
      <c r="AK82" s="157" t="s">
        <v>374</v>
      </c>
      <c r="AL82" s="119" t="s">
        <v>452</v>
      </c>
      <c r="AM82" s="140"/>
    </row>
    <row r="83" spans="1:39" s="164" customFormat="1" ht="151.5" customHeight="1" x14ac:dyDescent="0.35">
      <c r="A83" s="394"/>
      <c r="B83" s="323"/>
      <c r="C83" s="393"/>
      <c r="D83" s="393"/>
      <c r="E83" s="370"/>
      <c r="F83" s="370"/>
      <c r="G83" s="370"/>
      <c r="H83" s="383"/>
      <c r="I83" s="370"/>
      <c r="J83" s="381"/>
      <c r="K83" s="378"/>
      <c r="L83" s="388"/>
      <c r="M83" s="391"/>
      <c r="N83" s="142"/>
      <c r="O83" s="378"/>
      <c r="P83" s="388"/>
      <c r="Q83" s="385"/>
      <c r="R83" s="130">
        <v>2</v>
      </c>
      <c r="S83" s="98" t="s">
        <v>343</v>
      </c>
      <c r="T83" s="131" t="str">
        <f t="shared" ref="T83:T85" si="117">IF(OR(U83="Preventivo",U83="Detectivo"),"Probabilidad",IF(U83="Correctivo","Impacto",""))</f>
        <v>Probabilidad</v>
      </c>
      <c r="U83" s="132" t="s">
        <v>14</v>
      </c>
      <c r="V83" s="132" t="s">
        <v>9</v>
      </c>
      <c r="W83" s="133" t="str">
        <f t="shared" ref="W83:W85" si="118">IF(AND(U83="Preventivo",V83="Automático"),"50%",IF(AND(U83="Preventivo",V83="Manual"),"40%",IF(AND(U83="Detectivo",V83="Automático"),"40%",IF(AND(U83="Detectivo",V83="Manual"),"30%",IF(AND(U83="Correctivo",V83="Automático"),"35%",IF(AND(U83="Correctivo",V83="Manual"),"25%",""))))))</f>
        <v>40%</v>
      </c>
      <c r="X83" s="132" t="s">
        <v>19</v>
      </c>
      <c r="Y83" s="132" t="s">
        <v>22</v>
      </c>
      <c r="Z83" s="132" t="s">
        <v>110</v>
      </c>
      <c r="AA83" s="134">
        <f>IFERROR(IF(T83="Probabilidad",(AA82-(+AA82*W83)),IF(T83="Impacto",L83,"")),"")</f>
        <v>7.1999999999999995E-2</v>
      </c>
      <c r="AB83" s="135" t="str">
        <f t="shared" ref="AB83:AB85" si="119">IFERROR(IF(AA83="","",IF(AA83&lt;=0.2,"Muy Baja",IF(AA83&lt;=0.4,"Baja",IF(AA83&lt;=0.6,"Media",IF(AA83&lt;=0.8,"Alta","Muy Alta"))))),"")</f>
        <v>Muy Baja</v>
      </c>
      <c r="AC83" s="136">
        <f t="shared" ref="AC83:AC85" si="120">+AA83</f>
        <v>7.1999999999999995E-2</v>
      </c>
      <c r="AD83" s="135" t="str">
        <f t="shared" ref="AD83:AD85" si="121">IFERROR(IF(AE83="","",IF(AE83&lt;=0.2,"Leve",IF(AE83&lt;=0.4,"Menor",IF(AE83&lt;=0.6,"Moderado",IF(AE83&lt;=0.8,"Mayor","Catastrófico"))))),"")</f>
        <v>Moderado</v>
      </c>
      <c r="AE83" s="136">
        <f>+AE82</f>
        <v>0.6</v>
      </c>
      <c r="AF83" s="137" t="str">
        <f t="shared" ref="AF83:AF85" si="122">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8" t="s">
        <v>122</v>
      </c>
      <c r="AH83" s="119" t="s">
        <v>566</v>
      </c>
      <c r="AI83" s="127" t="s">
        <v>400</v>
      </c>
      <c r="AJ83" s="156">
        <v>44562</v>
      </c>
      <c r="AK83" s="157" t="s">
        <v>374</v>
      </c>
      <c r="AL83" s="119" t="s">
        <v>452</v>
      </c>
      <c r="AM83" s="140"/>
    </row>
    <row r="84" spans="1:39" s="164" customFormat="1" ht="151.5" customHeight="1" x14ac:dyDescent="0.35">
      <c r="A84" s="394"/>
      <c r="B84" s="324"/>
      <c r="C84" s="393"/>
      <c r="D84" s="393"/>
      <c r="E84" s="370"/>
      <c r="F84" s="370"/>
      <c r="G84" s="370"/>
      <c r="H84" s="383"/>
      <c r="I84" s="370"/>
      <c r="J84" s="381"/>
      <c r="K84" s="379"/>
      <c r="L84" s="389"/>
      <c r="M84" s="391"/>
      <c r="N84" s="142"/>
      <c r="O84" s="379"/>
      <c r="P84" s="389"/>
      <c r="Q84" s="386"/>
      <c r="R84" s="130">
        <v>3</v>
      </c>
      <c r="S84" s="139" t="s">
        <v>590</v>
      </c>
      <c r="T84" s="131" t="str">
        <f t="shared" si="117"/>
        <v>Probabilidad</v>
      </c>
      <c r="U84" s="132" t="s">
        <v>15</v>
      </c>
      <c r="V84" s="132" t="s">
        <v>9</v>
      </c>
      <c r="W84" s="133" t="str">
        <f t="shared" si="118"/>
        <v>30%</v>
      </c>
      <c r="X84" s="132" t="s">
        <v>20</v>
      </c>
      <c r="Y84" s="132" t="s">
        <v>23</v>
      </c>
      <c r="Z84" s="132" t="s">
        <v>111</v>
      </c>
      <c r="AA84" s="134">
        <f>IFERROR(IF(T84="Probabilidad",(AA83-(+AA83*W84)),IF(T84="Impacto",L84,"")),"")</f>
        <v>5.04E-2</v>
      </c>
      <c r="AB84" s="135" t="str">
        <f t="shared" si="119"/>
        <v>Muy Baja</v>
      </c>
      <c r="AC84" s="136">
        <f t="shared" si="120"/>
        <v>5.04E-2</v>
      </c>
      <c r="AD84" s="135" t="str">
        <f t="shared" si="121"/>
        <v>Moderado</v>
      </c>
      <c r="AE84" s="136">
        <f>+P82</f>
        <v>0.6</v>
      </c>
      <c r="AF84" s="137" t="str">
        <f t="shared" si="122"/>
        <v>Moderado</v>
      </c>
      <c r="AG84" s="138" t="s">
        <v>122</v>
      </c>
      <c r="AH84" s="119" t="s">
        <v>565</v>
      </c>
      <c r="AI84" s="127" t="s">
        <v>400</v>
      </c>
      <c r="AJ84" s="156">
        <v>44562</v>
      </c>
      <c r="AK84" s="157" t="s">
        <v>374</v>
      </c>
      <c r="AL84" s="119" t="s">
        <v>452</v>
      </c>
      <c r="AM84" s="140"/>
    </row>
    <row r="85" spans="1:39" s="164" customFormat="1" ht="151.5" customHeight="1" x14ac:dyDescent="0.35">
      <c r="A85" s="394">
        <v>27</v>
      </c>
      <c r="B85" s="322" t="s">
        <v>293</v>
      </c>
      <c r="C85" s="372" t="s">
        <v>358</v>
      </c>
      <c r="D85" s="372" t="s">
        <v>399</v>
      </c>
      <c r="E85" s="371" t="s">
        <v>118</v>
      </c>
      <c r="F85" s="371" t="s">
        <v>453</v>
      </c>
      <c r="G85" s="371" t="s">
        <v>454</v>
      </c>
      <c r="H85" s="382" t="s">
        <v>455</v>
      </c>
      <c r="I85" s="371" t="s">
        <v>329</v>
      </c>
      <c r="J85" s="380">
        <v>10</v>
      </c>
      <c r="K85" s="377" t="str">
        <f>IF(J85&lt;=0,"",IF(J85&lt;=2,"Muy Baja",IF(J85&lt;=24,"Baja",IF(J85&lt;=500,"Media",IF(J85&lt;=5000,"Alta","Muy Alta")))))</f>
        <v>Baja</v>
      </c>
      <c r="L85" s="387">
        <f>IF(K85="","",IF(K85="Muy Baja",0.2,IF(K85="Baja",0.4,IF(K85="Media",0.6,IF(K85="Alta",0.8,IF(K85="Muy Alta",1,))))))</f>
        <v>0.4</v>
      </c>
      <c r="M85" s="390" t="s">
        <v>487</v>
      </c>
      <c r="N85" s="129"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77" t="str">
        <f>IF(OR(N85='Tabla Impacto'!$C$11,N85='Tabla Impacto'!$D$11),"Leve",IF(OR(N85='Tabla Impacto'!$C$12,N85='Tabla Impacto'!$D$12),"Menor",IF(OR(N85='Tabla Impacto'!$C$13,N85='Tabla Impacto'!$D$13),"Moderado",IF(OR(N85='Tabla Impacto'!$C$14,N85='Tabla Impacto'!$D$14),"Mayor",IF(OR(N85='Tabla Impacto'!$C$15,N85='Tabla Impacto'!$D$15),"Catastrófico","")))))</f>
        <v>Moderado</v>
      </c>
      <c r="P85" s="387">
        <f>IF(O85="","",IF(O85="Leve",0.2,IF(O85="Menor",0.4,IF(O85="Moderado",0.6,IF(O85="Mayor",0.8,IF(O85="Catastrófico",1,))))))</f>
        <v>0.6</v>
      </c>
      <c r="Q85" s="384"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0">
        <v>1</v>
      </c>
      <c r="S85" s="119" t="s">
        <v>460</v>
      </c>
      <c r="T85" s="159" t="str">
        <f t="shared" si="117"/>
        <v>Probabilidad</v>
      </c>
      <c r="U85" s="147" t="s">
        <v>15</v>
      </c>
      <c r="V85" s="147" t="s">
        <v>9</v>
      </c>
      <c r="W85" s="148" t="str">
        <f t="shared" si="118"/>
        <v>30%</v>
      </c>
      <c r="X85" s="147" t="s">
        <v>20</v>
      </c>
      <c r="Y85" s="147" t="s">
        <v>23</v>
      </c>
      <c r="Z85" s="147" t="s">
        <v>111</v>
      </c>
      <c r="AA85" s="149">
        <f t="shared" ref="AA85" si="123">IFERROR(IF(T85="Probabilidad",(L85-(+L85*W85)),IF(T85="Impacto",L85,"")),"")</f>
        <v>0.28000000000000003</v>
      </c>
      <c r="AB85" s="135" t="str">
        <f t="shared" si="119"/>
        <v>Baja</v>
      </c>
      <c r="AC85" s="150">
        <f t="shared" si="120"/>
        <v>0.28000000000000003</v>
      </c>
      <c r="AD85" s="135" t="str">
        <f t="shared" si="121"/>
        <v>Moderado</v>
      </c>
      <c r="AE85" s="150">
        <f t="shared" ref="AE85" si="124">IFERROR(IF(T85="Impacto",(P85-(+P85*W85)),IF(T85="Probabilidad",P85,"")),"")</f>
        <v>0.6</v>
      </c>
      <c r="AF85" s="151" t="str">
        <f t="shared" si="122"/>
        <v>Moderado</v>
      </c>
      <c r="AG85" s="152" t="s">
        <v>122</v>
      </c>
      <c r="AH85" s="119" t="s">
        <v>567</v>
      </c>
      <c r="AI85" s="127" t="s">
        <v>199</v>
      </c>
      <c r="AJ85" s="156">
        <v>44562</v>
      </c>
      <c r="AK85" s="157" t="s">
        <v>374</v>
      </c>
      <c r="AL85" s="119" t="s">
        <v>456</v>
      </c>
      <c r="AM85" s="140"/>
    </row>
    <row r="86" spans="1:39" s="164" customFormat="1" ht="151.5" customHeight="1" x14ac:dyDescent="0.35">
      <c r="A86" s="394"/>
      <c r="B86" s="323"/>
      <c r="C86" s="393"/>
      <c r="D86" s="393"/>
      <c r="E86" s="370"/>
      <c r="F86" s="370"/>
      <c r="G86" s="370"/>
      <c r="H86" s="383"/>
      <c r="I86" s="370"/>
      <c r="J86" s="381"/>
      <c r="K86" s="378"/>
      <c r="L86" s="388"/>
      <c r="M86" s="391"/>
      <c r="N86" s="142"/>
      <c r="O86" s="378"/>
      <c r="P86" s="388"/>
      <c r="Q86" s="385"/>
      <c r="R86" s="160">
        <v>2</v>
      </c>
      <c r="S86" s="119"/>
      <c r="T86" s="159"/>
      <c r="U86" s="147"/>
      <c r="V86" s="147"/>
      <c r="W86" s="148"/>
      <c r="X86" s="147"/>
      <c r="Y86" s="147"/>
      <c r="Z86" s="147"/>
      <c r="AA86" s="149"/>
      <c r="AB86" s="135"/>
      <c r="AC86" s="150"/>
      <c r="AD86" s="135"/>
      <c r="AE86" s="150"/>
      <c r="AF86" s="151"/>
      <c r="AG86" s="152"/>
      <c r="AH86" s="119"/>
      <c r="AI86" s="127"/>
      <c r="AJ86" s="156"/>
      <c r="AK86" s="157"/>
      <c r="AL86" s="119"/>
      <c r="AM86" s="140"/>
    </row>
    <row r="87" spans="1:39" s="164" customFormat="1" ht="151.5" customHeight="1" x14ac:dyDescent="0.35">
      <c r="A87" s="394"/>
      <c r="B87" s="324"/>
      <c r="C87" s="393"/>
      <c r="D87" s="393"/>
      <c r="E87" s="370"/>
      <c r="F87" s="370"/>
      <c r="G87" s="370"/>
      <c r="H87" s="383"/>
      <c r="I87" s="370"/>
      <c r="J87" s="381"/>
      <c r="K87" s="379"/>
      <c r="L87" s="389"/>
      <c r="M87" s="391"/>
      <c r="N87" s="142"/>
      <c r="O87" s="379"/>
      <c r="P87" s="389"/>
      <c r="Q87" s="386"/>
      <c r="R87" s="160">
        <v>3</v>
      </c>
      <c r="S87" s="119"/>
      <c r="T87" s="159"/>
      <c r="U87" s="147"/>
      <c r="V87" s="147"/>
      <c r="W87" s="148"/>
      <c r="X87" s="147"/>
      <c r="Y87" s="147"/>
      <c r="Z87" s="147"/>
      <c r="AA87" s="149"/>
      <c r="AB87" s="135"/>
      <c r="AC87" s="150"/>
      <c r="AD87" s="135"/>
      <c r="AE87" s="150"/>
      <c r="AF87" s="151"/>
      <c r="AG87" s="152"/>
      <c r="AH87" s="119"/>
      <c r="AI87" s="127"/>
      <c r="AJ87" s="156"/>
      <c r="AK87" s="157"/>
      <c r="AL87" s="119"/>
      <c r="AM87" s="140"/>
    </row>
    <row r="88" spans="1:39" s="164" customFormat="1" ht="151.5" customHeight="1" x14ac:dyDescent="0.35">
      <c r="A88" s="394">
        <v>28</v>
      </c>
      <c r="B88" s="374" t="s">
        <v>297</v>
      </c>
      <c r="C88" s="372" t="s">
        <v>296</v>
      </c>
      <c r="D88" s="372" t="s">
        <v>298</v>
      </c>
      <c r="E88" s="371" t="s">
        <v>118</v>
      </c>
      <c r="F88" s="371" t="s">
        <v>299</v>
      </c>
      <c r="G88" s="371" t="s">
        <v>457</v>
      </c>
      <c r="H88" s="382" t="s">
        <v>300</v>
      </c>
      <c r="I88" s="371" t="s">
        <v>115</v>
      </c>
      <c r="J88" s="380">
        <v>355</v>
      </c>
      <c r="K88" s="377" t="str">
        <f>IF(J88&lt;=0,"",IF(J88&lt;=2,"Muy Baja",IF(J88&lt;=24,"Baja",IF(J88&lt;=500,"Media",IF(J88&lt;=5000,"Alta","Muy Alta")))))</f>
        <v>Media</v>
      </c>
      <c r="L88" s="387">
        <f>IF(K88="","",IF(K88="Muy Baja",0.2,IF(K88="Baja",0.4,IF(K88="Media",0.6,IF(K88="Alta",0.8,IF(K88="Muy Alta",1,))))))</f>
        <v>0.6</v>
      </c>
      <c r="M88" s="390" t="s">
        <v>494</v>
      </c>
      <c r="N88" s="12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77" t="str">
        <f>IF(OR(N88='Tabla Impacto'!$C$11,N88='Tabla Impacto'!$D$11),"Leve",IF(OR(N88='Tabla Impacto'!$C$12,N88='Tabla Impacto'!$D$12),"Menor",IF(OR(N88='Tabla Impacto'!$C$13,N88='Tabla Impacto'!$D$13),"Moderado",IF(OR(N88='Tabla Impacto'!$C$14,N88='Tabla Impacto'!$D$14),"Mayor",IF(OR(N88='Tabla Impacto'!$C$15,N88='Tabla Impacto'!$D$15),"Catastrófico","")))))</f>
        <v>Mayor</v>
      </c>
      <c r="P88" s="387">
        <f>IF(O88="","",IF(O88="Leve",0.2,IF(O88="Menor",0.4,IF(O88="Moderado",0.6,IF(O88="Mayor",0.8,IF(O88="Catastrófico",1,))))))</f>
        <v>0.8</v>
      </c>
      <c r="Q88" s="384"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0">
        <v>1</v>
      </c>
      <c r="S88" s="98" t="s">
        <v>458</v>
      </c>
      <c r="T88" s="131" t="str">
        <f t="shared" si="25"/>
        <v>Probabilidad</v>
      </c>
      <c r="U88" s="132" t="s">
        <v>14</v>
      </c>
      <c r="V88" s="132" t="s">
        <v>9</v>
      </c>
      <c r="W88" s="133" t="str">
        <f t="shared" si="26"/>
        <v>40%</v>
      </c>
      <c r="X88" s="132" t="s">
        <v>20</v>
      </c>
      <c r="Y88" s="132" t="s">
        <v>22</v>
      </c>
      <c r="Z88" s="132" t="s">
        <v>110</v>
      </c>
      <c r="AA88" s="134">
        <f t="shared" si="27"/>
        <v>0.36</v>
      </c>
      <c r="AB88" s="135" t="str">
        <f t="shared" si="28"/>
        <v>Baja</v>
      </c>
      <c r="AC88" s="136">
        <f t="shared" si="29"/>
        <v>0.36</v>
      </c>
      <c r="AD88" s="135" t="str">
        <f t="shared" si="30"/>
        <v>Mayor</v>
      </c>
      <c r="AE88" s="136">
        <f t="shared" si="31"/>
        <v>0.8</v>
      </c>
      <c r="AF88" s="137" t="str">
        <f t="shared" si="32"/>
        <v>Alto</v>
      </c>
      <c r="AG88" s="138" t="s">
        <v>122</v>
      </c>
      <c r="AH88" s="119" t="s">
        <v>459</v>
      </c>
      <c r="AI88" s="127" t="s">
        <v>261</v>
      </c>
      <c r="AJ88" s="143" t="s">
        <v>200</v>
      </c>
      <c r="AK88" s="143" t="s">
        <v>200</v>
      </c>
      <c r="AL88" s="126" t="s">
        <v>301</v>
      </c>
      <c r="AM88" s="140"/>
    </row>
    <row r="89" spans="1:39" s="164" customFormat="1" ht="151.5" customHeight="1" x14ac:dyDescent="0.35">
      <c r="A89" s="394"/>
      <c r="B89" s="375"/>
      <c r="C89" s="373"/>
      <c r="D89" s="373"/>
      <c r="E89" s="370"/>
      <c r="F89" s="370"/>
      <c r="G89" s="370"/>
      <c r="H89" s="383"/>
      <c r="I89" s="370"/>
      <c r="J89" s="381"/>
      <c r="K89" s="378"/>
      <c r="L89" s="388"/>
      <c r="M89" s="391"/>
      <c r="N89" s="142"/>
      <c r="O89" s="378"/>
      <c r="P89" s="388"/>
      <c r="Q89" s="385"/>
      <c r="R89" s="130">
        <v>2</v>
      </c>
      <c r="S89" s="98"/>
      <c r="T89" s="131" t="str">
        <f t="shared" ref="T89:T90" si="125">IF(OR(U89="Preventivo",U89="Detectivo"),"Probabilidad",IF(U89="Correctivo","Impacto",""))</f>
        <v/>
      </c>
      <c r="U89" s="132"/>
      <c r="V89" s="132"/>
      <c r="W89" s="133"/>
      <c r="X89" s="132"/>
      <c r="Y89" s="132"/>
      <c r="Z89" s="132"/>
      <c r="AA89" s="134" t="str">
        <f>IFERROR(IF(T89="Probabilidad",(AA88-(+AA88*W89)),IF(T89="Impacto",L89,"")),"")</f>
        <v/>
      </c>
      <c r="AB89" s="135" t="str">
        <f t="shared" ref="AB89:AB90" si="126">IFERROR(IF(AA89="","",IF(AA89&lt;=0.2,"Muy Baja",IF(AA89&lt;=0.4,"Baja",IF(AA89&lt;=0.6,"Media",IF(AA89&lt;=0.8,"Alta","Muy Alta"))))),"")</f>
        <v/>
      </c>
      <c r="AC89" s="136" t="str">
        <f t="shared" ref="AC89:AC90" si="127">+AA89</f>
        <v/>
      </c>
      <c r="AD89" s="135" t="str">
        <f t="shared" ref="AD89:AD90" si="128">IFERROR(IF(AE89="","",IF(AE89&lt;=0.2,"Leve",IF(AE89&lt;=0.4,"Menor",IF(AE89&lt;=0.6,"Moderado",IF(AE89&lt;=0.8,"Mayor","Catastrófico"))))),"")</f>
        <v/>
      </c>
      <c r="AE89" s="136" t="str">
        <f t="shared" ref="AE89:AE90" si="129">IFERROR(IF(T89="Impacto",(P89-(+P89*W89)),IF(T89="Probabilidad",P89,"")),"")</f>
        <v/>
      </c>
      <c r="AF89" s="137"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8"/>
      <c r="AH89" s="119"/>
      <c r="AI89" s="127"/>
      <c r="AJ89" s="143"/>
      <c r="AK89" s="143"/>
      <c r="AL89" s="119"/>
      <c r="AM89" s="140"/>
    </row>
    <row r="90" spans="1:39" s="164" customFormat="1" ht="151.5" customHeight="1" x14ac:dyDescent="0.35">
      <c r="A90" s="394"/>
      <c r="B90" s="376"/>
      <c r="C90" s="392"/>
      <c r="D90" s="373"/>
      <c r="E90" s="370"/>
      <c r="F90" s="370"/>
      <c r="G90" s="370"/>
      <c r="H90" s="383"/>
      <c r="I90" s="370"/>
      <c r="J90" s="381"/>
      <c r="K90" s="379"/>
      <c r="L90" s="389"/>
      <c r="M90" s="391"/>
      <c r="N90" s="142"/>
      <c r="O90" s="379"/>
      <c r="P90" s="389"/>
      <c r="Q90" s="386"/>
      <c r="R90" s="130">
        <v>3</v>
      </c>
      <c r="S90" s="98"/>
      <c r="T90" s="131" t="str">
        <f t="shared" si="125"/>
        <v/>
      </c>
      <c r="U90" s="132"/>
      <c r="V90" s="132"/>
      <c r="W90" s="133"/>
      <c r="X90" s="132"/>
      <c r="Y90" s="132"/>
      <c r="Z90" s="132"/>
      <c r="AA90" s="134" t="str">
        <f>IFERROR(IF(T90="Probabilidad",(AA89-(+AA89*W90)),IF(T90="Impacto",L90,"")),"")</f>
        <v/>
      </c>
      <c r="AB90" s="135" t="str">
        <f t="shared" si="126"/>
        <v/>
      </c>
      <c r="AC90" s="136" t="str">
        <f t="shared" si="127"/>
        <v/>
      </c>
      <c r="AD90" s="135" t="str">
        <f t="shared" si="128"/>
        <v/>
      </c>
      <c r="AE90" s="136" t="str">
        <f t="shared" si="129"/>
        <v/>
      </c>
      <c r="AF90" s="137" t="str">
        <f t="shared" si="130"/>
        <v/>
      </c>
      <c r="AG90" s="138"/>
      <c r="AH90" s="119"/>
      <c r="AI90" s="127"/>
      <c r="AJ90" s="143"/>
      <c r="AK90" s="143"/>
      <c r="AL90" s="119"/>
      <c r="AM90" s="140"/>
    </row>
    <row r="91" spans="1:39" s="164" customFormat="1" ht="176.5" customHeight="1" x14ac:dyDescent="0.35">
      <c r="A91" s="394">
        <v>29</v>
      </c>
      <c r="B91" s="374" t="s">
        <v>297</v>
      </c>
      <c r="C91" s="372" t="s">
        <v>296</v>
      </c>
      <c r="D91" s="372" t="s">
        <v>298</v>
      </c>
      <c r="E91" s="371" t="s">
        <v>118</v>
      </c>
      <c r="F91" s="371" t="s">
        <v>461</v>
      </c>
      <c r="G91" s="371" t="s">
        <v>462</v>
      </c>
      <c r="H91" s="382" t="s">
        <v>498</v>
      </c>
      <c r="I91" s="371" t="s">
        <v>329</v>
      </c>
      <c r="J91" s="380">
        <v>355</v>
      </c>
      <c r="K91" s="377" t="str">
        <f>IF(J91&lt;=0,"",IF(J91&lt;=2,"Muy Baja",IF(J91&lt;=24,"Baja",IF(J91&lt;=500,"Media",IF(J91&lt;=5000,"Alta","Muy Alta")))))</f>
        <v>Media</v>
      </c>
      <c r="L91" s="387">
        <f>IF(K91="","",IF(K91="Muy Baja",0.2,IF(K91="Baja",0.4,IF(K91="Media",0.6,IF(K91="Alta",0.8,IF(K91="Muy Alta",1,))))))</f>
        <v>0.6</v>
      </c>
      <c r="M91" s="390" t="s">
        <v>494</v>
      </c>
      <c r="N91" s="129"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77" t="str">
        <f>IF(OR(N91='Tabla Impacto'!$C$11,N91='Tabla Impacto'!$D$11),"Leve",IF(OR(N91='Tabla Impacto'!$C$12,N91='Tabla Impacto'!$D$12),"Menor",IF(OR(N91='Tabla Impacto'!$C$13,N91='Tabla Impacto'!$D$13),"Moderado",IF(OR(N91='Tabla Impacto'!$C$14,N91='Tabla Impacto'!$D$14),"Mayor",IF(OR(N91='Tabla Impacto'!$C$15,N91='Tabla Impacto'!$D$15),"Catastrófico","")))))</f>
        <v>Mayor</v>
      </c>
      <c r="P91" s="387">
        <f>IF(O91="","",IF(O91="Leve",0.2,IF(O91="Menor",0.4,IF(O91="Moderado",0.6,IF(O91="Mayor",0.8,IF(O91="Catastrófico",1,))))))</f>
        <v>0.8</v>
      </c>
      <c r="Q91" s="384"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0">
        <v>1</v>
      </c>
      <c r="S91" s="98" t="s">
        <v>463</v>
      </c>
      <c r="T91" s="131" t="str">
        <f t="shared" si="25"/>
        <v>Probabilidad</v>
      </c>
      <c r="U91" s="132" t="s">
        <v>14</v>
      </c>
      <c r="V91" s="132" t="s">
        <v>9</v>
      </c>
      <c r="W91" s="133" t="str">
        <f t="shared" si="26"/>
        <v>40%</v>
      </c>
      <c r="X91" s="132" t="s">
        <v>19</v>
      </c>
      <c r="Y91" s="132" t="s">
        <v>22</v>
      </c>
      <c r="Z91" s="132" t="s">
        <v>110</v>
      </c>
      <c r="AA91" s="161">
        <f t="shared" ref="AA91" si="131">IFERROR(IF(T91="Probabilidad",(L91-(+L91*W91)),IF(T91="Impacto",L91,"")),"")</f>
        <v>0.36</v>
      </c>
      <c r="AB91" s="135" t="str">
        <f t="shared" si="28"/>
        <v>Baja</v>
      </c>
      <c r="AC91" s="136">
        <f t="shared" si="29"/>
        <v>0.36</v>
      </c>
      <c r="AD91" s="135" t="str">
        <f t="shared" si="30"/>
        <v>Mayor</v>
      </c>
      <c r="AE91" s="136">
        <f t="shared" si="31"/>
        <v>0.8</v>
      </c>
      <c r="AF91" s="137" t="str">
        <f t="shared" si="32"/>
        <v>Alto</v>
      </c>
      <c r="AG91" s="138" t="s">
        <v>122</v>
      </c>
      <c r="AH91" s="119" t="s">
        <v>302</v>
      </c>
      <c r="AI91" s="121" t="s">
        <v>261</v>
      </c>
      <c r="AJ91" s="128" t="s">
        <v>200</v>
      </c>
      <c r="AK91" s="128" t="s">
        <v>200</v>
      </c>
      <c r="AL91" s="126" t="s">
        <v>401</v>
      </c>
      <c r="AM91" s="140"/>
    </row>
    <row r="92" spans="1:39" s="164" customFormat="1" ht="151.5" customHeight="1" x14ac:dyDescent="0.35">
      <c r="A92" s="394"/>
      <c r="B92" s="375"/>
      <c r="C92" s="373"/>
      <c r="D92" s="373"/>
      <c r="E92" s="370"/>
      <c r="F92" s="370"/>
      <c r="G92" s="370"/>
      <c r="H92" s="383"/>
      <c r="I92" s="370"/>
      <c r="J92" s="381"/>
      <c r="K92" s="378"/>
      <c r="L92" s="388"/>
      <c r="M92" s="391"/>
      <c r="N92" s="142"/>
      <c r="O92" s="378"/>
      <c r="P92" s="388"/>
      <c r="Q92" s="385"/>
      <c r="R92" s="130">
        <v>2</v>
      </c>
      <c r="S92" s="119" t="s">
        <v>344</v>
      </c>
      <c r="T92" s="159" t="str">
        <f t="shared" ref="T92:T93" si="132">IF(OR(U92="Preventivo",U92="Detectivo"),"Probabilidad",IF(U92="Correctivo","Impacto",""))</f>
        <v/>
      </c>
      <c r="U92" s="147" t="s">
        <v>333</v>
      </c>
      <c r="V92" s="147" t="s">
        <v>9</v>
      </c>
      <c r="W92" s="148" t="str">
        <f t="shared" ref="W92" si="133">IF(AND(U92="Preventivo",V92="Automático"),"50%",IF(AND(U92="Preventivo",V92="Manual"),"40%",IF(AND(U92="Detectivo",V92="Automático"),"40%",IF(AND(U92="Detectivo",V92="Manual"),"30%",IF(AND(U92="Correctivo",V92="Automático"),"35%",IF(AND(U92="Correctivo",V92="Manual"),"25%",""))))))</f>
        <v/>
      </c>
      <c r="X92" s="147" t="s">
        <v>20</v>
      </c>
      <c r="Y92" s="147" t="s">
        <v>22</v>
      </c>
      <c r="Z92" s="147" t="s">
        <v>110</v>
      </c>
      <c r="AA92" s="162" t="str">
        <f>IFERROR(IF(T92="Probabilidad",(AA91-(+AA91*W92)),IF(T92="Impacto",L92,"")),"")</f>
        <v/>
      </c>
      <c r="AB92" s="135" t="str">
        <f t="shared" ref="AB92:AB93" si="134">IFERROR(IF(AA92="","",IF(AA92&lt;=0.2,"Muy Baja",IF(AA92&lt;=0.4,"Baja",IF(AA92&lt;=0.6,"Media",IF(AA92&lt;=0.8,"Alta","Muy Alta"))))),"")</f>
        <v/>
      </c>
      <c r="AC92" s="150" t="str">
        <f t="shared" ref="AC92:AC93" si="135">+AA92</f>
        <v/>
      </c>
      <c r="AD92" s="135" t="str">
        <f t="shared" ref="AD92:AD93" si="136">IFERROR(IF(AE92="","",IF(AE92&lt;=0.2,"Leve",IF(AE92&lt;=0.4,"Menor",IF(AE92&lt;=0.6,"Moderado",IF(AE92&lt;=0.8,"Mayor","Catastrófico"))))),"")</f>
        <v/>
      </c>
      <c r="AE92" s="150" t="str">
        <f t="shared" ref="AE92:AE93" si="137">IFERROR(IF(T92="Impacto",(P92-(+P92*W92)),IF(T92="Probabilidad",P92,"")),"")</f>
        <v/>
      </c>
      <c r="AF92" s="151" t="str">
        <f t="shared" ref="AF92:AF93" si="138">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52" t="s">
        <v>122</v>
      </c>
      <c r="AH92" s="119" t="s">
        <v>302</v>
      </c>
      <c r="AI92" s="121" t="s">
        <v>261</v>
      </c>
      <c r="AJ92" s="128" t="s">
        <v>200</v>
      </c>
      <c r="AK92" s="128" t="s">
        <v>200</v>
      </c>
      <c r="AL92" s="126" t="s">
        <v>401</v>
      </c>
      <c r="AM92" s="140"/>
    </row>
    <row r="93" spans="1:39" s="164" customFormat="1" ht="151.5" customHeight="1" x14ac:dyDescent="0.35">
      <c r="A93" s="394"/>
      <c r="B93" s="376"/>
      <c r="C93" s="392"/>
      <c r="D93" s="373"/>
      <c r="E93" s="370"/>
      <c r="F93" s="370"/>
      <c r="G93" s="370"/>
      <c r="H93" s="383"/>
      <c r="I93" s="370"/>
      <c r="J93" s="381"/>
      <c r="K93" s="379"/>
      <c r="L93" s="389"/>
      <c r="M93" s="391"/>
      <c r="N93" s="142"/>
      <c r="O93" s="379"/>
      <c r="P93" s="389"/>
      <c r="Q93" s="386"/>
      <c r="R93" s="130">
        <v>3</v>
      </c>
      <c r="S93" s="98"/>
      <c r="T93" s="131" t="str">
        <f t="shared" si="132"/>
        <v/>
      </c>
      <c r="U93" s="132"/>
      <c r="V93" s="132"/>
      <c r="W93" s="133"/>
      <c r="X93" s="132"/>
      <c r="Y93" s="132"/>
      <c r="Z93" s="132"/>
      <c r="AA93" s="134" t="str">
        <f>IFERROR(IF(T93="Probabilidad",(AA92-(+AA92*W93)),IF(T93="Impacto",L93,"")),"")</f>
        <v/>
      </c>
      <c r="AB93" s="135" t="str">
        <f t="shared" si="134"/>
        <v/>
      </c>
      <c r="AC93" s="136" t="str">
        <f t="shared" si="135"/>
        <v/>
      </c>
      <c r="AD93" s="135" t="str">
        <f t="shared" si="136"/>
        <v/>
      </c>
      <c r="AE93" s="136" t="str">
        <f t="shared" si="137"/>
        <v/>
      </c>
      <c r="AF93" s="137" t="str">
        <f t="shared" si="138"/>
        <v/>
      </c>
      <c r="AG93" s="138"/>
      <c r="AH93" s="119"/>
      <c r="AI93" s="127"/>
      <c r="AJ93" s="143"/>
      <c r="AK93" s="143"/>
      <c r="AL93" s="119"/>
      <c r="AM93" s="140"/>
    </row>
    <row r="94" spans="1:39" s="164" customFormat="1" ht="151.5" customHeight="1" x14ac:dyDescent="0.35">
      <c r="A94" s="394">
        <v>30</v>
      </c>
      <c r="B94" s="374" t="s">
        <v>303</v>
      </c>
      <c r="C94" s="372" t="s">
        <v>359</v>
      </c>
      <c r="D94" s="372" t="s">
        <v>402</v>
      </c>
      <c r="E94" s="371" t="s">
        <v>120</v>
      </c>
      <c r="F94" s="369" t="s">
        <v>465</v>
      </c>
      <c r="G94" s="369" t="s">
        <v>464</v>
      </c>
      <c r="H94" s="382" t="s">
        <v>304</v>
      </c>
      <c r="I94" s="371" t="s">
        <v>329</v>
      </c>
      <c r="J94" s="380">
        <v>850</v>
      </c>
      <c r="K94" s="377" t="str">
        <f>IF(J94&lt;=0,"",IF(J94&lt;=2,"Muy Baja",IF(J94&lt;=24,"Baja",IF(J94&lt;=500,"Media",IF(J94&lt;=5000,"Alta","Muy Alta")))))</f>
        <v>Alta</v>
      </c>
      <c r="L94" s="387">
        <f>IF(K94="","",IF(K94="Muy Baja",0.2,IF(K94="Baja",0.4,IF(K94="Media",0.6,IF(K94="Alta",0.8,IF(K94="Muy Alta",1,))))))</f>
        <v>0.8</v>
      </c>
      <c r="M94" s="390" t="s">
        <v>494</v>
      </c>
      <c r="N94" s="129"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77" t="str">
        <f>IF(OR(N94='Tabla Impacto'!$C$11,N94='Tabla Impacto'!$D$11),"Leve",IF(OR(N94='Tabla Impacto'!$C$12,N94='Tabla Impacto'!$D$12),"Menor",IF(OR(N94='Tabla Impacto'!$C$13,N94='Tabla Impacto'!$D$13),"Moderado",IF(OR(N94='Tabla Impacto'!$C$14,N94='Tabla Impacto'!$D$14),"Mayor",IF(OR(N94='Tabla Impacto'!$C$15,N94='Tabla Impacto'!$D$15),"Catastrófico","")))))</f>
        <v>Mayor</v>
      </c>
      <c r="P94" s="387">
        <f>IF(O94="","",IF(O94="Leve",0.2,IF(O94="Menor",0.4,IF(O94="Moderado",0.6,IF(O94="Mayor",0.8,IF(O94="Catastrófico",1,))))))</f>
        <v>0.8</v>
      </c>
      <c r="Q94" s="384"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30">
        <v>1</v>
      </c>
      <c r="S94" s="98" t="s">
        <v>305</v>
      </c>
      <c r="T94" s="131" t="str">
        <f t="shared" ref="T94:T96" si="139">IF(OR(U94="Preventivo",U94="Detectivo"),"Probabilidad",IF(U94="Correctivo","Impacto",""))</f>
        <v>Probabilidad</v>
      </c>
      <c r="U94" s="132" t="s">
        <v>14</v>
      </c>
      <c r="V94" s="132" t="s">
        <v>9</v>
      </c>
      <c r="W94" s="133" t="str">
        <f t="shared" ref="W94:W95" si="140">IF(AND(U94="Preventivo",V94="Automático"),"50%",IF(AND(U94="Preventivo",V94="Manual"),"40%",IF(AND(U94="Detectivo",V94="Automático"),"40%",IF(AND(U94="Detectivo",V94="Manual"),"30%",IF(AND(U94="Correctivo",V94="Automático"),"35%",IF(AND(U94="Correctivo",V94="Manual"),"25%",""))))))</f>
        <v>40%</v>
      </c>
      <c r="X94" s="132" t="s">
        <v>20</v>
      </c>
      <c r="Y94" s="132" t="s">
        <v>22</v>
      </c>
      <c r="Z94" s="132" t="s">
        <v>110</v>
      </c>
      <c r="AA94" s="134">
        <f t="shared" ref="AA94" si="141">IFERROR(IF(T94="Probabilidad",(L94-(+L94*W94)),IF(T94="Impacto",L94,"")),"")</f>
        <v>0.48</v>
      </c>
      <c r="AB94" s="135" t="str">
        <f t="shared" ref="AB94:AB96" si="142">IFERROR(IF(AA94="","",IF(AA94&lt;=0.2,"Muy Baja",IF(AA94&lt;=0.4,"Baja",IF(AA94&lt;=0.6,"Media",IF(AA94&lt;=0.8,"Alta","Muy Alta"))))),"")</f>
        <v>Media</v>
      </c>
      <c r="AC94" s="136">
        <f t="shared" ref="AC94:AC96" si="143">+AA94</f>
        <v>0.48</v>
      </c>
      <c r="AD94" s="135" t="str">
        <f t="shared" ref="AD94:AD96" si="144">IFERROR(IF(AE94="","",IF(AE94&lt;=0.2,"Leve",IF(AE94&lt;=0.4,"Menor",IF(AE94&lt;=0.6,"Moderado",IF(AE94&lt;=0.8,"Mayor","Catastrófico"))))),"")</f>
        <v>Mayor</v>
      </c>
      <c r="AE94" s="136">
        <f t="shared" ref="AE94:AE96" si="145">IFERROR(IF(T94="Impacto",(P94-(+P94*W94)),IF(T94="Probabilidad",P94,"")),"")</f>
        <v>0.8</v>
      </c>
      <c r="AF94" s="137" t="str">
        <f t="shared" ref="AF94:AF96" si="146">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8" t="s">
        <v>122</v>
      </c>
      <c r="AH94" s="163" t="s">
        <v>307</v>
      </c>
      <c r="AI94" s="127" t="s">
        <v>199</v>
      </c>
      <c r="AJ94" s="128">
        <v>44562</v>
      </c>
      <c r="AK94" s="128" t="s">
        <v>374</v>
      </c>
      <c r="AL94" s="119" t="s">
        <v>308</v>
      </c>
      <c r="AM94" s="140"/>
    </row>
    <row r="95" spans="1:39" s="164" customFormat="1" ht="151.5" customHeight="1" x14ac:dyDescent="0.35">
      <c r="A95" s="394"/>
      <c r="B95" s="375"/>
      <c r="C95" s="373"/>
      <c r="D95" s="373"/>
      <c r="E95" s="370"/>
      <c r="F95" s="370"/>
      <c r="G95" s="370"/>
      <c r="H95" s="383"/>
      <c r="I95" s="370"/>
      <c r="J95" s="381"/>
      <c r="K95" s="378"/>
      <c r="L95" s="388"/>
      <c r="M95" s="391"/>
      <c r="N95" s="142"/>
      <c r="O95" s="378"/>
      <c r="P95" s="388"/>
      <c r="Q95" s="385"/>
      <c r="R95" s="130">
        <v>2</v>
      </c>
      <c r="S95" s="98" t="s">
        <v>306</v>
      </c>
      <c r="T95" s="131" t="str">
        <f t="shared" si="139"/>
        <v>Probabilidad</v>
      </c>
      <c r="U95" s="132" t="s">
        <v>14</v>
      </c>
      <c r="V95" s="132" t="s">
        <v>9</v>
      </c>
      <c r="W95" s="133" t="str">
        <f t="shared" si="140"/>
        <v>40%</v>
      </c>
      <c r="X95" s="132" t="s">
        <v>20</v>
      </c>
      <c r="Y95" s="132" t="s">
        <v>22</v>
      </c>
      <c r="Z95" s="132" t="s">
        <v>110</v>
      </c>
      <c r="AA95" s="134">
        <f>IFERROR(IF(T95="Probabilidad",(AA94-(+AA94*W95)),IF(T95="Impacto",L95,"")),"")</f>
        <v>0.28799999999999998</v>
      </c>
      <c r="AB95" s="135" t="str">
        <f t="shared" si="142"/>
        <v>Baja</v>
      </c>
      <c r="AC95" s="136">
        <f t="shared" si="143"/>
        <v>0.28799999999999998</v>
      </c>
      <c r="AD95" s="135" t="str">
        <f t="shared" si="144"/>
        <v>Mayor</v>
      </c>
      <c r="AE95" s="136">
        <v>0.8</v>
      </c>
      <c r="AF95" s="137" t="str">
        <f t="shared" si="146"/>
        <v>Alto</v>
      </c>
      <c r="AG95" s="138" t="s">
        <v>122</v>
      </c>
      <c r="AH95" s="126" t="s">
        <v>309</v>
      </c>
      <c r="AI95" s="121" t="s">
        <v>199</v>
      </c>
      <c r="AJ95" s="128">
        <v>44562</v>
      </c>
      <c r="AK95" s="128" t="s">
        <v>374</v>
      </c>
      <c r="AL95" s="126" t="s">
        <v>308</v>
      </c>
      <c r="AM95" s="140"/>
    </row>
    <row r="96" spans="1:39" s="164" customFormat="1" ht="151.5" customHeight="1" x14ac:dyDescent="0.35">
      <c r="A96" s="396"/>
      <c r="B96" s="376"/>
      <c r="C96" s="373"/>
      <c r="D96" s="373"/>
      <c r="E96" s="370"/>
      <c r="F96" s="370"/>
      <c r="G96" s="370"/>
      <c r="H96" s="383"/>
      <c r="I96" s="370"/>
      <c r="J96" s="381"/>
      <c r="K96" s="379"/>
      <c r="L96" s="389"/>
      <c r="M96" s="391"/>
      <c r="N96" s="142"/>
      <c r="O96" s="379"/>
      <c r="P96" s="389"/>
      <c r="Q96" s="386"/>
      <c r="R96" s="130">
        <v>3</v>
      </c>
      <c r="S96" s="98"/>
      <c r="T96" s="131" t="str">
        <f t="shared" si="139"/>
        <v/>
      </c>
      <c r="U96" s="132"/>
      <c r="V96" s="132"/>
      <c r="W96" s="133"/>
      <c r="X96" s="132"/>
      <c r="Y96" s="132"/>
      <c r="Z96" s="132"/>
      <c r="AA96" s="134" t="str">
        <f>IFERROR(IF(T96="Probabilidad",(AA95-(+AA95*W96)),IF(T96="Impacto",L96,"")),"")</f>
        <v/>
      </c>
      <c r="AB96" s="135" t="str">
        <f t="shared" si="142"/>
        <v/>
      </c>
      <c r="AC96" s="136" t="str">
        <f t="shared" si="143"/>
        <v/>
      </c>
      <c r="AD96" s="135" t="str">
        <f t="shared" si="144"/>
        <v/>
      </c>
      <c r="AE96" s="136" t="str">
        <f t="shared" si="145"/>
        <v/>
      </c>
      <c r="AF96" s="137" t="str">
        <f t="shared" si="146"/>
        <v/>
      </c>
      <c r="AG96" s="138"/>
      <c r="AH96" s="119"/>
      <c r="AI96" s="127"/>
      <c r="AJ96" s="143"/>
      <c r="AK96" s="143"/>
      <c r="AL96" s="119"/>
      <c r="AM96" s="140"/>
    </row>
    <row r="97" spans="1:39" s="164" customFormat="1" ht="151.5" customHeight="1" x14ac:dyDescent="0.35">
      <c r="A97" s="354">
        <v>31</v>
      </c>
      <c r="B97" s="322" t="s">
        <v>310</v>
      </c>
      <c r="C97" s="355" t="s">
        <v>360</v>
      </c>
      <c r="D97" s="355" t="s">
        <v>403</v>
      </c>
      <c r="E97" s="338" t="s">
        <v>118</v>
      </c>
      <c r="F97" s="357" t="s">
        <v>598</v>
      </c>
      <c r="G97" s="357" t="s">
        <v>473</v>
      </c>
      <c r="H97" s="341" t="s">
        <v>599</v>
      </c>
      <c r="I97" s="338" t="s">
        <v>329</v>
      </c>
      <c r="J97" s="335">
        <v>12</v>
      </c>
      <c r="K97" s="326" t="str">
        <f>IF(J97&lt;=0,"",IF(J97&lt;=2,"Muy Baja",IF(J97&lt;=24,"Baja",IF(J97&lt;=500,"Media",IF(J97&lt;=5000,"Alta","Muy Alta")))))</f>
        <v>Baja</v>
      </c>
      <c r="L97" s="329">
        <f>IF(K97="","",IF(K97="Muy Baja",0.2,IF(K97="Baja",0.4,IF(K97="Media",0.6,IF(K97="Alta",0.8,IF(K97="Muy Alta",1,))))))</f>
        <v>0.4</v>
      </c>
      <c r="M97" s="350" t="s">
        <v>487</v>
      </c>
      <c r="N97" s="178"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26" t="str">
        <f>IF(OR(N97='Tabla Impacto'!$C$11,N97='Tabla Impacto'!$D$11),"Leve",IF(OR(N97='Tabla Impacto'!$C$12,N97='Tabla Impacto'!$D$12),"Menor",IF(OR(N97='Tabla Impacto'!$C$13,N97='Tabla Impacto'!$D$13),"Moderado",IF(OR(N97='Tabla Impacto'!$C$14,N97='Tabla Impacto'!$D$14),"Mayor",IF(OR(N97='Tabla Impacto'!$C$15,N97='Tabla Impacto'!$D$15),"Catastrófico","")))))</f>
        <v>Moderado</v>
      </c>
      <c r="P97" s="329">
        <f>IF(O97="","",IF(O97="Leve",0.2,IF(O97="Menor",0.4,IF(O97="Moderado",0.6,IF(O97="Mayor",0.8,IF(O97="Catastrófico",1,))))))</f>
        <v>0.6</v>
      </c>
      <c r="Q97" s="33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79">
        <v>1</v>
      </c>
      <c r="S97" s="175" t="s">
        <v>591</v>
      </c>
      <c r="T97" s="176" t="str">
        <f t="shared" si="25"/>
        <v>Probabilidad</v>
      </c>
      <c r="U97" s="180" t="s">
        <v>14</v>
      </c>
      <c r="V97" s="180" t="s">
        <v>9</v>
      </c>
      <c r="W97" s="181" t="str">
        <f t="shared" si="26"/>
        <v>40%</v>
      </c>
      <c r="X97" s="180" t="s">
        <v>19</v>
      </c>
      <c r="Y97" s="180" t="s">
        <v>22</v>
      </c>
      <c r="Z97" s="180" t="s">
        <v>110</v>
      </c>
      <c r="AA97" s="155">
        <f t="shared" si="27"/>
        <v>0.24</v>
      </c>
      <c r="AB97" s="169" t="str">
        <f t="shared" si="28"/>
        <v>Baja</v>
      </c>
      <c r="AC97" s="170">
        <f t="shared" si="29"/>
        <v>0.24</v>
      </c>
      <c r="AD97" s="169" t="str">
        <f t="shared" si="30"/>
        <v>Moderado</v>
      </c>
      <c r="AE97" s="170">
        <f t="shared" si="31"/>
        <v>0.6</v>
      </c>
      <c r="AF97" s="171" t="str">
        <f t="shared" si="32"/>
        <v>Moderado</v>
      </c>
      <c r="AG97" s="172" t="s">
        <v>122</v>
      </c>
      <c r="AH97" s="192" t="s">
        <v>593</v>
      </c>
      <c r="AI97" s="165" t="s">
        <v>592</v>
      </c>
      <c r="AJ97" s="166" t="s">
        <v>287</v>
      </c>
      <c r="AK97" s="166" t="s">
        <v>288</v>
      </c>
      <c r="AL97" s="175" t="s">
        <v>600</v>
      </c>
      <c r="AM97" s="165"/>
    </row>
    <row r="98" spans="1:39" s="164" customFormat="1" ht="151.5" customHeight="1" x14ac:dyDescent="0.35">
      <c r="A98" s="325"/>
      <c r="B98" s="323"/>
      <c r="C98" s="356"/>
      <c r="D98" s="356"/>
      <c r="E98" s="339"/>
      <c r="F98" s="365"/>
      <c r="G98" s="365"/>
      <c r="H98" s="342"/>
      <c r="I98" s="339"/>
      <c r="J98" s="336"/>
      <c r="K98" s="327"/>
      <c r="L98" s="330"/>
      <c r="M98" s="351"/>
      <c r="N98" s="185"/>
      <c r="O98" s="327"/>
      <c r="P98" s="330"/>
      <c r="Q98" s="333"/>
      <c r="R98" s="179">
        <v>2</v>
      </c>
      <c r="S98" s="175"/>
      <c r="T98" s="176"/>
      <c r="U98" s="180"/>
      <c r="V98" s="180"/>
      <c r="W98" s="181"/>
      <c r="X98" s="180"/>
      <c r="Y98" s="180"/>
      <c r="Z98" s="180"/>
      <c r="AA98" s="155"/>
      <c r="AB98" s="169"/>
      <c r="AC98" s="170"/>
      <c r="AD98" s="169"/>
      <c r="AE98" s="170"/>
      <c r="AF98" s="171"/>
      <c r="AG98" s="172"/>
      <c r="AH98" s="192"/>
      <c r="AI98" s="193"/>
      <c r="AJ98" s="166"/>
      <c r="AK98" s="166"/>
      <c r="AL98" s="175"/>
      <c r="AM98" s="165"/>
    </row>
    <row r="99" spans="1:39" s="164" customFormat="1" ht="151.5" customHeight="1" x14ac:dyDescent="0.35">
      <c r="A99" s="325"/>
      <c r="B99" s="323"/>
      <c r="C99" s="363"/>
      <c r="D99" s="363"/>
      <c r="E99" s="339"/>
      <c r="F99" s="339"/>
      <c r="G99" s="339"/>
      <c r="H99" s="342"/>
      <c r="I99" s="339"/>
      <c r="J99" s="336"/>
      <c r="K99" s="327"/>
      <c r="L99" s="330"/>
      <c r="M99" s="351"/>
      <c r="N99" s="185"/>
      <c r="O99" s="327"/>
      <c r="P99" s="330"/>
      <c r="Q99" s="333"/>
      <c r="R99" s="239">
        <v>3</v>
      </c>
      <c r="S99" s="175"/>
      <c r="T99" s="176"/>
      <c r="U99" s="180"/>
      <c r="V99" s="180"/>
      <c r="W99" s="181"/>
      <c r="X99" s="180"/>
      <c r="Y99" s="180"/>
      <c r="Z99" s="180"/>
      <c r="AA99" s="155"/>
      <c r="AB99" s="169"/>
      <c r="AC99" s="170"/>
      <c r="AD99" s="169"/>
      <c r="AE99" s="170"/>
      <c r="AF99" s="171"/>
      <c r="AG99" s="172"/>
      <c r="AH99" s="192"/>
      <c r="AI99" s="165"/>
      <c r="AJ99" s="166"/>
      <c r="AK99" s="166"/>
      <c r="AL99" s="175"/>
      <c r="AM99" s="165"/>
    </row>
    <row r="100" spans="1:39" s="164" customFormat="1" ht="151.5" customHeight="1" x14ac:dyDescent="0.35">
      <c r="A100" s="325">
        <v>32</v>
      </c>
      <c r="B100" s="344" t="s">
        <v>310</v>
      </c>
      <c r="C100" s="344" t="s">
        <v>354</v>
      </c>
      <c r="D100" s="344" t="s">
        <v>403</v>
      </c>
      <c r="E100" s="338" t="s">
        <v>118</v>
      </c>
      <c r="F100" s="338" t="s">
        <v>524</v>
      </c>
      <c r="G100" s="338" t="s">
        <v>525</v>
      </c>
      <c r="H100" s="341" t="s">
        <v>526</v>
      </c>
      <c r="I100" s="341" t="s">
        <v>329</v>
      </c>
      <c r="J100" s="347">
        <v>1096</v>
      </c>
      <c r="K100" s="326" t="str">
        <f>IF(J100&lt;=0,"",IF(J100&lt;=2,"Muy Baja",IF(J100&lt;=24,"Baja",IF(J100&lt;=500,"Media",IF(J100&lt;=5000,"Alta","Muy Alta")))))</f>
        <v>Alta</v>
      </c>
      <c r="L100" s="329">
        <f>IF(K100="","",IF(K100="Muy Baja",0.2,IF(K100="Baja",0.4,IF(K100="Media",0.6,IF(K100="Alta",0.8,IF(K100="Muy Alta",1,))))))</f>
        <v>0.8</v>
      </c>
      <c r="M100" s="366" t="s">
        <v>487</v>
      </c>
      <c r="N100" s="329" t="str">
        <f>IF(NOT(ISERROR(MATCH(M100,'[1]Tabla Impacto'!$B$221:$B$223,0))),'[1]Tabla Impacto'!$F$223&amp;"Por favor no seleccionar los criterios de impacto(Afectación Económica o presupuestal y Pérdida Reputacional)",M100)</f>
        <v xml:space="preserve"> El riesgo afecta la imagen de la entidad con algunos usuarios de relevancia frente al logro de los objetivos</v>
      </c>
      <c r="O100" s="326" t="str">
        <f>IF(OR(N100='[1]Tabla Impacto'!$C$11,N100='[1]Tabla Impacto'!$D$11),"Leve",IF(OR(N100='[1]Tabla Impacto'!$C$12,N100='[1]Tabla Impacto'!$D$12),"Menor",IF(OR(N100='[1]Tabla Impacto'!$C$13,N100='[1]Tabla Impacto'!$D$13),"Moderado",IF(OR(N100='[1]Tabla Impacto'!$C$14,N100='[1]Tabla Impacto'!$D$14),"Mayor",IF(OR(N100='[1]Tabla Impacto'!$C$15,N100='[1]Tabla Impacto'!$D$15),"Catastrófico","")))))</f>
        <v>Moderado</v>
      </c>
      <c r="P100" s="329">
        <f>IF(O100="","",IF(O100="Leve",0.2,IF(O100="Menor",0.4,IF(O100="Moderado",0.6,IF(O100="Mayor",0.8,IF(O100="Catastrófico",1,))))))</f>
        <v>0.6</v>
      </c>
      <c r="Q100" s="332"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74">
        <v>1</v>
      </c>
      <c r="S100" s="175" t="s">
        <v>594</v>
      </c>
      <c r="T100" s="223" t="str">
        <f t="shared" ref="T100" si="147">IF(OR(U100="Preventivo",U100="Detectivo"),"Probabilidad",IF(U100="Correctivo","Impacto",""))</f>
        <v>Probabilidad</v>
      </c>
      <c r="U100" s="224" t="s">
        <v>14</v>
      </c>
      <c r="V100" s="224" t="s">
        <v>9</v>
      </c>
      <c r="W100" s="225" t="str">
        <f t="shared" ref="W100" si="148">IF(AND(U100="Preventivo",V100="Automático"),"50%",IF(AND(U100="Preventivo",V100="Manual"),"40%",IF(AND(U100="Detectivo",V100="Automático"),"40%",IF(AND(U100="Detectivo",V100="Manual"),"30%",IF(AND(U100="Correctivo",V100="Automático"),"35%",IF(AND(U100="Correctivo",V100="Manual"),"25%",""))))))</f>
        <v>40%</v>
      </c>
      <c r="X100" s="224" t="s">
        <v>20</v>
      </c>
      <c r="Y100" s="224" t="s">
        <v>22</v>
      </c>
      <c r="Z100" s="224" t="s">
        <v>110</v>
      </c>
      <c r="AA100" s="226">
        <f t="shared" ref="AA100" si="149">IFERROR(IF(T100="Probabilidad",(L100-(+L100*W100)),IF(T100="Impacto",L100,"")),"")</f>
        <v>0.48</v>
      </c>
      <c r="AB100" s="227" t="str">
        <f t="shared" ref="AB100" si="150">IFERROR(IF(AA100="","",IF(AA100&lt;=0.2,"Muy Baja",IF(AA100&lt;=0.4,"Baja",IF(AA100&lt;=0.6,"Media",IF(AA100&lt;=0.8,"Alta","Muy Alta"))))),"")</f>
        <v>Media</v>
      </c>
      <c r="AC100" s="228">
        <f t="shared" ref="AC100" si="151">+AA100</f>
        <v>0.48</v>
      </c>
      <c r="AD100" s="227" t="str">
        <f t="shared" ref="AD100" si="152">IFERROR(IF(AE100="","",IF(AE100&lt;=0.2,"Leve",IF(AE100&lt;=0.4,"Menor",IF(AE100&lt;=0.6,"Moderado",IF(AE100&lt;=0.8,"Mayor","Catastrófico"))))),"")</f>
        <v>Moderado</v>
      </c>
      <c r="AE100" s="228">
        <f t="shared" ref="AE100" si="153">IFERROR(IF(T100="Impacto",(P100-(+P100*W100)),IF(T100="Probabilidad",P100,"")),"")</f>
        <v>0.6</v>
      </c>
      <c r="AF100" s="229" t="str">
        <f t="shared" ref="AF100" si="154">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230" t="s">
        <v>122</v>
      </c>
      <c r="AH100" s="173" t="s">
        <v>595</v>
      </c>
      <c r="AI100" s="165" t="s">
        <v>592</v>
      </c>
      <c r="AJ100" s="166" t="s">
        <v>287</v>
      </c>
      <c r="AK100" s="166" t="s">
        <v>288</v>
      </c>
      <c r="AL100" s="167" t="s">
        <v>474</v>
      </c>
      <c r="AM100" s="165"/>
    </row>
    <row r="101" spans="1:39" s="164" customFormat="1" ht="151.5" customHeight="1" x14ac:dyDescent="0.35">
      <c r="A101" s="325"/>
      <c r="B101" s="345"/>
      <c r="C101" s="345"/>
      <c r="D101" s="345"/>
      <c r="E101" s="339"/>
      <c r="F101" s="339"/>
      <c r="G101" s="339"/>
      <c r="H101" s="342"/>
      <c r="I101" s="342"/>
      <c r="J101" s="348"/>
      <c r="K101" s="327"/>
      <c r="L101" s="330"/>
      <c r="M101" s="367"/>
      <c r="N101" s="330"/>
      <c r="O101" s="327"/>
      <c r="P101" s="330"/>
      <c r="Q101" s="333"/>
      <c r="R101" s="174">
        <v>2</v>
      </c>
      <c r="S101" s="175"/>
      <c r="T101" s="176"/>
      <c r="U101" s="168"/>
      <c r="V101" s="168"/>
      <c r="W101" s="177"/>
      <c r="X101" s="168"/>
      <c r="Y101" s="168"/>
      <c r="Z101" s="168"/>
      <c r="AA101" s="155"/>
      <c r="AB101" s="169"/>
      <c r="AC101" s="170"/>
      <c r="AD101" s="169"/>
      <c r="AE101" s="170"/>
      <c r="AF101" s="171"/>
      <c r="AG101" s="172"/>
      <c r="AH101" s="173"/>
      <c r="AI101" s="165"/>
      <c r="AJ101" s="166"/>
      <c r="AK101" s="166"/>
      <c r="AL101" s="167"/>
      <c r="AM101" s="165"/>
    </row>
    <row r="102" spans="1:39" s="164" customFormat="1" ht="151.5" customHeight="1" x14ac:dyDescent="0.35">
      <c r="A102" s="325"/>
      <c r="B102" s="346"/>
      <c r="C102" s="346"/>
      <c r="D102" s="346"/>
      <c r="E102" s="340"/>
      <c r="F102" s="340"/>
      <c r="G102" s="340"/>
      <c r="H102" s="343"/>
      <c r="I102" s="343"/>
      <c r="J102" s="349"/>
      <c r="K102" s="328"/>
      <c r="L102" s="331"/>
      <c r="M102" s="368"/>
      <c r="N102" s="331"/>
      <c r="O102" s="328"/>
      <c r="P102" s="331"/>
      <c r="Q102" s="334"/>
      <c r="R102" s="174">
        <v>3</v>
      </c>
      <c r="S102" s="175"/>
      <c r="T102" s="176"/>
      <c r="U102" s="168"/>
      <c r="V102" s="168"/>
      <c r="W102" s="177"/>
      <c r="X102" s="168"/>
      <c r="Y102" s="168"/>
      <c r="Z102" s="168"/>
      <c r="AA102" s="155"/>
      <c r="AB102" s="169"/>
      <c r="AC102" s="170"/>
      <c r="AD102" s="169"/>
      <c r="AE102" s="170"/>
      <c r="AF102" s="171"/>
      <c r="AG102" s="172"/>
      <c r="AH102" s="173"/>
      <c r="AI102" s="165"/>
      <c r="AJ102" s="166"/>
      <c r="AK102" s="166"/>
      <c r="AL102" s="167"/>
      <c r="AM102" s="165"/>
    </row>
    <row r="103" spans="1:39" s="164" customFormat="1" ht="151.5" customHeight="1" x14ac:dyDescent="0.35">
      <c r="A103" s="325">
        <v>33</v>
      </c>
      <c r="B103" s="322" t="s">
        <v>311</v>
      </c>
      <c r="C103" s="355" t="s">
        <v>361</v>
      </c>
      <c r="D103" s="355" t="s">
        <v>404</v>
      </c>
      <c r="E103" s="338" t="s">
        <v>118</v>
      </c>
      <c r="F103" s="338" t="s">
        <v>312</v>
      </c>
      <c r="G103" s="338" t="s">
        <v>467</v>
      </c>
      <c r="H103" s="341" t="s">
        <v>466</v>
      </c>
      <c r="I103" s="338" t="s">
        <v>117</v>
      </c>
      <c r="J103" s="335">
        <v>365</v>
      </c>
      <c r="K103" s="326" t="str">
        <f>IF(J103&lt;=0,"",IF(J103&lt;=2,"Muy Baja",IF(J103&lt;=24,"Baja",IF(J103&lt;=500,"Media",IF(J103&lt;=5000,"Alta","Muy Alta")))))</f>
        <v>Media</v>
      </c>
      <c r="L103" s="329">
        <f>IF(K103="","",IF(K103="Muy Baja",0.2,IF(K103="Baja",0.4,IF(K103="Media",0.6,IF(K103="Alta",0.8,IF(K103="Muy Alta",1,))))))</f>
        <v>0.6</v>
      </c>
      <c r="M103" s="350" t="s">
        <v>487</v>
      </c>
      <c r="N103" s="178"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26"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29">
        <f>IF(O103="","",IF(O103="Leve",0.2,IF(O103="Menor",0.4,IF(O103="Moderado",0.6,IF(O103="Mayor",0.8,IF(O103="Catastrófico",1,))))))</f>
        <v>0.6</v>
      </c>
      <c r="Q103" s="332"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79">
        <v>1</v>
      </c>
      <c r="S103" s="175" t="s">
        <v>345</v>
      </c>
      <c r="T103" s="176" t="str">
        <f t="shared" ref="T103:T105" si="155">IF(OR(U103="Preventivo",U103="Detectivo"),"Probabilidad",IF(U103="Correctivo","Impacto",""))</f>
        <v>Probabilidad</v>
      </c>
      <c r="U103" s="180" t="s">
        <v>15</v>
      </c>
      <c r="V103" s="180" t="s">
        <v>9</v>
      </c>
      <c r="W103" s="181" t="str">
        <f t="shared" ref="W103:W104" si="156">IF(AND(U103="Preventivo",V103="Automático"),"50%",IF(AND(U103="Preventivo",V103="Manual"),"40%",IF(AND(U103="Detectivo",V103="Automático"),"40%",IF(AND(U103="Detectivo",V103="Manual"),"30%",IF(AND(U103="Correctivo",V103="Automático"),"35%",IF(AND(U103="Correctivo",V103="Manual"),"25%",""))))))</f>
        <v>30%</v>
      </c>
      <c r="X103" s="180" t="s">
        <v>19</v>
      </c>
      <c r="Y103" s="180" t="s">
        <v>22</v>
      </c>
      <c r="Z103" s="180" t="s">
        <v>110</v>
      </c>
      <c r="AA103" s="155">
        <f t="shared" ref="AA103" si="157">IFERROR(IF(T103="Probabilidad",(L103-(+L103*W103)),IF(T103="Impacto",L103,"")),"")</f>
        <v>0.42</v>
      </c>
      <c r="AB103" s="169" t="str">
        <f t="shared" ref="AB103:AB105" si="158">IFERROR(IF(AA103="","",IF(AA103&lt;=0.2,"Muy Baja",IF(AA103&lt;=0.4,"Baja",IF(AA103&lt;=0.6,"Media",IF(AA103&lt;=0.8,"Alta","Muy Alta"))))),"")</f>
        <v>Media</v>
      </c>
      <c r="AC103" s="170">
        <f t="shared" ref="AC103:AC105" si="159">+AA103</f>
        <v>0.42</v>
      </c>
      <c r="AD103" s="169" t="str">
        <f t="shared" ref="AD103:AD105" si="160">IFERROR(IF(AE103="","",IF(AE103&lt;=0.2,"Leve",IF(AE103&lt;=0.4,"Menor",IF(AE103&lt;=0.6,"Moderado",IF(AE103&lt;=0.8,"Mayor","Catastrófico"))))),"")</f>
        <v>Moderado</v>
      </c>
      <c r="AE103" s="170">
        <f t="shared" ref="AE103:AE105" si="161">IFERROR(IF(T103="Impacto",(P103-(+P103*W103)),IF(T103="Probabilidad",P103,"")),"")</f>
        <v>0.6</v>
      </c>
      <c r="AF103" s="171" t="str">
        <f t="shared" ref="AF103:AF105" si="162">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72" t="s">
        <v>122</v>
      </c>
      <c r="AH103" s="173" t="s">
        <v>405</v>
      </c>
      <c r="AI103" s="165" t="s">
        <v>204</v>
      </c>
      <c r="AJ103" s="166" t="s">
        <v>200</v>
      </c>
      <c r="AK103" s="166" t="s">
        <v>200</v>
      </c>
      <c r="AL103" s="167" t="s">
        <v>407</v>
      </c>
      <c r="AM103" s="165"/>
    </row>
    <row r="104" spans="1:39" s="164" customFormat="1" ht="151.5" customHeight="1" x14ac:dyDescent="0.35">
      <c r="A104" s="325"/>
      <c r="B104" s="323"/>
      <c r="C104" s="363"/>
      <c r="D104" s="363"/>
      <c r="E104" s="339"/>
      <c r="F104" s="339"/>
      <c r="G104" s="339"/>
      <c r="H104" s="342"/>
      <c r="I104" s="339"/>
      <c r="J104" s="336"/>
      <c r="K104" s="327"/>
      <c r="L104" s="330"/>
      <c r="M104" s="351"/>
      <c r="N104" s="185"/>
      <c r="O104" s="327"/>
      <c r="P104" s="330"/>
      <c r="Q104" s="333"/>
      <c r="R104" s="179">
        <v>2</v>
      </c>
      <c r="S104" s="175" t="s">
        <v>351</v>
      </c>
      <c r="T104" s="176" t="str">
        <f t="shared" si="155"/>
        <v>Probabilidad</v>
      </c>
      <c r="U104" s="180" t="s">
        <v>14</v>
      </c>
      <c r="V104" s="180" t="s">
        <v>9</v>
      </c>
      <c r="W104" s="181" t="str">
        <f t="shared" si="156"/>
        <v>40%</v>
      </c>
      <c r="X104" s="180" t="s">
        <v>19</v>
      </c>
      <c r="Y104" s="180" t="s">
        <v>23</v>
      </c>
      <c r="Z104" s="180" t="s">
        <v>110</v>
      </c>
      <c r="AA104" s="155">
        <f>IFERROR(IF(T104="Probabilidad",(AA103-(+AA103*W104)),IF(T104="Impacto",L104,"")),"")</f>
        <v>0.252</v>
      </c>
      <c r="AB104" s="169" t="str">
        <f t="shared" si="158"/>
        <v>Baja</v>
      </c>
      <c r="AC104" s="170">
        <f t="shared" si="159"/>
        <v>0.252</v>
      </c>
      <c r="AD104" s="169" t="str">
        <f t="shared" si="160"/>
        <v>Moderado</v>
      </c>
      <c r="AE104" s="170">
        <v>0.6</v>
      </c>
      <c r="AF104" s="171" t="str">
        <f t="shared" si="162"/>
        <v>Moderado</v>
      </c>
      <c r="AG104" s="172" t="s">
        <v>122</v>
      </c>
      <c r="AH104" s="182" t="s">
        <v>313</v>
      </c>
      <c r="AI104" s="183" t="s">
        <v>213</v>
      </c>
      <c r="AJ104" s="184" t="s">
        <v>200</v>
      </c>
      <c r="AK104" s="184" t="s">
        <v>200</v>
      </c>
      <c r="AL104" s="182" t="s">
        <v>406</v>
      </c>
      <c r="AM104" s="165"/>
    </row>
    <row r="105" spans="1:39" s="164" customFormat="1" ht="99.75" customHeight="1" x14ac:dyDescent="0.35">
      <c r="A105" s="325"/>
      <c r="B105" s="324"/>
      <c r="C105" s="363"/>
      <c r="D105" s="363"/>
      <c r="E105" s="339"/>
      <c r="F105" s="339"/>
      <c r="G105" s="339"/>
      <c r="H105" s="342"/>
      <c r="I105" s="339"/>
      <c r="J105" s="336"/>
      <c r="K105" s="328"/>
      <c r="L105" s="331"/>
      <c r="M105" s="351"/>
      <c r="N105" s="185"/>
      <c r="O105" s="328"/>
      <c r="P105" s="331"/>
      <c r="Q105" s="334"/>
      <c r="R105" s="179">
        <v>3</v>
      </c>
      <c r="S105" s="175"/>
      <c r="T105" s="176" t="str">
        <f t="shared" si="155"/>
        <v/>
      </c>
      <c r="U105" s="180"/>
      <c r="V105" s="180"/>
      <c r="W105" s="181"/>
      <c r="X105" s="180"/>
      <c r="Y105" s="180"/>
      <c r="Z105" s="180"/>
      <c r="AA105" s="155" t="str">
        <f>IFERROR(IF(T105="Probabilidad",(AA104-(+AA104*W105)),IF(T105="Impacto",L105,"")),"")</f>
        <v/>
      </c>
      <c r="AB105" s="169" t="str">
        <f t="shared" si="158"/>
        <v/>
      </c>
      <c r="AC105" s="170" t="str">
        <f t="shared" si="159"/>
        <v/>
      </c>
      <c r="AD105" s="169" t="str">
        <f t="shared" si="160"/>
        <v/>
      </c>
      <c r="AE105" s="170" t="str">
        <f t="shared" si="161"/>
        <v/>
      </c>
      <c r="AF105" s="171" t="str">
        <f t="shared" si="162"/>
        <v/>
      </c>
      <c r="AG105" s="172"/>
      <c r="AH105" s="175"/>
      <c r="AI105" s="165"/>
      <c r="AJ105" s="166"/>
      <c r="AK105" s="166"/>
      <c r="AL105" s="175"/>
      <c r="AM105" s="165"/>
    </row>
    <row r="106" spans="1:39" s="164" customFormat="1" ht="151.5" customHeight="1" x14ac:dyDescent="0.35">
      <c r="A106" s="325">
        <v>34</v>
      </c>
      <c r="B106" s="322" t="s">
        <v>311</v>
      </c>
      <c r="C106" s="355" t="s">
        <v>361</v>
      </c>
      <c r="D106" s="355" t="s">
        <v>404</v>
      </c>
      <c r="E106" s="338" t="s">
        <v>118</v>
      </c>
      <c r="F106" s="338" t="s">
        <v>314</v>
      </c>
      <c r="G106" s="338" t="s">
        <v>334</v>
      </c>
      <c r="H106" s="341" t="s">
        <v>408</v>
      </c>
      <c r="I106" s="338" t="s">
        <v>329</v>
      </c>
      <c r="J106" s="335">
        <v>365</v>
      </c>
      <c r="K106" s="326" t="str">
        <f>IF(J106&lt;=0,"",IF(J106&lt;=2,"Muy Baja",IF(J106&lt;=24,"Baja",IF(J106&lt;=500,"Media",IF(J106&lt;=5000,"Alta","Muy Alta")))))</f>
        <v>Media</v>
      </c>
      <c r="L106" s="329">
        <f>IF(K106="","",IF(K106="Muy Baja",0.2,IF(K106="Baja",0.4,IF(K106="Media",0.6,IF(K106="Alta",0.8,IF(K106="Muy Alta",1,))))))</f>
        <v>0.6</v>
      </c>
      <c r="M106" s="350" t="s">
        <v>487</v>
      </c>
      <c r="N106" s="178"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26"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29">
        <f>IF(O106="","",IF(O106="Leve",0.2,IF(O106="Menor",0.4,IF(O106="Moderado",0.6,IF(O106="Mayor",0.8,IF(O106="Catastrófico",1,))))))</f>
        <v>0.6</v>
      </c>
      <c r="Q106" s="332"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79">
        <v>1</v>
      </c>
      <c r="S106" s="175" t="s">
        <v>335</v>
      </c>
      <c r="T106" s="176" t="str">
        <f t="shared" si="25"/>
        <v>Probabilidad</v>
      </c>
      <c r="U106" s="180" t="s">
        <v>14</v>
      </c>
      <c r="V106" s="180" t="s">
        <v>9</v>
      </c>
      <c r="W106" s="181" t="str">
        <f t="shared" si="26"/>
        <v>40%</v>
      </c>
      <c r="X106" s="180" t="s">
        <v>19</v>
      </c>
      <c r="Y106" s="180" t="s">
        <v>23</v>
      </c>
      <c r="Z106" s="180" t="s">
        <v>110</v>
      </c>
      <c r="AA106" s="155">
        <f t="shared" si="27"/>
        <v>0.36</v>
      </c>
      <c r="AB106" s="169" t="str">
        <f t="shared" si="28"/>
        <v>Baja</v>
      </c>
      <c r="AC106" s="170">
        <f t="shared" si="29"/>
        <v>0.36</v>
      </c>
      <c r="AD106" s="169" t="str">
        <f t="shared" si="30"/>
        <v>Moderado</v>
      </c>
      <c r="AE106" s="170">
        <f t="shared" si="31"/>
        <v>0.6</v>
      </c>
      <c r="AF106" s="171" t="str">
        <f t="shared" si="32"/>
        <v>Moderado</v>
      </c>
      <c r="AG106" s="172" t="s">
        <v>122</v>
      </c>
      <c r="AH106" s="182" t="s">
        <v>336</v>
      </c>
      <c r="AI106" s="183" t="s">
        <v>283</v>
      </c>
      <c r="AJ106" s="184" t="s">
        <v>200</v>
      </c>
      <c r="AK106" s="184" t="s">
        <v>200</v>
      </c>
      <c r="AL106" s="182" t="s">
        <v>409</v>
      </c>
      <c r="AM106" s="165"/>
    </row>
    <row r="107" spans="1:39" s="164" customFormat="1" ht="151.5" customHeight="1" x14ac:dyDescent="0.35">
      <c r="A107" s="325"/>
      <c r="B107" s="323"/>
      <c r="C107" s="363"/>
      <c r="D107" s="363"/>
      <c r="E107" s="339"/>
      <c r="F107" s="339"/>
      <c r="G107" s="339"/>
      <c r="H107" s="342"/>
      <c r="I107" s="339"/>
      <c r="J107" s="336"/>
      <c r="K107" s="327"/>
      <c r="L107" s="330"/>
      <c r="M107" s="351"/>
      <c r="N107" s="185"/>
      <c r="O107" s="327"/>
      <c r="P107" s="330"/>
      <c r="Q107" s="333"/>
      <c r="R107" s="179">
        <v>2</v>
      </c>
      <c r="S107" s="175" t="s">
        <v>346</v>
      </c>
      <c r="T107" s="176" t="str">
        <f t="shared" ref="T107:T108" si="163">IF(OR(U107="Preventivo",U107="Detectivo"),"Probabilidad",IF(U107="Correctivo","Impacto",""))</f>
        <v>Probabilidad</v>
      </c>
      <c r="U107" s="180" t="s">
        <v>14</v>
      </c>
      <c r="V107" s="180" t="s">
        <v>9</v>
      </c>
      <c r="W107" s="181" t="str">
        <f t="shared" ref="W107" si="164">IF(AND(U107="Preventivo",V107="Automático"),"50%",IF(AND(U107="Preventivo",V107="Manual"),"40%",IF(AND(U107="Detectivo",V107="Automático"),"40%",IF(AND(U107="Detectivo",V107="Manual"),"30%",IF(AND(U107="Correctivo",V107="Automático"),"35%",IF(AND(U107="Correctivo",V107="Manual"),"25%",""))))))</f>
        <v>40%</v>
      </c>
      <c r="X107" s="180" t="s">
        <v>20</v>
      </c>
      <c r="Y107" s="180" t="s">
        <v>22</v>
      </c>
      <c r="Z107" s="180" t="s">
        <v>110</v>
      </c>
      <c r="AA107" s="155">
        <f>IFERROR(IF(T107="Probabilidad",(AA106-(+AA106*W107)),IF(T107="Impacto",L107,"")),"")</f>
        <v>0.216</v>
      </c>
      <c r="AB107" s="169" t="str">
        <f t="shared" ref="AB107:AB108" si="165">IFERROR(IF(AA107="","",IF(AA107&lt;=0.2,"Muy Baja",IF(AA107&lt;=0.4,"Baja",IF(AA107&lt;=0.6,"Media",IF(AA107&lt;=0.8,"Alta","Muy Alta"))))),"")</f>
        <v>Baja</v>
      </c>
      <c r="AC107" s="170">
        <f t="shared" ref="AC107:AC108" si="166">+AA107</f>
        <v>0.216</v>
      </c>
      <c r="AD107" s="169" t="str">
        <f t="shared" ref="AD107:AD108" si="167">IFERROR(IF(AE107="","",IF(AE107&lt;=0.2,"Leve",IF(AE107&lt;=0.4,"Menor",IF(AE107&lt;=0.6,"Moderado",IF(AE107&lt;=0.8,"Mayor","Catastrófico"))))),"")</f>
        <v>Moderado</v>
      </c>
      <c r="AE107" s="170">
        <v>0.6</v>
      </c>
      <c r="AF107" s="171" t="str">
        <f t="shared" ref="AF107:AF108" si="168">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72" t="s">
        <v>122</v>
      </c>
      <c r="AH107" s="182" t="s">
        <v>405</v>
      </c>
      <c r="AI107" s="183" t="s">
        <v>204</v>
      </c>
      <c r="AJ107" s="184" t="s">
        <v>200</v>
      </c>
      <c r="AK107" s="184" t="s">
        <v>200</v>
      </c>
      <c r="AL107" s="182" t="s">
        <v>407</v>
      </c>
      <c r="AM107" s="165"/>
    </row>
    <row r="108" spans="1:39" s="164" customFormat="1" ht="151.5" customHeight="1" x14ac:dyDescent="0.35">
      <c r="A108" s="325"/>
      <c r="B108" s="324"/>
      <c r="C108" s="363"/>
      <c r="D108" s="363"/>
      <c r="E108" s="339"/>
      <c r="F108" s="339"/>
      <c r="G108" s="339"/>
      <c r="H108" s="342"/>
      <c r="I108" s="339"/>
      <c r="J108" s="336"/>
      <c r="K108" s="328"/>
      <c r="L108" s="331"/>
      <c r="M108" s="351"/>
      <c r="N108" s="185"/>
      <c r="O108" s="328"/>
      <c r="P108" s="331"/>
      <c r="Q108" s="334"/>
      <c r="R108" s="179">
        <v>3</v>
      </c>
      <c r="S108" s="175"/>
      <c r="T108" s="176" t="str">
        <f t="shared" si="163"/>
        <v/>
      </c>
      <c r="U108" s="180"/>
      <c r="V108" s="180"/>
      <c r="W108" s="181"/>
      <c r="X108" s="180"/>
      <c r="Y108" s="180"/>
      <c r="Z108" s="180"/>
      <c r="AA108" s="155" t="str">
        <f>IFERROR(IF(T108="Probabilidad",(AA107-(+AA107*W108)),IF(T108="Impacto",L108,"")),"")</f>
        <v/>
      </c>
      <c r="AB108" s="169" t="str">
        <f t="shared" si="165"/>
        <v/>
      </c>
      <c r="AC108" s="170" t="str">
        <f t="shared" si="166"/>
        <v/>
      </c>
      <c r="AD108" s="169" t="str">
        <f t="shared" si="167"/>
        <v/>
      </c>
      <c r="AE108" s="170" t="str">
        <f t="shared" ref="AE108" si="169">IFERROR(IF(T108="Impacto",(P108-(+P108*W108)),IF(T108="Probabilidad",P108,"")),"")</f>
        <v/>
      </c>
      <c r="AF108" s="171" t="str">
        <f t="shared" si="168"/>
        <v/>
      </c>
      <c r="AG108" s="172"/>
      <c r="AH108" s="175"/>
      <c r="AI108" s="165"/>
      <c r="AJ108" s="166"/>
      <c r="AK108" s="166"/>
      <c r="AL108" s="175"/>
      <c r="AM108" s="165"/>
    </row>
    <row r="109" spans="1:39" s="164" customFormat="1" ht="151.5" customHeight="1" x14ac:dyDescent="0.35">
      <c r="A109" s="325">
        <v>35</v>
      </c>
      <c r="B109" s="322" t="s">
        <v>311</v>
      </c>
      <c r="C109" s="355" t="s">
        <v>361</v>
      </c>
      <c r="D109" s="355" t="s">
        <v>404</v>
      </c>
      <c r="E109" s="338" t="s">
        <v>120</v>
      </c>
      <c r="F109" s="338" t="s">
        <v>316</v>
      </c>
      <c r="G109" s="338" t="s">
        <v>317</v>
      </c>
      <c r="H109" s="341" t="s">
        <v>315</v>
      </c>
      <c r="I109" s="338" t="s">
        <v>337</v>
      </c>
      <c r="J109" s="335">
        <v>365</v>
      </c>
      <c r="K109" s="326" t="str">
        <f>IF(J109&lt;=0,"",IF(J109&lt;=2,"Muy Baja",IF(J109&lt;=24,"Baja",IF(J109&lt;=500,"Media",IF(J109&lt;=5000,"Alta","Muy Alta")))))</f>
        <v>Media</v>
      </c>
      <c r="L109" s="329">
        <f>IF(K109="","",IF(K109="Muy Baja",0.2,IF(K109="Baja",0.4,IF(K109="Media",0.6,IF(K109="Alta",0.8,IF(K109="Muy Alta",1,))))))</f>
        <v>0.6</v>
      </c>
      <c r="M109" s="350" t="s">
        <v>494</v>
      </c>
      <c r="N109" s="178"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326"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329">
        <f>IF(O109="","",IF(O109="Leve",0.2,IF(O109="Menor",0.4,IF(O109="Moderado",0.6,IF(O109="Mayor",0.8,IF(O109="Catastrófico",1,))))))</f>
        <v>0.8</v>
      </c>
      <c r="Q109" s="332"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79">
        <v>1</v>
      </c>
      <c r="S109" s="175" t="s">
        <v>352</v>
      </c>
      <c r="T109" s="176" t="str">
        <f t="shared" ref="T109:T111" si="170">IF(OR(U109="Preventivo",U109="Detectivo"),"Probabilidad",IF(U109="Correctivo","Impacto",""))</f>
        <v>Probabilidad</v>
      </c>
      <c r="U109" s="180" t="s">
        <v>14</v>
      </c>
      <c r="V109" s="180" t="s">
        <v>9</v>
      </c>
      <c r="W109" s="181" t="str">
        <f t="shared" ref="W109:W110" si="171">IF(AND(U109="Preventivo",V109="Automático"),"50%",IF(AND(U109="Preventivo",V109="Manual"),"40%",IF(AND(U109="Detectivo",V109="Automático"),"40%",IF(AND(U109="Detectivo",V109="Manual"),"30%",IF(AND(U109="Correctivo",V109="Automático"),"35%",IF(AND(U109="Correctivo",V109="Manual"),"25%",""))))))</f>
        <v>40%</v>
      </c>
      <c r="X109" s="180" t="s">
        <v>19</v>
      </c>
      <c r="Y109" s="180" t="s">
        <v>22</v>
      </c>
      <c r="Z109" s="180" t="s">
        <v>110</v>
      </c>
      <c r="AA109" s="155">
        <f t="shared" ref="AA109" si="172">IFERROR(IF(T109="Probabilidad",(L109-(+L109*W109)),IF(T109="Impacto",L109,"")),"")</f>
        <v>0.36</v>
      </c>
      <c r="AB109" s="169" t="str">
        <f t="shared" ref="AB109:AB111" si="173">IFERROR(IF(AA109="","",IF(AA109&lt;=0.2,"Muy Baja",IF(AA109&lt;=0.4,"Baja",IF(AA109&lt;=0.6,"Media",IF(AA109&lt;=0.8,"Alta","Muy Alta"))))),"")</f>
        <v>Baja</v>
      </c>
      <c r="AC109" s="170">
        <f t="shared" ref="AC109:AC111" si="174">+AA109</f>
        <v>0.36</v>
      </c>
      <c r="AD109" s="169" t="str">
        <f t="shared" ref="AD109:AD111" si="175">IFERROR(IF(AE109="","",IF(AE109&lt;=0.2,"Leve",IF(AE109&lt;=0.4,"Menor",IF(AE109&lt;=0.6,"Moderado",IF(AE109&lt;=0.8,"Mayor","Catastrófico"))))),"")</f>
        <v>Mayor</v>
      </c>
      <c r="AE109" s="170">
        <f t="shared" ref="AE109:AE111" si="176">IFERROR(IF(T109="Impacto",(P109-(+P109*W109)),IF(T109="Probabilidad",P109,"")),"")</f>
        <v>0.8</v>
      </c>
      <c r="AF109" s="171" t="str">
        <f t="shared" ref="AF109:AF111" si="177">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72" t="s">
        <v>122</v>
      </c>
      <c r="AH109" s="182" t="s">
        <v>313</v>
      </c>
      <c r="AI109" s="183" t="s">
        <v>213</v>
      </c>
      <c r="AJ109" s="184" t="s">
        <v>200</v>
      </c>
      <c r="AK109" s="184" t="s">
        <v>200</v>
      </c>
      <c r="AL109" s="182" t="s">
        <v>406</v>
      </c>
      <c r="AM109" s="165"/>
    </row>
    <row r="110" spans="1:39" s="164" customFormat="1" ht="151.5" customHeight="1" x14ac:dyDescent="0.35">
      <c r="A110" s="325"/>
      <c r="B110" s="323"/>
      <c r="C110" s="363"/>
      <c r="D110" s="363"/>
      <c r="E110" s="339"/>
      <c r="F110" s="339"/>
      <c r="G110" s="339"/>
      <c r="H110" s="342"/>
      <c r="I110" s="339"/>
      <c r="J110" s="336"/>
      <c r="K110" s="327"/>
      <c r="L110" s="330"/>
      <c r="M110" s="351"/>
      <c r="N110" s="185"/>
      <c r="O110" s="327"/>
      <c r="P110" s="330"/>
      <c r="Q110" s="333"/>
      <c r="R110" s="179">
        <v>2</v>
      </c>
      <c r="S110" s="175" t="s">
        <v>347</v>
      </c>
      <c r="T110" s="176" t="str">
        <f t="shared" si="170"/>
        <v>Probabilidad</v>
      </c>
      <c r="U110" s="180" t="s">
        <v>15</v>
      </c>
      <c r="V110" s="180" t="s">
        <v>10</v>
      </c>
      <c r="W110" s="181" t="str">
        <f t="shared" si="171"/>
        <v>40%</v>
      </c>
      <c r="X110" s="180" t="s">
        <v>19</v>
      </c>
      <c r="Y110" s="180" t="s">
        <v>22</v>
      </c>
      <c r="Z110" s="180" t="s">
        <v>110</v>
      </c>
      <c r="AA110" s="155">
        <f>IFERROR(IF(T110="Probabilidad",(AA109-(+AA109*W110)),IF(T110="Impacto",L110,"")),"")</f>
        <v>0.216</v>
      </c>
      <c r="AB110" s="169" t="str">
        <f t="shared" si="173"/>
        <v>Baja</v>
      </c>
      <c r="AC110" s="170">
        <f t="shared" si="174"/>
        <v>0.216</v>
      </c>
      <c r="AD110" s="169" t="str">
        <f t="shared" si="175"/>
        <v>Mayor</v>
      </c>
      <c r="AE110" s="170">
        <v>0.8</v>
      </c>
      <c r="AF110" s="171" t="str">
        <f t="shared" si="177"/>
        <v>Alto</v>
      </c>
      <c r="AG110" s="172" t="s">
        <v>122</v>
      </c>
      <c r="AH110" s="186" t="s">
        <v>410</v>
      </c>
      <c r="AI110" s="183" t="s">
        <v>204</v>
      </c>
      <c r="AJ110" s="184" t="s">
        <v>200</v>
      </c>
      <c r="AK110" s="184" t="s">
        <v>200</v>
      </c>
      <c r="AL110" s="182" t="s">
        <v>411</v>
      </c>
      <c r="AM110" s="165"/>
    </row>
    <row r="111" spans="1:39" s="164" customFormat="1" ht="151.5" customHeight="1" x14ac:dyDescent="0.35">
      <c r="A111" s="325"/>
      <c r="B111" s="324"/>
      <c r="C111" s="363"/>
      <c r="D111" s="363"/>
      <c r="E111" s="339"/>
      <c r="F111" s="339"/>
      <c r="G111" s="339"/>
      <c r="H111" s="342"/>
      <c r="I111" s="339"/>
      <c r="J111" s="336"/>
      <c r="K111" s="328"/>
      <c r="L111" s="331"/>
      <c r="M111" s="351"/>
      <c r="N111" s="185"/>
      <c r="O111" s="328"/>
      <c r="P111" s="331"/>
      <c r="Q111" s="334"/>
      <c r="R111" s="179">
        <v>3</v>
      </c>
      <c r="S111" s="175"/>
      <c r="T111" s="176" t="str">
        <f t="shared" si="170"/>
        <v/>
      </c>
      <c r="U111" s="180"/>
      <c r="V111" s="180"/>
      <c r="W111" s="181"/>
      <c r="X111" s="180"/>
      <c r="Y111" s="180"/>
      <c r="Z111" s="180"/>
      <c r="AA111" s="155" t="str">
        <f>IFERROR(IF(T111="Probabilidad",(AA110-(+AA110*W111)),IF(T111="Impacto",L111,"")),"")</f>
        <v/>
      </c>
      <c r="AB111" s="169" t="str">
        <f t="shared" si="173"/>
        <v/>
      </c>
      <c r="AC111" s="170" t="str">
        <f t="shared" si="174"/>
        <v/>
      </c>
      <c r="AD111" s="169" t="str">
        <f t="shared" si="175"/>
        <v/>
      </c>
      <c r="AE111" s="170" t="str">
        <f t="shared" si="176"/>
        <v/>
      </c>
      <c r="AF111" s="171" t="str">
        <f t="shared" si="177"/>
        <v/>
      </c>
      <c r="AG111" s="172"/>
      <c r="AH111" s="175"/>
      <c r="AI111" s="165"/>
      <c r="AJ111" s="166"/>
      <c r="AK111" s="166"/>
      <c r="AL111" s="175"/>
      <c r="AM111" s="165"/>
    </row>
    <row r="112" spans="1:39" s="164" customFormat="1" ht="151.5" customHeight="1" x14ac:dyDescent="0.35">
      <c r="A112" s="325">
        <v>36</v>
      </c>
      <c r="B112" s="322" t="s">
        <v>318</v>
      </c>
      <c r="C112" s="355" t="s">
        <v>353</v>
      </c>
      <c r="D112" s="355" t="s">
        <v>412</v>
      </c>
      <c r="E112" s="338" t="s">
        <v>120</v>
      </c>
      <c r="F112" s="338" t="s">
        <v>468</v>
      </c>
      <c r="G112" s="338" t="s">
        <v>469</v>
      </c>
      <c r="H112" s="341" t="s">
        <v>413</v>
      </c>
      <c r="I112" s="338" t="s">
        <v>329</v>
      </c>
      <c r="J112" s="335">
        <v>35</v>
      </c>
      <c r="K112" s="326" t="str">
        <f>IF(J112&lt;=0,"",IF(J112&lt;=2,"Muy Baja",IF(J112&lt;=24,"Baja",IF(J112&lt;=500,"Media",IF(J112&lt;=5000,"Alta","Muy Alta")))))</f>
        <v>Media</v>
      </c>
      <c r="L112" s="329">
        <f>IF(K112="","",IF(K112="Muy Baja",0.2,IF(K112="Baja",0.4,IF(K112="Media",0.6,IF(K112="Alta",0.8,IF(K112="Muy Alta",1,))))))</f>
        <v>0.6</v>
      </c>
      <c r="M112" s="350" t="s">
        <v>492</v>
      </c>
      <c r="N112" s="178"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26"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29">
        <f>IF(O112="","",IF(O112="Leve",0.2,IF(O112="Menor",0.4,IF(O112="Moderado",0.6,IF(O112="Mayor",0.8,IF(O112="Catastrófico",1,))))))</f>
        <v>0.4</v>
      </c>
      <c r="Q112" s="332"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79">
        <v>1</v>
      </c>
      <c r="S112" s="175" t="s">
        <v>338</v>
      </c>
      <c r="T112" s="176" t="str">
        <f t="shared" ref="T112:T123" si="178">IF(OR(U112="Preventivo",U112="Detectivo"),"Probabilidad",IF(U112="Correctivo","Impacto",""))</f>
        <v>Probabilidad</v>
      </c>
      <c r="U112" s="180" t="s">
        <v>14</v>
      </c>
      <c r="V112" s="180" t="s">
        <v>9</v>
      </c>
      <c r="W112" s="181" t="str">
        <f t="shared" ref="W112:W122" si="179">IF(AND(U112="Preventivo",V112="Automático"),"50%",IF(AND(U112="Preventivo",V112="Manual"),"40%",IF(AND(U112="Detectivo",V112="Automático"),"40%",IF(AND(U112="Detectivo",V112="Manual"),"30%",IF(AND(U112="Correctivo",V112="Automático"),"35%",IF(AND(U112="Correctivo",V112="Manual"),"25%",""))))))</f>
        <v>40%</v>
      </c>
      <c r="X112" s="180" t="s">
        <v>19</v>
      </c>
      <c r="Y112" s="180" t="s">
        <v>22</v>
      </c>
      <c r="Z112" s="180" t="s">
        <v>110</v>
      </c>
      <c r="AA112" s="155">
        <f t="shared" ref="AA112:AA121" si="180">IFERROR(IF(T112="Probabilidad",(L112-(+L112*W112)),IF(T112="Impacto",L112,"")),"")</f>
        <v>0.36</v>
      </c>
      <c r="AB112" s="169" t="str">
        <f t="shared" ref="AB112:AB122" si="181">IFERROR(IF(AA112="","",IF(AA112&lt;=0.2,"Muy Baja",IF(AA112&lt;=0.4,"Baja",IF(AA112&lt;=0.6,"Media",IF(AA112&lt;=0.8,"Alta","Muy Alta"))))),"")</f>
        <v>Baja</v>
      </c>
      <c r="AC112" s="170">
        <f t="shared" ref="AC112:AC122" si="182">+AA112</f>
        <v>0.36</v>
      </c>
      <c r="AD112" s="169" t="str">
        <f t="shared" ref="AD112:AD122" si="183">IFERROR(IF(AE112="","",IF(AE112&lt;=0.2,"Leve",IF(AE112&lt;=0.4,"Menor",IF(AE112&lt;=0.6,"Moderado",IF(AE112&lt;=0.8,"Mayor","Catastrófico"))))),"")</f>
        <v>Menor</v>
      </c>
      <c r="AE112" s="170">
        <f t="shared" ref="AE112:AE122" si="184">IFERROR(IF(T112="Impacto",(P112-(+P112*W112)),IF(T112="Probabilidad",P112,"")),"")</f>
        <v>0.4</v>
      </c>
      <c r="AF112" s="171" t="str">
        <f t="shared" ref="AF112:AF122" si="18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72" t="s">
        <v>122</v>
      </c>
      <c r="AH112" s="175" t="s">
        <v>515</v>
      </c>
      <c r="AI112" s="165" t="s">
        <v>261</v>
      </c>
      <c r="AJ112" s="166">
        <v>44563</v>
      </c>
      <c r="AK112" s="166" t="s">
        <v>374</v>
      </c>
      <c r="AL112" s="175" t="s">
        <v>414</v>
      </c>
      <c r="AM112" s="165"/>
    </row>
    <row r="113" spans="1:39" s="164" customFormat="1" ht="151.5" customHeight="1" x14ac:dyDescent="0.35">
      <c r="A113" s="325"/>
      <c r="B113" s="323"/>
      <c r="C113" s="356"/>
      <c r="D113" s="363"/>
      <c r="E113" s="339"/>
      <c r="F113" s="339"/>
      <c r="G113" s="339"/>
      <c r="H113" s="342"/>
      <c r="I113" s="339"/>
      <c r="J113" s="336"/>
      <c r="K113" s="327"/>
      <c r="L113" s="330"/>
      <c r="M113" s="351"/>
      <c r="N113" s="185"/>
      <c r="O113" s="327"/>
      <c r="P113" s="330"/>
      <c r="Q113" s="333"/>
      <c r="R113" s="179">
        <v>2</v>
      </c>
      <c r="S113" s="175" t="s">
        <v>348</v>
      </c>
      <c r="T113" s="176" t="str">
        <f t="shared" si="178"/>
        <v>Probabilidad</v>
      </c>
      <c r="U113" s="180" t="s">
        <v>15</v>
      </c>
      <c r="V113" s="180" t="s">
        <v>9</v>
      </c>
      <c r="W113" s="181" t="str">
        <f t="shared" si="179"/>
        <v>30%</v>
      </c>
      <c r="X113" s="180" t="s">
        <v>19</v>
      </c>
      <c r="Y113" s="180" t="s">
        <v>22</v>
      </c>
      <c r="Z113" s="180" t="s">
        <v>110</v>
      </c>
      <c r="AA113" s="155">
        <f>IFERROR(IF(T113="Probabilidad",(AA112-(+AA112*W113)),IF(T113="Impacto",L113,"")),"")</f>
        <v>0.252</v>
      </c>
      <c r="AB113" s="169" t="str">
        <f t="shared" si="181"/>
        <v>Baja</v>
      </c>
      <c r="AC113" s="170">
        <f t="shared" si="182"/>
        <v>0.252</v>
      </c>
      <c r="AD113" s="169" t="str">
        <f t="shared" si="183"/>
        <v>Menor</v>
      </c>
      <c r="AE113" s="170">
        <v>0.4</v>
      </c>
      <c r="AF113" s="171" t="str">
        <f t="shared" si="185"/>
        <v>Moderado</v>
      </c>
      <c r="AG113" s="172" t="s">
        <v>122</v>
      </c>
      <c r="AH113" s="175" t="s">
        <v>515</v>
      </c>
      <c r="AI113" s="165" t="s">
        <v>261</v>
      </c>
      <c r="AJ113" s="166">
        <v>44563</v>
      </c>
      <c r="AK113" s="166" t="s">
        <v>374</v>
      </c>
      <c r="AL113" s="175" t="s">
        <v>414</v>
      </c>
      <c r="AM113" s="165"/>
    </row>
    <row r="114" spans="1:39" s="164" customFormat="1" ht="151.5" customHeight="1" x14ac:dyDescent="0.35">
      <c r="A114" s="325"/>
      <c r="B114" s="324"/>
      <c r="C114" s="356"/>
      <c r="D114" s="363"/>
      <c r="E114" s="339"/>
      <c r="F114" s="339"/>
      <c r="G114" s="339"/>
      <c r="H114" s="342"/>
      <c r="I114" s="339"/>
      <c r="J114" s="336"/>
      <c r="K114" s="328"/>
      <c r="L114" s="331"/>
      <c r="M114" s="351"/>
      <c r="N114" s="185"/>
      <c r="O114" s="328"/>
      <c r="P114" s="331"/>
      <c r="Q114" s="334"/>
      <c r="R114" s="179">
        <v>3</v>
      </c>
      <c r="S114" s="175"/>
      <c r="T114" s="176" t="str">
        <f t="shared" si="178"/>
        <v/>
      </c>
      <c r="U114" s="180"/>
      <c r="V114" s="180"/>
      <c r="W114" s="181"/>
      <c r="X114" s="180"/>
      <c r="Y114" s="180"/>
      <c r="Z114" s="180"/>
      <c r="AA114" s="155" t="str">
        <f>IFERROR(IF(T114="Probabilidad",(AA113-(+AA113*W114)),IF(T114="Impacto",L114,"")),"")</f>
        <v/>
      </c>
      <c r="AB114" s="169" t="str">
        <f t="shared" si="181"/>
        <v/>
      </c>
      <c r="AC114" s="170" t="str">
        <f t="shared" si="182"/>
        <v/>
      </c>
      <c r="AD114" s="169" t="str">
        <f t="shared" si="183"/>
        <v/>
      </c>
      <c r="AE114" s="170" t="str">
        <f t="shared" si="184"/>
        <v/>
      </c>
      <c r="AF114" s="171" t="str">
        <f t="shared" si="185"/>
        <v/>
      </c>
      <c r="AG114" s="172"/>
      <c r="AH114" s="175"/>
      <c r="AI114" s="165"/>
      <c r="AJ114" s="166"/>
      <c r="AK114" s="166"/>
      <c r="AL114" s="175"/>
      <c r="AM114" s="165"/>
    </row>
    <row r="115" spans="1:39" s="164" customFormat="1" ht="151.5" customHeight="1" x14ac:dyDescent="0.35">
      <c r="A115" s="325">
        <v>37</v>
      </c>
      <c r="B115" s="322" t="s">
        <v>318</v>
      </c>
      <c r="C115" s="355" t="s">
        <v>353</v>
      </c>
      <c r="D115" s="355" t="s">
        <v>412</v>
      </c>
      <c r="E115" s="338" t="s">
        <v>120</v>
      </c>
      <c r="F115" s="338" t="s">
        <v>470</v>
      </c>
      <c r="G115" s="338" t="s">
        <v>471</v>
      </c>
      <c r="H115" s="341" t="s">
        <v>339</v>
      </c>
      <c r="I115" s="338" t="s">
        <v>329</v>
      </c>
      <c r="J115" s="335">
        <v>12</v>
      </c>
      <c r="K115" s="326" t="str">
        <f>IF(J115&lt;=0,"",IF(J115&lt;=2,"Muy Baja",IF(J115&lt;=24,"Baja",IF(J115&lt;=500,"Media",IF(J115&lt;=5000,"Alta","Muy Alta")))))</f>
        <v>Baja</v>
      </c>
      <c r="L115" s="329">
        <f>IF(K115="","",IF(K115="Muy Baja",0.2,IF(K115="Baja",0.4,IF(K115="Media",0.6,IF(K115="Alta",0.8,IF(K115="Muy Alta",1,))))))</f>
        <v>0.4</v>
      </c>
      <c r="M115" s="350" t="s">
        <v>492</v>
      </c>
      <c r="N115" s="178"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26"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29">
        <f>IF(O115="","",IF(O115="Leve",0.2,IF(O115="Menor",0.4,IF(O115="Moderado",0.6,IF(O115="Mayor",0.8,IF(O115="Catastrófico",1,))))))</f>
        <v>0.4</v>
      </c>
      <c r="Q115" s="332"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79">
        <v>1</v>
      </c>
      <c r="S115" s="175" t="s">
        <v>516</v>
      </c>
      <c r="T115" s="176" t="str">
        <f t="shared" si="178"/>
        <v>Probabilidad</v>
      </c>
      <c r="U115" s="180" t="s">
        <v>14</v>
      </c>
      <c r="V115" s="180" t="s">
        <v>9</v>
      </c>
      <c r="W115" s="181" t="str">
        <f t="shared" si="179"/>
        <v>40%</v>
      </c>
      <c r="X115" s="180" t="s">
        <v>19</v>
      </c>
      <c r="Y115" s="180" t="s">
        <v>22</v>
      </c>
      <c r="Z115" s="180" t="s">
        <v>110</v>
      </c>
      <c r="AA115" s="155">
        <f t="shared" si="180"/>
        <v>0.24</v>
      </c>
      <c r="AB115" s="169" t="str">
        <f t="shared" si="181"/>
        <v>Baja</v>
      </c>
      <c r="AC115" s="170">
        <f t="shared" si="182"/>
        <v>0.24</v>
      </c>
      <c r="AD115" s="169" t="str">
        <f t="shared" si="183"/>
        <v>Menor</v>
      </c>
      <c r="AE115" s="170">
        <f t="shared" si="184"/>
        <v>0.4</v>
      </c>
      <c r="AF115" s="171" t="str">
        <f t="shared" si="185"/>
        <v>Moderado</v>
      </c>
      <c r="AG115" s="172" t="s">
        <v>122</v>
      </c>
      <c r="AH115" s="175" t="s">
        <v>517</v>
      </c>
      <c r="AI115" s="165" t="s">
        <v>204</v>
      </c>
      <c r="AJ115" s="166">
        <v>44568</v>
      </c>
      <c r="AK115" s="166" t="s">
        <v>374</v>
      </c>
      <c r="AL115" s="175" t="s">
        <v>415</v>
      </c>
      <c r="AM115" s="165"/>
    </row>
    <row r="116" spans="1:39" s="164" customFormat="1" ht="151.5" customHeight="1" x14ac:dyDescent="0.35">
      <c r="A116" s="325"/>
      <c r="B116" s="323"/>
      <c r="C116" s="356"/>
      <c r="D116" s="363"/>
      <c r="E116" s="339"/>
      <c r="F116" s="339"/>
      <c r="G116" s="339"/>
      <c r="H116" s="342"/>
      <c r="I116" s="339"/>
      <c r="J116" s="336"/>
      <c r="K116" s="327"/>
      <c r="L116" s="330"/>
      <c r="M116" s="351"/>
      <c r="N116" s="185"/>
      <c r="O116" s="327"/>
      <c r="P116" s="330"/>
      <c r="Q116" s="333"/>
      <c r="R116" s="179">
        <v>2</v>
      </c>
      <c r="S116" s="175" t="s">
        <v>362</v>
      </c>
      <c r="T116" s="176" t="str">
        <f t="shared" si="178"/>
        <v>Probabilidad</v>
      </c>
      <c r="U116" s="180" t="s">
        <v>15</v>
      </c>
      <c r="V116" s="180" t="s">
        <v>9</v>
      </c>
      <c r="W116" s="181" t="str">
        <f t="shared" si="179"/>
        <v>30%</v>
      </c>
      <c r="X116" s="180" t="s">
        <v>19</v>
      </c>
      <c r="Y116" s="180" t="s">
        <v>22</v>
      </c>
      <c r="Z116" s="180" t="s">
        <v>110</v>
      </c>
      <c r="AA116" s="155">
        <f>IFERROR(IF(T116="Probabilidad",(AA115-(+AA115*W116)),IF(T116="Impacto",L116,"")),"")</f>
        <v>0.16799999999999998</v>
      </c>
      <c r="AB116" s="169" t="str">
        <f t="shared" si="181"/>
        <v>Muy Baja</v>
      </c>
      <c r="AC116" s="170">
        <f t="shared" si="182"/>
        <v>0.16799999999999998</v>
      </c>
      <c r="AD116" s="169" t="str">
        <f t="shared" si="183"/>
        <v>Menor</v>
      </c>
      <c r="AE116" s="170">
        <v>0.4</v>
      </c>
      <c r="AF116" s="171" t="str">
        <f t="shared" si="185"/>
        <v>Bajo</v>
      </c>
      <c r="AG116" s="172" t="s">
        <v>122</v>
      </c>
      <c r="AH116" s="175" t="s">
        <v>518</v>
      </c>
      <c r="AI116" s="165" t="s">
        <v>204</v>
      </c>
      <c r="AJ116" s="166">
        <v>44564</v>
      </c>
      <c r="AK116" s="166" t="s">
        <v>374</v>
      </c>
      <c r="AL116" s="175" t="s">
        <v>415</v>
      </c>
      <c r="AM116" s="165"/>
    </row>
    <row r="117" spans="1:39" s="164" customFormat="1" ht="151.5" customHeight="1" x14ac:dyDescent="0.35">
      <c r="A117" s="325"/>
      <c r="B117" s="324"/>
      <c r="C117" s="356"/>
      <c r="D117" s="363"/>
      <c r="E117" s="339"/>
      <c r="F117" s="339"/>
      <c r="G117" s="339"/>
      <c r="H117" s="342"/>
      <c r="I117" s="339"/>
      <c r="J117" s="336"/>
      <c r="K117" s="328"/>
      <c r="L117" s="331"/>
      <c r="M117" s="351"/>
      <c r="N117" s="185"/>
      <c r="O117" s="328"/>
      <c r="P117" s="331"/>
      <c r="Q117" s="334"/>
      <c r="R117" s="179">
        <v>3</v>
      </c>
      <c r="S117" s="175"/>
      <c r="T117" s="176" t="str">
        <f t="shared" si="178"/>
        <v/>
      </c>
      <c r="U117" s="180"/>
      <c r="V117" s="180"/>
      <c r="W117" s="181"/>
      <c r="X117" s="180"/>
      <c r="Y117" s="180"/>
      <c r="Z117" s="180"/>
      <c r="AA117" s="155" t="str">
        <f>IFERROR(IF(T117="Probabilidad",(AA116-(+AA116*W117)),IF(T117="Impacto",L117,"")),"")</f>
        <v/>
      </c>
      <c r="AB117" s="169" t="str">
        <f t="shared" si="181"/>
        <v/>
      </c>
      <c r="AC117" s="170" t="str">
        <f t="shared" si="182"/>
        <v/>
      </c>
      <c r="AD117" s="169" t="str">
        <f t="shared" si="183"/>
        <v/>
      </c>
      <c r="AE117" s="170" t="str">
        <f t="shared" si="184"/>
        <v/>
      </c>
      <c r="AF117" s="171" t="str">
        <f t="shared" si="185"/>
        <v/>
      </c>
      <c r="AG117" s="172"/>
      <c r="AH117" s="175"/>
      <c r="AI117" s="165"/>
      <c r="AJ117" s="166"/>
      <c r="AK117" s="166"/>
      <c r="AL117" s="175"/>
      <c r="AM117" s="165"/>
    </row>
    <row r="118" spans="1:39" s="164" customFormat="1" ht="151.5" customHeight="1" x14ac:dyDescent="0.35">
      <c r="A118" s="325">
        <v>38</v>
      </c>
      <c r="B118" s="359" t="s">
        <v>318</v>
      </c>
      <c r="C118" s="355" t="s">
        <v>353</v>
      </c>
      <c r="D118" s="355" t="s">
        <v>416</v>
      </c>
      <c r="E118" s="338" t="s">
        <v>120</v>
      </c>
      <c r="F118" s="338" t="s">
        <v>472</v>
      </c>
      <c r="G118" s="338" t="s">
        <v>549</v>
      </c>
      <c r="H118" s="341" t="s">
        <v>561</v>
      </c>
      <c r="I118" s="338" t="s">
        <v>115</v>
      </c>
      <c r="J118" s="335">
        <v>3000</v>
      </c>
      <c r="K118" s="326" t="str">
        <f>IF(J118&lt;=0,"",IF(J118&lt;=2,"Muy Baja",IF(J118&lt;=24,"Baja",IF(J118&lt;=500,"Media",IF(J118&lt;=5000,"Alta","Muy Alta")))))</f>
        <v>Alta</v>
      </c>
      <c r="L118" s="329">
        <f>IF(K118="","",IF(K118="Muy Baja",0.2,IF(K118="Baja",0.4,IF(K118="Media",0.6,IF(K118="Alta",0.8,IF(K118="Muy Alta",1,))))))</f>
        <v>0.8</v>
      </c>
      <c r="M118" s="350" t="s">
        <v>486</v>
      </c>
      <c r="N118" s="178" t="str">
        <f>IF(NOT(ISERROR(MATCH(M118,'Tabla Impacto'!$B$221:$B$223,0))),'Tabla Impacto'!$F$223&amp;"Por favor no seleccionar los criterios de impacto(Afectación Económica o presupuestal y Pérdida Reputacional)",M118)</f>
        <v xml:space="preserve"> Entre 50 y 100 SMLMV </v>
      </c>
      <c r="O118" s="326"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29">
        <f>IF(O118="","",IF(O118="Leve",0.2,IF(O118="Menor",0.4,IF(O118="Moderado",0.6,IF(O118="Mayor",0.8,IF(O118="Catastrófico",1,))))))</f>
        <v>0.6</v>
      </c>
      <c r="Q118" s="332"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79">
        <v>1</v>
      </c>
      <c r="S118" s="175" t="s">
        <v>363</v>
      </c>
      <c r="T118" s="176" t="str">
        <f t="shared" si="178"/>
        <v>Probabilidad</v>
      </c>
      <c r="U118" s="180" t="s">
        <v>14</v>
      </c>
      <c r="V118" s="180" t="s">
        <v>9</v>
      </c>
      <c r="W118" s="181" t="str">
        <f t="shared" si="179"/>
        <v>40%</v>
      </c>
      <c r="X118" s="180" t="s">
        <v>19</v>
      </c>
      <c r="Y118" s="180" t="s">
        <v>22</v>
      </c>
      <c r="Z118" s="180" t="s">
        <v>110</v>
      </c>
      <c r="AA118" s="155">
        <f t="shared" si="180"/>
        <v>0.48</v>
      </c>
      <c r="AB118" s="169" t="str">
        <f t="shared" si="181"/>
        <v>Media</v>
      </c>
      <c r="AC118" s="170">
        <f t="shared" si="182"/>
        <v>0.48</v>
      </c>
      <c r="AD118" s="169" t="str">
        <f t="shared" si="183"/>
        <v>Moderado</v>
      </c>
      <c r="AE118" s="170">
        <f t="shared" si="184"/>
        <v>0.6</v>
      </c>
      <c r="AF118" s="171" t="str">
        <f t="shared" si="185"/>
        <v>Moderado</v>
      </c>
      <c r="AG118" s="172" t="s">
        <v>122</v>
      </c>
      <c r="AH118" s="175" t="s">
        <v>519</v>
      </c>
      <c r="AI118" s="165" t="s">
        <v>204</v>
      </c>
      <c r="AJ118" s="166">
        <v>44564</v>
      </c>
      <c r="AK118" s="166" t="s">
        <v>374</v>
      </c>
      <c r="AL118" s="175" t="s">
        <v>414</v>
      </c>
      <c r="AM118" s="165"/>
    </row>
    <row r="119" spans="1:39" s="164" customFormat="1" ht="151.5" customHeight="1" x14ac:dyDescent="0.35">
      <c r="A119" s="325"/>
      <c r="B119" s="360"/>
      <c r="C119" s="356"/>
      <c r="D119" s="363"/>
      <c r="E119" s="339"/>
      <c r="F119" s="339"/>
      <c r="G119" s="339"/>
      <c r="H119" s="342"/>
      <c r="I119" s="339"/>
      <c r="J119" s="336"/>
      <c r="K119" s="327"/>
      <c r="L119" s="330"/>
      <c r="M119" s="351"/>
      <c r="N119" s="185"/>
      <c r="O119" s="327"/>
      <c r="P119" s="330"/>
      <c r="Q119" s="333"/>
      <c r="R119" s="179">
        <v>2</v>
      </c>
      <c r="S119" s="175" t="s">
        <v>417</v>
      </c>
      <c r="T119" s="176" t="str">
        <f t="shared" si="178"/>
        <v>Probabilidad</v>
      </c>
      <c r="U119" s="180" t="s">
        <v>14</v>
      </c>
      <c r="V119" s="180" t="s">
        <v>9</v>
      </c>
      <c r="W119" s="181" t="str">
        <f t="shared" si="179"/>
        <v>40%</v>
      </c>
      <c r="X119" s="180" t="s">
        <v>19</v>
      </c>
      <c r="Y119" s="180" t="s">
        <v>22</v>
      </c>
      <c r="Z119" s="180" t="s">
        <v>110</v>
      </c>
      <c r="AA119" s="155">
        <f>IFERROR(IF(T119="Probabilidad",(AA118-(+AA118*W119)),IF(T119="Impacto",L119,"")),"")</f>
        <v>0.28799999999999998</v>
      </c>
      <c r="AB119" s="169" t="str">
        <f t="shared" si="181"/>
        <v>Baja</v>
      </c>
      <c r="AC119" s="170">
        <f t="shared" si="182"/>
        <v>0.28799999999999998</v>
      </c>
      <c r="AD119" s="169" t="str">
        <f t="shared" si="183"/>
        <v>Menor</v>
      </c>
      <c r="AE119" s="170">
        <v>0.4</v>
      </c>
      <c r="AF119" s="171" t="str">
        <f t="shared" si="185"/>
        <v>Moderado</v>
      </c>
      <c r="AG119" s="172" t="s">
        <v>122</v>
      </c>
      <c r="AH119" s="175" t="s">
        <v>519</v>
      </c>
      <c r="AI119" s="165" t="s">
        <v>204</v>
      </c>
      <c r="AJ119" s="166">
        <v>44564</v>
      </c>
      <c r="AK119" s="166" t="s">
        <v>374</v>
      </c>
      <c r="AL119" s="175" t="s">
        <v>414</v>
      </c>
      <c r="AM119" s="165"/>
    </row>
    <row r="120" spans="1:39" s="164" customFormat="1" ht="151.5" customHeight="1" x14ac:dyDescent="0.35">
      <c r="A120" s="325"/>
      <c r="B120" s="361"/>
      <c r="C120" s="356"/>
      <c r="D120" s="363"/>
      <c r="E120" s="339"/>
      <c r="F120" s="339"/>
      <c r="G120" s="339"/>
      <c r="H120" s="342"/>
      <c r="I120" s="339"/>
      <c r="J120" s="336"/>
      <c r="K120" s="328"/>
      <c r="L120" s="331"/>
      <c r="M120" s="351"/>
      <c r="N120" s="185"/>
      <c r="O120" s="328"/>
      <c r="P120" s="331"/>
      <c r="Q120" s="334"/>
      <c r="R120" s="179">
        <v>3</v>
      </c>
      <c r="S120" s="175" t="s">
        <v>364</v>
      </c>
      <c r="T120" s="176" t="str">
        <f t="shared" si="178"/>
        <v>Probabilidad</v>
      </c>
      <c r="U120" s="180" t="s">
        <v>14</v>
      </c>
      <c r="V120" s="180" t="s">
        <v>9</v>
      </c>
      <c r="W120" s="181" t="str">
        <f t="shared" si="179"/>
        <v>40%</v>
      </c>
      <c r="X120" s="180" t="s">
        <v>19</v>
      </c>
      <c r="Y120" s="180" t="s">
        <v>22</v>
      </c>
      <c r="Z120" s="180" t="s">
        <v>110</v>
      </c>
      <c r="AA120" s="155">
        <f>IFERROR(IF(T120="Probabilidad",(AA119-(+A119*W120)),IF(T120="Impacto",L120,"")),"")</f>
        <v>0.28799999999999998</v>
      </c>
      <c r="AB120" s="169" t="str">
        <f t="shared" si="181"/>
        <v>Baja</v>
      </c>
      <c r="AC120" s="170">
        <f t="shared" si="182"/>
        <v>0.28799999999999998</v>
      </c>
      <c r="AD120" s="169" t="str">
        <f t="shared" si="183"/>
        <v>Menor</v>
      </c>
      <c r="AE120" s="170">
        <v>0.4</v>
      </c>
      <c r="AF120" s="171" t="str">
        <f t="shared" si="185"/>
        <v>Moderado</v>
      </c>
      <c r="AG120" s="172" t="s">
        <v>122</v>
      </c>
      <c r="AH120" s="175" t="s">
        <v>519</v>
      </c>
      <c r="AI120" s="165" t="s">
        <v>204</v>
      </c>
      <c r="AJ120" s="166">
        <v>44564</v>
      </c>
      <c r="AK120" s="166" t="s">
        <v>374</v>
      </c>
      <c r="AL120" s="175" t="s">
        <v>414</v>
      </c>
      <c r="AM120" s="165"/>
    </row>
    <row r="121" spans="1:39" s="164" customFormat="1" ht="151.5" customHeight="1" x14ac:dyDescent="0.35">
      <c r="A121" s="325">
        <v>39</v>
      </c>
      <c r="B121" s="322" t="s">
        <v>418</v>
      </c>
      <c r="C121" s="362" t="s">
        <v>419</v>
      </c>
      <c r="D121" s="355" t="s">
        <v>420</v>
      </c>
      <c r="E121" s="338" t="s">
        <v>120</v>
      </c>
      <c r="F121" s="357" t="s">
        <v>499</v>
      </c>
      <c r="G121" s="357" t="s">
        <v>421</v>
      </c>
      <c r="H121" s="341" t="s">
        <v>500</v>
      </c>
      <c r="I121" s="338" t="s">
        <v>329</v>
      </c>
      <c r="J121" s="335">
        <v>49</v>
      </c>
      <c r="K121" s="326" t="str">
        <f>IF(J121&lt;=0,"",IF(J121&lt;=2,"Muy Baja",IF(J121&lt;=24,"Baja",IF(J121&lt;=500,"Media",IF(J121&lt;=5000,"Alta","Muy Alta")))))</f>
        <v>Media</v>
      </c>
      <c r="L121" s="329">
        <f>IF(K121="","",IF(K121="Muy Baja",0.2,IF(K121="Baja",0.4,IF(K121="Media",0.6,IF(K121="Alta",0.8,IF(K121="Muy Alta",1,))))))</f>
        <v>0.6</v>
      </c>
      <c r="M121" s="350" t="s">
        <v>487</v>
      </c>
      <c r="N121" s="178"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26"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29">
        <f>IF(O121="","",IF(O121="Leve",0.2,IF(O121="Menor",0.4,IF(O121="Moderado",0.6,IF(O121="Mayor",0.8,IF(O121="Catastrófico",1,))))))</f>
        <v>0.6</v>
      </c>
      <c r="Q121" s="332"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79">
        <v>1</v>
      </c>
      <c r="S121" s="187" t="s">
        <v>501</v>
      </c>
      <c r="T121" s="176" t="str">
        <f t="shared" si="178"/>
        <v>Probabilidad</v>
      </c>
      <c r="U121" s="180" t="s">
        <v>14</v>
      </c>
      <c r="V121" s="180" t="s">
        <v>9</v>
      </c>
      <c r="W121" s="181" t="str">
        <f t="shared" si="179"/>
        <v>40%</v>
      </c>
      <c r="X121" s="180" t="s">
        <v>19</v>
      </c>
      <c r="Y121" s="180" t="s">
        <v>22</v>
      </c>
      <c r="Z121" s="180" t="s">
        <v>110</v>
      </c>
      <c r="AA121" s="155">
        <f t="shared" si="180"/>
        <v>0.36</v>
      </c>
      <c r="AB121" s="169" t="str">
        <f t="shared" si="181"/>
        <v>Baja</v>
      </c>
      <c r="AC121" s="170">
        <f t="shared" si="182"/>
        <v>0.36</v>
      </c>
      <c r="AD121" s="169" t="str">
        <f t="shared" si="183"/>
        <v>Moderado</v>
      </c>
      <c r="AE121" s="170">
        <f t="shared" si="184"/>
        <v>0.6</v>
      </c>
      <c r="AF121" s="171" t="str">
        <f t="shared" si="185"/>
        <v>Moderado</v>
      </c>
      <c r="AG121" s="172" t="s">
        <v>122</v>
      </c>
      <c r="AH121" s="188" t="s">
        <v>423</v>
      </c>
      <c r="AI121" s="167" t="s">
        <v>422</v>
      </c>
      <c r="AJ121" s="166" t="s">
        <v>197</v>
      </c>
      <c r="AK121" s="166" t="s">
        <v>424</v>
      </c>
      <c r="AL121" s="173" t="s">
        <v>555</v>
      </c>
      <c r="AM121" s="165"/>
    </row>
    <row r="122" spans="1:39" s="164" customFormat="1" ht="151.5" customHeight="1" x14ac:dyDescent="0.35">
      <c r="A122" s="325"/>
      <c r="B122" s="323"/>
      <c r="C122" s="363"/>
      <c r="D122" s="363"/>
      <c r="E122" s="339"/>
      <c r="F122" s="339"/>
      <c r="G122" s="339"/>
      <c r="H122" s="342"/>
      <c r="I122" s="339"/>
      <c r="J122" s="336"/>
      <c r="K122" s="327"/>
      <c r="L122" s="330"/>
      <c r="M122" s="351"/>
      <c r="N122" s="185"/>
      <c r="O122" s="327"/>
      <c r="P122" s="330"/>
      <c r="Q122" s="333"/>
      <c r="R122" s="179">
        <v>2</v>
      </c>
      <c r="S122" s="189" t="s">
        <v>528</v>
      </c>
      <c r="T122" s="176" t="str">
        <f t="shared" si="178"/>
        <v>Probabilidad</v>
      </c>
      <c r="U122" s="180" t="s">
        <v>15</v>
      </c>
      <c r="V122" s="180" t="s">
        <v>9</v>
      </c>
      <c r="W122" s="181" t="str">
        <f t="shared" si="179"/>
        <v>30%</v>
      </c>
      <c r="X122" s="180" t="s">
        <v>19</v>
      </c>
      <c r="Y122" s="180" t="s">
        <v>23</v>
      </c>
      <c r="Z122" s="180" t="s">
        <v>110</v>
      </c>
      <c r="AA122" s="155">
        <f>IFERROR(IF(T122="Probabilidad",(AA121-(+AA121*W122)),IF(T122="Impacto",L122,"")),"")</f>
        <v>0.252</v>
      </c>
      <c r="AB122" s="169" t="str">
        <f t="shared" si="181"/>
        <v>Baja</v>
      </c>
      <c r="AC122" s="170">
        <f t="shared" si="182"/>
        <v>0.252</v>
      </c>
      <c r="AD122" s="169" t="str">
        <f t="shared" si="183"/>
        <v>Leve</v>
      </c>
      <c r="AE122" s="170">
        <f t="shared" si="184"/>
        <v>0</v>
      </c>
      <c r="AF122" s="171" t="str">
        <f t="shared" si="185"/>
        <v>Bajo</v>
      </c>
      <c r="AG122" s="172" t="s">
        <v>122</v>
      </c>
      <c r="AH122" s="222" t="s">
        <v>502</v>
      </c>
      <c r="AI122" s="190" t="s">
        <v>204</v>
      </c>
      <c r="AJ122" s="166" t="s">
        <v>197</v>
      </c>
      <c r="AK122" s="166" t="s">
        <v>197</v>
      </c>
      <c r="AL122" s="188" t="s">
        <v>425</v>
      </c>
      <c r="AM122" s="165"/>
    </row>
    <row r="123" spans="1:39" s="164" customFormat="1" ht="151.5" customHeight="1" x14ac:dyDescent="0.35">
      <c r="A123" s="325"/>
      <c r="B123" s="324"/>
      <c r="C123" s="363"/>
      <c r="D123" s="363"/>
      <c r="E123" s="339"/>
      <c r="F123" s="339"/>
      <c r="G123" s="339"/>
      <c r="H123" s="342"/>
      <c r="I123" s="339"/>
      <c r="J123" s="336"/>
      <c r="K123" s="328"/>
      <c r="L123" s="331"/>
      <c r="M123" s="351"/>
      <c r="N123" s="185"/>
      <c r="O123" s="328"/>
      <c r="P123" s="331"/>
      <c r="Q123" s="334"/>
      <c r="R123" s="179">
        <v>3</v>
      </c>
      <c r="S123" s="175"/>
      <c r="T123" s="176" t="str">
        <f t="shared" si="178"/>
        <v/>
      </c>
      <c r="U123" s="180"/>
      <c r="V123" s="180"/>
      <c r="W123" s="181"/>
      <c r="X123" s="180"/>
      <c r="Y123" s="180"/>
      <c r="Z123" s="180"/>
      <c r="AA123" s="155"/>
      <c r="AB123" s="169"/>
      <c r="AC123" s="170"/>
      <c r="AD123" s="169"/>
      <c r="AE123" s="170"/>
      <c r="AF123" s="171"/>
      <c r="AG123" s="172"/>
      <c r="AH123" s="175"/>
      <c r="AI123" s="165"/>
      <c r="AJ123" s="166"/>
      <c r="AK123" s="166"/>
      <c r="AL123" s="175"/>
      <c r="AM123" s="165"/>
    </row>
    <row r="124" spans="1:39" s="164" customFormat="1" ht="151.5" customHeight="1" x14ac:dyDescent="0.35">
      <c r="A124" s="325">
        <v>40</v>
      </c>
      <c r="B124" s="322" t="s">
        <v>418</v>
      </c>
      <c r="C124" s="362" t="s">
        <v>419</v>
      </c>
      <c r="D124" s="355" t="s">
        <v>420</v>
      </c>
      <c r="E124" s="338" t="s">
        <v>120</v>
      </c>
      <c r="F124" s="357" t="s">
        <v>503</v>
      </c>
      <c r="G124" s="357" t="s">
        <v>504</v>
      </c>
      <c r="H124" s="341" t="s">
        <v>505</v>
      </c>
      <c r="I124" s="338" t="s">
        <v>329</v>
      </c>
      <c r="J124" s="335">
        <v>60</v>
      </c>
      <c r="K124" s="326" t="str">
        <f>IF(J124&lt;=0,"",IF(J124&lt;=2,"Muy Baja",IF(J124&lt;=24,"Baja",IF(J124&lt;=500,"Media",IF(J124&lt;=5000,"Alta","Muy Alta")))))</f>
        <v>Media</v>
      </c>
      <c r="L124" s="329">
        <f>IF(K124="","",IF(K124="Muy Baja",0.2,IF(K124="Baja",0.4,IF(K124="Media",0.6,IF(K124="Alta",0.8,IF(K124="Muy Alta",1,))))))</f>
        <v>0.6</v>
      </c>
      <c r="M124" s="350" t="s">
        <v>487</v>
      </c>
      <c r="N124" s="178"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26"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29">
        <f>IF(O124="","",IF(O124="Leve",0.2,IF(O124="Menor",0.4,IF(O124="Moderado",0.6,IF(O124="Mayor",0.8,IF(O124="Catastrófico",1,))))))</f>
        <v>0.6</v>
      </c>
      <c r="Q124" s="332"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79">
        <v>1</v>
      </c>
      <c r="S124" s="175" t="s">
        <v>513</v>
      </c>
      <c r="T124" s="176" t="str">
        <f t="shared" ref="T124:T153" si="186">IF(OR(U124="Preventivo",U124="Detectivo"),"Probabilidad",IF(U124="Correctivo","Impacto",""))</f>
        <v>Probabilidad</v>
      </c>
      <c r="U124" s="180" t="s">
        <v>15</v>
      </c>
      <c r="V124" s="180" t="s">
        <v>9</v>
      </c>
      <c r="W124" s="181" t="str">
        <f t="shared" ref="W124:W153" si="187">IF(AND(U124="Preventivo",V124="Automático"),"50%",IF(AND(U124="Preventivo",V124="Manual"),"40%",IF(AND(U124="Detectivo",V124="Automático"),"40%",IF(AND(U124="Detectivo",V124="Manual"),"30%",IF(AND(U124="Correctivo",V124="Automático"),"35%",IF(AND(U124="Correctivo",V124="Manual"),"25%",""))))))</f>
        <v>30%</v>
      </c>
      <c r="X124" s="180" t="s">
        <v>20</v>
      </c>
      <c r="Y124" s="180" t="s">
        <v>23</v>
      </c>
      <c r="Z124" s="180" t="s">
        <v>111</v>
      </c>
      <c r="AA124" s="155">
        <f t="shared" ref="AA124:AA153" si="188">IFERROR(IF(T124="Probabilidad",(L124-(+L124*W124)),IF(T124="Impacto",L124,"")),"")</f>
        <v>0.42</v>
      </c>
      <c r="AB124" s="169" t="str">
        <f t="shared" ref="AB124:AB153" si="189">IFERROR(IF(AA124="","",IF(AA124&lt;=0.2,"Muy Baja",IF(AA124&lt;=0.4,"Baja",IF(AA124&lt;=0.6,"Media",IF(AA124&lt;=0.8,"Alta","Muy Alta"))))),"")</f>
        <v>Media</v>
      </c>
      <c r="AC124" s="170">
        <f t="shared" ref="AC124:AC153" si="190">+AA124</f>
        <v>0.42</v>
      </c>
      <c r="AD124" s="169" t="str">
        <f t="shared" ref="AD124:AD153" si="191">IFERROR(IF(AE124="","",IF(AE124&lt;=0.2,"Leve",IF(AE124&lt;=0.4,"Menor",IF(AE124&lt;=0.6,"Moderado",IF(AE124&lt;=0.8,"Mayor","Catastrófico"))))),"")</f>
        <v>Moderado</v>
      </c>
      <c r="AE124" s="170">
        <f t="shared" ref="AE124:AE153" si="192">IFERROR(IF(T124="Impacto",(P124-(+P124*W124)),IF(T124="Probabilidad",P124,"")),"")</f>
        <v>0.6</v>
      </c>
      <c r="AF124" s="171" t="str">
        <f t="shared" ref="AF124:AF153" si="193">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72" t="s">
        <v>122</v>
      </c>
      <c r="AH124" s="175" t="s">
        <v>506</v>
      </c>
      <c r="AI124" s="165" t="s">
        <v>422</v>
      </c>
      <c r="AJ124" s="166" t="s">
        <v>197</v>
      </c>
      <c r="AK124" s="166" t="s">
        <v>197</v>
      </c>
      <c r="AL124" s="175" t="s">
        <v>426</v>
      </c>
      <c r="AM124" s="165"/>
    </row>
    <row r="125" spans="1:39" s="164" customFormat="1" ht="151.5" customHeight="1" x14ac:dyDescent="0.35">
      <c r="A125" s="325"/>
      <c r="B125" s="323"/>
      <c r="C125" s="363"/>
      <c r="D125" s="363"/>
      <c r="E125" s="339"/>
      <c r="F125" s="339"/>
      <c r="G125" s="339"/>
      <c r="H125" s="342"/>
      <c r="I125" s="339"/>
      <c r="J125" s="336"/>
      <c r="K125" s="327"/>
      <c r="L125" s="330"/>
      <c r="M125" s="351"/>
      <c r="N125" s="185"/>
      <c r="O125" s="327"/>
      <c r="P125" s="330"/>
      <c r="Q125" s="333"/>
      <c r="R125" s="179">
        <v>2</v>
      </c>
      <c r="S125" s="175"/>
      <c r="T125" s="176" t="str">
        <f t="shared" si="186"/>
        <v/>
      </c>
      <c r="U125" s="180"/>
      <c r="V125" s="180"/>
      <c r="W125" s="181"/>
      <c r="X125" s="180"/>
      <c r="Y125" s="180"/>
      <c r="Z125" s="180"/>
      <c r="AA125" s="155" t="str">
        <f>IFERROR(IF(T125="Probabilidad",(AA124-(+AA124*W125)),IF(T125="Impacto",L125,"")),"")</f>
        <v/>
      </c>
      <c r="AB125" s="169" t="str">
        <f t="shared" si="189"/>
        <v/>
      </c>
      <c r="AC125" s="170" t="str">
        <f t="shared" si="190"/>
        <v/>
      </c>
      <c r="AD125" s="169" t="str">
        <f t="shared" si="191"/>
        <v/>
      </c>
      <c r="AE125" s="170" t="str">
        <f t="shared" si="192"/>
        <v/>
      </c>
      <c r="AF125" s="171" t="str">
        <f t="shared" si="193"/>
        <v/>
      </c>
      <c r="AG125" s="172"/>
      <c r="AH125" s="119" t="s">
        <v>562</v>
      </c>
      <c r="AI125" s="144" t="s">
        <v>529</v>
      </c>
      <c r="AJ125" s="143" t="s">
        <v>197</v>
      </c>
      <c r="AK125" s="143" t="s">
        <v>197</v>
      </c>
      <c r="AL125" s="119" t="s">
        <v>426</v>
      </c>
      <c r="AM125" s="165"/>
    </row>
    <row r="126" spans="1:39" s="164" customFormat="1" ht="151.5" customHeight="1" x14ac:dyDescent="0.35">
      <c r="A126" s="325"/>
      <c r="B126" s="324"/>
      <c r="C126" s="363"/>
      <c r="D126" s="363"/>
      <c r="E126" s="339"/>
      <c r="F126" s="339"/>
      <c r="G126" s="339"/>
      <c r="H126" s="342"/>
      <c r="I126" s="339"/>
      <c r="J126" s="336"/>
      <c r="K126" s="328"/>
      <c r="L126" s="331"/>
      <c r="M126" s="351"/>
      <c r="N126" s="185"/>
      <c r="O126" s="328"/>
      <c r="P126" s="331"/>
      <c r="Q126" s="334"/>
      <c r="R126" s="179">
        <v>3</v>
      </c>
      <c r="S126" s="175"/>
      <c r="T126" s="176" t="str">
        <f t="shared" si="186"/>
        <v/>
      </c>
      <c r="U126" s="180"/>
      <c r="V126" s="180"/>
      <c r="W126" s="181"/>
      <c r="X126" s="180"/>
      <c r="Y126" s="180"/>
      <c r="Z126" s="180"/>
      <c r="AA126" s="155" t="str">
        <f>IFERROR(IF(T126="Probabilidad",(AA125-(+AA125*W126)),IF(T126="Impacto",L126,"")),"")</f>
        <v/>
      </c>
      <c r="AB126" s="169" t="str">
        <f t="shared" si="189"/>
        <v/>
      </c>
      <c r="AC126" s="170" t="str">
        <f t="shared" si="190"/>
        <v/>
      </c>
      <c r="AD126" s="169" t="str">
        <f t="shared" si="191"/>
        <v/>
      </c>
      <c r="AE126" s="170" t="str">
        <f t="shared" si="192"/>
        <v/>
      </c>
      <c r="AF126" s="171" t="str">
        <f t="shared" si="193"/>
        <v/>
      </c>
      <c r="AG126" s="172"/>
      <c r="AH126" s="175"/>
      <c r="AI126" s="165"/>
      <c r="AJ126" s="166"/>
      <c r="AK126" s="166"/>
      <c r="AL126" s="175"/>
      <c r="AM126" s="165"/>
    </row>
    <row r="127" spans="1:39" s="164" customFormat="1" ht="151.5" customHeight="1" x14ac:dyDescent="0.35">
      <c r="A127" s="325">
        <v>41</v>
      </c>
      <c r="B127" s="322" t="s">
        <v>418</v>
      </c>
      <c r="C127" s="362" t="s">
        <v>419</v>
      </c>
      <c r="D127" s="355" t="s">
        <v>420</v>
      </c>
      <c r="E127" s="338" t="s">
        <v>120</v>
      </c>
      <c r="F127" s="357" t="s">
        <v>427</v>
      </c>
      <c r="G127" s="338" t="s">
        <v>496</v>
      </c>
      <c r="H127" s="364" t="s">
        <v>497</v>
      </c>
      <c r="I127" s="338" t="s">
        <v>116</v>
      </c>
      <c r="J127" s="335">
        <v>13</v>
      </c>
      <c r="K127" s="326" t="str">
        <f>IF(J127&lt;=0,"",IF(J127&lt;=2,"Muy Baja",IF(J127&lt;=24,"Baja",IF(J127&lt;=500,"Media",IF(J127&lt;=5000,"Alta","Muy Alta")))))</f>
        <v>Baja</v>
      </c>
      <c r="L127" s="329">
        <f>IF(K127="","",IF(K127="Muy Baja",0.2,IF(K127="Baja",0.4,IF(K127="Media",0.6,IF(K127="Alta",0.8,IF(K127="Muy Alta",1,))))))</f>
        <v>0.4</v>
      </c>
      <c r="M127" s="350" t="s">
        <v>487</v>
      </c>
      <c r="N127" s="178"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26"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29">
        <f>IF(O127="","",IF(O127="Leve",0.2,IF(O127="Menor",0.4,IF(O127="Moderado",0.6,IF(O127="Mayor",0.8,IF(O127="Catastrófico",1,))))))</f>
        <v>0.6</v>
      </c>
      <c r="Q127" s="332"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79">
        <v>1</v>
      </c>
      <c r="S127" s="191" t="s">
        <v>507</v>
      </c>
      <c r="T127" s="176" t="str">
        <f t="shared" si="186"/>
        <v>Probabilidad</v>
      </c>
      <c r="U127" s="180" t="s">
        <v>15</v>
      </c>
      <c r="V127" s="180" t="s">
        <v>9</v>
      </c>
      <c r="W127" s="181" t="str">
        <f t="shared" si="187"/>
        <v>30%</v>
      </c>
      <c r="X127" s="180" t="s">
        <v>20</v>
      </c>
      <c r="Y127" s="180" t="s">
        <v>22</v>
      </c>
      <c r="Z127" s="180" t="s">
        <v>110</v>
      </c>
      <c r="AA127" s="155">
        <f t="shared" si="188"/>
        <v>0.28000000000000003</v>
      </c>
      <c r="AB127" s="169" t="str">
        <f t="shared" si="189"/>
        <v>Baja</v>
      </c>
      <c r="AC127" s="170">
        <f t="shared" si="190"/>
        <v>0.28000000000000003</v>
      </c>
      <c r="AD127" s="169" t="str">
        <f t="shared" si="191"/>
        <v>Moderado</v>
      </c>
      <c r="AE127" s="170">
        <f t="shared" si="192"/>
        <v>0.6</v>
      </c>
      <c r="AF127" s="171" t="str">
        <f t="shared" si="193"/>
        <v>Moderado</v>
      </c>
      <c r="AG127" s="172" t="s">
        <v>122</v>
      </c>
      <c r="AH127" s="175" t="s">
        <v>508</v>
      </c>
      <c r="AI127" s="165" t="s">
        <v>213</v>
      </c>
      <c r="AJ127" s="166" t="s">
        <v>197</v>
      </c>
      <c r="AK127" s="166" t="s">
        <v>197</v>
      </c>
      <c r="AL127" s="175" t="s">
        <v>428</v>
      </c>
      <c r="AM127" s="165"/>
    </row>
    <row r="128" spans="1:39" s="164" customFormat="1" ht="151.5" customHeight="1" x14ac:dyDescent="0.35">
      <c r="A128" s="325"/>
      <c r="B128" s="323"/>
      <c r="C128" s="363"/>
      <c r="D128" s="363"/>
      <c r="E128" s="339"/>
      <c r="F128" s="339"/>
      <c r="G128" s="339"/>
      <c r="H128" s="342"/>
      <c r="I128" s="339"/>
      <c r="J128" s="336"/>
      <c r="K128" s="327"/>
      <c r="L128" s="330"/>
      <c r="M128" s="351"/>
      <c r="N128" s="185"/>
      <c r="O128" s="327"/>
      <c r="P128" s="330"/>
      <c r="Q128" s="333"/>
      <c r="R128" s="179">
        <v>2</v>
      </c>
      <c r="S128" s="175"/>
      <c r="T128" s="176" t="str">
        <f t="shared" si="186"/>
        <v/>
      </c>
      <c r="U128" s="180"/>
      <c r="V128" s="180"/>
      <c r="W128" s="181"/>
      <c r="X128" s="180"/>
      <c r="Y128" s="180"/>
      <c r="Z128" s="180"/>
      <c r="AA128" s="155" t="str">
        <f>IFERROR(IF(T128="Probabilidad",(AA127-(+AA127*W128)),IF(T128="Impacto",L128,"")),"")</f>
        <v/>
      </c>
      <c r="AB128" s="169" t="str">
        <f t="shared" si="189"/>
        <v/>
      </c>
      <c r="AC128" s="170" t="str">
        <f t="shared" si="190"/>
        <v/>
      </c>
      <c r="AD128" s="169" t="str">
        <f t="shared" si="191"/>
        <v/>
      </c>
      <c r="AE128" s="170" t="str">
        <f t="shared" si="192"/>
        <v/>
      </c>
      <c r="AF128" s="171" t="str">
        <f t="shared" si="193"/>
        <v/>
      </c>
      <c r="AG128" s="172"/>
      <c r="AH128" s="175"/>
      <c r="AI128" s="165"/>
      <c r="AJ128" s="166"/>
      <c r="AK128" s="166"/>
      <c r="AL128" s="175"/>
      <c r="AM128" s="165"/>
    </row>
    <row r="129" spans="1:39" s="164" customFormat="1" ht="151.5" customHeight="1" x14ac:dyDescent="0.35">
      <c r="A129" s="325"/>
      <c r="B129" s="324"/>
      <c r="C129" s="363"/>
      <c r="D129" s="363"/>
      <c r="E129" s="339"/>
      <c r="F129" s="339"/>
      <c r="G129" s="339"/>
      <c r="H129" s="342"/>
      <c r="I129" s="339"/>
      <c r="J129" s="336"/>
      <c r="K129" s="328"/>
      <c r="L129" s="331"/>
      <c r="M129" s="351"/>
      <c r="N129" s="185"/>
      <c r="O129" s="328"/>
      <c r="P129" s="331"/>
      <c r="Q129" s="334"/>
      <c r="R129" s="179">
        <v>3</v>
      </c>
      <c r="S129" s="175"/>
      <c r="T129" s="176" t="str">
        <f t="shared" si="186"/>
        <v/>
      </c>
      <c r="U129" s="180"/>
      <c r="V129" s="180"/>
      <c r="W129" s="181"/>
      <c r="X129" s="180"/>
      <c r="Y129" s="180"/>
      <c r="Z129" s="180"/>
      <c r="AA129" s="155" t="str">
        <f>IFERROR(IF(T129="Probabilidad",(AA128-(+AA128*W129)),IF(T129="Impacto",L129,"")),"")</f>
        <v/>
      </c>
      <c r="AB129" s="169" t="str">
        <f t="shared" si="189"/>
        <v/>
      </c>
      <c r="AC129" s="170" t="str">
        <f t="shared" si="190"/>
        <v/>
      </c>
      <c r="AD129" s="169" t="str">
        <f t="shared" si="191"/>
        <v/>
      </c>
      <c r="AE129" s="170" t="str">
        <f t="shared" si="192"/>
        <v/>
      </c>
      <c r="AF129" s="171" t="str">
        <f t="shared" si="193"/>
        <v/>
      </c>
      <c r="AG129" s="172"/>
      <c r="AH129" s="175"/>
      <c r="AI129" s="165"/>
      <c r="AJ129" s="166"/>
      <c r="AK129" s="166"/>
      <c r="AL129" s="175"/>
      <c r="AM129" s="165"/>
    </row>
    <row r="130" spans="1:39" s="164" customFormat="1" ht="151.5" customHeight="1" x14ac:dyDescent="0.35">
      <c r="A130" s="325">
        <v>42</v>
      </c>
      <c r="B130" s="322" t="s">
        <v>319</v>
      </c>
      <c r="C130" s="355" t="s">
        <v>320</v>
      </c>
      <c r="D130" s="355" t="s">
        <v>321</v>
      </c>
      <c r="E130" s="338" t="s">
        <v>120</v>
      </c>
      <c r="F130" s="357" t="s">
        <v>475</v>
      </c>
      <c r="G130" s="338" t="s">
        <v>429</v>
      </c>
      <c r="H130" s="341" t="s">
        <v>430</v>
      </c>
      <c r="I130" s="338" t="s">
        <v>115</v>
      </c>
      <c r="J130" s="335">
        <v>53</v>
      </c>
      <c r="K130" s="326" t="str">
        <f>IF(J130&lt;=0,"",IF(J130&lt;=2,"Muy Baja",IF(J130&lt;=24,"Baja",IF(J130&lt;=500,"Media",IF(J130&lt;=5000,"Alta","Muy Alta")))))</f>
        <v>Media</v>
      </c>
      <c r="L130" s="329">
        <f>IF(K130="","",IF(K130="Muy Baja",0.2,IF(K130="Baja",0.4,IF(K130="Media",0.6,IF(K130="Alta",0.8,IF(K130="Muy Alta",1,))))))</f>
        <v>0.6</v>
      </c>
      <c r="M130" s="350" t="s">
        <v>494</v>
      </c>
      <c r="N130" s="178"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26"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29">
        <f>IF(O130="","",IF(O130="Leve",0.2,IF(O130="Menor",0.4,IF(O130="Moderado",0.6,IF(O130="Mayor",0.8,IF(O130="Catastrófico",1,))))))</f>
        <v>0.8</v>
      </c>
      <c r="Q130" s="332"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79">
        <v>1</v>
      </c>
      <c r="S130" s="175" t="s">
        <v>476</v>
      </c>
      <c r="T130" s="176" t="str">
        <f t="shared" si="186"/>
        <v>Probabilidad</v>
      </c>
      <c r="U130" s="180" t="s">
        <v>15</v>
      </c>
      <c r="V130" s="180" t="s">
        <v>9</v>
      </c>
      <c r="W130" s="181" t="str">
        <f t="shared" si="187"/>
        <v>30%</v>
      </c>
      <c r="X130" s="180" t="s">
        <v>19</v>
      </c>
      <c r="Y130" s="180" t="s">
        <v>22</v>
      </c>
      <c r="Z130" s="180" t="s">
        <v>110</v>
      </c>
      <c r="AA130" s="155">
        <f t="shared" si="188"/>
        <v>0.42</v>
      </c>
      <c r="AB130" s="169" t="str">
        <f t="shared" si="189"/>
        <v>Media</v>
      </c>
      <c r="AC130" s="170">
        <f t="shared" si="190"/>
        <v>0.42</v>
      </c>
      <c r="AD130" s="169" t="str">
        <f t="shared" si="191"/>
        <v>Mayor</v>
      </c>
      <c r="AE130" s="170">
        <f t="shared" si="192"/>
        <v>0.8</v>
      </c>
      <c r="AF130" s="171" t="str">
        <f t="shared" si="193"/>
        <v>Alto</v>
      </c>
      <c r="AG130" s="172" t="s">
        <v>122</v>
      </c>
      <c r="AH130" s="175" t="s">
        <v>478</v>
      </c>
      <c r="AI130" s="167" t="s">
        <v>261</v>
      </c>
      <c r="AJ130" s="166">
        <v>44562</v>
      </c>
      <c r="AK130" s="166" t="s">
        <v>374</v>
      </c>
      <c r="AL130" s="175" t="s">
        <v>477</v>
      </c>
      <c r="AM130" s="165"/>
    </row>
    <row r="131" spans="1:39" s="164" customFormat="1" ht="151.5" customHeight="1" x14ac:dyDescent="0.35">
      <c r="A131" s="325"/>
      <c r="B131" s="323"/>
      <c r="C131" s="356"/>
      <c r="D131" s="356"/>
      <c r="E131" s="339"/>
      <c r="F131" s="339"/>
      <c r="G131" s="339"/>
      <c r="H131" s="342"/>
      <c r="I131" s="339"/>
      <c r="J131" s="336"/>
      <c r="K131" s="327"/>
      <c r="L131" s="330"/>
      <c r="M131" s="351"/>
      <c r="N131" s="185"/>
      <c r="O131" s="327"/>
      <c r="P131" s="330"/>
      <c r="Q131" s="333"/>
      <c r="R131" s="179">
        <v>2</v>
      </c>
      <c r="S131" s="175" t="s">
        <v>509</v>
      </c>
      <c r="T131" s="176" t="str">
        <f t="shared" si="186"/>
        <v>Probabilidad</v>
      </c>
      <c r="U131" s="180" t="s">
        <v>14</v>
      </c>
      <c r="V131" s="180" t="s">
        <v>9</v>
      </c>
      <c r="W131" s="181" t="str">
        <f t="shared" si="187"/>
        <v>40%</v>
      </c>
      <c r="X131" s="180" t="s">
        <v>19</v>
      </c>
      <c r="Y131" s="180" t="s">
        <v>22</v>
      </c>
      <c r="Z131" s="180" t="s">
        <v>110</v>
      </c>
      <c r="AA131" s="155">
        <f>IFERROR(IF(T131="Probabilidad",(AA130-(+AA130*W131)),IF(T131="Impacto",L131,"")),"")</f>
        <v>0.252</v>
      </c>
      <c r="AB131" s="169" t="str">
        <f t="shared" si="189"/>
        <v>Baja</v>
      </c>
      <c r="AC131" s="170">
        <f t="shared" si="190"/>
        <v>0.252</v>
      </c>
      <c r="AD131" s="169" t="str">
        <f t="shared" si="191"/>
        <v>Mayor</v>
      </c>
      <c r="AE131" s="170">
        <v>0.8</v>
      </c>
      <c r="AF131" s="171" t="str">
        <f t="shared" si="193"/>
        <v>Alto</v>
      </c>
      <c r="AG131" s="172" t="s">
        <v>122</v>
      </c>
      <c r="AH131" s="175" t="s">
        <v>510</v>
      </c>
      <c r="AI131" s="165" t="s">
        <v>204</v>
      </c>
      <c r="AJ131" s="166">
        <v>44562</v>
      </c>
      <c r="AK131" s="166" t="s">
        <v>374</v>
      </c>
      <c r="AL131" s="175" t="s">
        <v>477</v>
      </c>
      <c r="AM131" s="165"/>
    </row>
    <row r="132" spans="1:39" s="164" customFormat="1" ht="151.5" customHeight="1" x14ac:dyDescent="0.35">
      <c r="A132" s="325"/>
      <c r="B132" s="324"/>
      <c r="C132" s="356"/>
      <c r="D132" s="356"/>
      <c r="E132" s="339"/>
      <c r="F132" s="339"/>
      <c r="G132" s="339"/>
      <c r="H132" s="342"/>
      <c r="I132" s="339"/>
      <c r="J132" s="336"/>
      <c r="K132" s="328"/>
      <c r="L132" s="331"/>
      <c r="M132" s="351"/>
      <c r="N132" s="185"/>
      <c r="O132" s="328"/>
      <c r="P132" s="331"/>
      <c r="Q132" s="334"/>
      <c r="R132" s="179">
        <v>3</v>
      </c>
      <c r="S132" s="175" t="s">
        <v>324</v>
      </c>
      <c r="T132" s="176" t="str">
        <f t="shared" si="186"/>
        <v>Probabilidad</v>
      </c>
      <c r="U132" s="180" t="s">
        <v>14</v>
      </c>
      <c r="V132" s="180" t="s">
        <v>9</v>
      </c>
      <c r="W132" s="181" t="str">
        <f t="shared" si="187"/>
        <v>40%</v>
      </c>
      <c r="X132" s="180" t="s">
        <v>19</v>
      </c>
      <c r="Y132" s="180" t="s">
        <v>22</v>
      </c>
      <c r="Z132" s="180" t="s">
        <v>110</v>
      </c>
      <c r="AA132" s="155">
        <f>IFERROR(IF(T132="Probabilidad",(AA131-(+AA131*W132)),IF(T132="Impacto",L132,"")),"")</f>
        <v>0.1512</v>
      </c>
      <c r="AB132" s="169" t="str">
        <f t="shared" si="189"/>
        <v>Muy Baja</v>
      </c>
      <c r="AC132" s="170">
        <f t="shared" si="190"/>
        <v>0.1512</v>
      </c>
      <c r="AD132" s="169" t="str">
        <f t="shared" si="191"/>
        <v>Mayor</v>
      </c>
      <c r="AE132" s="170">
        <v>0.8</v>
      </c>
      <c r="AF132" s="171" t="str">
        <f t="shared" si="193"/>
        <v>Alto</v>
      </c>
      <c r="AG132" s="172" t="s">
        <v>122</v>
      </c>
      <c r="AH132" s="175" t="s">
        <v>510</v>
      </c>
      <c r="AI132" s="165" t="s">
        <v>204</v>
      </c>
      <c r="AJ132" s="166">
        <v>44562</v>
      </c>
      <c r="AK132" s="166" t="s">
        <v>374</v>
      </c>
      <c r="AL132" s="175" t="s">
        <v>477</v>
      </c>
      <c r="AM132" s="165"/>
    </row>
    <row r="133" spans="1:39" s="164" customFormat="1" ht="151.5" customHeight="1" x14ac:dyDescent="0.35">
      <c r="A133" s="325">
        <v>43</v>
      </c>
      <c r="B133" s="322" t="s">
        <v>319</v>
      </c>
      <c r="C133" s="355" t="s">
        <v>320</v>
      </c>
      <c r="D133" s="355" t="s">
        <v>321</v>
      </c>
      <c r="E133" s="338" t="s">
        <v>120</v>
      </c>
      <c r="F133" s="357" t="s">
        <v>325</v>
      </c>
      <c r="G133" s="357" t="s">
        <v>432</v>
      </c>
      <c r="H133" s="341" t="s">
        <v>349</v>
      </c>
      <c r="I133" s="338" t="s">
        <v>329</v>
      </c>
      <c r="J133" s="335">
        <v>56</v>
      </c>
      <c r="K133" s="326" t="str">
        <f>IF(J133&lt;=0,"",IF(J133&lt;=2,"Muy Baja",IF(J133&lt;=24,"Baja",IF(J133&lt;=500,"Media",IF(J133&lt;=5000,"Alta","Muy Alta")))))</f>
        <v>Media</v>
      </c>
      <c r="L133" s="329">
        <f>IF(K133="","",IF(K133="Muy Baja",0.2,IF(K133="Baja",0.4,IF(K133="Media",0.6,IF(K133="Alta",0.8,IF(K133="Muy Alta",1,))))))</f>
        <v>0.6</v>
      </c>
      <c r="M133" s="350" t="s">
        <v>487</v>
      </c>
      <c r="N133" s="178"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26"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29">
        <f>IF(O133="","",IF(O133="Leve",0.2,IF(O133="Menor",0.4,IF(O133="Moderado",0.6,IF(O133="Mayor",0.8,IF(O133="Catastrófico",1,))))))</f>
        <v>0.6</v>
      </c>
      <c r="Q133" s="332"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79">
        <v>1</v>
      </c>
      <c r="S133" s="175" t="s">
        <v>322</v>
      </c>
      <c r="T133" s="176" t="str">
        <f t="shared" si="186"/>
        <v>Probabilidad</v>
      </c>
      <c r="U133" s="180" t="s">
        <v>15</v>
      </c>
      <c r="V133" s="180" t="s">
        <v>9</v>
      </c>
      <c r="W133" s="181" t="str">
        <f t="shared" si="187"/>
        <v>30%</v>
      </c>
      <c r="X133" s="180" t="s">
        <v>20</v>
      </c>
      <c r="Y133" s="180" t="s">
        <v>23</v>
      </c>
      <c r="Z133" s="180" t="s">
        <v>111</v>
      </c>
      <c r="AA133" s="155">
        <f t="shared" si="188"/>
        <v>0.42</v>
      </c>
      <c r="AB133" s="169" t="str">
        <f t="shared" si="189"/>
        <v>Media</v>
      </c>
      <c r="AC133" s="170">
        <f t="shared" si="190"/>
        <v>0.42</v>
      </c>
      <c r="AD133" s="169" t="str">
        <f t="shared" si="191"/>
        <v>Moderado</v>
      </c>
      <c r="AE133" s="170">
        <f t="shared" si="192"/>
        <v>0.6</v>
      </c>
      <c r="AF133" s="171" t="str">
        <f t="shared" si="193"/>
        <v>Moderado</v>
      </c>
      <c r="AG133" s="172" t="s">
        <v>122</v>
      </c>
      <c r="AH133" s="175" t="s">
        <v>326</v>
      </c>
      <c r="AI133" s="167" t="s">
        <v>213</v>
      </c>
      <c r="AJ133" s="166">
        <v>44562</v>
      </c>
      <c r="AK133" s="166" t="s">
        <v>374</v>
      </c>
      <c r="AL133" s="175" t="s">
        <v>479</v>
      </c>
      <c r="AM133" s="165"/>
    </row>
    <row r="134" spans="1:39" s="164" customFormat="1" ht="151.5" customHeight="1" x14ac:dyDescent="0.35">
      <c r="A134" s="325"/>
      <c r="B134" s="323"/>
      <c r="C134" s="356"/>
      <c r="D134" s="356"/>
      <c r="E134" s="339"/>
      <c r="F134" s="339"/>
      <c r="G134" s="339"/>
      <c r="H134" s="342"/>
      <c r="I134" s="339"/>
      <c r="J134" s="336"/>
      <c r="K134" s="327"/>
      <c r="L134" s="330"/>
      <c r="M134" s="351"/>
      <c r="N134" s="185"/>
      <c r="O134" s="327"/>
      <c r="P134" s="330"/>
      <c r="Q134" s="333"/>
      <c r="R134" s="179">
        <v>2</v>
      </c>
      <c r="S134" s="175" t="s">
        <v>323</v>
      </c>
      <c r="T134" s="176" t="str">
        <f t="shared" si="186"/>
        <v>Probabilidad</v>
      </c>
      <c r="U134" s="180" t="s">
        <v>15</v>
      </c>
      <c r="V134" s="180" t="s">
        <v>9</v>
      </c>
      <c r="W134" s="181" t="str">
        <f t="shared" si="187"/>
        <v>30%</v>
      </c>
      <c r="X134" s="180" t="s">
        <v>20</v>
      </c>
      <c r="Y134" s="180" t="s">
        <v>23</v>
      </c>
      <c r="Z134" s="180" t="s">
        <v>111</v>
      </c>
      <c r="AA134" s="155">
        <f>IFERROR(IF(T134="Probabilidad",(AA133-(+AA133*W134)),IF(T134="Impacto",L134,"")),"")</f>
        <v>0.29399999999999998</v>
      </c>
      <c r="AB134" s="169" t="str">
        <f t="shared" si="189"/>
        <v>Baja</v>
      </c>
      <c r="AC134" s="170">
        <f t="shared" si="190"/>
        <v>0.29399999999999998</v>
      </c>
      <c r="AD134" s="169" t="str">
        <f t="shared" si="191"/>
        <v>Moderado</v>
      </c>
      <c r="AE134" s="170">
        <v>0.6</v>
      </c>
      <c r="AF134" s="171" t="str">
        <f t="shared" si="193"/>
        <v>Moderado</v>
      </c>
      <c r="AG134" s="172" t="s">
        <v>122</v>
      </c>
      <c r="AH134" s="175" t="s">
        <v>510</v>
      </c>
      <c r="AI134" s="165" t="s">
        <v>204</v>
      </c>
      <c r="AJ134" s="166">
        <v>44562</v>
      </c>
      <c r="AK134" s="166" t="s">
        <v>374</v>
      </c>
      <c r="AL134" s="175" t="s">
        <v>479</v>
      </c>
      <c r="AM134" s="165"/>
    </row>
    <row r="135" spans="1:39" s="164" customFormat="1" ht="151.5" customHeight="1" x14ac:dyDescent="0.35">
      <c r="A135" s="325"/>
      <c r="B135" s="324"/>
      <c r="C135" s="356"/>
      <c r="D135" s="356"/>
      <c r="E135" s="339"/>
      <c r="F135" s="339"/>
      <c r="G135" s="339"/>
      <c r="H135" s="342"/>
      <c r="I135" s="339"/>
      <c r="J135" s="336"/>
      <c r="K135" s="328"/>
      <c r="L135" s="331"/>
      <c r="M135" s="351"/>
      <c r="N135" s="185"/>
      <c r="O135" s="328"/>
      <c r="P135" s="331"/>
      <c r="Q135" s="334"/>
      <c r="R135" s="179">
        <v>3</v>
      </c>
      <c r="S135" s="175" t="s">
        <v>324</v>
      </c>
      <c r="T135" s="176" t="str">
        <f t="shared" si="186"/>
        <v>Probabilidad</v>
      </c>
      <c r="U135" s="180" t="s">
        <v>15</v>
      </c>
      <c r="V135" s="180" t="s">
        <v>9</v>
      </c>
      <c r="W135" s="181" t="str">
        <f t="shared" si="187"/>
        <v>30%</v>
      </c>
      <c r="X135" s="180" t="s">
        <v>20</v>
      </c>
      <c r="Y135" s="180" t="s">
        <v>23</v>
      </c>
      <c r="Z135" s="180" t="s">
        <v>111</v>
      </c>
      <c r="AA135" s="155">
        <f>IFERROR(IF(T135="Probabilidad",(AA134-(+AA134*W135)),IF(T135="Impacto",L135,"")),"")</f>
        <v>0.20579999999999998</v>
      </c>
      <c r="AB135" s="169" t="str">
        <f t="shared" si="189"/>
        <v>Baja</v>
      </c>
      <c r="AC135" s="170">
        <f t="shared" si="190"/>
        <v>0.20579999999999998</v>
      </c>
      <c r="AD135" s="169" t="str">
        <f t="shared" si="191"/>
        <v>Moderado</v>
      </c>
      <c r="AE135" s="170">
        <v>0.6</v>
      </c>
      <c r="AF135" s="171" t="str">
        <f t="shared" si="193"/>
        <v>Moderado</v>
      </c>
      <c r="AG135" s="172" t="s">
        <v>122</v>
      </c>
      <c r="AH135" s="175" t="s">
        <v>480</v>
      </c>
      <c r="AI135" s="165" t="s">
        <v>213</v>
      </c>
      <c r="AJ135" s="166">
        <v>44562</v>
      </c>
      <c r="AK135" s="166" t="s">
        <v>374</v>
      </c>
      <c r="AL135" s="175" t="s">
        <v>479</v>
      </c>
      <c r="AM135" s="165"/>
    </row>
    <row r="136" spans="1:39" s="164" customFormat="1" ht="151.5" customHeight="1" x14ac:dyDescent="0.35">
      <c r="A136" s="325">
        <v>44</v>
      </c>
      <c r="B136" s="359" t="s">
        <v>319</v>
      </c>
      <c r="C136" s="355" t="s">
        <v>320</v>
      </c>
      <c r="D136" s="355" t="s">
        <v>321</v>
      </c>
      <c r="E136" s="338" t="s">
        <v>120</v>
      </c>
      <c r="F136" s="338" t="s">
        <v>431</v>
      </c>
      <c r="G136" s="338" t="s">
        <v>433</v>
      </c>
      <c r="H136" s="341" t="s">
        <v>553</v>
      </c>
      <c r="I136" s="338" t="s">
        <v>115</v>
      </c>
      <c r="J136" s="335">
        <v>56</v>
      </c>
      <c r="K136" s="326" t="str">
        <f>IF(J136&lt;=0,"",IF(J136&lt;=2,"Muy Baja",IF(J136&lt;=24,"Baja",IF(J136&lt;=500,"Media",IF(J136&lt;=5000,"Alta","Muy Alta")))))</f>
        <v>Media</v>
      </c>
      <c r="L136" s="329">
        <f>IF(K136="","",IF(K136="Muy Baja",0.2,IF(K136="Baja",0.4,IF(K136="Media",0.6,IF(K136="Alta",0.8,IF(K136="Muy Alta",1,))))))</f>
        <v>0.6</v>
      </c>
      <c r="M136" s="350" t="s">
        <v>494</v>
      </c>
      <c r="N136" s="178"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58"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329">
        <f>IF(O136="","",IF(O136="Leve",0.2,IF(O136="Menor",0.4,IF(O136="Moderado",0.6,IF(O136="Mayor",0.8,IF(O136="Catastrófico",1,))))))</f>
        <v>0.8</v>
      </c>
      <c r="Q136" s="332"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79">
        <v>1</v>
      </c>
      <c r="S136" s="175" t="s">
        <v>554</v>
      </c>
      <c r="T136" s="176" t="str">
        <f t="shared" si="186"/>
        <v>Probabilidad</v>
      </c>
      <c r="U136" s="180" t="s">
        <v>15</v>
      </c>
      <c r="V136" s="180" t="s">
        <v>9</v>
      </c>
      <c r="W136" s="181" t="str">
        <f t="shared" si="187"/>
        <v>30%</v>
      </c>
      <c r="X136" s="180" t="s">
        <v>20</v>
      </c>
      <c r="Y136" s="180" t="s">
        <v>23</v>
      </c>
      <c r="Z136" s="180" t="s">
        <v>111</v>
      </c>
      <c r="AA136" s="155">
        <f t="shared" si="188"/>
        <v>0.42</v>
      </c>
      <c r="AB136" s="169" t="str">
        <f t="shared" si="189"/>
        <v>Media</v>
      </c>
      <c r="AC136" s="170">
        <f t="shared" si="190"/>
        <v>0.42</v>
      </c>
      <c r="AD136" s="169" t="str">
        <f t="shared" si="191"/>
        <v>Mayor</v>
      </c>
      <c r="AE136" s="170">
        <f t="shared" si="192"/>
        <v>0.8</v>
      </c>
      <c r="AF136" s="171" t="str">
        <f t="shared" si="193"/>
        <v>Alto</v>
      </c>
      <c r="AG136" s="172" t="s">
        <v>122</v>
      </c>
      <c r="AH136" s="192" t="s">
        <v>481</v>
      </c>
      <c r="AI136" s="165" t="s">
        <v>199</v>
      </c>
      <c r="AJ136" s="166">
        <v>44562</v>
      </c>
      <c r="AK136" s="166" t="s">
        <v>374</v>
      </c>
      <c r="AL136" s="192" t="s">
        <v>482</v>
      </c>
      <c r="AM136" s="165"/>
    </row>
    <row r="137" spans="1:39" s="164" customFormat="1" ht="151.5" customHeight="1" x14ac:dyDescent="0.35">
      <c r="A137" s="325"/>
      <c r="B137" s="360"/>
      <c r="C137" s="356"/>
      <c r="D137" s="356"/>
      <c r="E137" s="339"/>
      <c r="F137" s="339"/>
      <c r="G137" s="339"/>
      <c r="H137" s="342"/>
      <c r="I137" s="339"/>
      <c r="J137" s="336"/>
      <c r="K137" s="327"/>
      <c r="L137" s="330"/>
      <c r="M137" s="351"/>
      <c r="N137" s="185"/>
      <c r="O137" s="327"/>
      <c r="P137" s="330"/>
      <c r="Q137" s="333"/>
      <c r="R137" s="179">
        <v>2</v>
      </c>
      <c r="S137" s="175"/>
      <c r="T137" s="159"/>
      <c r="U137" s="147"/>
      <c r="V137" s="147"/>
      <c r="W137" s="148"/>
      <c r="X137" s="147"/>
      <c r="Y137" s="147"/>
      <c r="Z137" s="147"/>
      <c r="AA137" s="149"/>
      <c r="AB137" s="135"/>
      <c r="AC137" s="150"/>
      <c r="AD137" s="135"/>
      <c r="AE137" s="150"/>
      <c r="AF137" s="151"/>
      <c r="AG137" s="152"/>
      <c r="AH137" s="175" t="s">
        <v>327</v>
      </c>
      <c r="AI137" s="165" t="s">
        <v>204</v>
      </c>
      <c r="AJ137" s="166">
        <v>44562</v>
      </c>
      <c r="AK137" s="166" t="s">
        <v>374</v>
      </c>
      <c r="AL137" s="192" t="s">
        <v>482</v>
      </c>
      <c r="AM137" s="165"/>
    </row>
    <row r="138" spans="1:39" s="164" customFormat="1" ht="151.5" customHeight="1" x14ac:dyDescent="0.35">
      <c r="A138" s="325"/>
      <c r="B138" s="361"/>
      <c r="C138" s="356"/>
      <c r="D138" s="356"/>
      <c r="E138" s="339"/>
      <c r="F138" s="339"/>
      <c r="G138" s="339"/>
      <c r="H138" s="342"/>
      <c r="I138" s="339"/>
      <c r="J138" s="336"/>
      <c r="K138" s="328"/>
      <c r="L138" s="331"/>
      <c r="M138" s="351"/>
      <c r="N138" s="185"/>
      <c r="O138" s="328"/>
      <c r="P138" s="331"/>
      <c r="Q138" s="334"/>
      <c r="R138" s="179">
        <v>3</v>
      </c>
      <c r="S138" s="175"/>
      <c r="T138" s="159"/>
      <c r="U138" s="147"/>
      <c r="V138" s="147"/>
      <c r="W138" s="148"/>
      <c r="X138" s="147"/>
      <c r="Y138" s="147"/>
      <c r="Z138" s="147"/>
      <c r="AA138" s="149"/>
      <c r="AB138" s="135"/>
      <c r="AC138" s="150"/>
      <c r="AD138" s="135"/>
      <c r="AE138" s="150"/>
      <c r="AF138" s="151"/>
      <c r="AG138" s="152"/>
      <c r="AH138" s="192" t="s">
        <v>511</v>
      </c>
      <c r="AI138" s="165" t="s">
        <v>204</v>
      </c>
      <c r="AJ138" s="166">
        <v>44562</v>
      </c>
      <c r="AK138" s="166" t="s">
        <v>374</v>
      </c>
      <c r="AL138" s="192" t="s">
        <v>482</v>
      </c>
      <c r="AM138" s="165"/>
    </row>
    <row r="139" spans="1:39" s="164" customFormat="1" ht="151.5" customHeight="1" x14ac:dyDescent="0.35">
      <c r="A139" s="325">
        <v>45</v>
      </c>
      <c r="B139" s="322" t="s">
        <v>575</v>
      </c>
      <c r="C139" s="322" t="s">
        <v>574</v>
      </c>
      <c r="D139" s="322" t="s">
        <v>576</v>
      </c>
      <c r="E139" s="338" t="s">
        <v>118</v>
      </c>
      <c r="F139" s="338" t="s">
        <v>580</v>
      </c>
      <c r="G139" s="338" t="s">
        <v>579</v>
      </c>
      <c r="H139" s="341" t="s">
        <v>571</v>
      </c>
      <c r="I139" s="338" t="s">
        <v>115</v>
      </c>
      <c r="J139" s="335">
        <v>10</v>
      </c>
      <c r="K139" s="326" t="str">
        <f>IF(J139&lt;=0,"",IF(J139&lt;=2,"Muy Baja",IF(J139&lt;=24,"Baja",IF(J139&lt;=500,"Media",IF(J139&lt;=5000,"Alta","Muy Alta")))))</f>
        <v>Baja</v>
      </c>
      <c r="L139" s="329">
        <f>IF(K139="","",IF(K139="Muy Baja",0.2,IF(K139="Baja",0.4,IF(K139="Media",0.6,IF(K139="Alta",0.8,IF(K139="Muy Alta",1,))))))</f>
        <v>0.4</v>
      </c>
      <c r="M139" s="350" t="s">
        <v>494</v>
      </c>
      <c r="N139" s="178" t="str">
        <f>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326" t="str">
        <f>IF(OR(N139='Tabla Impacto'!$C$11,N139='Tabla Impacto'!$D$11),"Leve",IF(OR(N139='Tabla Impacto'!$C$12,N139='Tabla Impacto'!$D$12),"Menor",IF(OR(N139='Tabla Impacto'!$C$13,N139='Tabla Impacto'!$D$13),"Moderado",IF(OR(N139='Tabla Impacto'!$C$14,N139='Tabla Impacto'!$D$14),"Mayor",IF(OR(N139='Tabla Impacto'!$C$15,N139='Tabla Impacto'!$D$15),"Catastrófico","")))))</f>
        <v>Mayor</v>
      </c>
      <c r="P139" s="329">
        <f>IF(O139="","",IF(O139="Leve",0.2,IF(O139="Menor",0.4,IF(O139="Moderado",0.6,IF(O139="Mayor",0.8,IF(O139="Catastrófico",1,))))))</f>
        <v>0.8</v>
      </c>
      <c r="Q139" s="332"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79">
        <v>1</v>
      </c>
      <c r="S139" s="175" t="s">
        <v>596</v>
      </c>
      <c r="T139" s="238" t="str">
        <f t="shared" si="186"/>
        <v>Probabilidad</v>
      </c>
      <c r="U139" s="180" t="s">
        <v>14</v>
      </c>
      <c r="V139" s="180" t="s">
        <v>9</v>
      </c>
      <c r="W139" s="181" t="str">
        <f t="shared" si="187"/>
        <v>40%</v>
      </c>
      <c r="X139" s="180" t="s">
        <v>19</v>
      </c>
      <c r="Y139" s="180" t="s">
        <v>22</v>
      </c>
      <c r="Z139" s="180" t="s">
        <v>110</v>
      </c>
      <c r="AA139" s="155">
        <f t="shared" si="188"/>
        <v>0.24</v>
      </c>
      <c r="AB139" s="169" t="str">
        <f t="shared" si="189"/>
        <v>Baja</v>
      </c>
      <c r="AC139" s="170">
        <f t="shared" si="190"/>
        <v>0.24</v>
      </c>
      <c r="AD139" s="169" t="str">
        <f t="shared" si="191"/>
        <v>Mayor</v>
      </c>
      <c r="AE139" s="170">
        <f t="shared" si="192"/>
        <v>0.8</v>
      </c>
      <c r="AF139" s="171" t="str">
        <f t="shared" si="193"/>
        <v>Alto</v>
      </c>
      <c r="AG139" s="172" t="s">
        <v>122</v>
      </c>
      <c r="AH139" s="167" t="s">
        <v>597</v>
      </c>
      <c r="AI139" s="165" t="s">
        <v>261</v>
      </c>
      <c r="AJ139" s="166" t="s">
        <v>287</v>
      </c>
      <c r="AK139" s="166" t="s">
        <v>288</v>
      </c>
      <c r="AL139" s="167" t="s">
        <v>581</v>
      </c>
      <c r="AM139" s="165"/>
    </row>
    <row r="140" spans="1:39" s="164" customFormat="1" ht="151.5" customHeight="1" x14ac:dyDescent="0.35">
      <c r="A140" s="325"/>
      <c r="B140" s="323"/>
      <c r="C140" s="323"/>
      <c r="D140" s="323"/>
      <c r="E140" s="339"/>
      <c r="F140" s="339"/>
      <c r="G140" s="339"/>
      <c r="H140" s="342"/>
      <c r="I140" s="339"/>
      <c r="J140" s="336"/>
      <c r="K140" s="327"/>
      <c r="L140" s="330"/>
      <c r="M140" s="351"/>
      <c r="N140" s="185"/>
      <c r="O140" s="327"/>
      <c r="P140" s="330"/>
      <c r="Q140" s="333"/>
      <c r="R140" s="179">
        <v>2</v>
      </c>
      <c r="S140" s="175"/>
      <c r="T140" s="176" t="str">
        <f t="shared" si="186"/>
        <v/>
      </c>
      <c r="U140" s="180"/>
      <c r="V140" s="180"/>
      <c r="W140" s="181" t="str">
        <f t="shared" si="187"/>
        <v/>
      </c>
      <c r="X140" s="180"/>
      <c r="Y140" s="180"/>
      <c r="Z140" s="180"/>
      <c r="AA140" s="155" t="str">
        <f t="shared" si="188"/>
        <v/>
      </c>
      <c r="AB140" s="169" t="str">
        <f t="shared" si="189"/>
        <v/>
      </c>
      <c r="AC140" s="170" t="str">
        <f t="shared" si="190"/>
        <v/>
      </c>
      <c r="AD140" s="169" t="str">
        <f t="shared" si="191"/>
        <v/>
      </c>
      <c r="AE140" s="170" t="str">
        <f t="shared" si="192"/>
        <v/>
      </c>
      <c r="AF140" s="171" t="str">
        <f t="shared" si="193"/>
        <v/>
      </c>
      <c r="AG140" s="172"/>
      <c r="AH140" s="167"/>
      <c r="AI140" s="165"/>
      <c r="AJ140" s="166"/>
      <c r="AK140" s="166"/>
      <c r="AL140" s="167"/>
      <c r="AM140" s="165"/>
    </row>
    <row r="141" spans="1:39" s="164" customFormat="1" ht="151.5" customHeight="1" x14ac:dyDescent="0.35">
      <c r="A141" s="325"/>
      <c r="B141" s="324"/>
      <c r="C141" s="324"/>
      <c r="D141" s="324"/>
      <c r="E141" s="340"/>
      <c r="F141" s="340"/>
      <c r="G141" s="340"/>
      <c r="H141" s="343"/>
      <c r="I141" s="340"/>
      <c r="J141" s="337"/>
      <c r="K141" s="328"/>
      <c r="L141" s="331"/>
      <c r="M141" s="352"/>
      <c r="N141" s="185"/>
      <c r="O141" s="328"/>
      <c r="P141" s="331"/>
      <c r="Q141" s="334"/>
      <c r="R141" s="179">
        <v>3</v>
      </c>
      <c r="S141" s="175"/>
      <c r="T141" s="176" t="str">
        <f t="shared" si="186"/>
        <v/>
      </c>
      <c r="U141" s="180"/>
      <c r="V141" s="180"/>
      <c r="W141" s="181" t="str">
        <f t="shared" si="187"/>
        <v/>
      </c>
      <c r="X141" s="180"/>
      <c r="Y141" s="180"/>
      <c r="Z141" s="180"/>
      <c r="AA141" s="155" t="str">
        <f t="shared" si="188"/>
        <v/>
      </c>
      <c r="AB141" s="169" t="str">
        <f t="shared" si="189"/>
        <v/>
      </c>
      <c r="AC141" s="170" t="str">
        <f t="shared" si="190"/>
        <v/>
      </c>
      <c r="AD141" s="169" t="str">
        <f t="shared" si="191"/>
        <v/>
      </c>
      <c r="AE141" s="170" t="str">
        <f t="shared" si="192"/>
        <v/>
      </c>
      <c r="AF141" s="171" t="str">
        <f t="shared" si="193"/>
        <v/>
      </c>
      <c r="AG141" s="172"/>
      <c r="AH141" s="167"/>
      <c r="AI141" s="165"/>
      <c r="AJ141" s="166"/>
      <c r="AK141" s="166"/>
      <c r="AL141" s="167"/>
      <c r="AM141" s="165"/>
    </row>
    <row r="142" spans="1:39" s="164" customFormat="1" ht="151.5" customHeight="1" x14ac:dyDescent="0.35">
      <c r="A142" s="325">
        <v>46</v>
      </c>
      <c r="B142" s="322" t="s">
        <v>575</v>
      </c>
      <c r="C142" s="322" t="s">
        <v>574</v>
      </c>
      <c r="D142" s="322" t="s">
        <v>576</v>
      </c>
      <c r="E142" s="338" t="s">
        <v>118</v>
      </c>
      <c r="F142" s="338" t="s">
        <v>577</v>
      </c>
      <c r="G142" s="338" t="s">
        <v>578</v>
      </c>
      <c r="H142" s="341" t="s">
        <v>572</v>
      </c>
      <c r="I142" s="338" t="s">
        <v>329</v>
      </c>
      <c r="J142" s="335">
        <v>20</v>
      </c>
      <c r="K142" s="326" t="str">
        <f>IF(J142&lt;=0,"",IF(J142&lt;=2,"Muy Baja",IF(J142&lt;=24,"Baja",IF(J142&lt;=500,"Media",IF(J142&lt;=5000,"Alta","Muy Alta")))))</f>
        <v>Baja</v>
      </c>
      <c r="L142" s="329">
        <f>IF(K142="","",IF(K142="Muy Baja",0.2,IF(K142="Baja",0.4,IF(K142="Media",0.6,IF(K142="Alta",0.8,IF(K142="Muy Alta",1,))))))</f>
        <v>0.4</v>
      </c>
      <c r="M142" s="350" t="s">
        <v>487</v>
      </c>
      <c r="N142" s="178"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26"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29">
        <f>IF(O142="","",IF(O142="Leve",0.2,IF(O142="Menor",0.4,IF(O142="Moderado",0.6,IF(O142="Mayor",0.8,IF(O142="Catastrófico",1,))))))</f>
        <v>0.6</v>
      </c>
      <c r="Q142" s="332"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79">
        <v>1</v>
      </c>
      <c r="S142" s="175" t="s">
        <v>582</v>
      </c>
      <c r="T142" s="238" t="str">
        <f t="shared" si="186"/>
        <v>Probabilidad</v>
      </c>
      <c r="U142" s="180" t="s">
        <v>15</v>
      </c>
      <c r="V142" s="180" t="s">
        <v>9</v>
      </c>
      <c r="W142" s="181" t="str">
        <f t="shared" si="187"/>
        <v>30%</v>
      </c>
      <c r="X142" s="180" t="s">
        <v>19</v>
      </c>
      <c r="Y142" s="180" t="s">
        <v>22</v>
      </c>
      <c r="Z142" s="180" t="s">
        <v>110</v>
      </c>
      <c r="AA142" s="155">
        <f t="shared" si="188"/>
        <v>0.28000000000000003</v>
      </c>
      <c r="AB142" s="169" t="str">
        <f t="shared" si="189"/>
        <v>Baja</v>
      </c>
      <c r="AC142" s="170">
        <f t="shared" si="190"/>
        <v>0.28000000000000003</v>
      </c>
      <c r="AD142" s="169" t="str">
        <f t="shared" si="191"/>
        <v>Moderado</v>
      </c>
      <c r="AE142" s="170">
        <f t="shared" si="192"/>
        <v>0.6</v>
      </c>
      <c r="AF142" s="171" t="str">
        <f t="shared" si="193"/>
        <v>Moderado</v>
      </c>
      <c r="AG142" s="172" t="s">
        <v>122</v>
      </c>
      <c r="AH142" s="167" t="s">
        <v>573</v>
      </c>
      <c r="AI142" s="165" t="s">
        <v>261</v>
      </c>
      <c r="AJ142" s="166" t="s">
        <v>287</v>
      </c>
      <c r="AK142" s="166" t="s">
        <v>288</v>
      </c>
      <c r="AL142" s="167" t="s">
        <v>601</v>
      </c>
      <c r="AM142" s="165"/>
    </row>
    <row r="143" spans="1:39" s="164" customFormat="1" ht="151.5" customHeight="1" x14ac:dyDescent="0.35">
      <c r="A143" s="325"/>
      <c r="B143" s="323"/>
      <c r="C143" s="323"/>
      <c r="D143" s="323"/>
      <c r="E143" s="339"/>
      <c r="F143" s="339"/>
      <c r="G143" s="339"/>
      <c r="H143" s="342"/>
      <c r="I143" s="339"/>
      <c r="J143" s="336"/>
      <c r="K143" s="327"/>
      <c r="L143" s="330"/>
      <c r="M143" s="351"/>
      <c r="N143" s="185"/>
      <c r="O143" s="327"/>
      <c r="P143" s="330"/>
      <c r="Q143" s="333"/>
      <c r="R143" s="179">
        <v>2</v>
      </c>
      <c r="S143" s="175"/>
      <c r="T143" s="176" t="str">
        <f t="shared" si="186"/>
        <v/>
      </c>
      <c r="U143" s="180"/>
      <c r="V143" s="180"/>
      <c r="W143" s="181" t="str">
        <f t="shared" si="187"/>
        <v/>
      </c>
      <c r="X143" s="180"/>
      <c r="Y143" s="180"/>
      <c r="Z143" s="180"/>
      <c r="AA143" s="155" t="str">
        <f t="shared" si="188"/>
        <v/>
      </c>
      <c r="AB143" s="169" t="str">
        <f t="shared" si="189"/>
        <v/>
      </c>
      <c r="AC143" s="170" t="str">
        <f t="shared" si="190"/>
        <v/>
      </c>
      <c r="AD143" s="169" t="str">
        <f t="shared" si="191"/>
        <v/>
      </c>
      <c r="AE143" s="170" t="str">
        <f t="shared" si="192"/>
        <v/>
      </c>
      <c r="AF143" s="171" t="str">
        <f t="shared" si="193"/>
        <v/>
      </c>
      <c r="AG143" s="172"/>
      <c r="AH143" s="167"/>
      <c r="AI143" s="165"/>
      <c r="AJ143" s="166"/>
      <c r="AK143" s="166"/>
      <c r="AL143" s="167"/>
      <c r="AM143" s="165"/>
    </row>
    <row r="144" spans="1:39" s="164" customFormat="1" ht="151.5" customHeight="1" x14ac:dyDescent="0.35">
      <c r="A144" s="325"/>
      <c r="B144" s="324"/>
      <c r="C144" s="324"/>
      <c r="D144" s="324"/>
      <c r="E144" s="340"/>
      <c r="F144" s="340"/>
      <c r="G144" s="340"/>
      <c r="H144" s="343"/>
      <c r="I144" s="340"/>
      <c r="J144" s="337"/>
      <c r="K144" s="328"/>
      <c r="L144" s="331"/>
      <c r="M144" s="352"/>
      <c r="N144" s="185"/>
      <c r="O144" s="328"/>
      <c r="P144" s="331"/>
      <c r="Q144" s="334"/>
      <c r="R144" s="179">
        <v>3</v>
      </c>
      <c r="S144" s="175"/>
      <c r="T144" s="176" t="str">
        <f t="shared" si="186"/>
        <v/>
      </c>
      <c r="U144" s="180"/>
      <c r="V144" s="180"/>
      <c r="W144" s="181" t="str">
        <f t="shared" si="187"/>
        <v/>
      </c>
      <c r="X144" s="180"/>
      <c r="Y144" s="180"/>
      <c r="Z144" s="180"/>
      <c r="AA144" s="155" t="str">
        <f t="shared" si="188"/>
        <v/>
      </c>
      <c r="AB144" s="169" t="str">
        <f t="shared" si="189"/>
        <v/>
      </c>
      <c r="AC144" s="170" t="str">
        <f t="shared" si="190"/>
        <v/>
      </c>
      <c r="AD144" s="169" t="str">
        <f t="shared" si="191"/>
        <v/>
      </c>
      <c r="AE144" s="170" t="str">
        <f t="shared" si="192"/>
        <v/>
      </c>
      <c r="AF144" s="171" t="str">
        <f t="shared" si="193"/>
        <v/>
      </c>
      <c r="AG144" s="172"/>
      <c r="AH144" s="167"/>
      <c r="AI144" s="165"/>
      <c r="AJ144" s="166"/>
      <c r="AK144" s="166"/>
      <c r="AL144" s="167"/>
      <c r="AM144" s="165"/>
    </row>
    <row r="145" spans="1:39" s="164" customFormat="1" ht="151.5" customHeight="1" x14ac:dyDescent="0.35">
      <c r="A145" s="325"/>
      <c r="B145" s="322"/>
      <c r="C145" s="354"/>
      <c r="D145" s="354"/>
      <c r="E145" s="338"/>
      <c r="F145" s="338"/>
      <c r="G145" s="338"/>
      <c r="H145" s="341"/>
      <c r="I145" s="338"/>
      <c r="J145" s="335"/>
      <c r="K145" s="326" t="str">
        <f>IF(J145&lt;=0,"",IF(J145&lt;=2,"Muy Baja",IF(J145&lt;=24,"Baja",IF(J145&lt;=500,"Media",IF(J145&lt;=5000,"Alta","Muy Alta")))))</f>
        <v/>
      </c>
      <c r="L145" s="329" t="str">
        <f>IF(K145="","",IF(K145="Muy Baja",0.2,IF(K145="Baja",0.4,IF(K145="Media",0.6,IF(K145="Alta",0.8,IF(K145="Muy Alta",1,))))))</f>
        <v/>
      </c>
      <c r="M145" s="350"/>
      <c r="N145" s="178">
        <f>IF(NOT(ISERROR(MATCH(M145,'Tabla Impacto'!$B$221:$B$223,0))),'Tabla Impacto'!$F$223&amp;"Por favor no seleccionar los criterios de impacto(Afectación Económica o presupuestal y Pérdida Reputacional)",M145)</f>
        <v>0</v>
      </c>
      <c r="O145" s="326" t="str">
        <f>IF(OR(N145='Tabla Impacto'!$C$11,N145='Tabla Impacto'!$D$11),"Leve",IF(OR(N145='Tabla Impacto'!$C$12,N145='Tabla Impacto'!$D$12),"Menor",IF(OR(N145='Tabla Impacto'!$C$13,N145='Tabla Impacto'!$D$13),"Moderado",IF(OR(N145='Tabla Impacto'!$C$14,N145='Tabla Impacto'!$D$14),"Mayor",IF(OR(N145='Tabla Impacto'!$C$15,N145='Tabla Impacto'!$D$15),"Catastrófico","")))))</f>
        <v/>
      </c>
      <c r="P145" s="329" t="str">
        <f>IF(O145="","",IF(O145="Leve",0.2,IF(O145="Menor",0.4,IF(O145="Moderado",0.6,IF(O145="Mayor",0.8,IF(O145="Catastrófico",1,))))))</f>
        <v/>
      </c>
      <c r="Q145" s="332"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79">
        <v>1</v>
      </c>
      <c r="S145" s="175"/>
      <c r="T145" s="176" t="str">
        <f t="shared" si="186"/>
        <v/>
      </c>
      <c r="U145" s="180"/>
      <c r="V145" s="180"/>
      <c r="W145" s="181" t="str">
        <f t="shared" si="187"/>
        <v/>
      </c>
      <c r="X145" s="180"/>
      <c r="Y145" s="180"/>
      <c r="Z145" s="180"/>
      <c r="AA145" s="155" t="str">
        <f t="shared" si="188"/>
        <v/>
      </c>
      <c r="AB145" s="169" t="str">
        <f t="shared" si="189"/>
        <v/>
      </c>
      <c r="AC145" s="170" t="str">
        <f t="shared" si="190"/>
        <v/>
      </c>
      <c r="AD145" s="169" t="str">
        <f t="shared" si="191"/>
        <v/>
      </c>
      <c r="AE145" s="170" t="str">
        <f t="shared" si="192"/>
        <v/>
      </c>
      <c r="AF145" s="171" t="str">
        <f t="shared" si="193"/>
        <v/>
      </c>
      <c r="AG145" s="172"/>
      <c r="AH145" s="167"/>
      <c r="AI145" s="165"/>
      <c r="AJ145" s="166"/>
      <c r="AK145" s="166"/>
      <c r="AL145" s="167"/>
      <c r="AM145" s="165"/>
    </row>
    <row r="146" spans="1:39" s="164" customFormat="1" ht="151.5" customHeight="1" x14ac:dyDescent="0.35">
      <c r="A146" s="325"/>
      <c r="B146" s="323"/>
      <c r="C146" s="325"/>
      <c r="D146" s="325"/>
      <c r="E146" s="339"/>
      <c r="F146" s="339"/>
      <c r="G146" s="339"/>
      <c r="H146" s="342"/>
      <c r="I146" s="339"/>
      <c r="J146" s="336"/>
      <c r="K146" s="327"/>
      <c r="L146" s="330"/>
      <c r="M146" s="351"/>
      <c r="N146" s="185"/>
      <c r="O146" s="327"/>
      <c r="P146" s="330"/>
      <c r="Q146" s="333"/>
      <c r="R146" s="179">
        <v>2</v>
      </c>
      <c r="S146" s="175"/>
      <c r="T146" s="176" t="str">
        <f t="shared" si="186"/>
        <v/>
      </c>
      <c r="U146" s="180"/>
      <c r="V146" s="180"/>
      <c r="W146" s="181" t="str">
        <f t="shared" si="187"/>
        <v/>
      </c>
      <c r="X146" s="180"/>
      <c r="Y146" s="180"/>
      <c r="Z146" s="180"/>
      <c r="AA146" s="155" t="str">
        <f t="shared" si="188"/>
        <v/>
      </c>
      <c r="AB146" s="169" t="str">
        <f t="shared" si="189"/>
        <v/>
      </c>
      <c r="AC146" s="170" t="str">
        <f t="shared" si="190"/>
        <v/>
      </c>
      <c r="AD146" s="169" t="str">
        <f t="shared" si="191"/>
        <v/>
      </c>
      <c r="AE146" s="170" t="str">
        <f t="shared" si="192"/>
        <v/>
      </c>
      <c r="AF146" s="171" t="str">
        <f t="shared" si="193"/>
        <v/>
      </c>
      <c r="AG146" s="172"/>
      <c r="AH146" s="167"/>
      <c r="AI146" s="165"/>
      <c r="AJ146" s="166"/>
      <c r="AK146" s="166"/>
      <c r="AL146" s="167"/>
      <c r="AM146" s="165"/>
    </row>
    <row r="147" spans="1:39" s="164" customFormat="1" ht="151.5" customHeight="1" x14ac:dyDescent="0.35">
      <c r="A147" s="325"/>
      <c r="B147" s="324"/>
      <c r="C147" s="353"/>
      <c r="D147" s="353"/>
      <c r="E147" s="340"/>
      <c r="F147" s="340"/>
      <c r="G147" s="340"/>
      <c r="H147" s="343"/>
      <c r="I147" s="340"/>
      <c r="J147" s="337"/>
      <c r="K147" s="328"/>
      <c r="L147" s="331"/>
      <c r="M147" s="352"/>
      <c r="N147" s="185"/>
      <c r="O147" s="328"/>
      <c r="P147" s="331"/>
      <c r="Q147" s="334"/>
      <c r="R147" s="179">
        <v>3</v>
      </c>
      <c r="S147" s="175"/>
      <c r="T147" s="176" t="str">
        <f t="shared" si="186"/>
        <v/>
      </c>
      <c r="U147" s="180"/>
      <c r="V147" s="180"/>
      <c r="W147" s="181" t="str">
        <f t="shared" si="187"/>
        <v/>
      </c>
      <c r="X147" s="180"/>
      <c r="Y147" s="180"/>
      <c r="Z147" s="180"/>
      <c r="AA147" s="155" t="str">
        <f t="shared" si="188"/>
        <v/>
      </c>
      <c r="AB147" s="169" t="str">
        <f t="shared" si="189"/>
        <v/>
      </c>
      <c r="AC147" s="170" t="str">
        <f t="shared" si="190"/>
        <v/>
      </c>
      <c r="AD147" s="169" t="str">
        <f t="shared" si="191"/>
        <v/>
      </c>
      <c r="AE147" s="170" t="str">
        <f t="shared" si="192"/>
        <v/>
      </c>
      <c r="AF147" s="171" t="str">
        <f t="shared" si="193"/>
        <v/>
      </c>
      <c r="AG147" s="172"/>
      <c r="AH147" s="167"/>
      <c r="AI147" s="165"/>
      <c r="AJ147" s="166"/>
      <c r="AK147" s="166"/>
      <c r="AL147" s="167"/>
      <c r="AM147" s="165"/>
    </row>
    <row r="148" spans="1:39" s="164" customFormat="1" ht="151.5" customHeight="1" x14ac:dyDescent="0.35">
      <c r="A148" s="325"/>
      <c r="B148" s="322"/>
      <c r="C148" s="354"/>
      <c r="D148" s="354"/>
      <c r="E148" s="338"/>
      <c r="F148" s="338"/>
      <c r="G148" s="338"/>
      <c r="H148" s="341"/>
      <c r="I148" s="338"/>
      <c r="J148" s="335"/>
      <c r="K148" s="326" t="str">
        <f>IF(J148&lt;=0,"",IF(J148&lt;=2,"Muy Baja",IF(J148&lt;=24,"Baja",IF(J148&lt;=500,"Media",IF(J148&lt;=5000,"Alta","Muy Alta")))))</f>
        <v/>
      </c>
      <c r="L148" s="329" t="str">
        <f>IF(K148="","",IF(K148="Muy Baja",0.2,IF(K148="Baja",0.4,IF(K148="Media",0.6,IF(K148="Alta",0.8,IF(K148="Muy Alta",1,))))))</f>
        <v/>
      </c>
      <c r="M148" s="350"/>
      <c r="N148" s="178">
        <f>IF(NOT(ISERROR(MATCH(M148,'Tabla Impacto'!$B$221:$B$223,0))),'Tabla Impacto'!$F$223&amp;"Por favor no seleccionar los criterios de impacto(Afectación Económica o presupuestal y Pérdida Reputacional)",M148)</f>
        <v>0</v>
      </c>
      <c r="O148" s="326" t="str">
        <f>IF(OR(N148='Tabla Impacto'!$C$11,N148='Tabla Impacto'!$D$11),"Leve",IF(OR(N148='Tabla Impacto'!$C$12,N148='Tabla Impacto'!$D$12),"Menor",IF(OR(N148='Tabla Impacto'!$C$13,N148='Tabla Impacto'!$D$13),"Moderado",IF(OR(N148='Tabla Impacto'!$C$14,N148='Tabla Impacto'!$D$14),"Mayor",IF(OR(N148='Tabla Impacto'!$C$15,N148='Tabla Impacto'!$D$15),"Catastrófico","")))))</f>
        <v/>
      </c>
      <c r="P148" s="329" t="str">
        <f>IF(O148="","",IF(O148="Leve",0.2,IF(O148="Menor",0.4,IF(O148="Moderado",0.6,IF(O148="Mayor",0.8,IF(O148="Catastrófico",1,))))))</f>
        <v/>
      </c>
      <c r="Q148" s="332"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79">
        <v>1</v>
      </c>
      <c r="S148" s="175"/>
      <c r="T148" s="176" t="str">
        <f t="shared" si="186"/>
        <v/>
      </c>
      <c r="U148" s="180"/>
      <c r="V148" s="180"/>
      <c r="W148" s="181" t="str">
        <f t="shared" si="187"/>
        <v/>
      </c>
      <c r="X148" s="180"/>
      <c r="Y148" s="180"/>
      <c r="Z148" s="180"/>
      <c r="AA148" s="155" t="str">
        <f t="shared" si="188"/>
        <v/>
      </c>
      <c r="AB148" s="169" t="str">
        <f t="shared" si="189"/>
        <v/>
      </c>
      <c r="AC148" s="170" t="str">
        <f t="shared" si="190"/>
        <v/>
      </c>
      <c r="AD148" s="169" t="str">
        <f t="shared" si="191"/>
        <v/>
      </c>
      <c r="AE148" s="170" t="str">
        <f t="shared" si="192"/>
        <v/>
      </c>
      <c r="AF148" s="171" t="str">
        <f t="shared" si="193"/>
        <v/>
      </c>
      <c r="AG148" s="172"/>
      <c r="AH148" s="167"/>
      <c r="AI148" s="165"/>
      <c r="AJ148" s="166"/>
      <c r="AK148" s="166"/>
      <c r="AL148" s="167"/>
      <c r="AM148" s="165"/>
    </row>
    <row r="149" spans="1:39" s="164" customFormat="1" ht="151.5" customHeight="1" x14ac:dyDescent="0.35">
      <c r="A149" s="325"/>
      <c r="B149" s="323"/>
      <c r="C149" s="325"/>
      <c r="D149" s="325"/>
      <c r="E149" s="339"/>
      <c r="F149" s="339"/>
      <c r="G149" s="339"/>
      <c r="H149" s="342"/>
      <c r="I149" s="339"/>
      <c r="J149" s="336"/>
      <c r="K149" s="327"/>
      <c r="L149" s="330"/>
      <c r="M149" s="351"/>
      <c r="N149" s="185"/>
      <c r="O149" s="327"/>
      <c r="P149" s="330"/>
      <c r="Q149" s="333"/>
      <c r="R149" s="179">
        <v>2</v>
      </c>
      <c r="S149" s="175"/>
      <c r="T149" s="176" t="str">
        <f t="shared" si="186"/>
        <v/>
      </c>
      <c r="U149" s="180"/>
      <c r="V149" s="180"/>
      <c r="W149" s="181" t="str">
        <f t="shared" si="187"/>
        <v/>
      </c>
      <c r="X149" s="180"/>
      <c r="Y149" s="180"/>
      <c r="Z149" s="180"/>
      <c r="AA149" s="155" t="str">
        <f t="shared" si="188"/>
        <v/>
      </c>
      <c r="AB149" s="169" t="str">
        <f t="shared" si="189"/>
        <v/>
      </c>
      <c r="AC149" s="170" t="str">
        <f t="shared" si="190"/>
        <v/>
      </c>
      <c r="AD149" s="169" t="str">
        <f t="shared" si="191"/>
        <v/>
      </c>
      <c r="AE149" s="170" t="str">
        <f t="shared" si="192"/>
        <v/>
      </c>
      <c r="AF149" s="171" t="str">
        <f t="shared" si="193"/>
        <v/>
      </c>
      <c r="AG149" s="172"/>
      <c r="AH149" s="167"/>
      <c r="AI149" s="165"/>
      <c r="AJ149" s="166"/>
      <c r="AK149" s="166"/>
      <c r="AL149" s="167"/>
      <c r="AM149" s="165"/>
    </row>
    <row r="150" spans="1:39" s="164" customFormat="1" ht="151.5" customHeight="1" x14ac:dyDescent="0.35">
      <c r="A150" s="325"/>
      <c r="B150" s="324"/>
      <c r="C150" s="353"/>
      <c r="D150" s="353"/>
      <c r="E150" s="340"/>
      <c r="F150" s="340"/>
      <c r="G150" s="340"/>
      <c r="H150" s="343"/>
      <c r="I150" s="340"/>
      <c r="J150" s="337"/>
      <c r="K150" s="328"/>
      <c r="L150" s="331"/>
      <c r="M150" s="352"/>
      <c r="N150" s="185"/>
      <c r="O150" s="328"/>
      <c r="P150" s="331"/>
      <c r="Q150" s="334"/>
      <c r="R150" s="179">
        <v>3</v>
      </c>
      <c r="S150" s="175"/>
      <c r="T150" s="176" t="str">
        <f t="shared" si="186"/>
        <v/>
      </c>
      <c r="U150" s="180"/>
      <c r="V150" s="180"/>
      <c r="W150" s="181" t="str">
        <f t="shared" si="187"/>
        <v/>
      </c>
      <c r="X150" s="180"/>
      <c r="Y150" s="180"/>
      <c r="Z150" s="180"/>
      <c r="AA150" s="155" t="str">
        <f t="shared" si="188"/>
        <v/>
      </c>
      <c r="AB150" s="169" t="str">
        <f t="shared" si="189"/>
        <v/>
      </c>
      <c r="AC150" s="170" t="str">
        <f t="shared" si="190"/>
        <v/>
      </c>
      <c r="AD150" s="169" t="str">
        <f t="shared" si="191"/>
        <v/>
      </c>
      <c r="AE150" s="170" t="str">
        <f t="shared" si="192"/>
        <v/>
      </c>
      <c r="AF150" s="171" t="str">
        <f t="shared" si="193"/>
        <v/>
      </c>
      <c r="AG150" s="172"/>
      <c r="AH150" s="167"/>
      <c r="AI150" s="165"/>
      <c r="AJ150" s="166"/>
      <c r="AK150" s="166"/>
      <c r="AL150" s="167"/>
      <c r="AM150" s="165"/>
    </row>
    <row r="151" spans="1:39" s="164" customFormat="1" ht="151.5" customHeight="1" x14ac:dyDescent="0.35">
      <c r="A151" s="325"/>
      <c r="B151" s="322"/>
      <c r="C151" s="354"/>
      <c r="D151" s="354"/>
      <c r="E151" s="338"/>
      <c r="F151" s="338"/>
      <c r="G151" s="338"/>
      <c r="H151" s="341"/>
      <c r="I151" s="338"/>
      <c r="J151" s="335"/>
      <c r="K151" s="326" t="str">
        <f>IF(J151&lt;=0,"",IF(J151&lt;=2,"Muy Baja",IF(J151&lt;=24,"Baja",IF(J151&lt;=500,"Media",IF(J151&lt;=5000,"Alta","Muy Alta")))))</f>
        <v/>
      </c>
      <c r="L151" s="329" t="str">
        <f>IF(K151="","",IF(K151="Muy Baja",0.2,IF(K151="Baja",0.4,IF(K151="Media",0.6,IF(K151="Alta",0.8,IF(K151="Muy Alta",1,))))))</f>
        <v/>
      </c>
      <c r="M151" s="350"/>
      <c r="N151" s="178">
        <f>IF(NOT(ISERROR(MATCH(M151,'Tabla Impacto'!$B$221:$B$223,0))),'Tabla Impacto'!$F$223&amp;"Por favor no seleccionar los criterios de impacto(Afectación Económica o presupuestal y Pérdida Reputacional)",M151)</f>
        <v>0</v>
      </c>
      <c r="O151" s="326" t="str">
        <f>IF(OR(N151='Tabla Impacto'!$C$11,N151='Tabla Impacto'!$D$11),"Leve",IF(OR(N151='Tabla Impacto'!$C$12,N151='Tabla Impacto'!$D$12),"Menor",IF(OR(N151='Tabla Impacto'!$C$13,N151='Tabla Impacto'!$D$13),"Moderado",IF(OR(N151='Tabla Impacto'!$C$14,N151='Tabla Impacto'!$D$14),"Mayor",IF(OR(N151='Tabla Impacto'!$C$15,N151='Tabla Impacto'!$D$15),"Catastrófico","")))))</f>
        <v/>
      </c>
      <c r="P151" s="329" t="str">
        <f>IF(O151="","",IF(O151="Leve",0.2,IF(O151="Menor",0.4,IF(O151="Moderado",0.6,IF(O151="Mayor",0.8,IF(O151="Catastrófico",1,))))))</f>
        <v/>
      </c>
      <c r="Q151" s="332"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79">
        <v>1</v>
      </c>
      <c r="S151" s="175"/>
      <c r="T151" s="176" t="str">
        <f t="shared" si="186"/>
        <v/>
      </c>
      <c r="U151" s="180"/>
      <c r="V151" s="180"/>
      <c r="W151" s="181" t="str">
        <f t="shared" si="187"/>
        <v/>
      </c>
      <c r="X151" s="180"/>
      <c r="Y151" s="180"/>
      <c r="Z151" s="180"/>
      <c r="AA151" s="155" t="str">
        <f t="shared" si="188"/>
        <v/>
      </c>
      <c r="AB151" s="169" t="str">
        <f t="shared" si="189"/>
        <v/>
      </c>
      <c r="AC151" s="170" t="str">
        <f t="shared" si="190"/>
        <v/>
      </c>
      <c r="AD151" s="169" t="str">
        <f t="shared" si="191"/>
        <v/>
      </c>
      <c r="AE151" s="170" t="str">
        <f t="shared" si="192"/>
        <v/>
      </c>
      <c r="AF151" s="171" t="str">
        <f t="shared" si="193"/>
        <v/>
      </c>
      <c r="AG151" s="172"/>
      <c r="AH151" s="167"/>
      <c r="AI151" s="165"/>
      <c r="AJ151" s="166"/>
      <c r="AK151" s="166"/>
      <c r="AL151" s="167"/>
      <c r="AM151" s="165"/>
    </row>
    <row r="152" spans="1:39" s="164" customFormat="1" ht="151.5" customHeight="1" x14ac:dyDescent="0.35">
      <c r="A152" s="325"/>
      <c r="B152" s="323"/>
      <c r="C152" s="325"/>
      <c r="D152" s="325"/>
      <c r="E152" s="339"/>
      <c r="F152" s="339"/>
      <c r="G152" s="339"/>
      <c r="H152" s="342"/>
      <c r="I152" s="339"/>
      <c r="J152" s="336"/>
      <c r="K152" s="327"/>
      <c r="L152" s="330"/>
      <c r="M152" s="351"/>
      <c r="N152" s="185"/>
      <c r="O152" s="327"/>
      <c r="P152" s="330"/>
      <c r="Q152" s="333"/>
      <c r="R152" s="179">
        <v>2</v>
      </c>
      <c r="S152" s="175"/>
      <c r="T152" s="176" t="str">
        <f t="shared" si="186"/>
        <v/>
      </c>
      <c r="U152" s="180"/>
      <c r="V152" s="180"/>
      <c r="W152" s="181" t="str">
        <f t="shared" si="187"/>
        <v/>
      </c>
      <c r="X152" s="180"/>
      <c r="Y152" s="180"/>
      <c r="Z152" s="180"/>
      <c r="AA152" s="155" t="str">
        <f t="shared" si="188"/>
        <v/>
      </c>
      <c r="AB152" s="169" t="str">
        <f t="shared" si="189"/>
        <v/>
      </c>
      <c r="AC152" s="170" t="str">
        <f t="shared" si="190"/>
        <v/>
      </c>
      <c r="AD152" s="169" t="str">
        <f t="shared" si="191"/>
        <v/>
      </c>
      <c r="AE152" s="170" t="str">
        <f t="shared" si="192"/>
        <v/>
      </c>
      <c r="AF152" s="171" t="str">
        <f t="shared" si="193"/>
        <v/>
      </c>
      <c r="AG152" s="172"/>
      <c r="AH152" s="167"/>
      <c r="AI152" s="165"/>
      <c r="AJ152" s="166"/>
      <c r="AK152" s="166"/>
      <c r="AL152" s="167"/>
      <c r="AM152" s="165"/>
    </row>
    <row r="153" spans="1:39" s="164" customFormat="1" ht="151.5" customHeight="1" x14ac:dyDescent="0.35">
      <c r="A153" s="353"/>
      <c r="B153" s="324"/>
      <c r="C153" s="353"/>
      <c r="D153" s="353"/>
      <c r="E153" s="340"/>
      <c r="F153" s="340"/>
      <c r="G153" s="340"/>
      <c r="H153" s="343"/>
      <c r="I153" s="340"/>
      <c r="J153" s="337"/>
      <c r="K153" s="328"/>
      <c r="L153" s="331"/>
      <c r="M153" s="352"/>
      <c r="N153" s="185"/>
      <c r="O153" s="328"/>
      <c r="P153" s="331"/>
      <c r="Q153" s="334"/>
      <c r="R153" s="179">
        <v>3</v>
      </c>
      <c r="S153" s="175"/>
      <c r="T153" s="176" t="str">
        <f t="shared" si="186"/>
        <v/>
      </c>
      <c r="U153" s="180"/>
      <c r="V153" s="180"/>
      <c r="W153" s="181" t="str">
        <f t="shared" si="187"/>
        <v/>
      </c>
      <c r="X153" s="180"/>
      <c r="Y153" s="180"/>
      <c r="Z153" s="180"/>
      <c r="AA153" s="155" t="str">
        <f t="shared" si="188"/>
        <v/>
      </c>
      <c r="AB153" s="169" t="str">
        <f t="shared" si="189"/>
        <v/>
      </c>
      <c r="AC153" s="170" t="str">
        <f t="shared" si="190"/>
        <v/>
      </c>
      <c r="AD153" s="169" t="str">
        <f t="shared" si="191"/>
        <v/>
      </c>
      <c r="AE153" s="170" t="str">
        <f t="shared" si="192"/>
        <v/>
      </c>
      <c r="AF153" s="171" t="str">
        <f t="shared" si="193"/>
        <v/>
      </c>
      <c r="AG153" s="172"/>
      <c r="AH153" s="167"/>
      <c r="AI153" s="165"/>
      <c r="AJ153" s="166"/>
      <c r="AK153" s="166"/>
      <c r="AL153" s="167"/>
      <c r="AM153" s="165"/>
    </row>
    <row r="154" spans="1:39" ht="49.5" customHeight="1" x14ac:dyDescent="0.35">
      <c r="A154" s="3"/>
      <c r="B154" s="97"/>
      <c r="C154" s="97"/>
      <c r="D154" s="97"/>
      <c r="E154" s="426" t="s">
        <v>514</v>
      </c>
      <c r="F154" s="427"/>
      <c r="G154" s="427"/>
      <c r="H154" s="427"/>
      <c r="I154" s="427"/>
      <c r="J154" s="427"/>
      <c r="K154" s="427"/>
      <c r="L154" s="427"/>
      <c r="M154" s="427"/>
      <c r="N154" s="427"/>
      <c r="O154" s="427"/>
      <c r="P154" s="427"/>
      <c r="Q154" s="427"/>
      <c r="R154" s="427"/>
      <c r="S154" s="427"/>
      <c r="T154" s="427"/>
      <c r="U154" s="427"/>
      <c r="V154" s="427"/>
      <c r="W154" s="427"/>
      <c r="X154" s="427"/>
      <c r="Y154" s="427"/>
      <c r="Z154" s="427"/>
      <c r="AA154" s="427"/>
      <c r="AB154" s="427"/>
      <c r="AC154" s="427"/>
      <c r="AD154" s="427"/>
      <c r="AE154" s="427"/>
      <c r="AF154" s="427"/>
      <c r="AG154" s="427"/>
      <c r="AH154" s="427"/>
      <c r="AI154" s="427"/>
      <c r="AJ154" s="427"/>
      <c r="AK154" s="427"/>
      <c r="AL154" s="427"/>
      <c r="AM154" s="428"/>
    </row>
    <row r="156" spans="1:39" x14ac:dyDescent="0.35">
      <c r="A156" s="2"/>
      <c r="B156" s="2"/>
      <c r="C156" s="2"/>
      <c r="D156" s="2"/>
      <c r="E156" s="20" t="s">
        <v>350</v>
      </c>
      <c r="F156" s="2"/>
      <c r="G156" s="2"/>
    </row>
  </sheetData>
  <autoFilter ref="A6:CP154"/>
  <dataConsolidate/>
  <mergeCells count="826">
    <mergeCell ref="J70:J72"/>
    <mergeCell ref="K70:K72"/>
    <mergeCell ref="L70:L72"/>
    <mergeCell ref="M70:M72"/>
    <mergeCell ref="O70:O72"/>
    <mergeCell ref="P70:P72"/>
    <mergeCell ref="Q70:Q72"/>
    <mergeCell ref="A70:A72"/>
    <mergeCell ref="B70:B72"/>
    <mergeCell ref="C70:C72"/>
    <mergeCell ref="D70:D72"/>
    <mergeCell ref="E70:E72"/>
    <mergeCell ref="F70:F72"/>
    <mergeCell ref="G70:G72"/>
    <mergeCell ref="H70:H72"/>
    <mergeCell ref="I70:I72"/>
    <mergeCell ref="Q85:Q87"/>
    <mergeCell ref="G85:G87"/>
    <mergeCell ref="H85:H87"/>
    <mergeCell ref="I85:I87"/>
    <mergeCell ref="J85:J87"/>
    <mergeCell ref="K85:K87"/>
    <mergeCell ref="L85:L87"/>
    <mergeCell ref="M85:M87"/>
    <mergeCell ref="O85:O87"/>
    <mergeCell ref="P85:P87"/>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4:AM154"/>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A19:A21"/>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A16:A18"/>
    <mergeCell ref="B16:B18"/>
    <mergeCell ref="C16:C18"/>
    <mergeCell ref="D16:D18"/>
    <mergeCell ref="E16:E18"/>
    <mergeCell ref="F16:F18"/>
    <mergeCell ref="M19:M21"/>
    <mergeCell ref="O19:O21"/>
    <mergeCell ref="P19:P21"/>
    <mergeCell ref="Q19:Q21"/>
    <mergeCell ref="J16:J18"/>
    <mergeCell ref="K16:K18"/>
    <mergeCell ref="L16:L18"/>
    <mergeCell ref="M16:M18"/>
    <mergeCell ref="O16:O18"/>
    <mergeCell ref="P16:P18"/>
    <mergeCell ref="Q16:Q18"/>
    <mergeCell ref="J19:J21"/>
    <mergeCell ref="I16:I18"/>
    <mergeCell ref="G16:G18"/>
    <mergeCell ref="H16:H18"/>
    <mergeCell ref="B19:B21"/>
    <mergeCell ref="C19:C21"/>
    <mergeCell ref="D19:D21"/>
    <mergeCell ref="E19:E21"/>
    <mergeCell ref="F19:F21"/>
    <mergeCell ref="G19:G21"/>
    <mergeCell ref="H19:H21"/>
    <mergeCell ref="K19:K21"/>
    <mergeCell ref="L19:L21"/>
    <mergeCell ref="I19:I21"/>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22:A24"/>
    <mergeCell ref="B22:B24"/>
    <mergeCell ref="C22:C24"/>
    <mergeCell ref="D22:D24"/>
    <mergeCell ref="E22:E24"/>
    <mergeCell ref="F22:F24"/>
    <mergeCell ref="G22:G24"/>
    <mergeCell ref="H28:H30"/>
    <mergeCell ref="I28:I30"/>
    <mergeCell ref="I22:I24"/>
    <mergeCell ref="J22:J24"/>
    <mergeCell ref="K22:K24"/>
    <mergeCell ref="L22:L24"/>
    <mergeCell ref="M22:M24"/>
    <mergeCell ref="O22:O24"/>
    <mergeCell ref="P22:P24"/>
    <mergeCell ref="P28:P30"/>
    <mergeCell ref="H22:H24"/>
    <mergeCell ref="Q28:Q30"/>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G31:G33"/>
    <mergeCell ref="F31:F33"/>
    <mergeCell ref="E31:E33"/>
    <mergeCell ref="D31:D33"/>
    <mergeCell ref="F34:F36"/>
    <mergeCell ref="G34:G36"/>
    <mergeCell ref="H34:H36"/>
    <mergeCell ref="I31:I33"/>
    <mergeCell ref="I34:I36"/>
    <mergeCell ref="J34:J36"/>
    <mergeCell ref="A37:A39"/>
    <mergeCell ref="B37:B39"/>
    <mergeCell ref="C34:C36"/>
    <mergeCell ref="D34:D36"/>
    <mergeCell ref="E34:E36"/>
    <mergeCell ref="L37:L39"/>
    <mergeCell ref="K37:K39"/>
    <mergeCell ref="J37:J39"/>
    <mergeCell ref="I37:I39"/>
    <mergeCell ref="H37:H39"/>
    <mergeCell ref="A34:A36"/>
    <mergeCell ref="B34:B36"/>
    <mergeCell ref="Q34:Q36"/>
    <mergeCell ref="Q37:Q39"/>
    <mergeCell ref="P37:P39"/>
    <mergeCell ref="O37:O39"/>
    <mergeCell ref="M37:M39"/>
    <mergeCell ref="K34:K36"/>
    <mergeCell ref="L34:L36"/>
    <mergeCell ref="M34:M36"/>
    <mergeCell ref="O34:O36"/>
    <mergeCell ref="P34:P36"/>
    <mergeCell ref="A40:A42"/>
    <mergeCell ref="B40:B42"/>
    <mergeCell ref="C40:C42"/>
    <mergeCell ref="D40:D42"/>
    <mergeCell ref="E40:E42"/>
    <mergeCell ref="G37:G39"/>
    <mergeCell ref="F37:F39"/>
    <mergeCell ref="E37:E39"/>
    <mergeCell ref="D37:D39"/>
    <mergeCell ref="C37:C39"/>
    <mergeCell ref="Q40:Q42"/>
    <mergeCell ref="K40:K42"/>
    <mergeCell ref="L40:L42"/>
    <mergeCell ref="M40:M42"/>
    <mergeCell ref="O40:O42"/>
    <mergeCell ref="P40:P42"/>
    <mergeCell ref="F40:F42"/>
    <mergeCell ref="G40:G42"/>
    <mergeCell ref="H40:H42"/>
    <mergeCell ref="I40:I42"/>
    <mergeCell ref="J40:J42"/>
    <mergeCell ref="A43:A45"/>
    <mergeCell ref="B43:B45"/>
    <mergeCell ref="C43:C45"/>
    <mergeCell ref="D43:D45"/>
    <mergeCell ref="E43:E45"/>
    <mergeCell ref="F43:F45"/>
    <mergeCell ref="G43:G45"/>
    <mergeCell ref="H43:H45"/>
    <mergeCell ref="I43:I45"/>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H49:H51"/>
    <mergeCell ref="I49:I51"/>
    <mergeCell ref="B46:B48"/>
    <mergeCell ref="C46:C48"/>
    <mergeCell ref="D46:D48"/>
    <mergeCell ref="E46:E48"/>
    <mergeCell ref="F46:F48"/>
    <mergeCell ref="G46:G48"/>
    <mergeCell ref="H46:H48"/>
    <mergeCell ref="I46:I48"/>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C55:C57"/>
    <mergeCell ref="B55:B57"/>
    <mergeCell ref="A55:A57"/>
    <mergeCell ref="A58:A60"/>
    <mergeCell ref="B58:B60"/>
    <mergeCell ref="C58:C60"/>
    <mergeCell ref="H55:H57"/>
    <mergeCell ref="G55:G57"/>
    <mergeCell ref="F55:F57"/>
    <mergeCell ref="E55:E57"/>
    <mergeCell ref="D55:D57"/>
    <mergeCell ref="J115:J117"/>
    <mergeCell ref="I115:I117"/>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2:I114"/>
    <mergeCell ref="J112:J114"/>
    <mergeCell ref="K112:K114"/>
    <mergeCell ref="L112:L114"/>
    <mergeCell ref="M112:M114"/>
    <mergeCell ref="I61:I63"/>
    <mergeCell ref="J61:J63"/>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A88:A90"/>
    <mergeCell ref="A82:A84"/>
    <mergeCell ref="A79:A81"/>
    <mergeCell ref="A76:A78"/>
    <mergeCell ref="A73:A75"/>
    <mergeCell ref="A103:A105"/>
    <mergeCell ref="A97:A99"/>
    <mergeCell ref="A94:A96"/>
    <mergeCell ref="A91:A93"/>
    <mergeCell ref="A85:A87"/>
    <mergeCell ref="A100:A102"/>
    <mergeCell ref="A67:A69"/>
    <mergeCell ref="A64:A66"/>
    <mergeCell ref="A61:A63"/>
    <mergeCell ref="B61:B63"/>
    <mergeCell ref="C61:C63"/>
    <mergeCell ref="B64:B66"/>
    <mergeCell ref="C64:C66"/>
    <mergeCell ref="B67:B69"/>
    <mergeCell ref="C67:C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F82:F84"/>
    <mergeCell ref="E82:E84"/>
    <mergeCell ref="D82:D84"/>
    <mergeCell ref="C82:C84"/>
    <mergeCell ref="B82:B84"/>
    <mergeCell ref="B85:B87"/>
    <mergeCell ref="C85:C87"/>
    <mergeCell ref="D85:D87"/>
    <mergeCell ref="E85:E87"/>
    <mergeCell ref="F85:F87"/>
    <mergeCell ref="Q88:Q90"/>
    <mergeCell ref="G88:G90"/>
    <mergeCell ref="H88:H90"/>
    <mergeCell ref="I88:I90"/>
    <mergeCell ref="J88:J90"/>
    <mergeCell ref="K88:K90"/>
    <mergeCell ref="B88:B90"/>
    <mergeCell ref="C88:C90"/>
    <mergeCell ref="D88:D90"/>
    <mergeCell ref="E88:E90"/>
    <mergeCell ref="F88:F90"/>
    <mergeCell ref="B91:B93"/>
    <mergeCell ref="C91:C93"/>
    <mergeCell ref="D91:D93"/>
    <mergeCell ref="E91:E93"/>
    <mergeCell ref="F91:F93"/>
    <mergeCell ref="L88:L90"/>
    <mergeCell ref="M88:M90"/>
    <mergeCell ref="O88:O90"/>
    <mergeCell ref="P88:P90"/>
    <mergeCell ref="L91:L93"/>
    <mergeCell ref="M91:M93"/>
    <mergeCell ref="O91:O93"/>
    <mergeCell ref="P91:P93"/>
    <mergeCell ref="Q91:Q93"/>
    <mergeCell ref="G91:G93"/>
    <mergeCell ref="H91:H93"/>
    <mergeCell ref="I91:I93"/>
    <mergeCell ref="J91:J93"/>
    <mergeCell ref="K91:K93"/>
    <mergeCell ref="E94:E96"/>
    <mergeCell ref="D94:D96"/>
    <mergeCell ref="C94:C96"/>
    <mergeCell ref="B94:B96"/>
    <mergeCell ref="K94:K96"/>
    <mergeCell ref="J94:J96"/>
    <mergeCell ref="I94:I96"/>
    <mergeCell ref="H94:H96"/>
    <mergeCell ref="G94:G96"/>
    <mergeCell ref="O97:O99"/>
    <mergeCell ref="P97:P99"/>
    <mergeCell ref="Q97:Q99"/>
    <mergeCell ref="G97:G99"/>
    <mergeCell ref="H97:H99"/>
    <mergeCell ref="I97:I99"/>
    <mergeCell ref="J97:J99"/>
    <mergeCell ref="K97:K99"/>
    <mergeCell ref="F94:F96"/>
    <mergeCell ref="Q94:Q96"/>
    <mergeCell ref="P94:P96"/>
    <mergeCell ref="O94:O96"/>
    <mergeCell ref="M94:M96"/>
    <mergeCell ref="L94:L96"/>
    <mergeCell ref="B97:B99"/>
    <mergeCell ref="C97:C99"/>
    <mergeCell ref="D97:D99"/>
    <mergeCell ref="E97:E99"/>
    <mergeCell ref="F97:F99"/>
    <mergeCell ref="K100:K102"/>
    <mergeCell ref="L100:L102"/>
    <mergeCell ref="N100:N102"/>
    <mergeCell ref="M100:M102"/>
    <mergeCell ref="L97:L99"/>
    <mergeCell ref="M97:M99"/>
    <mergeCell ref="B103:B105"/>
    <mergeCell ref="C103:C105"/>
    <mergeCell ref="D103:D105"/>
    <mergeCell ref="E103:E105"/>
    <mergeCell ref="F103:F105"/>
    <mergeCell ref="G103:G105"/>
    <mergeCell ref="H103:H105"/>
    <mergeCell ref="I103:I105"/>
    <mergeCell ref="J103:J105"/>
    <mergeCell ref="K103:K105"/>
    <mergeCell ref="M106:M108"/>
    <mergeCell ref="O106:O108"/>
    <mergeCell ref="P106:P108"/>
    <mergeCell ref="Q106:Q108"/>
    <mergeCell ref="L103:L105"/>
    <mergeCell ref="M103:M105"/>
    <mergeCell ref="O103:O105"/>
    <mergeCell ref="P103:P105"/>
    <mergeCell ref="Q103:Q105"/>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G109:G111"/>
    <mergeCell ref="H109:H111"/>
    <mergeCell ref="I109:I111"/>
    <mergeCell ref="J109:J111"/>
    <mergeCell ref="A109:A111"/>
    <mergeCell ref="B109:B111"/>
    <mergeCell ref="C109:C111"/>
    <mergeCell ref="D109:D111"/>
    <mergeCell ref="E109:E111"/>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K136:K138"/>
    <mergeCell ref="L136:L138"/>
    <mergeCell ref="M136:M138"/>
    <mergeCell ref="O136:O138"/>
    <mergeCell ref="P136:P138"/>
    <mergeCell ref="Q136:Q138"/>
    <mergeCell ref="A133:A135"/>
    <mergeCell ref="B133:B135"/>
    <mergeCell ref="J133:J135"/>
    <mergeCell ref="A136:A138"/>
    <mergeCell ref="B136:B138"/>
    <mergeCell ref="C136:C138"/>
    <mergeCell ref="D136:D138"/>
    <mergeCell ref="E136:E138"/>
    <mergeCell ref="F136:F138"/>
    <mergeCell ref="G136:G138"/>
    <mergeCell ref="H136:H138"/>
    <mergeCell ref="I136:I138"/>
    <mergeCell ref="Q139:Q141"/>
    <mergeCell ref="K142:K144"/>
    <mergeCell ref="L142:L144"/>
    <mergeCell ref="M142:M144"/>
    <mergeCell ref="O142:O144"/>
    <mergeCell ref="P142:P144"/>
    <mergeCell ref="Q142:Q144"/>
    <mergeCell ref="C133:C135"/>
    <mergeCell ref="D133:D135"/>
    <mergeCell ref="E133:E135"/>
    <mergeCell ref="F133:F135"/>
    <mergeCell ref="G133:G135"/>
    <mergeCell ref="H133:H135"/>
    <mergeCell ref="I133:I135"/>
    <mergeCell ref="K133:K135"/>
    <mergeCell ref="M139:M141"/>
    <mergeCell ref="D139:D141"/>
    <mergeCell ref="C139:C141"/>
    <mergeCell ref="L133:L135"/>
    <mergeCell ref="M133:M135"/>
    <mergeCell ref="O133:O135"/>
    <mergeCell ref="P133:P135"/>
    <mergeCell ref="Q133:Q135"/>
    <mergeCell ref="J136:J138"/>
    <mergeCell ref="K145:K147"/>
    <mergeCell ref="L145:L147"/>
    <mergeCell ref="M145:M147"/>
    <mergeCell ref="O145:O147"/>
    <mergeCell ref="P145:P147"/>
    <mergeCell ref="Q145:Q147"/>
    <mergeCell ref="A142:A144"/>
    <mergeCell ref="B142:B144"/>
    <mergeCell ref="A145:A147"/>
    <mergeCell ref="B145:B147"/>
    <mergeCell ref="C145:C147"/>
    <mergeCell ref="D145:D147"/>
    <mergeCell ref="E145:E147"/>
    <mergeCell ref="F145:F147"/>
    <mergeCell ref="G145:G147"/>
    <mergeCell ref="H145:H147"/>
    <mergeCell ref="I145:I147"/>
    <mergeCell ref="C148:C150"/>
    <mergeCell ref="D148:D150"/>
    <mergeCell ref="E148:E150"/>
    <mergeCell ref="F148:F150"/>
    <mergeCell ref="G148:G150"/>
    <mergeCell ref="H148:H150"/>
    <mergeCell ref="I148:I150"/>
    <mergeCell ref="J142:J144"/>
    <mergeCell ref="C142:C144"/>
    <mergeCell ref="D142:D144"/>
    <mergeCell ref="E142:E144"/>
    <mergeCell ref="F142:F144"/>
    <mergeCell ref="G142:G144"/>
    <mergeCell ref="H142:H144"/>
    <mergeCell ref="I142:I144"/>
    <mergeCell ref="J148:J150"/>
    <mergeCell ref="J145:J147"/>
    <mergeCell ref="K148:K150"/>
    <mergeCell ref="L148:L150"/>
    <mergeCell ref="M148:M150"/>
    <mergeCell ref="O148:O150"/>
    <mergeCell ref="P148:P150"/>
    <mergeCell ref="Q148:Q150"/>
    <mergeCell ref="A151:A153"/>
    <mergeCell ref="B151:B153"/>
    <mergeCell ref="C151:C153"/>
    <mergeCell ref="D151:D153"/>
    <mergeCell ref="E151:E153"/>
    <mergeCell ref="F151:F153"/>
    <mergeCell ref="G151:G153"/>
    <mergeCell ref="H151:H153"/>
    <mergeCell ref="I151:I153"/>
    <mergeCell ref="J151:J153"/>
    <mergeCell ref="K151:K153"/>
    <mergeCell ref="L151:L153"/>
    <mergeCell ref="M151:M153"/>
    <mergeCell ref="O151:O153"/>
    <mergeCell ref="P151:P153"/>
    <mergeCell ref="Q151:Q153"/>
    <mergeCell ref="A148:A150"/>
    <mergeCell ref="B148:B150"/>
    <mergeCell ref="B139:B141"/>
    <mergeCell ref="A139:A141"/>
    <mergeCell ref="O100:O102"/>
    <mergeCell ref="P100:P102"/>
    <mergeCell ref="Q100:Q102"/>
    <mergeCell ref="J139:J141"/>
    <mergeCell ref="I139:I141"/>
    <mergeCell ref="H139:H141"/>
    <mergeCell ref="G139:G141"/>
    <mergeCell ref="F139:F141"/>
    <mergeCell ref="E139:E141"/>
    <mergeCell ref="B100:B102"/>
    <mergeCell ref="C100:C102"/>
    <mergeCell ref="D100:D102"/>
    <mergeCell ref="E100:E102"/>
    <mergeCell ref="F100:F102"/>
    <mergeCell ref="G100:G102"/>
    <mergeCell ref="H100:H102"/>
    <mergeCell ref="I100:I102"/>
    <mergeCell ref="J100:J102"/>
    <mergeCell ref="K139:K141"/>
    <mergeCell ref="L139:L141"/>
    <mergeCell ref="O139:O141"/>
    <mergeCell ref="P139:P141"/>
  </mergeCells>
  <conditionalFormatting sqref="K7 AB7:AB16">
    <cfRule type="cellIs" dxfId="2596" priority="3309" operator="equal">
      <formula>"Muy Alta"</formula>
    </cfRule>
    <cfRule type="cellIs" dxfId="2595" priority="3310" operator="equal">
      <formula>"Alta"</formula>
    </cfRule>
    <cfRule type="cellIs" dxfId="2594" priority="3311" operator="equal">
      <formula>"Media"</formula>
    </cfRule>
    <cfRule type="cellIs" dxfId="2593" priority="3312" operator="equal">
      <formula>"Baja"</formula>
    </cfRule>
    <cfRule type="cellIs" dxfId="2592" priority="3313" operator="equal">
      <formula>"Muy Baja"</formula>
    </cfRule>
  </conditionalFormatting>
  <conditionalFormatting sqref="Q7 AF7:AF16">
    <cfRule type="cellIs" dxfId="2591" priority="3300" operator="equal">
      <formula>"Extremo"</formula>
    </cfRule>
    <cfRule type="cellIs" dxfId="2590" priority="3301" operator="equal">
      <formula>"Alto"</formula>
    </cfRule>
    <cfRule type="cellIs" dxfId="2589" priority="3302" operator="equal">
      <formula>"Moderado"</formula>
    </cfRule>
    <cfRule type="cellIs" dxfId="2588" priority="3303" operator="equal">
      <formula>"Bajo"</formula>
    </cfRule>
  </conditionalFormatting>
  <conditionalFormatting sqref="AB49 AB55 AB58 AB61 AB64 AB67 AB79 AB82 AB88 AB91 AB97:AB98 AB106 AB19 AB22">
    <cfRule type="cellIs" dxfId="2587" priority="3295" operator="equal">
      <formula>"Muy Alta"</formula>
    </cfRule>
    <cfRule type="cellIs" dxfId="2586" priority="3296" operator="equal">
      <formula>"Alta"</formula>
    </cfRule>
    <cfRule type="cellIs" dxfId="2585" priority="3297" operator="equal">
      <formula>"Media"</formula>
    </cfRule>
    <cfRule type="cellIs" dxfId="2584" priority="3298" operator="equal">
      <formula>"Baja"</formula>
    </cfRule>
    <cfRule type="cellIs" dxfId="2583" priority="3299" operator="equal">
      <formula>"Muy Baja"</formula>
    </cfRule>
  </conditionalFormatting>
  <conditionalFormatting sqref="AD49 AD55 AD58 AD61 AD64 AD67 AD79 AD82 AD88 AD91 AD97:AD98 AD106 AD19 AD22 AD7:AD16">
    <cfRule type="cellIs" dxfId="2582" priority="3290" operator="equal">
      <formula>"Catastrófico"</formula>
    </cfRule>
    <cfRule type="cellIs" dxfId="2581" priority="3291" operator="equal">
      <formula>"Mayor"</formula>
    </cfRule>
    <cfRule type="cellIs" dxfId="2580" priority="3292" operator="equal">
      <formula>"Moderado"</formula>
    </cfRule>
    <cfRule type="cellIs" dxfId="2579" priority="3293" operator="equal">
      <formula>"Menor"</formula>
    </cfRule>
    <cfRule type="cellIs" dxfId="2578" priority="3294" operator="equal">
      <formula>"Leve"</formula>
    </cfRule>
  </conditionalFormatting>
  <conditionalFormatting sqref="AF49 AF55 AF58 AF61 AF64 AF67 AF79 AF82 AF88 AF91 AF97:AF98 AF106 AF19 AF22">
    <cfRule type="cellIs" dxfId="2577" priority="3286" operator="equal">
      <formula>"Extremo"</formula>
    </cfRule>
    <cfRule type="cellIs" dxfId="2576" priority="3287" operator="equal">
      <formula>"Alto"</formula>
    </cfRule>
    <cfRule type="cellIs" dxfId="2575" priority="3288" operator="equal">
      <formula>"Moderado"</formula>
    </cfRule>
    <cfRule type="cellIs" dxfId="2574" priority="3289" operator="equal">
      <formula>"Bajo"</formula>
    </cfRule>
  </conditionalFormatting>
  <conditionalFormatting sqref="K97:K98">
    <cfRule type="cellIs" dxfId="2573" priority="1423" operator="equal">
      <formula>"Muy Alta"</formula>
    </cfRule>
    <cfRule type="cellIs" dxfId="2572" priority="1424" operator="equal">
      <formula>"Alta"</formula>
    </cfRule>
    <cfRule type="cellIs" dxfId="2571" priority="1425" operator="equal">
      <formula>"Media"</formula>
    </cfRule>
    <cfRule type="cellIs" dxfId="2570" priority="1426" operator="equal">
      <formula>"Baja"</formula>
    </cfRule>
    <cfRule type="cellIs" dxfId="2569" priority="1427" operator="equal">
      <formula>"Muy Baja"</formula>
    </cfRule>
  </conditionalFormatting>
  <conditionalFormatting sqref="K82">
    <cfRule type="cellIs" dxfId="2568" priority="1483" operator="equal">
      <formula>"Muy Alta"</formula>
    </cfRule>
    <cfRule type="cellIs" dxfId="2567" priority="1484" operator="equal">
      <formula>"Alta"</formula>
    </cfRule>
    <cfRule type="cellIs" dxfId="2566" priority="1485" operator="equal">
      <formula>"Media"</formula>
    </cfRule>
    <cfRule type="cellIs" dxfId="2565" priority="1486" operator="equal">
      <formula>"Baja"</formula>
    </cfRule>
    <cfRule type="cellIs" dxfId="2564" priority="1487" operator="equal">
      <formula>"Muy Baja"</formula>
    </cfRule>
  </conditionalFormatting>
  <conditionalFormatting sqref="N7:N9">
    <cfRule type="containsText" dxfId="2563" priority="2991" operator="containsText" text="❌">
      <formula>NOT(ISERROR(SEARCH("❌",N7)))</formula>
    </cfRule>
  </conditionalFormatting>
  <conditionalFormatting sqref="AD52">
    <cfRule type="cellIs" dxfId="2562" priority="2469" operator="equal">
      <formula>"Catastrófico"</formula>
    </cfRule>
    <cfRule type="cellIs" dxfId="2561" priority="2470" operator="equal">
      <formula>"Mayor"</formula>
    </cfRule>
    <cfRule type="cellIs" dxfId="2560" priority="2471" operator="equal">
      <formula>"Moderado"</formula>
    </cfRule>
    <cfRule type="cellIs" dxfId="2559" priority="2472" operator="equal">
      <formula>"Menor"</formula>
    </cfRule>
    <cfRule type="cellIs" dxfId="2558" priority="2473" operator="equal">
      <formula>"Leve"</formula>
    </cfRule>
  </conditionalFormatting>
  <conditionalFormatting sqref="AF52">
    <cfRule type="cellIs" dxfId="2557" priority="2465" operator="equal">
      <formula>"Extremo"</formula>
    </cfRule>
    <cfRule type="cellIs" dxfId="2556" priority="2466" operator="equal">
      <formula>"Alto"</formula>
    </cfRule>
    <cfRule type="cellIs" dxfId="2555" priority="2467" operator="equal">
      <formula>"Moderado"</formula>
    </cfRule>
    <cfRule type="cellIs" dxfId="2554" priority="2468" operator="equal">
      <formula>"Bajo"</formula>
    </cfRule>
  </conditionalFormatting>
  <conditionalFormatting sqref="AF50">
    <cfRule type="cellIs" dxfId="2553" priority="2479" operator="equal">
      <formula>"Extremo"</formula>
    </cfRule>
    <cfRule type="cellIs" dxfId="2552" priority="2480" operator="equal">
      <formula>"Alto"</formula>
    </cfRule>
    <cfRule type="cellIs" dxfId="2551" priority="2481" operator="equal">
      <formula>"Moderado"</formula>
    </cfRule>
    <cfRule type="cellIs" dxfId="2550" priority="2482" operator="equal">
      <formula>"Bajo"</formula>
    </cfRule>
  </conditionalFormatting>
  <conditionalFormatting sqref="AB23">
    <cfRule type="cellIs" dxfId="2549" priority="2894" operator="equal">
      <formula>"Muy Alta"</formula>
    </cfRule>
    <cfRule type="cellIs" dxfId="2548" priority="2895" operator="equal">
      <formula>"Alta"</formula>
    </cfRule>
    <cfRule type="cellIs" dxfId="2547" priority="2896" operator="equal">
      <formula>"Media"</formula>
    </cfRule>
    <cfRule type="cellIs" dxfId="2546" priority="2897" operator="equal">
      <formula>"Baja"</formula>
    </cfRule>
    <cfRule type="cellIs" dxfId="2545" priority="2898" operator="equal">
      <formula>"Muy Baja"</formula>
    </cfRule>
  </conditionalFormatting>
  <conditionalFormatting sqref="AD23">
    <cfRule type="cellIs" dxfId="2544" priority="2889" operator="equal">
      <formula>"Catastrófico"</formula>
    </cfRule>
    <cfRule type="cellIs" dxfId="2543" priority="2890" operator="equal">
      <formula>"Mayor"</formula>
    </cfRule>
    <cfRule type="cellIs" dxfId="2542" priority="2891" operator="equal">
      <formula>"Moderado"</formula>
    </cfRule>
    <cfRule type="cellIs" dxfId="2541" priority="2892" operator="equal">
      <formula>"Menor"</formula>
    </cfRule>
    <cfRule type="cellIs" dxfId="2540" priority="2893" operator="equal">
      <formula>"Leve"</formula>
    </cfRule>
  </conditionalFormatting>
  <conditionalFormatting sqref="AF23">
    <cfRule type="cellIs" dxfId="2539" priority="2885" operator="equal">
      <formula>"Extremo"</formula>
    </cfRule>
    <cfRule type="cellIs" dxfId="2538" priority="2886" operator="equal">
      <formula>"Alto"</formula>
    </cfRule>
    <cfRule type="cellIs" dxfId="2537" priority="2887" operator="equal">
      <formula>"Moderado"</formula>
    </cfRule>
    <cfRule type="cellIs" dxfId="2536" priority="2888" operator="equal">
      <formula>"Bajo"</formula>
    </cfRule>
  </conditionalFormatting>
  <conditionalFormatting sqref="AB24">
    <cfRule type="cellIs" dxfId="2535" priority="2880" operator="equal">
      <formula>"Muy Alta"</formula>
    </cfRule>
    <cfRule type="cellIs" dxfId="2534" priority="2881" operator="equal">
      <formula>"Alta"</formula>
    </cfRule>
    <cfRule type="cellIs" dxfId="2533" priority="2882" operator="equal">
      <formula>"Media"</formula>
    </cfRule>
    <cfRule type="cellIs" dxfId="2532" priority="2883" operator="equal">
      <formula>"Baja"</formula>
    </cfRule>
    <cfRule type="cellIs" dxfId="2531" priority="2884" operator="equal">
      <formula>"Muy Baja"</formula>
    </cfRule>
  </conditionalFormatting>
  <conditionalFormatting sqref="AD24">
    <cfRule type="cellIs" dxfId="2530" priority="2875" operator="equal">
      <formula>"Catastrófico"</formula>
    </cfRule>
    <cfRule type="cellIs" dxfId="2529" priority="2876" operator="equal">
      <formula>"Mayor"</formula>
    </cfRule>
    <cfRule type="cellIs" dxfId="2528" priority="2877" operator="equal">
      <formula>"Moderado"</formula>
    </cfRule>
    <cfRule type="cellIs" dxfId="2527" priority="2878" operator="equal">
      <formula>"Menor"</formula>
    </cfRule>
    <cfRule type="cellIs" dxfId="2526" priority="2879" operator="equal">
      <formula>"Leve"</formula>
    </cfRule>
  </conditionalFormatting>
  <conditionalFormatting sqref="AF24">
    <cfRule type="cellIs" dxfId="2525" priority="2871" operator="equal">
      <formula>"Extremo"</formula>
    </cfRule>
    <cfRule type="cellIs" dxfId="2524" priority="2872" operator="equal">
      <formula>"Alto"</formula>
    </cfRule>
    <cfRule type="cellIs" dxfId="2523" priority="2873" operator="equal">
      <formula>"Moderado"</formula>
    </cfRule>
    <cfRule type="cellIs" dxfId="2522" priority="2874" operator="equal">
      <formula>"Bajo"</formula>
    </cfRule>
  </conditionalFormatting>
  <conditionalFormatting sqref="AB25">
    <cfRule type="cellIs" dxfId="2521" priority="2866" operator="equal">
      <formula>"Muy Alta"</formula>
    </cfRule>
    <cfRule type="cellIs" dxfId="2520" priority="2867" operator="equal">
      <formula>"Alta"</formula>
    </cfRule>
    <cfRule type="cellIs" dxfId="2519" priority="2868" operator="equal">
      <formula>"Media"</formula>
    </cfRule>
    <cfRule type="cellIs" dxfId="2518" priority="2869" operator="equal">
      <formula>"Baja"</formula>
    </cfRule>
    <cfRule type="cellIs" dxfId="2517" priority="2870" operator="equal">
      <formula>"Muy Baja"</formula>
    </cfRule>
  </conditionalFormatting>
  <conditionalFormatting sqref="AD25">
    <cfRule type="cellIs" dxfId="2516" priority="2861" operator="equal">
      <formula>"Catastrófico"</formula>
    </cfRule>
    <cfRule type="cellIs" dxfId="2515" priority="2862" operator="equal">
      <formula>"Mayor"</formula>
    </cfRule>
    <cfRule type="cellIs" dxfId="2514" priority="2863" operator="equal">
      <formula>"Moderado"</formula>
    </cfRule>
    <cfRule type="cellIs" dxfId="2513" priority="2864" operator="equal">
      <formula>"Menor"</formula>
    </cfRule>
    <cfRule type="cellIs" dxfId="2512" priority="2865" operator="equal">
      <formula>"Leve"</formula>
    </cfRule>
  </conditionalFormatting>
  <conditionalFormatting sqref="AF25">
    <cfRule type="cellIs" dxfId="2511" priority="2857" operator="equal">
      <formula>"Extremo"</formula>
    </cfRule>
    <cfRule type="cellIs" dxfId="2510" priority="2858" operator="equal">
      <formula>"Alto"</formula>
    </cfRule>
    <cfRule type="cellIs" dxfId="2509" priority="2859" operator="equal">
      <formula>"Moderado"</formula>
    </cfRule>
    <cfRule type="cellIs" dxfId="2508" priority="2860" operator="equal">
      <formula>"Bajo"</formula>
    </cfRule>
  </conditionalFormatting>
  <conditionalFormatting sqref="AB26">
    <cfRule type="cellIs" dxfId="2507" priority="2852" operator="equal">
      <formula>"Muy Alta"</formula>
    </cfRule>
    <cfRule type="cellIs" dxfId="2506" priority="2853" operator="equal">
      <formula>"Alta"</formula>
    </cfRule>
    <cfRule type="cellIs" dxfId="2505" priority="2854" operator="equal">
      <formula>"Media"</formula>
    </cfRule>
    <cfRule type="cellIs" dxfId="2504" priority="2855" operator="equal">
      <formula>"Baja"</formula>
    </cfRule>
    <cfRule type="cellIs" dxfId="2503" priority="2856" operator="equal">
      <formula>"Muy Baja"</formula>
    </cfRule>
  </conditionalFormatting>
  <conditionalFormatting sqref="AD26">
    <cfRule type="cellIs" dxfId="2502" priority="2847" operator="equal">
      <formula>"Catastrófico"</formula>
    </cfRule>
    <cfRule type="cellIs" dxfId="2501" priority="2848" operator="equal">
      <formula>"Mayor"</formula>
    </cfRule>
    <cfRule type="cellIs" dxfId="2500" priority="2849" operator="equal">
      <formula>"Moderado"</formula>
    </cfRule>
    <cfRule type="cellIs" dxfId="2499" priority="2850" operator="equal">
      <formula>"Menor"</formula>
    </cfRule>
    <cfRule type="cellIs" dxfId="2498" priority="2851" operator="equal">
      <formula>"Leve"</formula>
    </cfRule>
  </conditionalFormatting>
  <conditionalFormatting sqref="AF26">
    <cfRule type="cellIs" dxfId="2497" priority="2843" operator="equal">
      <formula>"Extremo"</formula>
    </cfRule>
    <cfRule type="cellIs" dxfId="2496" priority="2844" operator="equal">
      <formula>"Alto"</formula>
    </cfRule>
    <cfRule type="cellIs" dxfId="2495" priority="2845" operator="equal">
      <formula>"Moderado"</formula>
    </cfRule>
    <cfRule type="cellIs" dxfId="2494" priority="2846" operator="equal">
      <formula>"Bajo"</formula>
    </cfRule>
  </conditionalFormatting>
  <conditionalFormatting sqref="AB27">
    <cfRule type="cellIs" dxfId="2493" priority="2838" operator="equal">
      <formula>"Muy Alta"</formula>
    </cfRule>
    <cfRule type="cellIs" dxfId="2492" priority="2839" operator="equal">
      <formula>"Alta"</formula>
    </cfRule>
    <cfRule type="cellIs" dxfId="2491" priority="2840" operator="equal">
      <formula>"Media"</formula>
    </cfRule>
    <cfRule type="cellIs" dxfId="2490" priority="2841" operator="equal">
      <formula>"Baja"</formula>
    </cfRule>
    <cfRule type="cellIs" dxfId="2489" priority="2842" operator="equal">
      <formula>"Muy Baja"</formula>
    </cfRule>
  </conditionalFormatting>
  <conditionalFormatting sqref="AD27">
    <cfRule type="cellIs" dxfId="2488" priority="2833" operator="equal">
      <formula>"Catastrófico"</formula>
    </cfRule>
    <cfRule type="cellIs" dxfId="2487" priority="2834" operator="equal">
      <formula>"Mayor"</formula>
    </cfRule>
    <cfRule type="cellIs" dxfId="2486" priority="2835" operator="equal">
      <formula>"Moderado"</formula>
    </cfRule>
    <cfRule type="cellIs" dxfId="2485" priority="2836" operator="equal">
      <formula>"Menor"</formula>
    </cfRule>
    <cfRule type="cellIs" dxfId="2484" priority="2837" operator="equal">
      <formula>"Leve"</formula>
    </cfRule>
  </conditionalFormatting>
  <conditionalFormatting sqref="AF27">
    <cfRule type="cellIs" dxfId="2483" priority="2829" operator="equal">
      <formula>"Extremo"</formula>
    </cfRule>
    <cfRule type="cellIs" dxfId="2482" priority="2830" operator="equal">
      <formula>"Alto"</formula>
    </cfRule>
    <cfRule type="cellIs" dxfId="2481" priority="2831" operator="equal">
      <formula>"Moderado"</formula>
    </cfRule>
    <cfRule type="cellIs" dxfId="2480" priority="2832" operator="equal">
      <formula>"Bajo"</formula>
    </cfRule>
  </conditionalFormatting>
  <conditionalFormatting sqref="AB28">
    <cfRule type="cellIs" dxfId="2479" priority="2824" operator="equal">
      <formula>"Muy Alta"</formula>
    </cfRule>
    <cfRule type="cellIs" dxfId="2478" priority="2825" operator="equal">
      <formula>"Alta"</formula>
    </cfRule>
    <cfRule type="cellIs" dxfId="2477" priority="2826" operator="equal">
      <formula>"Media"</formula>
    </cfRule>
    <cfRule type="cellIs" dxfId="2476" priority="2827" operator="equal">
      <formula>"Baja"</formula>
    </cfRule>
    <cfRule type="cellIs" dxfId="2475" priority="2828" operator="equal">
      <formula>"Muy Baja"</formula>
    </cfRule>
  </conditionalFormatting>
  <conditionalFormatting sqref="AD28">
    <cfRule type="cellIs" dxfId="2474" priority="2819" operator="equal">
      <formula>"Catastrófico"</formula>
    </cfRule>
    <cfRule type="cellIs" dxfId="2473" priority="2820" operator="equal">
      <formula>"Mayor"</formula>
    </cfRule>
    <cfRule type="cellIs" dxfId="2472" priority="2821" operator="equal">
      <formula>"Moderado"</formula>
    </cfRule>
    <cfRule type="cellIs" dxfId="2471" priority="2822" operator="equal">
      <formula>"Menor"</formula>
    </cfRule>
    <cfRule type="cellIs" dxfId="2470" priority="2823" operator="equal">
      <formula>"Leve"</formula>
    </cfRule>
  </conditionalFormatting>
  <conditionalFormatting sqref="AF28">
    <cfRule type="cellIs" dxfId="2469" priority="2815" operator="equal">
      <formula>"Extremo"</formula>
    </cfRule>
    <cfRule type="cellIs" dxfId="2468" priority="2816" operator="equal">
      <formula>"Alto"</formula>
    </cfRule>
    <cfRule type="cellIs" dxfId="2467" priority="2817" operator="equal">
      <formula>"Moderado"</formula>
    </cfRule>
    <cfRule type="cellIs" dxfId="2466" priority="2818" operator="equal">
      <formula>"Bajo"</formula>
    </cfRule>
  </conditionalFormatting>
  <conditionalFormatting sqref="AB29">
    <cfRule type="cellIs" dxfId="2465" priority="2810" operator="equal">
      <formula>"Muy Alta"</formula>
    </cfRule>
    <cfRule type="cellIs" dxfId="2464" priority="2811" operator="equal">
      <formula>"Alta"</formula>
    </cfRule>
    <cfRule type="cellIs" dxfId="2463" priority="2812" operator="equal">
      <formula>"Media"</formula>
    </cfRule>
    <cfRule type="cellIs" dxfId="2462" priority="2813" operator="equal">
      <formula>"Baja"</formula>
    </cfRule>
    <cfRule type="cellIs" dxfId="2461" priority="2814" operator="equal">
      <formula>"Muy Baja"</formula>
    </cfRule>
  </conditionalFormatting>
  <conditionalFormatting sqref="AD29">
    <cfRule type="cellIs" dxfId="2460" priority="2805" operator="equal">
      <formula>"Catastrófico"</formula>
    </cfRule>
    <cfRule type="cellIs" dxfId="2459" priority="2806" operator="equal">
      <formula>"Mayor"</formula>
    </cfRule>
    <cfRule type="cellIs" dxfId="2458" priority="2807" operator="equal">
      <formula>"Moderado"</formula>
    </cfRule>
    <cfRule type="cellIs" dxfId="2457" priority="2808" operator="equal">
      <formula>"Menor"</formula>
    </cfRule>
    <cfRule type="cellIs" dxfId="2456" priority="2809" operator="equal">
      <formula>"Leve"</formula>
    </cfRule>
  </conditionalFormatting>
  <conditionalFormatting sqref="AF29">
    <cfRule type="cellIs" dxfId="2455" priority="2801" operator="equal">
      <formula>"Extremo"</formula>
    </cfRule>
    <cfRule type="cellIs" dxfId="2454" priority="2802" operator="equal">
      <formula>"Alto"</formula>
    </cfRule>
    <cfRule type="cellIs" dxfId="2453" priority="2803" operator="equal">
      <formula>"Moderado"</formula>
    </cfRule>
    <cfRule type="cellIs" dxfId="2452" priority="2804" operator="equal">
      <formula>"Bajo"</formula>
    </cfRule>
  </conditionalFormatting>
  <conditionalFormatting sqref="AB30">
    <cfRule type="cellIs" dxfId="2451" priority="2796" operator="equal">
      <formula>"Muy Alta"</formula>
    </cfRule>
    <cfRule type="cellIs" dxfId="2450" priority="2797" operator="equal">
      <formula>"Alta"</formula>
    </cfRule>
    <cfRule type="cellIs" dxfId="2449" priority="2798" operator="equal">
      <formula>"Media"</formula>
    </cfRule>
    <cfRule type="cellIs" dxfId="2448" priority="2799" operator="equal">
      <formula>"Baja"</formula>
    </cfRule>
    <cfRule type="cellIs" dxfId="2447" priority="2800" operator="equal">
      <formula>"Muy Baja"</formula>
    </cfRule>
  </conditionalFormatting>
  <conditionalFormatting sqref="AD30">
    <cfRule type="cellIs" dxfId="2446" priority="2791" operator="equal">
      <formula>"Catastrófico"</formula>
    </cfRule>
    <cfRule type="cellIs" dxfId="2445" priority="2792" operator="equal">
      <formula>"Mayor"</formula>
    </cfRule>
    <cfRule type="cellIs" dxfId="2444" priority="2793" operator="equal">
      <formula>"Moderado"</formula>
    </cfRule>
    <cfRule type="cellIs" dxfId="2443" priority="2794" operator="equal">
      <formula>"Menor"</formula>
    </cfRule>
    <cfRule type="cellIs" dxfId="2442" priority="2795" operator="equal">
      <formula>"Leve"</formula>
    </cfRule>
  </conditionalFormatting>
  <conditionalFormatting sqref="AF30">
    <cfRule type="cellIs" dxfId="2441" priority="2787" operator="equal">
      <formula>"Extremo"</formula>
    </cfRule>
    <cfRule type="cellIs" dxfId="2440" priority="2788" operator="equal">
      <formula>"Alto"</formula>
    </cfRule>
    <cfRule type="cellIs" dxfId="2439" priority="2789" operator="equal">
      <formula>"Moderado"</formula>
    </cfRule>
    <cfRule type="cellIs" dxfId="2438" priority="2790" operator="equal">
      <formula>"Bajo"</formula>
    </cfRule>
  </conditionalFormatting>
  <conditionalFormatting sqref="AB31">
    <cfRule type="cellIs" dxfId="2437" priority="2782" operator="equal">
      <formula>"Muy Alta"</formula>
    </cfRule>
    <cfRule type="cellIs" dxfId="2436" priority="2783" operator="equal">
      <formula>"Alta"</formula>
    </cfRule>
    <cfRule type="cellIs" dxfId="2435" priority="2784" operator="equal">
      <formula>"Media"</formula>
    </cfRule>
    <cfRule type="cellIs" dxfId="2434" priority="2785" operator="equal">
      <formula>"Baja"</formula>
    </cfRule>
    <cfRule type="cellIs" dxfId="2433" priority="2786" operator="equal">
      <formula>"Muy Baja"</formula>
    </cfRule>
  </conditionalFormatting>
  <conditionalFormatting sqref="AD31">
    <cfRule type="cellIs" dxfId="2432" priority="2777" operator="equal">
      <formula>"Catastrófico"</formula>
    </cfRule>
    <cfRule type="cellIs" dxfId="2431" priority="2778" operator="equal">
      <formula>"Mayor"</formula>
    </cfRule>
    <cfRule type="cellIs" dxfId="2430" priority="2779" operator="equal">
      <formula>"Moderado"</formula>
    </cfRule>
    <cfRule type="cellIs" dxfId="2429" priority="2780" operator="equal">
      <formula>"Menor"</formula>
    </cfRule>
    <cfRule type="cellIs" dxfId="2428" priority="2781" operator="equal">
      <formula>"Leve"</formula>
    </cfRule>
  </conditionalFormatting>
  <conditionalFormatting sqref="AF31">
    <cfRule type="cellIs" dxfId="2427" priority="2773" operator="equal">
      <formula>"Extremo"</formula>
    </cfRule>
    <cfRule type="cellIs" dxfId="2426" priority="2774" operator="equal">
      <formula>"Alto"</formula>
    </cfRule>
    <cfRule type="cellIs" dxfId="2425" priority="2775" operator="equal">
      <formula>"Moderado"</formula>
    </cfRule>
    <cfRule type="cellIs" dxfId="2424" priority="2776" operator="equal">
      <formula>"Bajo"</formula>
    </cfRule>
  </conditionalFormatting>
  <conditionalFormatting sqref="AB32">
    <cfRule type="cellIs" dxfId="2423" priority="2768" operator="equal">
      <formula>"Muy Alta"</formula>
    </cfRule>
    <cfRule type="cellIs" dxfId="2422" priority="2769" operator="equal">
      <formula>"Alta"</formula>
    </cfRule>
    <cfRule type="cellIs" dxfId="2421" priority="2770" operator="equal">
      <formula>"Media"</formula>
    </cfRule>
    <cfRule type="cellIs" dxfId="2420" priority="2771" operator="equal">
      <formula>"Baja"</formula>
    </cfRule>
    <cfRule type="cellIs" dxfId="2419" priority="2772" operator="equal">
      <formula>"Muy Baja"</formula>
    </cfRule>
  </conditionalFormatting>
  <conditionalFormatting sqref="AD32">
    <cfRule type="cellIs" dxfId="2418" priority="2763" operator="equal">
      <formula>"Catastrófico"</formula>
    </cfRule>
    <cfRule type="cellIs" dxfId="2417" priority="2764" operator="equal">
      <formula>"Mayor"</formula>
    </cfRule>
    <cfRule type="cellIs" dxfId="2416" priority="2765" operator="equal">
      <formula>"Moderado"</formula>
    </cfRule>
    <cfRule type="cellIs" dxfId="2415" priority="2766" operator="equal">
      <formula>"Menor"</formula>
    </cfRule>
    <cfRule type="cellIs" dxfId="2414" priority="2767" operator="equal">
      <formula>"Leve"</formula>
    </cfRule>
  </conditionalFormatting>
  <conditionalFormatting sqref="AF32">
    <cfRule type="cellIs" dxfId="2413" priority="2759" operator="equal">
      <formula>"Extremo"</formula>
    </cfRule>
    <cfRule type="cellIs" dxfId="2412" priority="2760" operator="equal">
      <formula>"Alto"</formula>
    </cfRule>
    <cfRule type="cellIs" dxfId="2411" priority="2761" operator="equal">
      <formula>"Moderado"</formula>
    </cfRule>
    <cfRule type="cellIs" dxfId="2410" priority="2762" operator="equal">
      <formula>"Bajo"</formula>
    </cfRule>
  </conditionalFormatting>
  <conditionalFormatting sqref="AB33">
    <cfRule type="cellIs" dxfId="2409" priority="2754" operator="equal">
      <formula>"Muy Alta"</formula>
    </cfRule>
    <cfRule type="cellIs" dxfId="2408" priority="2755" operator="equal">
      <formula>"Alta"</formula>
    </cfRule>
    <cfRule type="cellIs" dxfId="2407" priority="2756" operator="equal">
      <formula>"Media"</formula>
    </cfRule>
    <cfRule type="cellIs" dxfId="2406" priority="2757" operator="equal">
      <formula>"Baja"</formula>
    </cfRule>
    <cfRule type="cellIs" dxfId="2405" priority="2758" operator="equal">
      <formula>"Muy Baja"</formula>
    </cfRule>
  </conditionalFormatting>
  <conditionalFormatting sqref="AD33">
    <cfRule type="cellIs" dxfId="2404" priority="2749" operator="equal">
      <formula>"Catastrófico"</formula>
    </cfRule>
    <cfRule type="cellIs" dxfId="2403" priority="2750" operator="equal">
      <formula>"Mayor"</formula>
    </cfRule>
    <cfRule type="cellIs" dxfId="2402" priority="2751" operator="equal">
      <formula>"Moderado"</formula>
    </cfRule>
    <cfRule type="cellIs" dxfId="2401" priority="2752" operator="equal">
      <formula>"Menor"</formula>
    </cfRule>
    <cfRule type="cellIs" dxfId="2400" priority="2753" operator="equal">
      <formula>"Leve"</formula>
    </cfRule>
  </conditionalFormatting>
  <conditionalFormatting sqref="AF33">
    <cfRule type="cellIs" dxfId="2399" priority="2745" operator="equal">
      <formula>"Extremo"</formula>
    </cfRule>
    <cfRule type="cellIs" dxfId="2398" priority="2746" operator="equal">
      <formula>"Alto"</formula>
    </cfRule>
    <cfRule type="cellIs" dxfId="2397" priority="2747" operator="equal">
      <formula>"Moderado"</formula>
    </cfRule>
    <cfRule type="cellIs" dxfId="2396" priority="2748" operator="equal">
      <formula>"Bajo"</formula>
    </cfRule>
  </conditionalFormatting>
  <conditionalFormatting sqref="AB34">
    <cfRule type="cellIs" dxfId="2395" priority="2740" operator="equal">
      <formula>"Muy Alta"</formula>
    </cfRule>
    <cfRule type="cellIs" dxfId="2394" priority="2741" operator="equal">
      <formula>"Alta"</formula>
    </cfRule>
    <cfRule type="cellIs" dxfId="2393" priority="2742" operator="equal">
      <formula>"Media"</formula>
    </cfRule>
    <cfRule type="cellIs" dxfId="2392" priority="2743" operator="equal">
      <formula>"Baja"</formula>
    </cfRule>
    <cfRule type="cellIs" dxfId="2391" priority="2744" operator="equal">
      <formula>"Muy Baja"</formula>
    </cfRule>
  </conditionalFormatting>
  <conditionalFormatting sqref="AD34">
    <cfRule type="cellIs" dxfId="2390" priority="2735" operator="equal">
      <formula>"Catastrófico"</formula>
    </cfRule>
    <cfRule type="cellIs" dxfId="2389" priority="2736" operator="equal">
      <formula>"Mayor"</formula>
    </cfRule>
    <cfRule type="cellIs" dxfId="2388" priority="2737" operator="equal">
      <formula>"Moderado"</formula>
    </cfRule>
    <cfRule type="cellIs" dxfId="2387" priority="2738" operator="equal">
      <formula>"Menor"</formula>
    </cfRule>
    <cfRule type="cellIs" dxfId="2386" priority="2739" operator="equal">
      <formula>"Leve"</formula>
    </cfRule>
  </conditionalFormatting>
  <conditionalFormatting sqref="AF34">
    <cfRule type="cellIs" dxfId="2385" priority="2731" operator="equal">
      <formula>"Extremo"</formula>
    </cfRule>
    <cfRule type="cellIs" dxfId="2384" priority="2732" operator="equal">
      <formula>"Alto"</formula>
    </cfRule>
    <cfRule type="cellIs" dxfId="2383" priority="2733" operator="equal">
      <formula>"Moderado"</formula>
    </cfRule>
    <cfRule type="cellIs" dxfId="2382" priority="2734" operator="equal">
      <formula>"Bajo"</formula>
    </cfRule>
  </conditionalFormatting>
  <conditionalFormatting sqref="AB35">
    <cfRule type="cellIs" dxfId="2381" priority="2726" operator="equal">
      <formula>"Muy Alta"</formula>
    </cfRule>
    <cfRule type="cellIs" dxfId="2380" priority="2727" operator="equal">
      <formula>"Alta"</formula>
    </cfRule>
    <cfRule type="cellIs" dxfId="2379" priority="2728" operator="equal">
      <formula>"Media"</formula>
    </cfRule>
    <cfRule type="cellIs" dxfId="2378" priority="2729" operator="equal">
      <formula>"Baja"</formula>
    </cfRule>
    <cfRule type="cellIs" dxfId="2377" priority="2730" operator="equal">
      <formula>"Muy Baja"</formula>
    </cfRule>
  </conditionalFormatting>
  <conditionalFormatting sqref="AD35">
    <cfRule type="cellIs" dxfId="2376" priority="2721" operator="equal">
      <formula>"Catastrófico"</formula>
    </cfRule>
    <cfRule type="cellIs" dxfId="2375" priority="2722" operator="equal">
      <formula>"Mayor"</formula>
    </cfRule>
    <cfRule type="cellIs" dxfId="2374" priority="2723" operator="equal">
      <formula>"Moderado"</formula>
    </cfRule>
    <cfRule type="cellIs" dxfId="2373" priority="2724" operator="equal">
      <formula>"Menor"</formula>
    </cfRule>
    <cfRule type="cellIs" dxfId="2372" priority="2725" operator="equal">
      <formula>"Leve"</formula>
    </cfRule>
  </conditionalFormatting>
  <conditionalFormatting sqref="AF35">
    <cfRule type="cellIs" dxfId="2371" priority="2717" operator="equal">
      <formula>"Extremo"</formula>
    </cfRule>
    <cfRule type="cellIs" dxfId="2370" priority="2718" operator="equal">
      <formula>"Alto"</formula>
    </cfRule>
    <cfRule type="cellIs" dxfId="2369" priority="2719" operator="equal">
      <formula>"Moderado"</formula>
    </cfRule>
    <cfRule type="cellIs" dxfId="2368" priority="2720" operator="equal">
      <formula>"Bajo"</formula>
    </cfRule>
  </conditionalFormatting>
  <conditionalFormatting sqref="AB36">
    <cfRule type="cellIs" dxfId="2367" priority="2712" operator="equal">
      <formula>"Muy Alta"</formula>
    </cfRule>
    <cfRule type="cellIs" dxfId="2366" priority="2713" operator="equal">
      <formula>"Alta"</formula>
    </cfRule>
    <cfRule type="cellIs" dxfId="2365" priority="2714" operator="equal">
      <formula>"Media"</formula>
    </cfRule>
    <cfRule type="cellIs" dxfId="2364" priority="2715" operator="equal">
      <formula>"Baja"</formula>
    </cfRule>
    <cfRule type="cellIs" dxfId="2363" priority="2716" operator="equal">
      <formula>"Muy Baja"</formula>
    </cfRule>
  </conditionalFormatting>
  <conditionalFormatting sqref="AD36">
    <cfRule type="cellIs" dxfId="2362" priority="2707" operator="equal">
      <formula>"Catastrófico"</formula>
    </cfRule>
    <cfRule type="cellIs" dxfId="2361" priority="2708" operator="equal">
      <formula>"Mayor"</formula>
    </cfRule>
    <cfRule type="cellIs" dxfId="2360" priority="2709" operator="equal">
      <formula>"Moderado"</formula>
    </cfRule>
    <cfRule type="cellIs" dxfId="2359" priority="2710" operator="equal">
      <formula>"Menor"</formula>
    </cfRule>
    <cfRule type="cellIs" dxfId="2358" priority="2711" operator="equal">
      <formula>"Leve"</formula>
    </cfRule>
  </conditionalFormatting>
  <conditionalFormatting sqref="AF36">
    <cfRule type="cellIs" dxfId="2357" priority="2703" operator="equal">
      <formula>"Extremo"</formula>
    </cfRule>
    <cfRule type="cellIs" dxfId="2356" priority="2704" operator="equal">
      <formula>"Alto"</formula>
    </cfRule>
    <cfRule type="cellIs" dxfId="2355" priority="2705" operator="equal">
      <formula>"Moderado"</formula>
    </cfRule>
    <cfRule type="cellIs" dxfId="2354" priority="2706" operator="equal">
      <formula>"Bajo"</formula>
    </cfRule>
  </conditionalFormatting>
  <conditionalFormatting sqref="AB37">
    <cfRule type="cellIs" dxfId="2353" priority="2698" operator="equal">
      <formula>"Muy Alta"</formula>
    </cfRule>
    <cfRule type="cellIs" dxfId="2352" priority="2699" operator="equal">
      <formula>"Alta"</formula>
    </cfRule>
    <cfRule type="cellIs" dxfId="2351" priority="2700" operator="equal">
      <formula>"Media"</formula>
    </cfRule>
    <cfRule type="cellIs" dxfId="2350" priority="2701" operator="equal">
      <formula>"Baja"</formula>
    </cfRule>
    <cfRule type="cellIs" dxfId="2349" priority="2702" operator="equal">
      <formula>"Muy Baja"</formula>
    </cfRule>
  </conditionalFormatting>
  <conditionalFormatting sqref="AD37">
    <cfRule type="cellIs" dxfId="2348" priority="2693" operator="equal">
      <formula>"Catastrófico"</formula>
    </cfRule>
    <cfRule type="cellIs" dxfId="2347" priority="2694" operator="equal">
      <formula>"Mayor"</formula>
    </cfRule>
    <cfRule type="cellIs" dxfId="2346" priority="2695" operator="equal">
      <formula>"Moderado"</formula>
    </cfRule>
    <cfRule type="cellIs" dxfId="2345" priority="2696" operator="equal">
      <formula>"Menor"</formula>
    </cfRule>
    <cfRule type="cellIs" dxfId="2344" priority="2697" operator="equal">
      <formula>"Leve"</formula>
    </cfRule>
  </conditionalFormatting>
  <conditionalFormatting sqref="AF37">
    <cfRule type="cellIs" dxfId="2343" priority="2689" operator="equal">
      <formula>"Extremo"</formula>
    </cfRule>
    <cfRule type="cellIs" dxfId="2342" priority="2690" operator="equal">
      <formula>"Alto"</formula>
    </cfRule>
    <cfRule type="cellIs" dxfId="2341" priority="2691" operator="equal">
      <formula>"Moderado"</formula>
    </cfRule>
    <cfRule type="cellIs" dxfId="2340" priority="2692" operator="equal">
      <formula>"Bajo"</formula>
    </cfRule>
  </conditionalFormatting>
  <conditionalFormatting sqref="AB38">
    <cfRule type="cellIs" dxfId="2339" priority="2684" operator="equal">
      <formula>"Muy Alta"</formula>
    </cfRule>
    <cfRule type="cellIs" dxfId="2338" priority="2685" operator="equal">
      <formula>"Alta"</formula>
    </cfRule>
    <cfRule type="cellIs" dxfId="2337" priority="2686" operator="equal">
      <formula>"Media"</formula>
    </cfRule>
    <cfRule type="cellIs" dxfId="2336" priority="2687" operator="equal">
      <formula>"Baja"</formula>
    </cfRule>
    <cfRule type="cellIs" dxfId="2335" priority="2688" operator="equal">
      <formula>"Muy Baja"</formula>
    </cfRule>
  </conditionalFormatting>
  <conditionalFormatting sqref="AD38">
    <cfRule type="cellIs" dxfId="2334" priority="2679" operator="equal">
      <formula>"Catastrófico"</formula>
    </cfRule>
    <cfRule type="cellIs" dxfId="2333" priority="2680" operator="equal">
      <formula>"Mayor"</formula>
    </cfRule>
    <cfRule type="cellIs" dxfId="2332" priority="2681" operator="equal">
      <formula>"Moderado"</formula>
    </cfRule>
    <cfRule type="cellIs" dxfId="2331" priority="2682" operator="equal">
      <formula>"Menor"</formula>
    </cfRule>
    <cfRule type="cellIs" dxfId="2330" priority="2683" operator="equal">
      <formula>"Leve"</formula>
    </cfRule>
  </conditionalFormatting>
  <conditionalFormatting sqref="AF38">
    <cfRule type="cellIs" dxfId="2329" priority="2675" operator="equal">
      <formula>"Extremo"</formula>
    </cfRule>
    <cfRule type="cellIs" dxfId="2328" priority="2676" operator="equal">
      <formula>"Alto"</formula>
    </cfRule>
    <cfRule type="cellIs" dxfId="2327" priority="2677" operator="equal">
      <formula>"Moderado"</formula>
    </cfRule>
    <cfRule type="cellIs" dxfId="2326" priority="2678" operator="equal">
      <formula>"Bajo"</formula>
    </cfRule>
  </conditionalFormatting>
  <conditionalFormatting sqref="AB39">
    <cfRule type="cellIs" dxfId="2325" priority="2670" operator="equal">
      <formula>"Muy Alta"</formula>
    </cfRule>
    <cfRule type="cellIs" dxfId="2324" priority="2671" operator="equal">
      <formula>"Alta"</formula>
    </cfRule>
    <cfRule type="cellIs" dxfId="2323" priority="2672" operator="equal">
      <formula>"Media"</formula>
    </cfRule>
    <cfRule type="cellIs" dxfId="2322" priority="2673" operator="equal">
      <formula>"Baja"</formula>
    </cfRule>
    <cfRule type="cellIs" dxfId="2321" priority="2674" operator="equal">
      <formula>"Muy Baja"</formula>
    </cfRule>
  </conditionalFormatting>
  <conditionalFormatting sqref="AD39">
    <cfRule type="cellIs" dxfId="2320" priority="2665" operator="equal">
      <formula>"Catastrófico"</formula>
    </cfRule>
    <cfRule type="cellIs" dxfId="2319" priority="2666" operator="equal">
      <formula>"Mayor"</formula>
    </cfRule>
    <cfRule type="cellIs" dxfId="2318" priority="2667" operator="equal">
      <formula>"Moderado"</formula>
    </cfRule>
    <cfRule type="cellIs" dxfId="2317" priority="2668" operator="equal">
      <formula>"Menor"</formula>
    </cfRule>
    <cfRule type="cellIs" dxfId="2316" priority="2669" operator="equal">
      <formula>"Leve"</formula>
    </cfRule>
  </conditionalFormatting>
  <conditionalFormatting sqref="AF39">
    <cfRule type="cellIs" dxfId="2315" priority="2661" operator="equal">
      <formula>"Extremo"</formula>
    </cfRule>
    <cfRule type="cellIs" dxfId="2314" priority="2662" operator="equal">
      <formula>"Alto"</formula>
    </cfRule>
    <cfRule type="cellIs" dxfId="2313" priority="2663" operator="equal">
      <formula>"Moderado"</formula>
    </cfRule>
    <cfRule type="cellIs" dxfId="2312" priority="2664" operator="equal">
      <formula>"Bajo"</formula>
    </cfRule>
  </conditionalFormatting>
  <conditionalFormatting sqref="AB40">
    <cfRule type="cellIs" dxfId="2311" priority="2656" operator="equal">
      <formula>"Muy Alta"</formula>
    </cfRule>
    <cfRule type="cellIs" dxfId="2310" priority="2657" operator="equal">
      <formula>"Alta"</formula>
    </cfRule>
    <cfRule type="cellIs" dxfId="2309" priority="2658" operator="equal">
      <formula>"Media"</formula>
    </cfRule>
    <cfRule type="cellIs" dxfId="2308" priority="2659" operator="equal">
      <formula>"Baja"</formula>
    </cfRule>
    <cfRule type="cellIs" dxfId="2307" priority="2660" operator="equal">
      <formula>"Muy Baja"</formula>
    </cfRule>
  </conditionalFormatting>
  <conditionalFormatting sqref="AD40">
    <cfRule type="cellIs" dxfId="2306" priority="2651" operator="equal">
      <formula>"Catastrófico"</formula>
    </cfRule>
    <cfRule type="cellIs" dxfId="2305" priority="2652" operator="equal">
      <formula>"Mayor"</formula>
    </cfRule>
    <cfRule type="cellIs" dxfId="2304" priority="2653" operator="equal">
      <formula>"Moderado"</formula>
    </cfRule>
    <cfRule type="cellIs" dxfId="2303" priority="2654" operator="equal">
      <formula>"Menor"</formula>
    </cfRule>
    <cfRule type="cellIs" dxfId="2302" priority="2655" operator="equal">
      <formula>"Leve"</formula>
    </cfRule>
  </conditionalFormatting>
  <conditionalFormatting sqref="AF40">
    <cfRule type="cellIs" dxfId="2301" priority="2647" operator="equal">
      <formula>"Extremo"</formula>
    </cfRule>
    <cfRule type="cellIs" dxfId="2300" priority="2648" operator="equal">
      <formula>"Alto"</formula>
    </cfRule>
    <cfRule type="cellIs" dxfId="2299" priority="2649" operator="equal">
      <formula>"Moderado"</formula>
    </cfRule>
    <cfRule type="cellIs" dxfId="2298" priority="2650" operator="equal">
      <formula>"Bajo"</formula>
    </cfRule>
  </conditionalFormatting>
  <conditionalFormatting sqref="AB41">
    <cfRule type="cellIs" dxfId="2297" priority="2642" operator="equal">
      <formula>"Muy Alta"</formula>
    </cfRule>
    <cfRule type="cellIs" dxfId="2296" priority="2643" operator="equal">
      <formula>"Alta"</formula>
    </cfRule>
    <cfRule type="cellIs" dxfId="2295" priority="2644" operator="equal">
      <formula>"Media"</formula>
    </cfRule>
    <cfRule type="cellIs" dxfId="2294" priority="2645" operator="equal">
      <formula>"Baja"</formula>
    </cfRule>
    <cfRule type="cellIs" dxfId="2293" priority="2646" operator="equal">
      <formula>"Muy Baja"</formula>
    </cfRule>
  </conditionalFormatting>
  <conditionalFormatting sqref="AD41">
    <cfRule type="cellIs" dxfId="2292" priority="2637" operator="equal">
      <formula>"Catastrófico"</formula>
    </cfRule>
    <cfRule type="cellIs" dxfId="2291" priority="2638" operator="equal">
      <formula>"Mayor"</formula>
    </cfRule>
    <cfRule type="cellIs" dxfId="2290" priority="2639" operator="equal">
      <formula>"Moderado"</formula>
    </cfRule>
    <cfRule type="cellIs" dxfId="2289" priority="2640" operator="equal">
      <formula>"Menor"</formula>
    </cfRule>
    <cfRule type="cellIs" dxfId="2288" priority="2641" operator="equal">
      <formula>"Leve"</formula>
    </cfRule>
  </conditionalFormatting>
  <conditionalFormatting sqref="AF41">
    <cfRule type="cellIs" dxfId="2287" priority="2633" operator="equal">
      <formula>"Extremo"</formula>
    </cfRule>
    <cfRule type="cellIs" dxfId="2286" priority="2634" operator="equal">
      <formula>"Alto"</formula>
    </cfRule>
    <cfRule type="cellIs" dxfId="2285" priority="2635" operator="equal">
      <formula>"Moderado"</formula>
    </cfRule>
    <cfRule type="cellIs" dxfId="2284" priority="2636" operator="equal">
      <formula>"Bajo"</formula>
    </cfRule>
  </conditionalFormatting>
  <conditionalFormatting sqref="AB42">
    <cfRule type="cellIs" dxfId="2283" priority="2628" operator="equal">
      <formula>"Muy Alta"</formula>
    </cfRule>
    <cfRule type="cellIs" dxfId="2282" priority="2629" operator="equal">
      <formula>"Alta"</formula>
    </cfRule>
    <cfRule type="cellIs" dxfId="2281" priority="2630" operator="equal">
      <formula>"Media"</formula>
    </cfRule>
    <cfRule type="cellIs" dxfId="2280" priority="2631" operator="equal">
      <formula>"Baja"</formula>
    </cfRule>
    <cfRule type="cellIs" dxfId="2279" priority="2632" operator="equal">
      <formula>"Muy Baja"</formula>
    </cfRule>
  </conditionalFormatting>
  <conditionalFormatting sqref="AD42">
    <cfRule type="cellIs" dxfId="2278" priority="2623" operator="equal">
      <formula>"Catastrófico"</formula>
    </cfRule>
    <cfRule type="cellIs" dxfId="2277" priority="2624" operator="equal">
      <formula>"Mayor"</formula>
    </cfRule>
    <cfRule type="cellIs" dxfId="2276" priority="2625" operator="equal">
      <formula>"Moderado"</formula>
    </cfRule>
    <cfRule type="cellIs" dxfId="2275" priority="2626" operator="equal">
      <formula>"Menor"</formula>
    </cfRule>
    <cfRule type="cellIs" dxfId="2274" priority="2627" operator="equal">
      <formula>"Leve"</formula>
    </cfRule>
  </conditionalFormatting>
  <conditionalFormatting sqref="AF42">
    <cfRule type="cellIs" dxfId="2273" priority="2619" operator="equal">
      <formula>"Extremo"</formula>
    </cfRule>
    <cfRule type="cellIs" dxfId="2272" priority="2620" operator="equal">
      <formula>"Alto"</formula>
    </cfRule>
    <cfRule type="cellIs" dxfId="2271" priority="2621" operator="equal">
      <formula>"Moderado"</formula>
    </cfRule>
    <cfRule type="cellIs" dxfId="2270" priority="2622" operator="equal">
      <formula>"Bajo"</formula>
    </cfRule>
  </conditionalFormatting>
  <conditionalFormatting sqref="AB43">
    <cfRule type="cellIs" dxfId="2269" priority="2572" operator="equal">
      <formula>"Muy Alta"</formula>
    </cfRule>
    <cfRule type="cellIs" dxfId="2268" priority="2573" operator="equal">
      <formula>"Alta"</formula>
    </cfRule>
    <cfRule type="cellIs" dxfId="2267" priority="2574" operator="equal">
      <formula>"Media"</formula>
    </cfRule>
    <cfRule type="cellIs" dxfId="2266" priority="2575" operator="equal">
      <formula>"Baja"</formula>
    </cfRule>
    <cfRule type="cellIs" dxfId="2265" priority="2576" operator="equal">
      <formula>"Muy Baja"</formula>
    </cfRule>
  </conditionalFormatting>
  <conditionalFormatting sqref="AD43">
    <cfRule type="cellIs" dxfId="2264" priority="2567" operator="equal">
      <formula>"Catastrófico"</formula>
    </cfRule>
    <cfRule type="cellIs" dxfId="2263" priority="2568" operator="equal">
      <formula>"Mayor"</formula>
    </cfRule>
    <cfRule type="cellIs" dxfId="2262" priority="2569" operator="equal">
      <formula>"Moderado"</formula>
    </cfRule>
    <cfRule type="cellIs" dxfId="2261" priority="2570" operator="equal">
      <formula>"Menor"</formula>
    </cfRule>
    <cfRule type="cellIs" dxfId="2260" priority="2571" operator="equal">
      <formula>"Leve"</formula>
    </cfRule>
  </conditionalFormatting>
  <conditionalFormatting sqref="AF43">
    <cfRule type="cellIs" dxfId="2259" priority="2563" operator="equal">
      <formula>"Extremo"</formula>
    </cfRule>
    <cfRule type="cellIs" dxfId="2258" priority="2564" operator="equal">
      <formula>"Alto"</formula>
    </cfRule>
    <cfRule type="cellIs" dxfId="2257" priority="2565" operator="equal">
      <formula>"Moderado"</formula>
    </cfRule>
    <cfRule type="cellIs" dxfId="2256" priority="2566" operator="equal">
      <formula>"Bajo"</formula>
    </cfRule>
  </conditionalFormatting>
  <conditionalFormatting sqref="AB46">
    <cfRule type="cellIs" dxfId="2255" priority="2558" operator="equal">
      <formula>"Muy Alta"</formula>
    </cfRule>
    <cfRule type="cellIs" dxfId="2254" priority="2559" operator="equal">
      <formula>"Alta"</formula>
    </cfRule>
    <cfRule type="cellIs" dxfId="2253" priority="2560" operator="equal">
      <formula>"Media"</formula>
    </cfRule>
    <cfRule type="cellIs" dxfId="2252" priority="2561" operator="equal">
      <formula>"Baja"</formula>
    </cfRule>
    <cfRule type="cellIs" dxfId="2251" priority="2562" operator="equal">
      <formula>"Muy Baja"</formula>
    </cfRule>
  </conditionalFormatting>
  <conditionalFormatting sqref="AD46">
    <cfRule type="cellIs" dxfId="2250" priority="2553" operator="equal">
      <formula>"Catastrófico"</formula>
    </cfRule>
    <cfRule type="cellIs" dxfId="2249" priority="2554" operator="equal">
      <formula>"Mayor"</formula>
    </cfRule>
    <cfRule type="cellIs" dxfId="2248" priority="2555" operator="equal">
      <formula>"Moderado"</formula>
    </cfRule>
    <cfRule type="cellIs" dxfId="2247" priority="2556" operator="equal">
      <formula>"Menor"</formula>
    </cfRule>
    <cfRule type="cellIs" dxfId="2246" priority="2557" operator="equal">
      <formula>"Leve"</formula>
    </cfRule>
  </conditionalFormatting>
  <conditionalFormatting sqref="AF46">
    <cfRule type="cellIs" dxfId="2245" priority="2549" operator="equal">
      <formula>"Extremo"</formula>
    </cfRule>
    <cfRule type="cellIs" dxfId="2244" priority="2550" operator="equal">
      <formula>"Alto"</formula>
    </cfRule>
    <cfRule type="cellIs" dxfId="2243" priority="2551" operator="equal">
      <formula>"Moderado"</formula>
    </cfRule>
    <cfRule type="cellIs" dxfId="2242" priority="2552" operator="equal">
      <formula>"Bajo"</formula>
    </cfRule>
  </conditionalFormatting>
  <conditionalFormatting sqref="AB44">
    <cfRule type="cellIs" dxfId="2241" priority="2544" operator="equal">
      <formula>"Muy Alta"</formula>
    </cfRule>
    <cfRule type="cellIs" dxfId="2240" priority="2545" operator="equal">
      <formula>"Alta"</formula>
    </cfRule>
    <cfRule type="cellIs" dxfId="2239" priority="2546" operator="equal">
      <formula>"Media"</formula>
    </cfRule>
    <cfRule type="cellIs" dxfId="2238" priority="2547" operator="equal">
      <formula>"Baja"</formula>
    </cfRule>
    <cfRule type="cellIs" dxfId="2237" priority="2548" operator="equal">
      <formula>"Muy Baja"</formula>
    </cfRule>
  </conditionalFormatting>
  <conditionalFormatting sqref="AD44">
    <cfRule type="cellIs" dxfId="2236" priority="2539" operator="equal">
      <formula>"Catastrófico"</formula>
    </cfRule>
    <cfRule type="cellIs" dxfId="2235" priority="2540" operator="equal">
      <formula>"Mayor"</formula>
    </cfRule>
    <cfRule type="cellIs" dxfId="2234" priority="2541" operator="equal">
      <formula>"Moderado"</formula>
    </cfRule>
    <cfRule type="cellIs" dxfId="2233" priority="2542" operator="equal">
      <formula>"Menor"</formula>
    </cfRule>
    <cfRule type="cellIs" dxfId="2232" priority="2543" operator="equal">
      <formula>"Leve"</formula>
    </cfRule>
  </conditionalFormatting>
  <conditionalFormatting sqref="AF44">
    <cfRule type="cellIs" dxfId="2231" priority="2535" operator="equal">
      <formula>"Extremo"</formula>
    </cfRule>
    <cfRule type="cellIs" dxfId="2230" priority="2536" operator="equal">
      <formula>"Alto"</formula>
    </cfRule>
    <cfRule type="cellIs" dxfId="2229" priority="2537" operator="equal">
      <formula>"Moderado"</formula>
    </cfRule>
    <cfRule type="cellIs" dxfId="2228" priority="2538" operator="equal">
      <formula>"Bajo"</formula>
    </cfRule>
  </conditionalFormatting>
  <conditionalFormatting sqref="AB45">
    <cfRule type="cellIs" dxfId="2227" priority="2530" operator="equal">
      <formula>"Muy Alta"</formula>
    </cfRule>
    <cfRule type="cellIs" dxfId="2226" priority="2531" operator="equal">
      <formula>"Alta"</formula>
    </cfRule>
    <cfRule type="cellIs" dxfId="2225" priority="2532" operator="equal">
      <formula>"Media"</formula>
    </cfRule>
    <cfRule type="cellIs" dxfId="2224" priority="2533" operator="equal">
      <formula>"Baja"</formula>
    </cfRule>
    <cfRule type="cellIs" dxfId="2223" priority="2534" operator="equal">
      <formula>"Muy Baja"</formula>
    </cfRule>
  </conditionalFormatting>
  <conditionalFormatting sqref="AD45">
    <cfRule type="cellIs" dxfId="2222" priority="2525" operator="equal">
      <formula>"Catastrófico"</formula>
    </cfRule>
    <cfRule type="cellIs" dxfId="2221" priority="2526" operator="equal">
      <formula>"Mayor"</formula>
    </cfRule>
    <cfRule type="cellIs" dxfId="2220" priority="2527" operator="equal">
      <formula>"Moderado"</formula>
    </cfRule>
    <cfRule type="cellIs" dxfId="2219" priority="2528" operator="equal">
      <formula>"Menor"</formula>
    </cfRule>
    <cfRule type="cellIs" dxfId="2218" priority="2529" operator="equal">
      <formula>"Leve"</formula>
    </cfRule>
  </conditionalFormatting>
  <conditionalFormatting sqref="AF45">
    <cfRule type="cellIs" dxfId="2217" priority="2521" operator="equal">
      <formula>"Extremo"</formula>
    </cfRule>
    <cfRule type="cellIs" dxfId="2216" priority="2522" operator="equal">
      <formula>"Alto"</formula>
    </cfRule>
    <cfRule type="cellIs" dxfId="2215" priority="2523" operator="equal">
      <formula>"Moderado"</formula>
    </cfRule>
    <cfRule type="cellIs" dxfId="2214" priority="2524" operator="equal">
      <formula>"Bajo"</formula>
    </cfRule>
  </conditionalFormatting>
  <conditionalFormatting sqref="AB47">
    <cfRule type="cellIs" dxfId="2213" priority="2516" operator="equal">
      <formula>"Muy Alta"</formula>
    </cfRule>
    <cfRule type="cellIs" dxfId="2212" priority="2517" operator="equal">
      <formula>"Alta"</formula>
    </cfRule>
    <cfRule type="cellIs" dxfId="2211" priority="2518" operator="equal">
      <formula>"Media"</formula>
    </cfRule>
    <cfRule type="cellIs" dxfId="2210" priority="2519" operator="equal">
      <formula>"Baja"</formula>
    </cfRule>
    <cfRule type="cellIs" dxfId="2209" priority="2520" operator="equal">
      <formula>"Muy Baja"</formula>
    </cfRule>
  </conditionalFormatting>
  <conditionalFormatting sqref="AD47">
    <cfRule type="cellIs" dxfId="2208" priority="2511" operator="equal">
      <formula>"Catastrófico"</formula>
    </cfRule>
    <cfRule type="cellIs" dxfId="2207" priority="2512" operator="equal">
      <formula>"Mayor"</formula>
    </cfRule>
    <cfRule type="cellIs" dxfId="2206" priority="2513" operator="equal">
      <formula>"Moderado"</formula>
    </cfRule>
    <cfRule type="cellIs" dxfId="2205" priority="2514" operator="equal">
      <formula>"Menor"</formula>
    </cfRule>
    <cfRule type="cellIs" dxfId="2204" priority="2515" operator="equal">
      <formula>"Leve"</formula>
    </cfRule>
  </conditionalFormatting>
  <conditionalFormatting sqref="AF47">
    <cfRule type="cellIs" dxfId="2203" priority="2507" operator="equal">
      <formula>"Extremo"</formula>
    </cfRule>
    <cfRule type="cellIs" dxfId="2202" priority="2508" operator="equal">
      <formula>"Alto"</formula>
    </cfRule>
    <cfRule type="cellIs" dxfId="2201" priority="2509" operator="equal">
      <formula>"Moderado"</formula>
    </cfRule>
    <cfRule type="cellIs" dxfId="2200" priority="2510" operator="equal">
      <formula>"Bajo"</formula>
    </cfRule>
  </conditionalFormatting>
  <conditionalFormatting sqref="AB48">
    <cfRule type="cellIs" dxfId="2199" priority="2502" operator="equal">
      <formula>"Muy Alta"</formula>
    </cfRule>
    <cfRule type="cellIs" dxfId="2198" priority="2503" operator="equal">
      <formula>"Alta"</formula>
    </cfRule>
    <cfRule type="cellIs" dxfId="2197" priority="2504" operator="equal">
      <formula>"Media"</formula>
    </cfRule>
    <cfRule type="cellIs" dxfId="2196" priority="2505" operator="equal">
      <formula>"Baja"</formula>
    </cfRule>
    <cfRule type="cellIs" dxfId="2195" priority="2506" operator="equal">
      <formula>"Muy Baja"</formula>
    </cfRule>
  </conditionalFormatting>
  <conditionalFormatting sqref="AD48">
    <cfRule type="cellIs" dxfId="2194" priority="2497" operator="equal">
      <formula>"Catastrófico"</formula>
    </cfRule>
    <cfRule type="cellIs" dxfId="2193" priority="2498" operator="equal">
      <formula>"Mayor"</formula>
    </cfRule>
    <cfRule type="cellIs" dxfId="2192" priority="2499" operator="equal">
      <formula>"Moderado"</formula>
    </cfRule>
    <cfRule type="cellIs" dxfId="2191" priority="2500" operator="equal">
      <formula>"Menor"</formula>
    </cfRule>
    <cfRule type="cellIs" dxfId="2190" priority="2501" operator="equal">
      <formula>"Leve"</formula>
    </cfRule>
  </conditionalFormatting>
  <conditionalFormatting sqref="AF48">
    <cfRule type="cellIs" dxfId="2189" priority="2493" operator="equal">
      <formula>"Extremo"</formula>
    </cfRule>
    <cfRule type="cellIs" dxfId="2188" priority="2494" operator="equal">
      <formula>"Alto"</formula>
    </cfRule>
    <cfRule type="cellIs" dxfId="2187" priority="2495" operator="equal">
      <formula>"Moderado"</formula>
    </cfRule>
    <cfRule type="cellIs" dxfId="2186" priority="2496" operator="equal">
      <formula>"Bajo"</formula>
    </cfRule>
  </conditionalFormatting>
  <conditionalFormatting sqref="AB50">
    <cfRule type="cellIs" dxfId="2185" priority="2488" operator="equal">
      <formula>"Muy Alta"</formula>
    </cfRule>
    <cfRule type="cellIs" dxfId="2184" priority="2489" operator="equal">
      <formula>"Alta"</formula>
    </cfRule>
    <cfRule type="cellIs" dxfId="2183" priority="2490" operator="equal">
      <formula>"Media"</formula>
    </cfRule>
    <cfRule type="cellIs" dxfId="2182" priority="2491" operator="equal">
      <formula>"Baja"</formula>
    </cfRule>
    <cfRule type="cellIs" dxfId="2181" priority="2492" operator="equal">
      <formula>"Muy Baja"</formula>
    </cfRule>
  </conditionalFormatting>
  <conditionalFormatting sqref="AD50">
    <cfRule type="cellIs" dxfId="2180" priority="2483" operator="equal">
      <formula>"Catastrófico"</formula>
    </cfRule>
    <cfRule type="cellIs" dxfId="2179" priority="2484" operator="equal">
      <formula>"Mayor"</formula>
    </cfRule>
    <cfRule type="cellIs" dxfId="2178" priority="2485" operator="equal">
      <formula>"Moderado"</formula>
    </cfRule>
    <cfRule type="cellIs" dxfId="2177" priority="2486" operator="equal">
      <formula>"Menor"</formula>
    </cfRule>
    <cfRule type="cellIs" dxfId="2176" priority="2487" operator="equal">
      <formula>"Leve"</formula>
    </cfRule>
  </conditionalFormatting>
  <conditionalFormatting sqref="AB52">
    <cfRule type="cellIs" dxfId="2175" priority="2474" operator="equal">
      <formula>"Muy Alta"</formula>
    </cfRule>
    <cfRule type="cellIs" dxfId="2174" priority="2475" operator="equal">
      <formula>"Alta"</formula>
    </cfRule>
    <cfRule type="cellIs" dxfId="2173" priority="2476" operator="equal">
      <formula>"Media"</formula>
    </cfRule>
    <cfRule type="cellIs" dxfId="2172" priority="2477" operator="equal">
      <formula>"Baja"</formula>
    </cfRule>
    <cfRule type="cellIs" dxfId="2171" priority="2478" operator="equal">
      <formula>"Muy Baja"</formula>
    </cfRule>
  </conditionalFormatting>
  <conditionalFormatting sqref="AB51">
    <cfRule type="cellIs" dxfId="2170" priority="2460" operator="equal">
      <formula>"Muy Alta"</formula>
    </cfRule>
    <cfRule type="cellIs" dxfId="2169" priority="2461" operator="equal">
      <formula>"Alta"</formula>
    </cfRule>
    <cfRule type="cellIs" dxfId="2168" priority="2462" operator="equal">
      <formula>"Media"</formula>
    </cfRule>
    <cfRule type="cellIs" dxfId="2167" priority="2463" operator="equal">
      <formula>"Baja"</formula>
    </cfRule>
    <cfRule type="cellIs" dxfId="2166" priority="2464" operator="equal">
      <formula>"Muy Baja"</formula>
    </cfRule>
  </conditionalFormatting>
  <conditionalFormatting sqref="AD51">
    <cfRule type="cellIs" dxfId="2165" priority="2455" operator="equal">
      <formula>"Catastrófico"</formula>
    </cfRule>
    <cfRule type="cellIs" dxfId="2164" priority="2456" operator="equal">
      <formula>"Mayor"</formula>
    </cfRule>
    <cfRule type="cellIs" dxfId="2163" priority="2457" operator="equal">
      <formula>"Moderado"</formula>
    </cfRule>
    <cfRule type="cellIs" dxfId="2162" priority="2458" operator="equal">
      <formula>"Menor"</formula>
    </cfRule>
    <cfRule type="cellIs" dxfId="2161" priority="2459" operator="equal">
      <formula>"Leve"</formula>
    </cfRule>
  </conditionalFormatting>
  <conditionalFormatting sqref="AF51">
    <cfRule type="cellIs" dxfId="2160" priority="2451" operator="equal">
      <formula>"Extremo"</formula>
    </cfRule>
    <cfRule type="cellIs" dxfId="2159" priority="2452" operator="equal">
      <formula>"Alto"</formula>
    </cfRule>
    <cfRule type="cellIs" dxfId="2158" priority="2453" operator="equal">
      <formula>"Moderado"</formula>
    </cfRule>
    <cfRule type="cellIs" dxfId="2157" priority="2454" operator="equal">
      <formula>"Bajo"</formula>
    </cfRule>
  </conditionalFormatting>
  <conditionalFormatting sqref="AB53">
    <cfRule type="cellIs" dxfId="2156" priority="2446" operator="equal">
      <formula>"Muy Alta"</formula>
    </cfRule>
    <cfRule type="cellIs" dxfId="2155" priority="2447" operator="equal">
      <formula>"Alta"</formula>
    </cfRule>
    <cfRule type="cellIs" dxfId="2154" priority="2448" operator="equal">
      <formula>"Media"</formula>
    </cfRule>
    <cfRule type="cellIs" dxfId="2153" priority="2449" operator="equal">
      <formula>"Baja"</formula>
    </cfRule>
    <cfRule type="cellIs" dxfId="2152" priority="2450" operator="equal">
      <formula>"Muy Baja"</formula>
    </cfRule>
  </conditionalFormatting>
  <conditionalFormatting sqref="AD53">
    <cfRule type="cellIs" dxfId="2151" priority="2441" operator="equal">
      <formula>"Catastrófico"</formula>
    </cfRule>
    <cfRule type="cellIs" dxfId="2150" priority="2442" operator="equal">
      <formula>"Mayor"</formula>
    </cfRule>
    <cfRule type="cellIs" dxfId="2149" priority="2443" operator="equal">
      <formula>"Moderado"</formula>
    </cfRule>
    <cfRule type="cellIs" dxfId="2148" priority="2444" operator="equal">
      <formula>"Menor"</formula>
    </cfRule>
    <cfRule type="cellIs" dxfId="2147" priority="2445" operator="equal">
      <formula>"Leve"</formula>
    </cfRule>
  </conditionalFormatting>
  <conditionalFormatting sqref="AF53">
    <cfRule type="cellIs" dxfId="2146" priority="2437" operator="equal">
      <formula>"Extremo"</formula>
    </cfRule>
    <cfRule type="cellIs" dxfId="2145" priority="2438" operator="equal">
      <formula>"Alto"</formula>
    </cfRule>
    <cfRule type="cellIs" dxfId="2144" priority="2439" operator="equal">
      <formula>"Moderado"</formula>
    </cfRule>
    <cfRule type="cellIs" dxfId="2143" priority="2440" operator="equal">
      <formula>"Bajo"</formula>
    </cfRule>
  </conditionalFormatting>
  <conditionalFormatting sqref="AB54">
    <cfRule type="cellIs" dxfId="2142" priority="2432" operator="equal">
      <formula>"Muy Alta"</formula>
    </cfRule>
    <cfRule type="cellIs" dxfId="2141" priority="2433" operator="equal">
      <formula>"Alta"</formula>
    </cfRule>
    <cfRule type="cellIs" dxfId="2140" priority="2434" operator="equal">
      <formula>"Media"</formula>
    </cfRule>
    <cfRule type="cellIs" dxfId="2139" priority="2435" operator="equal">
      <formula>"Baja"</formula>
    </cfRule>
    <cfRule type="cellIs" dxfId="2138" priority="2436" operator="equal">
      <formula>"Muy Baja"</formula>
    </cfRule>
  </conditionalFormatting>
  <conditionalFormatting sqref="AD54">
    <cfRule type="cellIs" dxfId="2137" priority="2427" operator="equal">
      <formula>"Catastrófico"</formula>
    </cfRule>
    <cfRule type="cellIs" dxfId="2136" priority="2428" operator="equal">
      <formula>"Mayor"</formula>
    </cfRule>
    <cfRule type="cellIs" dxfId="2135" priority="2429" operator="equal">
      <formula>"Moderado"</formula>
    </cfRule>
    <cfRule type="cellIs" dxfId="2134" priority="2430" operator="equal">
      <formula>"Menor"</formula>
    </cfRule>
    <cfRule type="cellIs" dxfId="2133" priority="2431" operator="equal">
      <formula>"Leve"</formula>
    </cfRule>
  </conditionalFormatting>
  <conditionalFormatting sqref="AF54">
    <cfRule type="cellIs" dxfId="2132" priority="2423" operator="equal">
      <formula>"Extremo"</formula>
    </cfRule>
    <cfRule type="cellIs" dxfId="2131" priority="2424" operator="equal">
      <formula>"Alto"</formula>
    </cfRule>
    <cfRule type="cellIs" dxfId="2130" priority="2425" operator="equal">
      <formula>"Moderado"</formula>
    </cfRule>
    <cfRule type="cellIs" dxfId="2129" priority="2426" operator="equal">
      <formula>"Bajo"</formula>
    </cfRule>
  </conditionalFormatting>
  <conditionalFormatting sqref="AB56">
    <cfRule type="cellIs" dxfId="2128" priority="2418" operator="equal">
      <formula>"Muy Alta"</formula>
    </cfRule>
    <cfRule type="cellIs" dxfId="2127" priority="2419" operator="equal">
      <formula>"Alta"</formula>
    </cfRule>
    <cfRule type="cellIs" dxfId="2126" priority="2420" operator="equal">
      <formula>"Media"</formula>
    </cfRule>
    <cfRule type="cellIs" dxfId="2125" priority="2421" operator="equal">
      <formula>"Baja"</formula>
    </cfRule>
    <cfRule type="cellIs" dxfId="2124" priority="2422" operator="equal">
      <formula>"Muy Baja"</formula>
    </cfRule>
  </conditionalFormatting>
  <conditionalFormatting sqref="AD56">
    <cfRule type="cellIs" dxfId="2123" priority="2413" operator="equal">
      <formula>"Catastrófico"</formula>
    </cfRule>
    <cfRule type="cellIs" dxfId="2122" priority="2414" operator="equal">
      <formula>"Mayor"</formula>
    </cfRule>
    <cfRule type="cellIs" dxfId="2121" priority="2415" operator="equal">
      <formula>"Moderado"</formula>
    </cfRule>
    <cfRule type="cellIs" dxfId="2120" priority="2416" operator="equal">
      <formula>"Menor"</formula>
    </cfRule>
    <cfRule type="cellIs" dxfId="2119" priority="2417" operator="equal">
      <formula>"Leve"</formula>
    </cfRule>
  </conditionalFormatting>
  <conditionalFormatting sqref="AF56">
    <cfRule type="cellIs" dxfId="2118" priority="2409" operator="equal">
      <formula>"Extremo"</formula>
    </cfRule>
    <cfRule type="cellIs" dxfId="2117" priority="2410" operator="equal">
      <formula>"Alto"</formula>
    </cfRule>
    <cfRule type="cellIs" dxfId="2116" priority="2411" operator="equal">
      <formula>"Moderado"</formula>
    </cfRule>
    <cfRule type="cellIs" dxfId="2115" priority="2412" operator="equal">
      <formula>"Bajo"</formula>
    </cfRule>
  </conditionalFormatting>
  <conditionalFormatting sqref="AB57">
    <cfRule type="cellIs" dxfId="2114" priority="2404" operator="equal">
      <formula>"Muy Alta"</formula>
    </cfRule>
    <cfRule type="cellIs" dxfId="2113" priority="2405" operator="equal">
      <formula>"Alta"</formula>
    </cfRule>
    <cfRule type="cellIs" dxfId="2112" priority="2406" operator="equal">
      <formula>"Media"</formula>
    </cfRule>
    <cfRule type="cellIs" dxfId="2111" priority="2407" operator="equal">
      <formula>"Baja"</formula>
    </cfRule>
    <cfRule type="cellIs" dxfId="2110" priority="2408" operator="equal">
      <formula>"Muy Baja"</formula>
    </cfRule>
  </conditionalFormatting>
  <conditionalFormatting sqref="AD57">
    <cfRule type="cellIs" dxfId="2109" priority="2399" operator="equal">
      <formula>"Catastrófico"</formula>
    </cfRule>
    <cfRule type="cellIs" dxfId="2108" priority="2400" operator="equal">
      <formula>"Mayor"</formula>
    </cfRule>
    <cfRule type="cellIs" dxfId="2107" priority="2401" operator="equal">
      <formula>"Moderado"</formula>
    </cfRule>
    <cfRule type="cellIs" dxfId="2106" priority="2402" operator="equal">
      <formula>"Menor"</formula>
    </cfRule>
    <cfRule type="cellIs" dxfId="2105" priority="2403" operator="equal">
      <formula>"Leve"</formula>
    </cfRule>
  </conditionalFormatting>
  <conditionalFormatting sqref="AF57">
    <cfRule type="cellIs" dxfId="2104" priority="2395" operator="equal">
      <formula>"Extremo"</formula>
    </cfRule>
    <cfRule type="cellIs" dxfId="2103" priority="2396" operator="equal">
      <formula>"Alto"</formula>
    </cfRule>
    <cfRule type="cellIs" dxfId="2102" priority="2397" operator="equal">
      <formula>"Moderado"</formula>
    </cfRule>
    <cfRule type="cellIs" dxfId="2101" priority="2398" operator="equal">
      <formula>"Bajo"</formula>
    </cfRule>
  </conditionalFormatting>
  <conditionalFormatting sqref="AB59">
    <cfRule type="cellIs" dxfId="2100" priority="2390" operator="equal">
      <formula>"Muy Alta"</formula>
    </cfRule>
    <cfRule type="cellIs" dxfId="2099" priority="2391" operator="equal">
      <formula>"Alta"</formula>
    </cfRule>
    <cfRule type="cellIs" dxfId="2098" priority="2392" operator="equal">
      <formula>"Media"</formula>
    </cfRule>
    <cfRule type="cellIs" dxfId="2097" priority="2393" operator="equal">
      <formula>"Baja"</formula>
    </cfRule>
    <cfRule type="cellIs" dxfId="2096" priority="2394" operator="equal">
      <formula>"Muy Baja"</formula>
    </cfRule>
  </conditionalFormatting>
  <conditionalFormatting sqref="AD59">
    <cfRule type="cellIs" dxfId="2095" priority="2385" operator="equal">
      <formula>"Catastrófico"</formula>
    </cfRule>
    <cfRule type="cellIs" dxfId="2094" priority="2386" operator="equal">
      <formula>"Mayor"</formula>
    </cfRule>
    <cfRule type="cellIs" dxfId="2093" priority="2387" operator="equal">
      <formula>"Moderado"</formula>
    </cfRule>
    <cfRule type="cellIs" dxfId="2092" priority="2388" operator="equal">
      <formula>"Menor"</formula>
    </cfRule>
    <cfRule type="cellIs" dxfId="2091" priority="2389" operator="equal">
      <formula>"Leve"</formula>
    </cfRule>
  </conditionalFormatting>
  <conditionalFormatting sqref="AF59">
    <cfRule type="cellIs" dxfId="2090" priority="2381" operator="equal">
      <formula>"Extremo"</formula>
    </cfRule>
    <cfRule type="cellIs" dxfId="2089" priority="2382" operator="equal">
      <formula>"Alto"</formula>
    </cfRule>
    <cfRule type="cellIs" dxfId="2088" priority="2383" operator="equal">
      <formula>"Moderado"</formula>
    </cfRule>
    <cfRule type="cellIs" dxfId="2087" priority="2384" operator="equal">
      <formula>"Bajo"</formula>
    </cfRule>
  </conditionalFormatting>
  <conditionalFormatting sqref="AB60">
    <cfRule type="cellIs" dxfId="2086" priority="2376" operator="equal">
      <formula>"Muy Alta"</formula>
    </cfRule>
    <cfRule type="cellIs" dxfId="2085" priority="2377" operator="equal">
      <formula>"Alta"</formula>
    </cfRule>
    <cfRule type="cellIs" dxfId="2084" priority="2378" operator="equal">
      <formula>"Media"</formula>
    </cfRule>
    <cfRule type="cellIs" dxfId="2083" priority="2379" operator="equal">
      <formula>"Baja"</formula>
    </cfRule>
    <cfRule type="cellIs" dxfId="2082" priority="2380" operator="equal">
      <formula>"Muy Baja"</formula>
    </cfRule>
  </conditionalFormatting>
  <conditionalFormatting sqref="AD60">
    <cfRule type="cellIs" dxfId="2081" priority="2371" operator="equal">
      <formula>"Catastrófico"</formula>
    </cfRule>
    <cfRule type="cellIs" dxfId="2080" priority="2372" operator="equal">
      <formula>"Mayor"</formula>
    </cfRule>
    <cfRule type="cellIs" dxfId="2079" priority="2373" operator="equal">
      <formula>"Moderado"</formula>
    </cfRule>
    <cfRule type="cellIs" dxfId="2078" priority="2374" operator="equal">
      <formula>"Menor"</formula>
    </cfRule>
    <cfRule type="cellIs" dxfId="2077" priority="2375" operator="equal">
      <formula>"Leve"</formula>
    </cfRule>
  </conditionalFormatting>
  <conditionalFormatting sqref="AF60">
    <cfRule type="cellIs" dxfId="2076" priority="2367" operator="equal">
      <formula>"Extremo"</formula>
    </cfRule>
    <cfRule type="cellIs" dxfId="2075" priority="2368" operator="equal">
      <formula>"Alto"</formula>
    </cfRule>
    <cfRule type="cellIs" dxfId="2074" priority="2369" operator="equal">
      <formula>"Moderado"</formula>
    </cfRule>
    <cfRule type="cellIs" dxfId="2073" priority="2370" operator="equal">
      <formula>"Bajo"</formula>
    </cfRule>
  </conditionalFormatting>
  <conditionalFormatting sqref="AB62">
    <cfRule type="cellIs" dxfId="2072" priority="2362" operator="equal">
      <formula>"Muy Alta"</formula>
    </cfRule>
    <cfRule type="cellIs" dxfId="2071" priority="2363" operator="equal">
      <formula>"Alta"</formula>
    </cfRule>
    <cfRule type="cellIs" dxfId="2070" priority="2364" operator="equal">
      <formula>"Media"</formula>
    </cfRule>
    <cfRule type="cellIs" dxfId="2069" priority="2365" operator="equal">
      <formula>"Baja"</formula>
    </cfRule>
    <cfRule type="cellIs" dxfId="2068" priority="2366" operator="equal">
      <formula>"Muy Baja"</formula>
    </cfRule>
  </conditionalFormatting>
  <conditionalFormatting sqref="AD62">
    <cfRule type="cellIs" dxfId="2067" priority="2357" operator="equal">
      <formula>"Catastrófico"</formula>
    </cfRule>
    <cfRule type="cellIs" dxfId="2066" priority="2358" operator="equal">
      <formula>"Mayor"</formula>
    </cfRule>
    <cfRule type="cellIs" dxfId="2065" priority="2359" operator="equal">
      <formula>"Moderado"</formula>
    </cfRule>
    <cfRule type="cellIs" dxfId="2064" priority="2360" operator="equal">
      <formula>"Menor"</formula>
    </cfRule>
    <cfRule type="cellIs" dxfId="2063" priority="2361" operator="equal">
      <formula>"Leve"</formula>
    </cfRule>
  </conditionalFormatting>
  <conditionalFormatting sqref="AF62">
    <cfRule type="cellIs" dxfId="2062" priority="2353" operator="equal">
      <formula>"Extremo"</formula>
    </cfRule>
    <cfRule type="cellIs" dxfId="2061" priority="2354" operator="equal">
      <formula>"Alto"</formula>
    </cfRule>
    <cfRule type="cellIs" dxfId="2060" priority="2355" operator="equal">
      <formula>"Moderado"</formula>
    </cfRule>
    <cfRule type="cellIs" dxfId="2059" priority="2356" operator="equal">
      <formula>"Bajo"</formula>
    </cfRule>
  </conditionalFormatting>
  <conditionalFormatting sqref="AB63">
    <cfRule type="cellIs" dxfId="2058" priority="2348" operator="equal">
      <formula>"Muy Alta"</formula>
    </cfRule>
    <cfRule type="cellIs" dxfId="2057" priority="2349" operator="equal">
      <formula>"Alta"</formula>
    </cfRule>
    <cfRule type="cellIs" dxfId="2056" priority="2350" operator="equal">
      <formula>"Media"</formula>
    </cfRule>
    <cfRule type="cellIs" dxfId="2055" priority="2351" operator="equal">
      <formula>"Baja"</formula>
    </cfRule>
    <cfRule type="cellIs" dxfId="2054" priority="2352" operator="equal">
      <formula>"Muy Baja"</formula>
    </cfRule>
  </conditionalFormatting>
  <conditionalFormatting sqref="AD63">
    <cfRule type="cellIs" dxfId="2053" priority="2343" operator="equal">
      <formula>"Catastrófico"</formula>
    </cfRule>
    <cfRule type="cellIs" dxfId="2052" priority="2344" operator="equal">
      <formula>"Mayor"</formula>
    </cfRule>
    <cfRule type="cellIs" dxfId="2051" priority="2345" operator="equal">
      <formula>"Moderado"</formula>
    </cfRule>
    <cfRule type="cellIs" dxfId="2050" priority="2346" operator="equal">
      <formula>"Menor"</formula>
    </cfRule>
    <cfRule type="cellIs" dxfId="2049" priority="2347" operator="equal">
      <formula>"Leve"</formula>
    </cfRule>
  </conditionalFormatting>
  <conditionalFormatting sqref="AF63">
    <cfRule type="cellIs" dxfId="2048" priority="2339" operator="equal">
      <formula>"Extremo"</formula>
    </cfRule>
    <cfRule type="cellIs" dxfId="2047" priority="2340" operator="equal">
      <formula>"Alto"</formula>
    </cfRule>
    <cfRule type="cellIs" dxfId="2046" priority="2341" operator="equal">
      <formula>"Moderado"</formula>
    </cfRule>
    <cfRule type="cellIs" dxfId="2045" priority="2342" operator="equal">
      <formula>"Bajo"</formula>
    </cfRule>
  </conditionalFormatting>
  <conditionalFormatting sqref="AB65">
    <cfRule type="cellIs" dxfId="2044" priority="2334" operator="equal">
      <formula>"Muy Alta"</formula>
    </cfRule>
    <cfRule type="cellIs" dxfId="2043" priority="2335" operator="equal">
      <formula>"Alta"</formula>
    </cfRule>
    <cfRule type="cellIs" dxfId="2042" priority="2336" operator="equal">
      <formula>"Media"</formula>
    </cfRule>
    <cfRule type="cellIs" dxfId="2041" priority="2337" operator="equal">
      <formula>"Baja"</formula>
    </cfRule>
    <cfRule type="cellIs" dxfId="2040" priority="2338" operator="equal">
      <formula>"Muy Baja"</formula>
    </cfRule>
  </conditionalFormatting>
  <conditionalFormatting sqref="AD65">
    <cfRule type="cellIs" dxfId="2039" priority="2329" operator="equal">
      <formula>"Catastrófico"</formula>
    </cfRule>
    <cfRule type="cellIs" dxfId="2038" priority="2330" operator="equal">
      <formula>"Mayor"</formula>
    </cfRule>
    <cfRule type="cellIs" dxfId="2037" priority="2331" operator="equal">
      <formula>"Moderado"</formula>
    </cfRule>
    <cfRule type="cellIs" dxfId="2036" priority="2332" operator="equal">
      <formula>"Menor"</formula>
    </cfRule>
    <cfRule type="cellIs" dxfId="2035" priority="2333" operator="equal">
      <formula>"Leve"</formula>
    </cfRule>
  </conditionalFormatting>
  <conditionalFormatting sqref="AF65">
    <cfRule type="cellIs" dxfId="2034" priority="2325" operator="equal">
      <formula>"Extremo"</formula>
    </cfRule>
    <cfRule type="cellIs" dxfId="2033" priority="2326" operator="equal">
      <formula>"Alto"</formula>
    </cfRule>
    <cfRule type="cellIs" dxfId="2032" priority="2327" operator="equal">
      <formula>"Moderado"</formula>
    </cfRule>
    <cfRule type="cellIs" dxfId="2031" priority="2328" operator="equal">
      <formula>"Bajo"</formula>
    </cfRule>
  </conditionalFormatting>
  <conditionalFormatting sqref="AB66">
    <cfRule type="cellIs" dxfId="2030" priority="2320" operator="equal">
      <formula>"Muy Alta"</formula>
    </cfRule>
    <cfRule type="cellIs" dxfId="2029" priority="2321" operator="equal">
      <formula>"Alta"</formula>
    </cfRule>
    <cfRule type="cellIs" dxfId="2028" priority="2322" operator="equal">
      <formula>"Media"</formula>
    </cfRule>
    <cfRule type="cellIs" dxfId="2027" priority="2323" operator="equal">
      <formula>"Baja"</formula>
    </cfRule>
    <cfRule type="cellIs" dxfId="2026" priority="2324" operator="equal">
      <formula>"Muy Baja"</formula>
    </cfRule>
  </conditionalFormatting>
  <conditionalFormatting sqref="AD66">
    <cfRule type="cellIs" dxfId="2025" priority="2315" operator="equal">
      <formula>"Catastrófico"</formula>
    </cfRule>
    <cfRule type="cellIs" dxfId="2024" priority="2316" operator="equal">
      <formula>"Mayor"</formula>
    </cfRule>
    <cfRule type="cellIs" dxfId="2023" priority="2317" operator="equal">
      <formula>"Moderado"</formula>
    </cfRule>
    <cfRule type="cellIs" dxfId="2022" priority="2318" operator="equal">
      <formula>"Menor"</formula>
    </cfRule>
    <cfRule type="cellIs" dxfId="2021" priority="2319" operator="equal">
      <formula>"Leve"</formula>
    </cfRule>
  </conditionalFormatting>
  <conditionalFormatting sqref="AF66">
    <cfRule type="cellIs" dxfId="2020" priority="2311" operator="equal">
      <formula>"Extremo"</formula>
    </cfRule>
    <cfRule type="cellIs" dxfId="2019" priority="2312" operator="equal">
      <formula>"Alto"</formula>
    </cfRule>
    <cfRule type="cellIs" dxfId="2018" priority="2313" operator="equal">
      <formula>"Moderado"</formula>
    </cfRule>
    <cfRule type="cellIs" dxfId="2017" priority="2314" operator="equal">
      <formula>"Bajo"</formula>
    </cfRule>
  </conditionalFormatting>
  <conditionalFormatting sqref="AB68">
    <cfRule type="cellIs" dxfId="2016" priority="2306" operator="equal">
      <formula>"Muy Alta"</formula>
    </cfRule>
    <cfRule type="cellIs" dxfId="2015" priority="2307" operator="equal">
      <formula>"Alta"</formula>
    </cfRule>
    <cfRule type="cellIs" dxfId="2014" priority="2308" operator="equal">
      <formula>"Media"</formula>
    </cfRule>
    <cfRule type="cellIs" dxfId="2013" priority="2309" operator="equal">
      <formula>"Baja"</formula>
    </cfRule>
    <cfRule type="cellIs" dxfId="2012" priority="2310" operator="equal">
      <formula>"Muy Baja"</formula>
    </cfRule>
  </conditionalFormatting>
  <conditionalFormatting sqref="AD68">
    <cfRule type="cellIs" dxfId="2011" priority="2301" operator="equal">
      <formula>"Catastrófico"</formula>
    </cfRule>
    <cfRule type="cellIs" dxfId="2010" priority="2302" operator="equal">
      <formula>"Mayor"</formula>
    </cfRule>
    <cfRule type="cellIs" dxfId="2009" priority="2303" operator="equal">
      <formula>"Moderado"</formula>
    </cfRule>
    <cfRule type="cellIs" dxfId="2008" priority="2304" operator="equal">
      <formula>"Menor"</formula>
    </cfRule>
    <cfRule type="cellIs" dxfId="2007" priority="2305" operator="equal">
      <formula>"Leve"</formula>
    </cfRule>
  </conditionalFormatting>
  <conditionalFormatting sqref="AF68">
    <cfRule type="cellIs" dxfId="2006" priority="2297" operator="equal">
      <formula>"Extremo"</formula>
    </cfRule>
    <cfRule type="cellIs" dxfId="2005" priority="2298" operator="equal">
      <formula>"Alto"</formula>
    </cfRule>
    <cfRule type="cellIs" dxfId="2004" priority="2299" operator="equal">
      <formula>"Moderado"</formula>
    </cfRule>
    <cfRule type="cellIs" dxfId="2003" priority="2300" operator="equal">
      <formula>"Bajo"</formula>
    </cfRule>
  </conditionalFormatting>
  <conditionalFormatting sqref="AB69">
    <cfRule type="cellIs" dxfId="2002" priority="2292" operator="equal">
      <formula>"Muy Alta"</formula>
    </cfRule>
    <cfRule type="cellIs" dxfId="2001" priority="2293" operator="equal">
      <formula>"Alta"</formula>
    </cfRule>
    <cfRule type="cellIs" dxfId="2000" priority="2294" operator="equal">
      <formula>"Media"</formula>
    </cfRule>
    <cfRule type="cellIs" dxfId="1999" priority="2295" operator="equal">
      <formula>"Baja"</formula>
    </cfRule>
    <cfRule type="cellIs" dxfId="1998" priority="2296" operator="equal">
      <formula>"Muy Baja"</formula>
    </cfRule>
  </conditionalFormatting>
  <conditionalFormatting sqref="AD69">
    <cfRule type="cellIs" dxfId="1997" priority="2287" operator="equal">
      <formula>"Catastrófico"</formula>
    </cfRule>
    <cfRule type="cellIs" dxfId="1996" priority="2288" operator="equal">
      <formula>"Mayor"</formula>
    </cfRule>
    <cfRule type="cellIs" dxfId="1995" priority="2289" operator="equal">
      <formula>"Moderado"</formula>
    </cfRule>
    <cfRule type="cellIs" dxfId="1994" priority="2290" operator="equal">
      <formula>"Menor"</formula>
    </cfRule>
    <cfRule type="cellIs" dxfId="1993" priority="2291" operator="equal">
      <formula>"Leve"</formula>
    </cfRule>
  </conditionalFormatting>
  <conditionalFormatting sqref="AF69">
    <cfRule type="cellIs" dxfId="1992" priority="2283" operator="equal">
      <formula>"Extremo"</formula>
    </cfRule>
    <cfRule type="cellIs" dxfId="1991" priority="2284" operator="equal">
      <formula>"Alto"</formula>
    </cfRule>
    <cfRule type="cellIs" dxfId="1990" priority="2285" operator="equal">
      <formula>"Moderado"</formula>
    </cfRule>
    <cfRule type="cellIs" dxfId="1989" priority="2286" operator="equal">
      <formula>"Bajo"</formula>
    </cfRule>
  </conditionalFormatting>
  <conditionalFormatting sqref="AB73">
    <cfRule type="cellIs" dxfId="1988" priority="2278" operator="equal">
      <formula>"Muy Alta"</formula>
    </cfRule>
    <cfRule type="cellIs" dxfId="1987" priority="2279" operator="equal">
      <formula>"Alta"</formula>
    </cfRule>
    <cfRule type="cellIs" dxfId="1986" priority="2280" operator="equal">
      <formula>"Media"</formula>
    </cfRule>
    <cfRule type="cellIs" dxfId="1985" priority="2281" operator="equal">
      <formula>"Baja"</formula>
    </cfRule>
    <cfRule type="cellIs" dxfId="1984" priority="2282" operator="equal">
      <formula>"Muy Baja"</formula>
    </cfRule>
  </conditionalFormatting>
  <conditionalFormatting sqref="AD73">
    <cfRule type="cellIs" dxfId="1983" priority="2273" operator="equal">
      <formula>"Catastrófico"</formula>
    </cfRule>
    <cfRule type="cellIs" dxfId="1982" priority="2274" operator="equal">
      <formula>"Mayor"</formula>
    </cfRule>
    <cfRule type="cellIs" dxfId="1981" priority="2275" operator="equal">
      <formula>"Moderado"</formula>
    </cfRule>
    <cfRule type="cellIs" dxfId="1980" priority="2276" operator="equal">
      <formula>"Menor"</formula>
    </cfRule>
    <cfRule type="cellIs" dxfId="1979" priority="2277" operator="equal">
      <formula>"Leve"</formula>
    </cfRule>
  </conditionalFormatting>
  <conditionalFormatting sqref="AF73">
    <cfRule type="cellIs" dxfId="1978" priority="2269" operator="equal">
      <formula>"Extremo"</formula>
    </cfRule>
    <cfRule type="cellIs" dxfId="1977" priority="2270" operator="equal">
      <formula>"Alto"</formula>
    </cfRule>
    <cfRule type="cellIs" dxfId="1976" priority="2271" operator="equal">
      <formula>"Moderado"</formula>
    </cfRule>
    <cfRule type="cellIs" dxfId="1975" priority="2272" operator="equal">
      <formula>"Bajo"</formula>
    </cfRule>
  </conditionalFormatting>
  <conditionalFormatting sqref="AB74">
    <cfRule type="cellIs" dxfId="1974" priority="2264" operator="equal">
      <formula>"Muy Alta"</formula>
    </cfRule>
    <cfRule type="cellIs" dxfId="1973" priority="2265" operator="equal">
      <formula>"Alta"</formula>
    </cfRule>
    <cfRule type="cellIs" dxfId="1972" priority="2266" operator="equal">
      <formula>"Media"</formula>
    </cfRule>
    <cfRule type="cellIs" dxfId="1971" priority="2267" operator="equal">
      <formula>"Baja"</formula>
    </cfRule>
    <cfRule type="cellIs" dxfId="1970" priority="2268" operator="equal">
      <formula>"Muy Baja"</formula>
    </cfRule>
  </conditionalFormatting>
  <conditionalFormatting sqref="AD74">
    <cfRule type="cellIs" dxfId="1969" priority="2259" operator="equal">
      <formula>"Catastrófico"</formula>
    </cfRule>
    <cfRule type="cellIs" dxfId="1968" priority="2260" operator="equal">
      <formula>"Mayor"</formula>
    </cfRule>
    <cfRule type="cellIs" dxfId="1967" priority="2261" operator="equal">
      <formula>"Moderado"</formula>
    </cfRule>
    <cfRule type="cellIs" dxfId="1966" priority="2262" operator="equal">
      <formula>"Menor"</formula>
    </cfRule>
    <cfRule type="cellIs" dxfId="1965" priority="2263" operator="equal">
      <formula>"Leve"</formula>
    </cfRule>
  </conditionalFormatting>
  <conditionalFormatting sqref="AF74">
    <cfRule type="cellIs" dxfId="1964" priority="2255" operator="equal">
      <formula>"Extremo"</formula>
    </cfRule>
    <cfRule type="cellIs" dxfId="1963" priority="2256" operator="equal">
      <formula>"Alto"</formula>
    </cfRule>
    <cfRule type="cellIs" dxfId="1962" priority="2257" operator="equal">
      <formula>"Moderado"</formula>
    </cfRule>
    <cfRule type="cellIs" dxfId="1961" priority="2258" operator="equal">
      <formula>"Bajo"</formula>
    </cfRule>
  </conditionalFormatting>
  <conditionalFormatting sqref="AB75">
    <cfRule type="cellIs" dxfId="1960" priority="2250" operator="equal">
      <formula>"Muy Alta"</formula>
    </cfRule>
    <cfRule type="cellIs" dxfId="1959" priority="2251" operator="equal">
      <formula>"Alta"</formula>
    </cfRule>
    <cfRule type="cellIs" dxfId="1958" priority="2252" operator="equal">
      <formula>"Media"</formula>
    </cfRule>
    <cfRule type="cellIs" dxfId="1957" priority="2253" operator="equal">
      <formula>"Baja"</formula>
    </cfRule>
    <cfRule type="cellIs" dxfId="1956" priority="2254" operator="equal">
      <formula>"Muy Baja"</formula>
    </cfRule>
  </conditionalFormatting>
  <conditionalFormatting sqref="AD75">
    <cfRule type="cellIs" dxfId="1955" priority="2245" operator="equal">
      <formula>"Catastrófico"</formula>
    </cfRule>
    <cfRule type="cellIs" dxfId="1954" priority="2246" operator="equal">
      <formula>"Mayor"</formula>
    </cfRule>
    <cfRule type="cellIs" dxfId="1953" priority="2247" operator="equal">
      <formula>"Moderado"</formula>
    </cfRule>
    <cfRule type="cellIs" dxfId="1952" priority="2248" operator="equal">
      <formula>"Menor"</formula>
    </cfRule>
    <cfRule type="cellIs" dxfId="1951" priority="2249" operator="equal">
      <formula>"Leve"</formula>
    </cfRule>
  </conditionalFormatting>
  <conditionalFormatting sqref="AF75">
    <cfRule type="cellIs" dxfId="1950" priority="2241" operator="equal">
      <formula>"Extremo"</formula>
    </cfRule>
    <cfRule type="cellIs" dxfId="1949" priority="2242" operator="equal">
      <formula>"Alto"</formula>
    </cfRule>
    <cfRule type="cellIs" dxfId="1948" priority="2243" operator="equal">
      <formula>"Moderado"</formula>
    </cfRule>
    <cfRule type="cellIs" dxfId="1947" priority="2244" operator="equal">
      <formula>"Bajo"</formula>
    </cfRule>
  </conditionalFormatting>
  <conditionalFormatting sqref="AB77">
    <cfRule type="cellIs" dxfId="1946" priority="2236" operator="equal">
      <formula>"Muy Alta"</formula>
    </cfRule>
    <cfRule type="cellIs" dxfId="1945" priority="2237" operator="equal">
      <formula>"Alta"</formula>
    </cfRule>
    <cfRule type="cellIs" dxfId="1944" priority="2238" operator="equal">
      <formula>"Media"</formula>
    </cfRule>
    <cfRule type="cellIs" dxfId="1943" priority="2239" operator="equal">
      <formula>"Baja"</formula>
    </cfRule>
    <cfRule type="cellIs" dxfId="1942" priority="2240" operator="equal">
      <formula>"Muy Baja"</formula>
    </cfRule>
  </conditionalFormatting>
  <conditionalFormatting sqref="AD77">
    <cfRule type="cellIs" dxfId="1941" priority="2231" operator="equal">
      <formula>"Catastrófico"</formula>
    </cfRule>
    <cfRule type="cellIs" dxfId="1940" priority="2232" operator="equal">
      <formula>"Mayor"</formula>
    </cfRule>
    <cfRule type="cellIs" dxfId="1939" priority="2233" operator="equal">
      <formula>"Moderado"</formula>
    </cfRule>
    <cfRule type="cellIs" dxfId="1938" priority="2234" operator="equal">
      <formula>"Menor"</formula>
    </cfRule>
    <cfRule type="cellIs" dxfId="1937" priority="2235" operator="equal">
      <formula>"Leve"</formula>
    </cfRule>
  </conditionalFormatting>
  <conditionalFormatting sqref="AF77">
    <cfRule type="cellIs" dxfId="1936" priority="2227" operator="equal">
      <formula>"Extremo"</formula>
    </cfRule>
    <cfRule type="cellIs" dxfId="1935" priority="2228" operator="equal">
      <formula>"Alto"</formula>
    </cfRule>
    <cfRule type="cellIs" dxfId="1934" priority="2229" operator="equal">
      <formula>"Moderado"</formula>
    </cfRule>
    <cfRule type="cellIs" dxfId="1933" priority="2230" operator="equal">
      <formula>"Bajo"</formula>
    </cfRule>
  </conditionalFormatting>
  <conditionalFormatting sqref="AB76">
    <cfRule type="cellIs" dxfId="1932" priority="2222" operator="equal">
      <formula>"Muy Alta"</formula>
    </cfRule>
    <cfRule type="cellIs" dxfId="1931" priority="2223" operator="equal">
      <formula>"Alta"</formula>
    </cfRule>
    <cfRule type="cellIs" dxfId="1930" priority="2224" operator="equal">
      <formula>"Media"</formula>
    </cfRule>
    <cfRule type="cellIs" dxfId="1929" priority="2225" operator="equal">
      <formula>"Baja"</formula>
    </cfRule>
    <cfRule type="cellIs" dxfId="1928" priority="2226" operator="equal">
      <formula>"Muy Baja"</formula>
    </cfRule>
  </conditionalFormatting>
  <conditionalFormatting sqref="AD76">
    <cfRule type="cellIs" dxfId="1927" priority="2217" operator="equal">
      <formula>"Catastrófico"</formula>
    </cfRule>
    <cfRule type="cellIs" dxfId="1926" priority="2218" operator="equal">
      <formula>"Mayor"</formula>
    </cfRule>
    <cfRule type="cellIs" dxfId="1925" priority="2219" operator="equal">
      <formula>"Moderado"</formula>
    </cfRule>
    <cfRule type="cellIs" dxfId="1924" priority="2220" operator="equal">
      <formula>"Menor"</formula>
    </cfRule>
    <cfRule type="cellIs" dxfId="1923" priority="2221" operator="equal">
      <formula>"Leve"</formula>
    </cfRule>
  </conditionalFormatting>
  <conditionalFormatting sqref="AF76">
    <cfRule type="cellIs" dxfId="1922" priority="2213" operator="equal">
      <formula>"Extremo"</formula>
    </cfRule>
    <cfRule type="cellIs" dxfId="1921" priority="2214" operator="equal">
      <formula>"Alto"</formula>
    </cfRule>
    <cfRule type="cellIs" dxfId="1920" priority="2215" operator="equal">
      <formula>"Moderado"</formula>
    </cfRule>
    <cfRule type="cellIs" dxfId="1919" priority="2216" operator="equal">
      <formula>"Bajo"</formula>
    </cfRule>
  </conditionalFormatting>
  <conditionalFormatting sqref="AB78">
    <cfRule type="cellIs" dxfId="1918" priority="2208" operator="equal">
      <formula>"Muy Alta"</formula>
    </cfRule>
    <cfRule type="cellIs" dxfId="1917" priority="2209" operator="equal">
      <formula>"Alta"</formula>
    </cfRule>
    <cfRule type="cellIs" dxfId="1916" priority="2210" operator="equal">
      <formula>"Media"</formula>
    </cfRule>
    <cfRule type="cellIs" dxfId="1915" priority="2211" operator="equal">
      <formula>"Baja"</formula>
    </cfRule>
    <cfRule type="cellIs" dxfId="1914" priority="2212" operator="equal">
      <formula>"Muy Baja"</formula>
    </cfRule>
  </conditionalFormatting>
  <conditionalFormatting sqref="AD78">
    <cfRule type="cellIs" dxfId="1913" priority="2203" operator="equal">
      <formula>"Catastrófico"</formula>
    </cfRule>
    <cfRule type="cellIs" dxfId="1912" priority="2204" operator="equal">
      <formula>"Mayor"</formula>
    </cfRule>
    <cfRule type="cellIs" dxfId="1911" priority="2205" operator="equal">
      <formula>"Moderado"</formula>
    </cfRule>
    <cfRule type="cellIs" dxfId="1910" priority="2206" operator="equal">
      <formula>"Menor"</formula>
    </cfRule>
    <cfRule type="cellIs" dxfId="1909" priority="2207" operator="equal">
      <formula>"Leve"</formula>
    </cfRule>
  </conditionalFormatting>
  <conditionalFormatting sqref="AF78">
    <cfRule type="cellIs" dxfId="1908" priority="2199" operator="equal">
      <formula>"Extremo"</formula>
    </cfRule>
    <cfRule type="cellIs" dxfId="1907" priority="2200" operator="equal">
      <formula>"Alto"</formula>
    </cfRule>
    <cfRule type="cellIs" dxfId="1906" priority="2201" operator="equal">
      <formula>"Moderado"</formula>
    </cfRule>
    <cfRule type="cellIs" dxfId="1905" priority="2202" operator="equal">
      <formula>"Bajo"</formula>
    </cfRule>
  </conditionalFormatting>
  <conditionalFormatting sqref="AB80">
    <cfRule type="cellIs" dxfId="1904" priority="2194" operator="equal">
      <formula>"Muy Alta"</formula>
    </cfRule>
    <cfRule type="cellIs" dxfId="1903" priority="2195" operator="equal">
      <formula>"Alta"</formula>
    </cfRule>
    <cfRule type="cellIs" dxfId="1902" priority="2196" operator="equal">
      <formula>"Media"</formula>
    </cfRule>
    <cfRule type="cellIs" dxfId="1901" priority="2197" operator="equal">
      <formula>"Baja"</formula>
    </cfRule>
    <cfRule type="cellIs" dxfId="1900" priority="2198" operator="equal">
      <formula>"Muy Baja"</formula>
    </cfRule>
  </conditionalFormatting>
  <conditionalFormatting sqref="AD80">
    <cfRule type="cellIs" dxfId="1899" priority="2189" operator="equal">
      <formula>"Catastrófico"</formula>
    </cfRule>
    <cfRule type="cellIs" dxfId="1898" priority="2190" operator="equal">
      <formula>"Mayor"</formula>
    </cfRule>
    <cfRule type="cellIs" dxfId="1897" priority="2191" operator="equal">
      <formula>"Moderado"</formula>
    </cfRule>
    <cfRule type="cellIs" dxfId="1896" priority="2192" operator="equal">
      <formula>"Menor"</formula>
    </cfRule>
    <cfRule type="cellIs" dxfId="1895" priority="2193" operator="equal">
      <formula>"Leve"</formula>
    </cfRule>
  </conditionalFormatting>
  <conditionalFormatting sqref="AF80">
    <cfRule type="cellIs" dxfId="1894" priority="2185" operator="equal">
      <formula>"Extremo"</formula>
    </cfRule>
    <cfRule type="cellIs" dxfId="1893" priority="2186" operator="equal">
      <formula>"Alto"</formula>
    </cfRule>
    <cfRule type="cellIs" dxfId="1892" priority="2187" operator="equal">
      <formula>"Moderado"</formula>
    </cfRule>
    <cfRule type="cellIs" dxfId="1891" priority="2188" operator="equal">
      <formula>"Bajo"</formula>
    </cfRule>
  </conditionalFormatting>
  <conditionalFormatting sqref="AB81">
    <cfRule type="cellIs" dxfId="1890" priority="2180" operator="equal">
      <formula>"Muy Alta"</formula>
    </cfRule>
    <cfRule type="cellIs" dxfId="1889" priority="2181" operator="equal">
      <formula>"Alta"</formula>
    </cfRule>
    <cfRule type="cellIs" dxfId="1888" priority="2182" operator="equal">
      <formula>"Media"</formula>
    </cfRule>
    <cfRule type="cellIs" dxfId="1887" priority="2183" operator="equal">
      <formula>"Baja"</formula>
    </cfRule>
    <cfRule type="cellIs" dxfId="1886" priority="2184" operator="equal">
      <formula>"Muy Baja"</formula>
    </cfRule>
  </conditionalFormatting>
  <conditionalFormatting sqref="AD81">
    <cfRule type="cellIs" dxfId="1885" priority="2175" operator="equal">
      <formula>"Catastrófico"</formula>
    </cfRule>
    <cfRule type="cellIs" dxfId="1884" priority="2176" operator="equal">
      <formula>"Mayor"</formula>
    </cfRule>
    <cfRule type="cellIs" dxfId="1883" priority="2177" operator="equal">
      <formula>"Moderado"</formula>
    </cfRule>
    <cfRule type="cellIs" dxfId="1882" priority="2178" operator="equal">
      <formula>"Menor"</formula>
    </cfRule>
    <cfRule type="cellIs" dxfId="1881" priority="2179" operator="equal">
      <formula>"Leve"</formula>
    </cfRule>
  </conditionalFormatting>
  <conditionalFormatting sqref="AF81">
    <cfRule type="cellIs" dxfId="1880" priority="2171" operator="equal">
      <formula>"Extremo"</formula>
    </cfRule>
    <cfRule type="cellIs" dxfId="1879" priority="2172" operator="equal">
      <formula>"Alto"</formula>
    </cfRule>
    <cfRule type="cellIs" dxfId="1878" priority="2173" operator="equal">
      <formula>"Moderado"</formula>
    </cfRule>
    <cfRule type="cellIs" dxfId="1877" priority="2174" operator="equal">
      <formula>"Bajo"</formula>
    </cfRule>
  </conditionalFormatting>
  <conditionalFormatting sqref="AB83">
    <cfRule type="cellIs" dxfId="1876" priority="2166" operator="equal">
      <formula>"Muy Alta"</formula>
    </cfRule>
    <cfRule type="cellIs" dxfId="1875" priority="2167" operator="equal">
      <formula>"Alta"</formula>
    </cfRule>
    <cfRule type="cellIs" dxfId="1874" priority="2168" operator="equal">
      <formula>"Media"</formula>
    </cfRule>
    <cfRule type="cellIs" dxfId="1873" priority="2169" operator="equal">
      <formula>"Baja"</formula>
    </cfRule>
    <cfRule type="cellIs" dxfId="1872" priority="2170" operator="equal">
      <formula>"Muy Baja"</formula>
    </cfRule>
  </conditionalFormatting>
  <conditionalFormatting sqref="AD83">
    <cfRule type="cellIs" dxfId="1871" priority="2161" operator="equal">
      <formula>"Catastrófico"</formula>
    </cfRule>
    <cfRule type="cellIs" dxfId="1870" priority="2162" operator="equal">
      <formula>"Mayor"</formula>
    </cfRule>
    <cfRule type="cellIs" dxfId="1869" priority="2163" operator="equal">
      <formula>"Moderado"</formula>
    </cfRule>
    <cfRule type="cellIs" dxfId="1868" priority="2164" operator="equal">
      <formula>"Menor"</formula>
    </cfRule>
    <cfRule type="cellIs" dxfId="1867" priority="2165" operator="equal">
      <formula>"Leve"</formula>
    </cfRule>
  </conditionalFormatting>
  <conditionalFormatting sqref="AF83">
    <cfRule type="cellIs" dxfId="1866" priority="2157" operator="equal">
      <formula>"Extremo"</formula>
    </cfRule>
    <cfRule type="cellIs" dxfId="1865" priority="2158" operator="equal">
      <formula>"Alto"</formula>
    </cfRule>
    <cfRule type="cellIs" dxfId="1864" priority="2159" operator="equal">
      <formula>"Moderado"</formula>
    </cfRule>
    <cfRule type="cellIs" dxfId="1863" priority="2160" operator="equal">
      <formula>"Bajo"</formula>
    </cfRule>
  </conditionalFormatting>
  <conditionalFormatting sqref="AB84">
    <cfRule type="cellIs" dxfId="1862" priority="2152" operator="equal">
      <formula>"Muy Alta"</formula>
    </cfRule>
    <cfRule type="cellIs" dxfId="1861" priority="2153" operator="equal">
      <formula>"Alta"</formula>
    </cfRule>
    <cfRule type="cellIs" dxfId="1860" priority="2154" operator="equal">
      <formula>"Media"</formula>
    </cfRule>
    <cfRule type="cellIs" dxfId="1859" priority="2155" operator="equal">
      <formula>"Baja"</formula>
    </cfRule>
    <cfRule type="cellIs" dxfId="1858" priority="2156" operator="equal">
      <formula>"Muy Baja"</formula>
    </cfRule>
  </conditionalFormatting>
  <conditionalFormatting sqref="AD84">
    <cfRule type="cellIs" dxfId="1857" priority="2147" operator="equal">
      <formula>"Catastrófico"</formula>
    </cfRule>
    <cfRule type="cellIs" dxfId="1856" priority="2148" operator="equal">
      <formula>"Mayor"</formula>
    </cfRule>
    <cfRule type="cellIs" dxfId="1855" priority="2149" operator="equal">
      <formula>"Moderado"</formula>
    </cfRule>
    <cfRule type="cellIs" dxfId="1854" priority="2150" operator="equal">
      <formula>"Menor"</formula>
    </cfRule>
    <cfRule type="cellIs" dxfId="1853" priority="2151" operator="equal">
      <formula>"Leve"</formula>
    </cfRule>
  </conditionalFormatting>
  <conditionalFormatting sqref="AF84">
    <cfRule type="cellIs" dxfId="1852" priority="2143" operator="equal">
      <formula>"Extremo"</formula>
    </cfRule>
    <cfRule type="cellIs" dxfId="1851" priority="2144" operator="equal">
      <formula>"Alto"</formula>
    </cfRule>
    <cfRule type="cellIs" dxfId="1850" priority="2145" operator="equal">
      <formula>"Moderado"</formula>
    </cfRule>
    <cfRule type="cellIs" dxfId="1849" priority="2146" operator="equal">
      <formula>"Bajo"</formula>
    </cfRule>
  </conditionalFormatting>
  <conditionalFormatting sqref="AB89">
    <cfRule type="cellIs" dxfId="1848" priority="2138" operator="equal">
      <formula>"Muy Alta"</formula>
    </cfRule>
    <cfRule type="cellIs" dxfId="1847" priority="2139" operator="equal">
      <formula>"Alta"</formula>
    </cfRule>
    <cfRule type="cellIs" dxfId="1846" priority="2140" operator="equal">
      <formula>"Media"</formula>
    </cfRule>
    <cfRule type="cellIs" dxfId="1845" priority="2141" operator="equal">
      <formula>"Baja"</formula>
    </cfRule>
    <cfRule type="cellIs" dxfId="1844" priority="2142" operator="equal">
      <formula>"Muy Baja"</formula>
    </cfRule>
  </conditionalFormatting>
  <conditionalFormatting sqref="AD89">
    <cfRule type="cellIs" dxfId="1843" priority="2133" operator="equal">
      <formula>"Catastrófico"</formula>
    </cfRule>
    <cfRule type="cellIs" dxfId="1842" priority="2134" operator="equal">
      <formula>"Mayor"</formula>
    </cfRule>
    <cfRule type="cellIs" dxfId="1841" priority="2135" operator="equal">
      <formula>"Moderado"</formula>
    </cfRule>
    <cfRule type="cellIs" dxfId="1840" priority="2136" operator="equal">
      <formula>"Menor"</formula>
    </cfRule>
    <cfRule type="cellIs" dxfId="1839" priority="2137" operator="equal">
      <formula>"Leve"</formula>
    </cfRule>
  </conditionalFormatting>
  <conditionalFormatting sqref="AF89">
    <cfRule type="cellIs" dxfId="1838" priority="2129" operator="equal">
      <formula>"Extremo"</formula>
    </cfRule>
    <cfRule type="cellIs" dxfId="1837" priority="2130" operator="equal">
      <formula>"Alto"</formula>
    </cfRule>
    <cfRule type="cellIs" dxfId="1836" priority="2131" operator="equal">
      <formula>"Moderado"</formula>
    </cfRule>
    <cfRule type="cellIs" dxfId="1835" priority="2132" operator="equal">
      <formula>"Bajo"</formula>
    </cfRule>
  </conditionalFormatting>
  <conditionalFormatting sqref="AB90">
    <cfRule type="cellIs" dxfId="1834" priority="2124" operator="equal">
      <formula>"Muy Alta"</formula>
    </cfRule>
    <cfRule type="cellIs" dxfId="1833" priority="2125" operator="equal">
      <formula>"Alta"</formula>
    </cfRule>
    <cfRule type="cellIs" dxfId="1832" priority="2126" operator="equal">
      <formula>"Media"</formula>
    </cfRule>
    <cfRule type="cellIs" dxfId="1831" priority="2127" operator="equal">
      <formula>"Baja"</formula>
    </cfRule>
    <cfRule type="cellIs" dxfId="1830" priority="2128" operator="equal">
      <formula>"Muy Baja"</formula>
    </cfRule>
  </conditionalFormatting>
  <conditionalFormatting sqref="AD90">
    <cfRule type="cellIs" dxfId="1829" priority="2119" operator="equal">
      <formula>"Catastrófico"</formula>
    </cfRule>
    <cfRule type="cellIs" dxfId="1828" priority="2120" operator="equal">
      <formula>"Mayor"</formula>
    </cfRule>
    <cfRule type="cellIs" dxfId="1827" priority="2121" operator="equal">
      <formula>"Moderado"</formula>
    </cfRule>
    <cfRule type="cellIs" dxfId="1826" priority="2122" operator="equal">
      <formula>"Menor"</formula>
    </cfRule>
    <cfRule type="cellIs" dxfId="1825" priority="2123" operator="equal">
      <formula>"Leve"</formula>
    </cfRule>
  </conditionalFormatting>
  <conditionalFormatting sqref="AF90">
    <cfRule type="cellIs" dxfId="1824" priority="2115" operator="equal">
      <formula>"Extremo"</formula>
    </cfRule>
    <cfRule type="cellIs" dxfId="1823" priority="2116" operator="equal">
      <formula>"Alto"</formula>
    </cfRule>
    <cfRule type="cellIs" dxfId="1822" priority="2117" operator="equal">
      <formula>"Moderado"</formula>
    </cfRule>
    <cfRule type="cellIs" dxfId="1821" priority="2118" operator="equal">
      <formula>"Bajo"</formula>
    </cfRule>
  </conditionalFormatting>
  <conditionalFormatting sqref="AB92">
    <cfRule type="cellIs" dxfId="1820" priority="2110" operator="equal">
      <formula>"Muy Alta"</formula>
    </cfRule>
    <cfRule type="cellIs" dxfId="1819" priority="2111" operator="equal">
      <formula>"Alta"</formula>
    </cfRule>
    <cfRule type="cellIs" dxfId="1818" priority="2112" operator="equal">
      <formula>"Media"</formula>
    </cfRule>
    <cfRule type="cellIs" dxfId="1817" priority="2113" operator="equal">
      <formula>"Baja"</formula>
    </cfRule>
    <cfRule type="cellIs" dxfId="1816" priority="2114" operator="equal">
      <formula>"Muy Baja"</formula>
    </cfRule>
  </conditionalFormatting>
  <conditionalFormatting sqref="AD92">
    <cfRule type="cellIs" dxfId="1815" priority="2105" operator="equal">
      <formula>"Catastrófico"</formula>
    </cfRule>
    <cfRule type="cellIs" dxfId="1814" priority="2106" operator="equal">
      <formula>"Mayor"</formula>
    </cfRule>
    <cfRule type="cellIs" dxfId="1813" priority="2107" operator="equal">
      <formula>"Moderado"</formula>
    </cfRule>
    <cfRule type="cellIs" dxfId="1812" priority="2108" operator="equal">
      <formula>"Menor"</formula>
    </cfRule>
    <cfRule type="cellIs" dxfId="1811" priority="2109" operator="equal">
      <formula>"Leve"</formula>
    </cfRule>
  </conditionalFormatting>
  <conditionalFormatting sqref="AF92">
    <cfRule type="cellIs" dxfId="1810" priority="2101" operator="equal">
      <formula>"Extremo"</formula>
    </cfRule>
    <cfRule type="cellIs" dxfId="1809" priority="2102" operator="equal">
      <formula>"Alto"</formula>
    </cfRule>
    <cfRule type="cellIs" dxfId="1808" priority="2103" operator="equal">
      <formula>"Moderado"</formula>
    </cfRule>
    <cfRule type="cellIs" dxfId="1807" priority="2104" operator="equal">
      <formula>"Bajo"</formula>
    </cfRule>
  </conditionalFormatting>
  <conditionalFormatting sqref="AB94">
    <cfRule type="cellIs" dxfId="1806" priority="2096" operator="equal">
      <formula>"Muy Alta"</formula>
    </cfRule>
    <cfRule type="cellIs" dxfId="1805" priority="2097" operator="equal">
      <formula>"Alta"</formula>
    </cfRule>
    <cfRule type="cellIs" dxfId="1804" priority="2098" operator="equal">
      <formula>"Media"</formula>
    </cfRule>
    <cfRule type="cellIs" dxfId="1803" priority="2099" operator="equal">
      <formula>"Baja"</formula>
    </cfRule>
    <cfRule type="cellIs" dxfId="1802" priority="2100" operator="equal">
      <formula>"Muy Baja"</formula>
    </cfRule>
  </conditionalFormatting>
  <conditionalFormatting sqref="AD94">
    <cfRule type="cellIs" dxfId="1801" priority="2091" operator="equal">
      <formula>"Catastrófico"</formula>
    </cfRule>
    <cfRule type="cellIs" dxfId="1800" priority="2092" operator="equal">
      <formula>"Mayor"</formula>
    </cfRule>
    <cfRule type="cellIs" dxfId="1799" priority="2093" operator="equal">
      <formula>"Moderado"</formula>
    </cfRule>
    <cfRule type="cellIs" dxfId="1798" priority="2094" operator="equal">
      <formula>"Menor"</formula>
    </cfRule>
    <cfRule type="cellIs" dxfId="1797" priority="2095" operator="equal">
      <formula>"Leve"</formula>
    </cfRule>
  </conditionalFormatting>
  <conditionalFormatting sqref="AF94">
    <cfRule type="cellIs" dxfId="1796" priority="2087" operator="equal">
      <formula>"Extremo"</formula>
    </cfRule>
    <cfRule type="cellIs" dxfId="1795" priority="2088" operator="equal">
      <formula>"Alto"</formula>
    </cfRule>
    <cfRule type="cellIs" dxfId="1794" priority="2089" operator="equal">
      <formula>"Moderado"</formula>
    </cfRule>
    <cfRule type="cellIs" dxfId="1793" priority="2090" operator="equal">
      <formula>"Bajo"</formula>
    </cfRule>
  </conditionalFormatting>
  <conditionalFormatting sqref="AB93">
    <cfRule type="cellIs" dxfId="1792" priority="2082" operator="equal">
      <formula>"Muy Alta"</formula>
    </cfRule>
    <cfRule type="cellIs" dxfId="1791" priority="2083" operator="equal">
      <formula>"Alta"</formula>
    </cfRule>
    <cfRule type="cellIs" dxfId="1790" priority="2084" operator="equal">
      <formula>"Media"</formula>
    </cfRule>
    <cfRule type="cellIs" dxfId="1789" priority="2085" operator="equal">
      <formula>"Baja"</formula>
    </cfRule>
    <cfRule type="cellIs" dxfId="1788" priority="2086" operator="equal">
      <formula>"Muy Baja"</formula>
    </cfRule>
  </conditionalFormatting>
  <conditionalFormatting sqref="AD93">
    <cfRule type="cellIs" dxfId="1787" priority="2077" operator="equal">
      <formula>"Catastrófico"</formula>
    </cfRule>
    <cfRule type="cellIs" dxfId="1786" priority="2078" operator="equal">
      <formula>"Mayor"</formula>
    </cfRule>
    <cfRule type="cellIs" dxfId="1785" priority="2079" operator="equal">
      <formula>"Moderado"</formula>
    </cfRule>
    <cfRule type="cellIs" dxfId="1784" priority="2080" operator="equal">
      <formula>"Menor"</formula>
    </cfRule>
    <cfRule type="cellIs" dxfId="1783" priority="2081" operator="equal">
      <formula>"Leve"</formula>
    </cfRule>
  </conditionalFormatting>
  <conditionalFormatting sqref="AF93">
    <cfRule type="cellIs" dxfId="1782" priority="2073" operator="equal">
      <formula>"Extremo"</formula>
    </cfRule>
    <cfRule type="cellIs" dxfId="1781" priority="2074" operator="equal">
      <formula>"Alto"</formula>
    </cfRule>
    <cfRule type="cellIs" dxfId="1780" priority="2075" operator="equal">
      <formula>"Moderado"</formula>
    </cfRule>
    <cfRule type="cellIs" dxfId="1779" priority="2076" operator="equal">
      <formula>"Bajo"</formula>
    </cfRule>
  </conditionalFormatting>
  <conditionalFormatting sqref="AB95">
    <cfRule type="cellIs" dxfId="1778" priority="2068" operator="equal">
      <formula>"Muy Alta"</formula>
    </cfRule>
    <cfRule type="cellIs" dxfId="1777" priority="2069" operator="equal">
      <formula>"Alta"</formula>
    </cfRule>
    <cfRule type="cellIs" dxfId="1776" priority="2070" operator="equal">
      <formula>"Media"</formula>
    </cfRule>
    <cfRule type="cellIs" dxfId="1775" priority="2071" operator="equal">
      <formula>"Baja"</formula>
    </cfRule>
    <cfRule type="cellIs" dxfId="1774" priority="2072" operator="equal">
      <formula>"Muy Baja"</formula>
    </cfRule>
  </conditionalFormatting>
  <conditionalFormatting sqref="AD95">
    <cfRule type="cellIs" dxfId="1773" priority="2063" operator="equal">
      <formula>"Catastrófico"</formula>
    </cfRule>
    <cfRule type="cellIs" dxfId="1772" priority="2064" operator="equal">
      <formula>"Mayor"</formula>
    </cfRule>
    <cfRule type="cellIs" dxfId="1771" priority="2065" operator="equal">
      <formula>"Moderado"</formula>
    </cfRule>
    <cfRule type="cellIs" dxfId="1770" priority="2066" operator="equal">
      <formula>"Menor"</formula>
    </cfRule>
    <cfRule type="cellIs" dxfId="1769" priority="2067" operator="equal">
      <formula>"Leve"</formula>
    </cfRule>
  </conditionalFormatting>
  <conditionalFormatting sqref="AF95">
    <cfRule type="cellIs" dxfId="1768" priority="2059" operator="equal">
      <formula>"Extremo"</formula>
    </cfRule>
    <cfRule type="cellIs" dxfId="1767" priority="2060" operator="equal">
      <formula>"Alto"</formula>
    </cfRule>
    <cfRule type="cellIs" dxfId="1766" priority="2061" operator="equal">
      <formula>"Moderado"</formula>
    </cfRule>
    <cfRule type="cellIs" dxfId="1765" priority="2062" operator="equal">
      <formula>"Bajo"</formula>
    </cfRule>
  </conditionalFormatting>
  <conditionalFormatting sqref="AB96">
    <cfRule type="cellIs" dxfId="1764" priority="2054" operator="equal">
      <formula>"Muy Alta"</formula>
    </cfRule>
    <cfRule type="cellIs" dxfId="1763" priority="2055" operator="equal">
      <formula>"Alta"</formula>
    </cfRule>
    <cfRule type="cellIs" dxfId="1762" priority="2056" operator="equal">
      <formula>"Media"</formula>
    </cfRule>
    <cfRule type="cellIs" dxfId="1761" priority="2057" operator="equal">
      <formula>"Baja"</formula>
    </cfRule>
    <cfRule type="cellIs" dxfId="1760" priority="2058" operator="equal">
      <formula>"Muy Baja"</formula>
    </cfRule>
  </conditionalFormatting>
  <conditionalFormatting sqref="AD96">
    <cfRule type="cellIs" dxfId="1759" priority="2049" operator="equal">
      <formula>"Catastrófico"</formula>
    </cfRule>
    <cfRule type="cellIs" dxfId="1758" priority="2050" operator="equal">
      <formula>"Mayor"</formula>
    </cfRule>
    <cfRule type="cellIs" dxfId="1757" priority="2051" operator="equal">
      <formula>"Moderado"</formula>
    </cfRule>
    <cfRule type="cellIs" dxfId="1756" priority="2052" operator="equal">
      <formula>"Menor"</formula>
    </cfRule>
    <cfRule type="cellIs" dxfId="1755" priority="2053" operator="equal">
      <formula>"Leve"</formula>
    </cfRule>
  </conditionalFormatting>
  <conditionalFormatting sqref="AF96">
    <cfRule type="cellIs" dxfId="1754" priority="2045" operator="equal">
      <formula>"Extremo"</formula>
    </cfRule>
    <cfRule type="cellIs" dxfId="1753" priority="2046" operator="equal">
      <formula>"Alto"</formula>
    </cfRule>
    <cfRule type="cellIs" dxfId="1752" priority="2047" operator="equal">
      <formula>"Moderado"</formula>
    </cfRule>
    <cfRule type="cellIs" dxfId="1751" priority="2048" operator="equal">
      <formula>"Bajo"</formula>
    </cfRule>
  </conditionalFormatting>
  <conditionalFormatting sqref="AB98">
    <cfRule type="cellIs" dxfId="1750" priority="2040" operator="equal">
      <formula>"Muy Alta"</formula>
    </cfRule>
    <cfRule type="cellIs" dxfId="1749" priority="2041" operator="equal">
      <formula>"Alta"</formula>
    </cfRule>
    <cfRule type="cellIs" dxfId="1748" priority="2042" operator="equal">
      <formula>"Media"</formula>
    </cfRule>
    <cfRule type="cellIs" dxfId="1747" priority="2043" operator="equal">
      <formula>"Baja"</formula>
    </cfRule>
    <cfRule type="cellIs" dxfId="1746" priority="2044" operator="equal">
      <formula>"Muy Baja"</formula>
    </cfRule>
  </conditionalFormatting>
  <conditionalFormatting sqref="AD98">
    <cfRule type="cellIs" dxfId="1745" priority="2035" operator="equal">
      <formula>"Catastrófico"</formula>
    </cfRule>
    <cfRule type="cellIs" dxfId="1744" priority="2036" operator="equal">
      <formula>"Mayor"</formula>
    </cfRule>
    <cfRule type="cellIs" dxfId="1743" priority="2037" operator="equal">
      <formula>"Moderado"</formula>
    </cfRule>
    <cfRule type="cellIs" dxfId="1742" priority="2038" operator="equal">
      <formula>"Menor"</formula>
    </cfRule>
    <cfRule type="cellIs" dxfId="1741" priority="2039" operator="equal">
      <formula>"Leve"</formula>
    </cfRule>
  </conditionalFormatting>
  <conditionalFormatting sqref="AF98">
    <cfRule type="cellIs" dxfId="1740" priority="2031" operator="equal">
      <formula>"Extremo"</formula>
    </cfRule>
    <cfRule type="cellIs" dxfId="1739" priority="2032" operator="equal">
      <formula>"Alto"</formula>
    </cfRule>
    <cfRule type="cellIs" dxfId="1738" priority="2033" operator="equal">
      <formula>"Moderado"</formula>
    </cfRule>
    <cfRule type="cellIs" dxfId="1737" priority="2034" operator="equal">
      <formula>"Bajo"</formula>
    </cfRule>
  </conditionalFormatting>
  <conditionalFormatting sqref="AB103">
    <cfRule type="cellIs" dxfId="1736" priority="1998" operator="equal">
      <formula>"Muy Alta"</formula>
    </cfRule>
    <cfRule type="cellIs" dxfId="1735" priority="1999" operator="equal">
      <formula>"Alta"</formula>
    </cfRule>
    <cfRule type="cellIs" dxfId="1734" priority="2000" operator="equal">
      <formula>"Media"</formula>
    </cfRule>
    <cfRule type="cellIs" dxfId="1733" priority="2001" operator="equal">
      <formula>"Baja"</formula>
    </cfRule>
    <cfRule type="cellIs" dxfId="1732" priority="2002" operator="equal">
      <formula>"Muy Baja"</formula>
    </cfRule>
  </conditionalFormatting>
  <conditionalFormatting sqref="AD103">
    <cfRule type="cellIs" dxfId="1731" priority="1993" operator="equal">
      <formula>"Catastrófico"</formula>
    </cfRule>
    <cfRule type="cellIs" dxfId="1730" priority="1994" operator="equal">
      <formula>"Mayor"</formula>
    </cfRule>
    <cfRule type="cellIs" dxfId="1729" priority="1995" operator="equal">
      <formula>"Moderado"</formula>
    </cfRule>
    <cfRule type="cellIs" dxfId="1728" priority="1996" operator="equal">
      <formula>"Menor"</formula>
    </cfRule>
    <cfRule type="cellIs" dxfId="1727" priority="1997" operator="equal">
      <formula>"Leve"</formula>
    </cfRule>
  </conditionalFormatting>
  <conditionalFormatting sqref="AF103">
    <cfRule type="cellIs" dxfId="1726" priority="1989" operator="equal">
      <formula>"Extremo"</formula>
    </cfRule>
    <cfRule type="cellIs" dxfId="1725" priority="1990" operator="equal">
      <formula>"Alto"</formula>
    </cfRule>
    <cfRule type="cellIs" dxfId="1724" priority="1991" operator="equal">
      <formula>"Moderado"</formula>
    </cfRule>
    <cfRule type="cellIs" dxfId="1723" priority="1992" operator="equal">
      <formula>"Bajo"</formula>
    </cfRule>
  </conditionalFormatting>
  <conditionalFormatting sqref="AB104">
    <cfRule type="cellIs" dxfId="1722" priority="1956" operator="equal">
      <formula>"Muy Alta"</formula>
    </cfRule>
    <cfRule type="cellIs" dxfId="1721" priority="1957" operator="equal">
      <formula>"Alta"</formula>
    </cfRule>
    <cfRule type="cellIs" dxfId="1720" priority="1958" operator="equal">
      <formula>"Media"</formula>
    </cfRule>
    <cfRule type="cellIs" dxfId="1719" priority="1959" operator="equal">
      <formula>"Baja"</formula>
    </cfRule>
    <cfRule type="cellIs" dxfId="1718" priority="1960" operator="equal">
      <formula>"Muy Baja"</formula>
    </cfRule>
  </conditionalFormatting>
  <conditionalFormatting sqref="AD104">
    <cfRule type="cellIs" dxfId="1717" priority="1951" operator="equal">
      <formula>"Catastrófico"</formula>
    </cfRule>
    <cfRule type="cellIs" dxfId="1716" priority="1952" operator="equal">
      <formula>"Mayor"</formula>
    </cfRule>
    <cfRule type="cellIs" dxfId="1715" priority="1953" operator="equal">
      <formula>"Moderado"</formula>
    </cfRule>
    <cfRule type="cellIs" dxfId="1714" priority="1954" operator="equal">
      <formula>"Menor"</formula>
    </cfRule>
    <cfRule type="cellIs" dxfId="1713" priority="1955" operator="equal">
      <formula>"Leve"</formula>
    </cfRule>
  </conditionalFormatting>
  <conditionalFormatting sqref="AF104">
    <cfRule type="cellIs" dxfId="1712" priority="1947" operator="equal">
      <formula>"Extremo"</formula>
    </cfRule>
    <cfRule type="cellIs" dxfId="1711" priority="1948" operator="equal">
      <formula>"Alto"</formula>
    </cfRule>
    <cfRule type="cellIs" dxfId="1710" priority="1949" operator="equal">
      <formula>"Moderado"</formula>
    </cfRule>
    <cfRule type="cellIs" dxfId="1709" priority="1950" operator="equal">
      <formula>"Bajo"</formula>
    </cfRule>
  </conditionalFormatting>
  <conditionalFormatting sqref="AB105">
    <cfRule type="cellIs" dxfId="1708" priority="1942" operator="equal">
      <formula>"Muy Alta"</formula>
    </cfRule>
    <cfRule type="cellIs" dxfId="1707" priority="1943" operator="equal">
      <formula>"Alta"</formula>
    </cfRule>
    <cfRule type="cellIs" dxfId="1706" priority="1944" operator="equal">
      <formula>"Media"</formula>
    </cfRule>
    <cfRule type="cellIs" dxfId="1705" priority="1945" operator="equal">
      <formula>"Baja"</formula>
    </cfRule>
    <cfRule type="cellIs" dxfId="1704" priority="1946" operator="equal">
      <formula>"Muy Baja"</formula>
    </cfRule>
  </conditionalFormatting>
  <conditionalFormatting sqref="AD105">
    <cfRule type="cellIs" dxfId="1703" priority="1937" operator="equal">
      <formula>"Catastrófico"</formula>
    </cfRule>
    <cfRule type="cellIs" dxfId="1702" priority="1938" operator="equal">
      <formula>"Mayor"</formula>
    </cfRule>
    <cfRule type="cellIs" dxfId="1701" priority="1939" operator="equal">
      <formula>"Moderado"</formula>
    </cfRule>
    <cfRule type="cellIs" dxfId="1700" priority="1940" operator="equal">
      <formula>"Menor"</formula>
    </cfRule>
    <cfRule type="cellIs" dxfId="1699" priority="1941" operator="equal">
      <formula>"Leve"</formula>
    </cfRule>
  </conditionalFormatting>
  <conditionalFormatting sqref="AF105">
    <cfRule type="cellIs" dxfId="1698" priority="1933" operator="equal">
      <formula>"Extremo"</formula>
    </cfRule>
    <cfRule type="cellIs" dxfId="1697" priority="1934" operator="equal">
      <formula>"Alto"</formula>
    </cfRule>
    <cfRule type="cellIs" dxfId="1696" priority="1935" operator="equal">
      <formula>"Moderado"</formula>
    </cfRule>
    <cfRule type="cellIs" dxfId="1695" priority="1936" operator="equal">
      <formula>"Bajo"</formula>
    </cfRule>
  </conditionalFormatting>
  <conditionalFormatting sqref="AB107">
    <cfRule type="cellIs" dxfId="1694" priority="1928" operator="equal">
      <formula>"Muy Alta"</formula>
    </cfRule>
    <cfRule type="cellIs" dxfId="1693" priority="1929" operator="equal">
      <formula>"Alta"</formula>
    </cfRule>
    <cfRule type="cellIs" dxfId="1692" priority="1930" operator="equal">
      <formula>"Media"</formula>
    </cfRule>
    <cfRule type="cellIs" dxfId="1691" priority="1931" operator="equal">
      <formula>"Baja"</formula>
    </cfRule>
    <cfRule type="cellIs" dxfId="1690" priority="1932" operator="equal">
      <formula>"Muy Baja"</formula>
    </cfRule>
  </conditionalFormatting>
  <conditionalFormatting sqref="AD107">
    <cfRule type="cellIs" dxfId="1689" priority="1923" operator="equal">
      <formula>"Catastrófico"</formula>
    </cfRule>
    <cfRule type="cellIs" dxfId="1688" priority="1924" operator="equal">
      <formula>"Mayor"</formula>
    </cfRule>
    <cfRule type="cellIs" dxfId="1687" priority="1925" operator="equal">
      <formula>"Moderado"</formula>
    </cfRule>
    <cfRule type="cellIs" dxfId="1686" priority="1926" operator="equal">
      <formula>"Menor"</formula>
    </cfRule>
    <cfRule type="cellIs" dxfId="1685" priority="1927" operator="equal">
      <formula>"Leve"</formula>
    </cfRule>
  </conditionalFormatting>
  <conditionalFormatting sqref="AF107">
    <cfRule type="cellIs" dxfId="1684" priority="1919" operator="equal">
      <formula>"Extremo"</formula>
    </cfRule>
    <cfRule type="cellIs" dxfId="1683" priority="1920" operator="equal">
      <formula>"Alto"</formula>
    </cfRule>
    <cfRule type="cellIs" dxfId="1682" priority="1921" operator="equal">
      <formula>"Moderado"</formula>
    </cfRule>
    <cfRule type="cellIs" dxfId="1681" priority="1922" operator="equal">
      <formula>"Bajo"</formula>
    </cfRule>
  </conditionalFormatting>
  <conditionalFormatting sqref="AB108">
    <cfRule type="cellIs" dxfId="1680" priority="1914" operator="equal">
      <formula>"Muy Alta"</formula>
    </cfRule>
    <cfRule type="cellIs" dxfId="1679" priority="1915" operator="equal">
      <formula>"Alta"</formula>
    </cfRule>
    <cfRule type="cellIs" dxfId="1678" priority="1916" operator="equal">
      <formula>"Media"</formula>
    </cfRule>
    <cfRule type="cellIs" dxfId="1677" priority="1917" operator="equal">
      <formula>"Baja"</formula>
    </cfRule>
    <cfRule type="cellIs" dxfId="1676" priority="1918" operator="equal">
      <formula>"Muy Baja"</formula>
    </cfRule>
  </conditionalFormatting>
  <conditionalFormatting sqref="AD108">
    <cfRule type="cellIs" dxfId="1675" priority="1909" operator="equal">
      <formula>"Catastrófico"</formula>
    </cfRule>
    <cfRule type="cellIs" dxfId="1674" priority="1910" operator="equal">
      <formula>"Mayor"</formula>
    </cfRule>
    <cfRule type="cellIs" dxfId="1673" priority="1911" operator="equal">
      <formula>"Moderado"</formula>
    </cfRule>
    <cfRule type="cellIs" dxfId="1672" priority="1912" operator="equal">
      <formula>"Menor"</formula>
    </cfRule>
    <cfRule type="cellIs" dxfId="1671" priority="1913" operator="equal">
      <formula>"Leve"</formula>
    </cfRule>
  </conditionalFormatting>
  <conditionalFormatting sqref="AF108">
    <cfRule type="cellIs" dxfId="1670" priority="1905" operator="equal">
      <formula>"Extremo"</formula>
    </cfRule>
    <cfRule type="cellIs" dxfId="1669" priority="1906" operator="equal">
      <formula>"Alto"</formula>
    </cfRule>
    <cfRule type="cellIs" dxfId="1668" priority="1907" operator="equal">
      <formula>"Moderado"</formula>
    </cfRule>
    <cfRule type="cellIs" dxfId="1667" priority="1908" operator="equal">
      <formula>"Bajo"</formula>
    </cfRule>
  </conditionalFormatting>
  <conditionalFormatting sqref="AB124">
    <cfRule type="cellIs" dxfId="1666" priority="1900" operator="equal">
      <formula>"Muy Alta"</formula>
    </cfRule>
    <cfRule type="cellIs" dxfId="1665" priority="1901" operator="equal">
      <formula>"Alta"</formula>
    </cfRule>
    <cfRule type="cellIs" dxfId="1664" priority="1902" operator="equal">
      <formula>"Media"</formula>
    </cfRule>
    <cfRule type="cellIs" dxfId="1663" priority="1903" operator="equal">
      <formula>"Baja"</formula>
    </cfRule>
    <cfRule type="cellIs" dxfId="1662" priority="1904" operator="equal">
      <formula>"Muy Baja"</formula>
    </cfRule>
  </conditionalFormatting>
  <conditionalFormatting sqref="AD124">
    <cfRule type="cellIs" dxfId="1661" priority="1895" operator="equal">
      <formula>"Catastrófico"</formula>
    </cfRule>
    <cfRule type="cellIs" dxfId="1660" priority="1896" operator="equal">
      <formula>"Mayor"</formula>
    </cfRule>
    <cfRule type="cellIs" dxfId="1659" priority="1897" operator="equal">
      <formula>"Moderado"</formula>
    </cfRule>
    <cfRule type="cellIs" dxfId="1658" priority="1898" operator="equal">
      <formula>"Menor"</formula>
    </cfRule>
    <cfRule type="cellIs" dxfId="1657" priority="1899" operator="equal">
      <formula>"Leve"</formula>
    </cfRule>
  </conditionalFormatting>
  <conditionalFormatting sqref="AF124">
    <cfRule type="cellIs" dxfId="1656" priority="1891" operator="equal">
      <formula>"Extremo"</formula>
    </cfRule>
    <cfRule type="cellIs" dxfId="1655" priority="1892" operator="equal">
      <formula>"Alto"</formula>
    </cfRule>
    <cfRule type="cellIs" dxfId="1654" priority="1893" operator="equal">
      <formula>"Moderado"</formula>
    </cfRule>
    <cfRule type="cellIs" dxfId="1653" priority="1894" operator="equal">
      <formula>"Bajo"</formula>
    </cfRule>
  </conditionalFormatting>
  <conditionalFormatting sqref="AB125">
    <cfRule type="cellIs" dxfId="1652" priority="1886" operator="equal">
      <formula>"Muy Alta"</formula>
    </cfRule>
    <cfRule type="cellIs" dxfId="1651" priority="1887" operator="equal">
      <formula>"Alta"</formula>
    </cfRule>
    <cfRule type="cellIs" dxfId="1650" priority="1888" operator="equal">
      <formula>"Media"</formula>
    </cfRule>
    <cfRule type="cellIs" dxfId="1649" priority="1889" operator="equal">
      <formula>"Baja"</formula>
    </cfRule>
    <cfRule type="cellIs" dxfId="1648" priority="1890" operator="equal">
      <formula>"Muy Baja"</formula>
    </cfRule>
  </conditionalFormatting>
  <conditionalFormatting sqref="AD125">
    <cfRule type="cellIs" dxfId="1647" priority="1881" operator="equal">
      <formula>"Catastrófico"</formula>
    </cfRule>
    <cfRule type="cellIs" dxfId="1646" priority="1882" operator="equal">
      <formula>"Mayor"</formula>
    </cfRule>
    <cfRule type="cellIs" dxfId="1645" priority="1883" operator="equal">
      <formula>"Moderado"</formula>
    </cfRule>
    <cfRule type="cellIs" dxfId="1644" priority="1884" operator="equal">
      <formula>"Menor"</formula>
    </cfRule>
    <cfRule type="cellIs" dxfId="1643" priority="1885" operator="equal">
      <formula>"Leve"</formula>
    </cfRule>
  </conditionalFormatting>
  <conditionalFormatting sqref="AF125">
    <cfRule type="cellIs" dxfId="1642" priority="1877" operator="equal">
      <formula>"Extremo"</formula>
    </cfRule>
    <cfRule type="cellIs" dxfId="1641" priority="1878" operator="equal">
      <formula>"Alto"</formula>
    </cfRule>
    <cfRule type="cellIs" dxfId="1640" priority="1879" operator="equal">
      <formula>"Moderado"</formula>
    </cfRule>
    <cfRule type="cellIs" dxfId="1639" priority="1880" operator="equal">
      <formula>"Bajo"</formula>
    </cfRule>
  </conditionalFormatting>
  <conditionalFormatting sqref="AB126">
    <cfRule type="cellIs" dxfId="1638" priority="1872" operator="equal">
      <formula>"Muy Alta"</formula>
    </cfRule>
    <cfRule type="cellIs" dxfId="1637" priority="1873" operator="equal">
      <formula>"Alta"</formula>
    </cfRule>
    <cfRule type="cellIs" dxfId="1636" priority="1874" operator="equal">
      <formula>"Media"</formula>
    </cfRule>
    <cfRule type="cellIs" dxfId="1635" priority="1875" operator="equal">
      <formula>"Baja"</formula>
    </cfRule>
    <cfRule type="cellIs" dxfId="1634" priority="1876" operator="equal">
      <formula>"Muy Baja"</formula>
    </cfRule>
  </conditionalFormatting>
  <conditionalFormatting sqref="AD126">
    <cfRule type="cellIs" dxfId="1633" priority="1867" operator="equal">
      <formula>"Catastrófico"</formula>
    </cfRule>
    <cfRule type="cellIs" dxfId="1632" priority="1868" operator="equal">
      <formula>"Mayor"</formula>
    </cfRule>
    <cfRule type="cellIs" dxfId="1631" priority="1869" operator="equal">
      <formula>"Moderado"</formula>
    </cfRule>
    <cfRule type="cellIs" dxfId="1630" priority="1870" operator="equal">
      <formula>"Menor"</formula>
    </cfRule>
    <cfRule type="cellIs" dxfId="1629" priority="1871" operator="equal">
      <formula>"Leve"</formula>
    </cfRule>
  </conditionalFormatting>
  <conditionalFormatting sqref="AF126">
    <cfRule type="cellIs" dxfId="1628" priority="1863" operator="equal">
      <formula>"Extremo"</formula>
    </cfRule>
    <cfRule type="cellIs" dxfId="1627" priority="1864" operator="equal">
      <formula>"Alto"</formula>
    </cfRule>
    <cfRule type="cellIs" dxfId="1626" priority="1865" operator="equal">
      <formula>"Moderado"</formula>
    </cfRule>
    <cfRule type="cellIs" dxfId="1625" priority="1866" operator="equal">
      <formula>"Bajo"</formula>
    </cfRule>
  </conditionalFormatting>
  <conditionalFormatting sqref="K10">
    <cfRule type="cellIs" dxfId="1624" priority="1858" operator="equal">
      <formula>"Muy Alta"</formula>
    </cfRule>
    <cfRule type="cellIs" dxfId="1623" priority="1859" operator="equal">
      <formula>"Alta"</formula>
    </cfRule>
    <cfRule type="cellIs" dxfId="1622" priority="1860" operator="equal">
      <formula>"Media"</formula>
    </cfRule>
    <cfRule type="cellIs" dxfId="1621" priority="1861" operator="equal">
      <formula>"Baja"</formula>
    </cfRule>
    <cfRule type="cellIs" dxfId="1620" priority="1862" operator="equal">
      <formula>"Muy Baja"</formula>
    </cfRule>
  </conditionalFormatting>
  <conditionalFormatting sqref="O10">
    <cfRule type="cellIs" dxfId="1619" priority="1853" operator="equal">
      <formula>"Catastrófico"</formula>
    </cfRule>
    <cfRule type="cellIs" dxfId="1618" priority="1854" operator="equal">
      <formula>"Mayor"</formula>
    </cfRule>
    <cfRule type="cellIs" dxfId="1617" priority="1855" operator="equal">
      <formula>"Moderado"</formula>
    </cfRule>
    <cfRule type="cellIs" dxfId="1616" priority="1856" operator="equal">
      <formula>"Menor"</formula>
    </cfRule>
    <cfRule type="cellIs" dxfId="1615" priority="1857" operator="equal">
      <formula>"Leve"</formula>
    </cfRule>
  </conditionalFormatting>
  <conditionalFormatting sqref="Q10">
    <cfRule type="cellIs" dxfId="1614" priority="1849" operator="equal">
      <formula>"Extremo"</formula>
    </cfRule>
    <cfRule type="cellIs" dxfId="1613" priority="1850" operator="equal">
      <formula>"Alto"</formula>
    </cfRule>
    <cfRule type="cellIs" dxfId="1612" priority="1851" operator="equal">
      <formula>"Moderado"</formula>
    </cfRule>
    <cfRule type="cellIs" dxfId="1611" priority="1852" operator="equal">
      <formula>"Bajo"</formula>
    </cfRule>
  </conditionalFormatting>
  <conditionalFormatting sqref="N10:N12">
    <cfRule type="containsText" dxfId="1610" priority="1848" operator="containsText" text="❌">
      <formula>NOT(ISERROR(SEARCH("❌",N10)))</formula>
    </cfRule>
  </conditionalFormatting>
  <conditionalFormatting sqref="K13">
    <cfRule type="cellIs" dxfId="1609" priority="1843" operator="equal">
      <formula>"Muy Alta"</formula>
    </cfRule>
    <cfRule type="cellIs" dxfId="1608" priority="1844" operator="equal">
      <formula>"Alta"</formula>
    </cfRule>
    <cfRule type="cellIs" dxfId="1607" priority="1845" operator="equal">
      <formula>"Media"</formula>
    </cfRule>
    <cfRule type="cellIs" dxfId="1606" priority="1846" operator="equal">
      <formula>"Baja"</formula>
    </cfRule>
    <cfRule type="cellIs" dxfId="1605" priority="1847" operator="equal">
      <formula>"Muy Baja"</formula>
    </cfRule>
  </conditionalFormatting>
  <conditionalFormatting sqref="O13">
    <cfRule type="cellIs" dxfId="1604" priority="1838" operator="equal">
      <formula>"Catastrófico"</formula>
    </cfRule>
    <cfRule type="cellIs" dxfId="1603" priority="1839" operator="equal">
      <formula>"Mayor"</formula>
    </cfRule>
    <cfRule type="cellIs" dxfId="1602" priority="1840" operator="equal">
      <formula>"Moderado"</formula>
    </cfRule>
    <cfRule type="cellIs" dxfId="1601" priority="1841" operator="equal">
      <formula>"Menor"</formula>
    </cfRule>
    <cfRule type="cellIs" dxfId="1600" priority="1842" operator="equal">
      <formula>"Leve"</formula>
    </cfRule>
  </conditionalFormatting>
  <conditionalFormatting sqref="Q13">
    <cfRule type="cellIs" dxfId="1599" priority="1834" operator="equal">
      <formula>"Extremo"</formula>
    </cfRule>
    <cfRule type="cellIs" dxfId="1598" priority="1835" operator="equal">
      <formula>"Alto"</formula>
    </cfRule>
    <cfRule type="cellIs" dxfId="1597" priority="1836" operator="equal">
      <formula>"Moderado"</formula>
    </cfRule>
    <cfRule type="cellIs" dxfId="1596" priority="1837" operator="equal">
      <formula>"Bajo"</formula>
    </cfRule>
  </conditionalFormatting>
  <conditionalFormatting sqref="N13:N15">
    <cfRule type="containsText" dxfId="1595" priority="1833" operator="containsText" text="❌">
      <formula>NOT(ISERROR(SEARCH("❌",N13)))</formula>
    </cfRule>
  </conditionalFormatting>
  <conditionalFormatting sqref="K16">
    <cfRule type="cellIs" dxfId="1594" priority="1813" operator="equal">
      <formula>"Muy Alta"</formula>
    </cfRule>
    <cfRule type="cellIs" dxfId="1593" priority="1814" operator="equal">
      <formula>"Alta"</formula>
    </cfRule>
    <cfRule type="cellIs" dxfId="1592" priority="1815" operator="equal">
      <formula>"Media"</formula>
    </cfRule>
    <cfRule type="cellIs" dxfId="1591" priority="1816" operator="equal">
      <formula>"Baja"</formula>
    </cfRule>
    <cfRule type="cellIs" dxfId="1590" priority="1817" operator="equal">
      <formula>"Muy Baja"</formula>
    </cfRule>
  </conditionalFormatting>
  <conditionalFormatting sqref="O16">
    <cfRule type="cellIs" dxfId="1589" priority="1808" operator="equal">
      <formula>"Catastrófico"</formula>
    </cfRule>
    <cfRule type="cellIs" dxfId="1588" priority="1809" operator="equal">
      <formula>"Mayor"</formula>
    </cfRule>
    <cfRule type="cellIs" dxfId="1587" priority="1810" operator="equal">
      <formula>"Moderado"</formula>
    </cfRule>
    <cfRule type="cellIs" dxfId="1586" priority="1811" operator="equal">
      <formula>"Menor"</formula>
    </cfRule>
    <cfRule type="cellIs" dxfId="1585" priority="1812" operator="equal">
      <formula>"Leve"</formula>
    </cfRule>
  </conditionalFormatting>
  <conditionalFormatting sqref="Q16">
    <cfRule type="cellIs" dxfId="1584" priority="1804" operator="equal">
      <formula>"Extremo"</formula>
    </cfRule>
    <cfRule type="cellIs" dxfId="1583" priority="1805" operator="equal">
      <formula>"Alto"</formula>
    </cfRule>
    <cfRule type="cellIs" dxfId="1582" priority="1806" operator="equal">
      <formula>"Moderado"</formula>
    </cfRule>
    <cfRule type="cellIs" dxfId="1581" priority="1807" operator="equal">
      <formula>"Bajo"</formula>
    </cfRule>
  </conditionalFormatting>
  <conditionalFormatting sqref="N16:N18">
    <cfRule type="containsText" dxfId="1580" priority="1803" operator="containsText" text="❌">
      <formula>NOT(ISERROR(SEARCH("❌",N16)))</formula>
    </cfRule>
  </conditionalFormatting>
  <conditionalFormatting sqref="K19">
    <cfRule type="cellIs" dxfId="1579" priority="1798" operator="equal">
      <formula>"Muy Alta"</formula>
    </cfRule>
    <cfRule type="cellIs" dxfId="1578" priority="1799" operator="equal">
      <formula>"Alta"</formula>
    </cfRule>
    <cfRule type="cellIs" dxfId="1577" priority="1800" operator="equal">
      <formula>"Media"</formula>
    </cfRule>
    <cfRule type="cellIs" dxfId="1576" priority="1801" operator="equal">
      <formula>"Baja"</formula>
    </cfRule>
    <cfRule type="cellIs" dxfId="1575" priority="1802" operator="equal">
      <formula>"Muy Baja"</formula>
    </cfRule>
  </conditionalFormatting>
  <conditionalFormatting sqref="O19">
    <cfRule type="cellIs" dxfId="1574" priority="1793" operator="equal">
      <formula>"Catastrófico"</formula>
    </cfRule>
    <cfRule type="cellIs" dxfId="1573" priority="1794" operator="equal">
      <formula>"Mayor"</formula>
    </cfRule>
    <cfRule type="cellIs" dxfId="1572" priority="1795" operator="equal">
      <formula>"Moderado"</formula>
    </cfRule>
    <cfRule type="cellIs" dxfId="1571" priority="1796" operator="equal">
      <formula>"Menor"</formula>
    </cfRule>
    <cfRule type="cellIs" dxfId="1570" priority="1797" operator="equal">
      <formula>"Leve"</formula>
    </cfRule>
  </conditionalFormatting>
  <conditionalFormatting sqref="Q19">
    <cfRule type="cellIs" dxfId="1569" priority="1789" operator="equal">
      <formula>"Extremo"</formula>
    </cfRule>
    <cfRule type="cellIs" dxfId="1568" priority="1790" operator="equal">
      <formula>"Alto"</formula>
    </cfRule>
    <cfRule type="cellIs" dxfId="1567" priority="1791" operator="equal">
      <formula>"Moderado"</formula>
    </cfRule>
    <cfRule type="cellIs" dxfId="1566" priority="1792" operator="equal">
      <formula>"Bajo"</formula>
    </cfRule>
  </conditionalFormatting>
  <conditionalFormatting sqref="N19:N21">
    <cfRule type="containsText" dxfId="1565" priority="1788" operator="containsText" text="❌">
      <formula>NOT(ISERROR(SEARCH("❌",N19)))</formula>
    </cfRule>
  </conditionalFormatting>
  <conditionalFormatting sqref="K22">
    <cfRule type="cellIs" dxfId="1564" priority="1783" operator="equal">
      <formula>"Muy Alta"</formula>
    </cfRule>
    <cfRule type="cellIs" dxfId="1563" priority="1784" operator="equal">
      <formula>"Alta"</formula>
    </cfRule>
    <cfRule type="cellIs" dxfId="1562" priority="1785" operator="equal">
      <formula>"Media"</formula>
    </cfRule>
    <cfRule type="cellIs" dxfId="1561" priority="1786" operator="equal">
      <formula>"Baja"</formula>
    </cfRule>
    <cfRule type="cellIs" dxfId="1560" priority="1787" operator="equal">
      <formula>"Muy Baja"</formula>
    </cfRule>
  </conditionalFormatting>
  <conditionalFormatting sqref="O22">
    <cfRule type="cellIs" dxfId="1559" priority="1778" operator="equal">
      <formula>"Catastrófico"</formula>
    </cfRule>
    <cfRule type="cellIs" dxfId="1558" priority="1779" operator="equal">
      <formula>"Mayor"</formula>
    </cfRule>
    <cfRule type="cellIs" dxfId="1557" priority="1780" operator="equal">
      <formula>"Moderado"</formula>
    </cfRule>
    <cfRule type="cellIs" dxfId="1556" priority="1781" operator="equal">
      <formula>"Menor"</formula>
    </cfRule>
    <cfRule type="cellIs" dxfId="1555" priority="1782" operator="equal">
      <formula>"Leve"</formula>
    </cfRule>
  </conditionalFormatting>
  <conditionalFormatting sqref="Q22">
    <cfRule type="cellIs" dxfId="1554" priority="1774" operator="equal">
      <formula>"Extremo"</formula>
    </cfRule>
    <cfRule type="cellIs" dxfId="1553" priority="1775" operator="equal">
      <formula>"Alto"</formula>
    </cfRule>
    <cfRule type="cellIs" dxfId="1552" priority="1776" operator="equal">
      <formula>"Moderado"</formula>
    </cfRule>
    <cfRule type="cellIs" dxfId="1551" priority="1777" operator="equal">
      <formula>"Bajo"</formula>
    </cfRule>
  </conditionalFormatting>
  <conditionalFormatting sqref="N22:N24">
    <cfRule type="containsText" dxfId="1550" priority="1773" operator="containsText" text="❌">
      <formula>NOT(ISERROR(SEARCH("❌",N22)))</formula>
    </cfRule>
  </conditionalFormatting>
  <conditionalFormatting sqref="K25">
    <cfRule type="cellIs" dxfId="1549" priority="1768" operator="equal">
      <formula>"Muy Alta"</formula>
    </cfRule>
    <cfRule type="cellIs" dxfId="1548" priority="1769" operator="equal">
      <formula>"Alta"</formula>
    </cfRule>
    <cfRule type="cellIs" dxfId="1547" priority="1770" operator="equal">
      <formula>"Media"</formula>
    </cfRule>
    <cfRule type="cellIs" dxfId="1546" priority="1771" operator="equal">
      <formula>"Baja"</formula>
    </cfRule>
    <cfRule type="cellIs" dxfId="1545" priority="1772" operator="equal">
      <formula>"Muy Baja"</formula>
    </cfRule>
  </conditionalFormatting>
  <conditionalFormatting sqref="O25">
    <cfRule type="cellIs" dxfId="1544" priority="1763" operator="equal">
      <formula>"Catastrófico"</formula>
    </cfRule>
    <cfRule type="cellIs" dxfId="1543" priority="1764" operator="equal">
      <formula>"Mayor"</formula>
    </cfRule>
    <cfRule type="cellIs" dxfId="1542" priority="1765" operator="equal">
      <formula>"Moderado"</formula>
    </cfRule>
    <cfRule type="cellIs" dxfId="1541" priority="1766" operator="equal">
      <formula>"Menor"</formula>
    </cfRule>
    <cfRule type="cellIs" dxfId="1540" priority="1767" operator="equal">
      <formula>"Leve"</formula>
    </cfRule>
  </conditionalFormatting>
  <conditionalFormatting sqref="Q25">
    <cfRule type="cellIs" dxfId="1539" priority="1759" operator="equal">
      <formula>"Extremo"</formula>
    </cfRule>
    <cfRule type="cellIs" dxfId="1538" priority="1760" operator="equal">
      <formula>"Alto"</formula>
    </cfRule>
    <cfRule type="cellIs" dxfId="1537" priority="1761" operator="equal">
      <formula>"Moderado"</formula>
    </cfRule>
    <cfRule type="cellIs" dxfId="1536" priority="1762" operator="equal">
      <formula>"Bajo"</formula>
    </cfRule>
  </conditionalFormatting>
  <conditionalFormatting sqref="N25:N27">
    <cfRule type="containsText" dxfId="1535" priority="1758" operator="containsText" text="❌">
      <formula>NOT(ISERROR(SEARCH("❌",N25)))</formula>
    </cfRule>
  </conditionalFormatting>
  <conditionalFormatting sqref="K28">
    <cfRule type="cellIs" dxfId="1534" priority="1753" operator="equal">
      <formula>"Muy Alta"</formula>
    </cfRule>
    <cfRule type="cellIs" dxfId="1533" priority="1754" operator="equal">
      <formula>"Alta"</formula>
    </cfRule>
    <cfRule type="cellIs" dxfId="1532" priority="1755" operator="equal">
      <formula>"Media"</formula>
    </cfRule>
    <cfRule type="cellIs" dxfId="1531" priority="1756" operator="equal">
      <formula>"Baja"</formula>
    </cfRule>
    <cfRule type="cellIs" dxfId="1530" priority="1757" operator="equal">
      <formula>"Muy Baja"</formula>
    </cfRule>
  </conditionalFormatting>
  <conditionalFormatting sqref="O28">
    <cfRule type="cellIs" dxfId="1529" priority="1748" operator="equal">
      <formula>"Catastrófico"</formula>
    </cfRule>
    <cfRule type="cellIs" dxfId="1528" priority="1749" operator="equal">
      <formula>"Mayor"</formula>
    </cfRule>
    <cfRule type="cellIs" dxfId="1527" priority="1750" operator="equal">
      <formula>"Moderado"</formula>
    </cfRule>
    <cfRule type="cellIs" dxfId="1526" priority="1751" operator="equal">
      <formula>"Menor"</formula>
    </cfRule>
    <cfRule type="cellIs" dxfId="1525" priority="1752" operator="equal">
      <formula>"Leve"</formula>
    </cfRule>
  </conditionalFormatting>
  <conditionalFormatting sqref="Q28">
    <cfRule type="cellIs" dxfId="1524" priority="1744" operator="equal">
      <formula>"Extremo"</formula>
    </cfRule>
    <cfRule type="cellIs" dxfId="1523" priority="1745" operator="equal">
      <formula>"Alto"</formula>
    </cfRule>
    <cfRule type="cellIs" dxfId="1522" priority="1746" operator="equal">
      <formula>"Moderado"</formula>
    </cfRule>
    <cfRule type="cellIs" dxfId="1521" priority="1747" operator="equal">
      <formula>"Bajo"</formula>
    </cfRule>
  </conditionalFormatting>
  <conditionalFormatting sqref="N28:N30">
    <cfRule type="containsText" dxfId="1520" priority="1743" operator="containsText" text="❌">
      <formula>NOT(ISERROR(SEARCH("❌",N28)))</formula>
    </cfRule>
  </conditionalFormatting>
  <conditionalFormatting sqref="K31">
    <cfRule type="cellIs" dxfId="1519" priority="1738" operator="equal">
      <formula>"Muy Alta"</formula>
    </cfRule>
    <cfRule type="cellIs" dxfId="1518" priority="1739" operator="equal">
      <formula>"Alta"</formula>
    </cfRule>
    <cfRule type="cellIs" dxfId="1517" priority="1740" operator="equal">
      <formula>"Media"</formula>
    </cfRule>
    <cfRule type="cellIs" dxfId="1516" priority="1741" operator="equal">
      <formula>"Baja"</formula>
    </cfRule>
    <cfRule type="cellIs" dxfId="1515" priority="1742" operator="equal">
      <formula>"Muy Baja"</formula>
    </cfRule>
  </conditionalFormatting>
  <conditionalFormatting sqref="O31">
    <cfRule type="cellIs" dxfId="1514" priority="1733" operator="equal">
      <formula>"Catastrófico"</formula>
    </cfRule>
    <cfRule type="cellIs" dxfId="1513" priority="1734" operator="equal">
      <formula>"Mayor"</formula>
    </cfRule>
    <cfRule type="cellIs" dxfId="1512" priority="1735" operator="equal">
      <formula>"Moderado"</formula>
    </cfRule>
    <cfRule type="cellIs" dxfId="1511" priority="1736" operator="equal">
      <formula>"Menor"</formula>
    </cfRule>
    <cfRule type="cellIs" dxfId="1510" priority="1737" operator="equal">
      <formula>"Leve"</formula>
    </cfRule>
  </conditionalFormatting>
  <conditionalFormatting sqref="Q31">
    <cfRule type="cellIs" dxfId="1509" priority="1729" operator="equal">
      <formula>"Extremo"</formula>
    </cfRule>
    <cfRule type="cellIs" dxfId="1508" priority="1730" operator="equal">
      <formula>"Alto"</formula>
    </cfRule>
    <cfRule type="cellIs" dxfId="1507" priority="1731" operator="equal">
      <formula>"Moderado"</formula>
    </cfRule>
    <cfRule type="cellIs" dxfId="1506" priority="1732" operator="equal">
      <formula>"Bajo"</formula>
    </cfRule>
  </conditionalFormatting>
  <conditionalFormatting sqref="N31:N33">
    <cfRule type="containsText" dxfId="1505" priority="1728" operator="containsText" text="❌">
      <formula>NOT(ISERROR(SEARCH("❌",N31)))</formula>
    </cfRule>
  </conditionalFormatting>
  <conditionalFormatting sqref="K34">
    <cfRule type="cellIs" dxfId="1504" priority="1723" operator="equal">
      <formula>"Muy Alta"</formula>
    </cfRule>
    <cfRule type="cellIs" dxfId="1503" priority="1724" operator="equal">
      <formula>"Alta"</formula>
    </cfRule>
    <cfRule type="cellIs" dxfId="1502" priority="1725" operator="equal">
      <formula>"Media"</formula>
    </cfRule>
    <cfRule type="cellIs" dxfId="1501" priority="1726" operator="equal">
      <formula>"Baja"</formula>
    </cfRule>
    <cfRule type="cellIs" dxfId="1500" priority="1727" operator="equal">
      <formula>"Muy Baja"</formula>
    </cfRule>
  </conditionalFormatting>
  <conditionalFormatting sqref="O34">
    <cfRule type="cellIs" dxfId="1499" priority="1718" operator="equal">
      <formula>"Catastrófico"</formula>
    </cfRule>
    <cfRule type="cellIs" dxfId="1498" priority="1719" operator="equal">
      <formula>"Mayor"</formula>
    </cfRule>
    <cfRule type="cellIs" dxfId="1497" priority="1720" operator="equal">
      <formula>"Moderado"</formula>
    </cfRule>
    <cfRule type="cellIs" dxfId="1496" priority="1721" operator="equal">
      <formula>"Menor"</formula>
    </cfRule>
    <cfRule type="cellIs" dxfId="1495" priority="1722" operator="equal">
      <formula>"Leve"</formula>
    </cfRule>
  </conditionalFormatting>
  <conditionalFormatting sqref="Q34">
    <cfRule type="cellIs" dxfId="1494" priority="1714" operator="equal">
      <formula>"Extremo"</formula>
    </cfRule>
    <cfRule type="cellIs" dxfId="1493" priority="1715" operator="equal">
      <formula>"Alto"</formula>
    </cfRule>
    <cfRule type="cellIs" dxfId="1492" priority="1716" operator="equal">
      <formula>"Moderado"</formula>
    </cfRule>
    <cfRule type="cellIs" dxfId="1491" priority="1717" operator="equal">
      <formula>"Bajo"</formula>
    </cfRule>
  </conditionalFormatting>
  <conditionalFormatting sqref="N34:N36">
    <cfRule type="containsText" dxfId="1490" priority="1713" operator="containsText" text="❌">
      <formula>NOT(ISERROR(SEARCH("❌",N34)))</formula>
    </cfRule>
  </conditionalFormatting>
  <conditionalFormatting sqref="K37">
    <cfRule type="cellIs" dxfId="1489" priority="1708" operator="equal">
      <formula>"Muy Alta"</formula>
    </cfRule>
    <cfRule type="cellIs" dxfId="1488" priority="1709" operator="equal">
      <formula>"Alta"</formula>
    </cfRule>
    <cfRule type="cellIs" dxfId="1487" priority="1710" operator="equal">
      <formula>"Media"</formula>
    </cfRule>
    <cfRule type="cellIs" dxfId="1486" priority="1711" operator="equal">
      <formula>"Baja"</formula>
    </cfRule>
    <cfRule type="cellIs" dxfId="1485" priority="1712" operator="equal">
      <formula>"Muy Baja"</formula>
    </cfRule>
  </conditionalFormatting>
  <conditionalFormatting sqref="O37">
    <cfRule type="cellIs" dxfId="1484" priority="1703" operator="equal">
      <formula>"Catastrófico"</formula>
    </cfRule>
    <cfRule type="cellIs" dxfId="1483" priority="1704" operator="equal">
      <formula>"Mayor"</formula>
    </cfRule>
    <cfRule type="cellIs" dxfId="1482" priority="1705" operator="equal">
      <formula>"Moderado"</formula>
    </cfRule>
    <cfRule type="cellIs" dxfId="1481" priority="1706" operator="equal">
      <formula>"Menor"</formula>
    </cfRule>
    <cfRule type="cellIs" dxfId="1480" priority="1707" operator="equal">
      <formula>"Leve"</formula>
    </cfRule>
  </conditionalFormatting>
  <conditionalFormatting sqref="Q37">
    <cfRule type="cellIs" dxfId="1479" priority="1699" operator="equal">
      <formula>"Extremo"</formula>
    </cfRule>
    <cfRule type="cellIs" dxfId="1478" priority="1700" operator="equal">
      <formula>"Alto"</formula>
    </cfRule>
    <cfRule type="cellIs" dxfId="1477" priority="1701" operator="equal">
      <formula>"Moderado"</formula>
    </cfRule>
    <cfRule type="cellIs" dxfId="1476" priority="1702" operator="equal">
      <formula>"Bajo"</formula>
    </cfRule>
  </conditionalFormatting>
  <conditionalFormatting sqref="N37:N39">
    <cfRule type="containsText" dxfId="1475" priority="1698" operator="containsText" text="❌">
      <formula>NOT(ISERROR(SEARCH("❌",N37)))</formula>
    </cfRule>
  </conditionalFormatting>
  <conditionalFormatting sqref="K40">
    <cfRule type="cellIs" dxfId="1474" priority="1693" operator="equal">
      <formula>"Muy Alta"</formula>
    </cfRule>
    <cfRule type="cellIs" dxfId="1473" priority="1694" operator="equal">
      <formula>"Alta"</formula>
    </cfRule>
    <cfRule type="cellIs" dxfId="1472" priority="1695" operator="equal">
      <formula>"Media"</formula>
    </cfRule>
    <cfRule type="cellIs" dxfId="1471" priority="1696" operator="equal">
      <formula>"Baja"</formula>
    </cfRule>
    <cfRule type="cellIs" dxfId="1470" priority="1697" operator="equal">
      <formula>"Muy Baja"</formula>
    </cfRule>
  </conditionalFormatting>
  <conditionalFormatting sqref="O40">
    <cfRule type="cellIs" dxfId="1469" priority="1688" operator="equal">
      <formula>"Catastrófico"</formula>
    </cfRule>
    <cfRule type="cellIs" dxfId="1468" priority="1689" operator="equal">
      <formula>"Mayor"</formula>
    </cfRule>
    <cfRule type="cellIs" dxfId="1467" priority="1690" operator="equal">
      <formula>"Moderado"</formula>
    </cfRule>
    <cfRule type="cellIs" dxfId="1466" priority="1691" operator="equal">
      <formula>"Menor"</formula>
    </cfRule>
    <cfRule type="cellIs" dxfId="1465" priority="1692" operator="equal">
      <formula>"Leve"</formula>
    </cfRule>
  </conditionalFormatting>
  <conditionalFormatting sqref="Q40">
    <cfRule type="cellIs" dxfId="1464" priority="1684" operator="equal">
      <formula>"Extremo"</formula>
    </cfRule>
    <cfRule type="cellIs" dxfId="1463" priority="1685" operator="equal">
      <formula>"Alto"</formula>
    </cfRule>
    <cfRule type="cellIs" dxfId="1462" priority="1686" operator="equal">
      <formula>"Moderado"</formula>
    </cfRule>
    <cfRule type="cellIs" dxfId="1461" priority="1687" operator="equal">
      <formula>"Bajo"</formula>
    </cfRule>
  </conditionalFormatting>
  <conditionalFormatting sqref="N40:N42">
    <cfRule type="containsText" dxfId="1460" priority="1683" operator="containsText" text="❌">
      <formula>NOT(ISERROR(SEARCH("❌",N40)))</formula>
    </cfRule>
  </conditionalFormatting>
  <conditionalFormatting sqref="K43">
    <cfRule type="cellIs" dxfId="1459" priority="1663" operator="equal">
      <formula>"Muy Alta"</formula>
    </cfRule>
    <cfRule type="cellIs" dxfId="1458" priority="1664" operator="equal">
      <formula>"Alta"</formula>
    </cfRule>
    <cfRule type="cellIs" dxfId="1457" priority="1665" operator="equal">
      <formula>"Media"</formula>
    </cfRule>
    <cfRule type="cellIs" dxfId="1456" priority="1666" operator="equal">
      <formula>"Baja"</formula>
    </cfRule>
    <cfRule type="cellIs" dxfId="1455" priority="1667" operator="equal">
      <formula>"Muy Baja"</formula>
    </cfRule>
  </conditionalFormatting>
  <conditionalFormatting sqref="O43">
    <cfRule type="cellIs" dxfId="1454" priority="1658" operator="equal">
      <formula>"Catastrófico"</formula>
    </cfRule>
    <cfRule type="cellIs" dxfId="1453" priority="1659" operator="equal">
      <formula>"Mayor"</formula>
    </cfRule>
    <cfRule type="cellIs" dxfId="1452" priority="1660" operator="equal">
      <formula>"Moderado"</formula>
    </cfRule>
    <cfRule type="cellIs" dxfId="1451" priority="1661" operator="equal">
      <formula>"Menor"</formula>
    </cfRule>
    <cfRule type="cellIs" dxfId="1450" priority="1662" operator="equal">
      <formula>"Leve"</formula>
    </cfRule>
  </conditionalFormatting>
  <conditionalFormatting sqref="Q43">
    <cfRule type="cellIs" dxfId="1449" priority="1654" operator="equal">
      <formula>"Extremo"</formula>
    </cfRule>
    <cfRule type="cellIs" dxfId="1448" priority="1655" operator="equal">
      <formula>"Alto"</formula>
    </cfRule>
    <cfRule type="cellIs" dxfId="1447" priority="1656" operator="equal">
      <formula>"Moderado"</formula>
    </cfRule>
    <cfRule type="cellIs" dxfId="1446" priority="1657" operator="equal">
      <formula>"Bajo"</formula>
    </cfRule>
  </conditionalFormatting>
  <conditionalFormatting sqref="N43:N45">
    <cfRule type="containsText" dxfId="1445" priority="1653" operator="containsText" text="❌">
      <formula>NOT(ISERROR(SEARCH("❌",N43)))</formula>
    </cfRule>
  </conditionalFormatting>
  <conditionalFormatting sqref="K46">
    <cfRule type="cellIs" dxfId="1444" priority="1648" operator="equal">
      <formula>"Muy Alta"</formula>
    </cfRule>
    <cfRule type="cellIs" dxfId="1443" priority="1649" operator="equal">
      <formula>"Alta"</formula>
    </cfRule>
    <cfRule type="cellIs" dxfId="1442" priority="1650" operator="equal">
      <formula>"Media"</formula>
    </cfRule>
    <cfRule type="cellIs" dxfId="1441" priority="1651" operator="equal">
      <formula>"Baja"</formula>
    </cfRule>
    <cfRule type="cellIs" dxfId="1440" priority="1652" operator="equal">
      <formula>"Muy Baja"</formula>
    </cfRule>
  </conditionalFormatting>
  <conditionalFormatting sqref="O46">
    <cfRule type="cellIs" dxfId="1439" priority="1643" operator="equal">
      <formula>"Catastrófico"</formula>
    </cfRule>
    <cfRule type="cellIs" dxfId="1438" priority="1644" operator="equal">
      <formula>"Mayor"</formula>
    </cfRule>
    <cfRule type="cellIs" dxfId="1437" priority="1645" operator="equal">
      <formula>"Moderado"</formula>
    </cfRule>
    <cfRule type="cellIs" dxfId="1436" priority="1646" operator="equal">
      <formula>"Menor"</formula>
    </cfRule>
    <cfRule type="cellIs" dxfId="1435" priority="1647" operator="equal">
      <formula>"Leve"</formula>
    </cfRule>
  </conditionalFormatting>
  <conditionalFormatting sqref="Q46">
    <cfRule type="cellIs" dxfId="1434" priority="1639" operator="equal">
      <formula>"Extremo"</formula>
    </cfRule>
    <cfRule type="cellIs" dxfId="1433" priority="1640" operator="equal">
      <formula>"Alto"</formula>
    </cfRule>
    <cfRule type="cellIs" dxfId="1432" priority="1641" operator="equal">
      <formula>"Moderado"</formula>
    </cfRule>
    <cfRule type="cellIs" dxfId="1431" priority="1642" operator="equal">
      <formula>"Bajo"</formula>
    </cfRule>
  </conditionalFormatting>
  <conditionalFormatting sqref="N46:N48">
    <cfRule type="containsText" dxfId="1430" priority="1638" operator="containsText" text="❌">
      <formula>NOT(ISERROR(SEARCH("❌",N46)))</formula>
    </cfRule>
  </conditionalFormatting>
  <conditionalFormatting sqref="K49">
    <cfRule type="cellIs" dxfId="1429" priority="1633" operator="equal">
      <formula>"Muy Alta"</formula>
    </cfRule>
    <cfRule type="cellIs" dxfId="1428" priority="1634" operator="equal">
      <formula>"Alta"</formula>
    </cfRule>
    <cfRule type="cellIs" dxfId="1427" priority="1635" operator="equal">
      <formula>"Media"</formula>
    </cfRule>
    <cfRule type="cellIs" dxfId="1426" priority="1636" operator="equal">
      <formula>"Baja"</formula>
    </cfRule>
    <cfRule type="cellIs" dxfId="1425" priority="1637" operator="equal">
      <formula>"Muy Baja"</formula>
    </cfRule>
  </conditionalFormatting>
  <conditionalFormatting sqref="O49">
    <cfRule type="cellIs" dxfId="1424" priority="1628" operator="equal">
      <formula>"Catastrófico"</formula>
    </cfRule>
    <cfRule type="cellIs" dxfId="1423" priority="1629" operator="equal">
      <formula>"Mayor"</formula>
    </cfRule>
    <cfRule type="cellIs" dxfId="1422" priority="1630" operator="equal">
      <formula>"Moderado"</formula>
    </cfRule>
    <cfRule type="cellIs" dxfId="1421" priority="1631" operator="equal">
      <formula>"Menor"</formula>
    </cfRule>
    <cfRule type="cellIs" dxfId="1420" priority="1632" operator="equal">
      <formula>"Leve"</formula>
    </cfRule>
  </conditionalFormatting>
  <conditionalFormatting sqref="Q49">
    <cfRule type="cellIs" dxfId="1419" priority="1624" operator="equal">
      <formula>"Extremo"</formula>
    </cfRule>
    <cfRule type="cellIs" dxfId="1418" priority="1625" operator="equal">
      <formula>"Alto"</formula>
    </cfRule>
    <cfRule type="cellIs" dxfId="1417" priority="1626" operator="equal">
      <formula>"Moderado"</formula>
    </cfRule>
    <cfRule type="cellIs" dxfId="1416" priority="1627" operator="equal">
      <formula>"Bajo"</formula>
    </cfRule>
  </conditionalFormatting>
  <conditionalFormatting sqref="N49:N51">
    <cfRule type="containsText" dxfId="1415" priority="1623" operator="containsText" text="❌">
      <formula>NOT(ISERROR(SEARCH("❌",N49)))</formula>
    </cfRule>
  </conditionalFormatting>
  <conditionalFormatting sqref="K52">
    <cfRule type="cellIs" dxfId="1414" priority="1618" operator="equal">
      <formula>"Muy Alta"</formula>
    </cfRule>
    <cfRule type="cellIs" dxfId="1413" priority="1619" operator="equal">
      <formula>"Alta"</formula>
    </cfRule>
    <cfRule type="cellIs" dxfId="1412" priority="1620" operator="equal">
      <formula>"Media"</formula>
    </cfRule>
    <cfRule type="cellIs" dxfId="1411" priority="1621" operator="equal">
      <formula>"Baja"</formula>
    </cfRule>
    <cfRule type="cellIs" dxfId="1410" priority="1622" operator="equal">
      <formula>"Muy Baja"</formula>
    </cfRule>
  </conditionalFormatting>
  <conditionalFormatting sqref="O52">
    <cfRule type="cellIs" dxfId="1409" priority="1613" operator="equal">
      <formula>"Catastrófico"</formula>
    </cfRule>
    <cfRule type="cellIs" dxfId="1408" priority="1614" operator="equal">
      <formula>"Mayor"</formula>
    </cfRule>
    <cfRule type="cellIs" dxfId="1407" priority="1615" operator="equal">
      <formula>"Moderado"</formula>
    </cfRule>
    <cfRule type="cellIs" dxfId="1406" priority="1616" operator="equal">
      <formula>"Menor"</formula>
    </cfRule>
    <cfRule type="cellIs" dxfId="1405" priority="1617" operator="equal">
      <formula>"Leve"</formula>
    </cfRule>
  </conditionalFormatting>
  <conditionalFormatting sqref="Q52">
    <cfRule type="cellIs" dxfId="1404" priority="1609" operator="equal">
      <formula>"Extremo"</formula>
    </cfRule>
    <cfRule type="cellIs" dxfId="1403" priority="1610" operator="equal">
      <formula>"Alto"</formula>
    </cfRule>
    <cfRule type="cellIs" dxfId="1402" priority="1611" operator="equal">
      <formula>"Moderado"</formula>
    </cfRule>
    <cfRule type="cellIs" dxfId="1401" priority="1612" operator="equal">
      <formula>"Bajo"</formula>
    </cfRule>
  </conditionalFormatting>
  <conditionalFormatting sqref="N52:N54">
    <cfRule type="containsText" dxfId="1400" priority="1608" operator="containsText" text="❌">
      <formula>NOT(ISERROR(SEARCH("❌",N52)))</formula>
    </cfRule>
  </conditionalFormatting>
  <conditionalFormatting sqref="K55">
    <cfRule type="cellIs" dxfId="1399" priority="1603" operator="equal">
      <formula>"Muy Alta"</formula>
    </cfRule>
    <cfRule type="cellIs" dxfId="1398" priority="1604" operator="equal">
      <formula>"Alta"</formula>
    </cfRule>
    <cfRule type="cellIs" dxfId="1397" priority="1605" operator="equal">
      <formula>"Media"</formula>
    </cfRule>
    <cfRule type="cellIs" dxfId="1396" priority="1606" operator="equal">
      <formula>"Baja"</formula>
    </cfRule>
    <cfRule type="cellIs" dxfId="1395" priority="1607" operator="equal">
      <formula>"Muy Baja"</formula>
    </cfRule>
  </conditionalFormatting>
  <conditionalFormatting sqref="O55">
    <cfRule type="cellIs" dxfId="1394" priority="1598" operator="equal">
      <formula>"Catastrófico"</formula>
    </cfRule>
    <cfRule type="cellIs" dxfId="1393" priority="1599" operator="equal">
      <formula>"Mayor"</formula>
    </cfRule>
    <cfRule type="cellIs" dxfId="1392" priority="1600" operator="equal">
      <formula>"Moderado"</formula>
    </cfRule>
    <cfRule type="cellIs" dxfId="1391" priority="1601" operator="equal">
      <formula>"Menor"</formula>
    </cfRule>
    <cfRule type="cellIs" dxfId="1390" priority="1602" operator="equal">
      <formula>"Leve"</formula>
    </cfRule>
  </conditionalFormatting>
  <conditionalFormatting sqref="Q55">
    <cfRule type="cellIs" dxfId="1389" priority="1594" operator="equal">
      <formula>"Extremo"</formula>
    </cfRule>
    <cfRule type="cellIs" dxfId="1388" priority="1595" operator="equal">
      <formula>"Alto"</formula>
    </cfRule>
    <cfRule type="cellIs" dxfId="1387" priority="1596" operator="equal">
      <formula>"Moderado"</formula>
    </cfRule>
    <cfRule type="cellIs" dxfId="1386" priority="1597" operator="equal">
      <formula>"Bajo"</formula>
    </cfRule>
  </conditionalFormatting>
  <conditionalFormatting sqref="N55:N57">
    <cfRule type="containsText" dxfId="1385" priority="1593" operator="containsText" text="❌">
      <formula>NOT(ISERROR(SEARCH("❌",N55)))</formula>
    </cfRule>
  </conditionalFormatting>
  <conditionalFormatting sqref="K58">
    <cfRule type="cellIs" dxfId="1384" priority="1588" operator="equal">
      <formula>"Muy Alta"</formula>
    </cfRule>
    <cfRule type="cellIs" dxfId="1383" priority="1589" operator="equal">
      <formula>"Alta"</formula>
    </cfRule>
    <cfRule type="cellIs" dxfId="1382" priority="1590" operator="equal">
      <formula>"Media"</formula>
    </cfRule>
    <cfRule type="cellIs" dxfId="1381" priority="1591" operator="equal">
      <formula>"Baja"</formula>
    </cfRule>
    <cfRule type="cellIs" dxfId="1380" priority="1592" operator="equal">
      <formula>"Muy Baja"</formula>
    </cfRule>
  </conditionalFormatting>
  <conditionalFormatting sqref="O58">
    <cfRule type="cellIs" dxfId="1379" priority="1583" operator="equal">
      <formula>"Catastrófico"</formula>
    </cfRule>
    <cfRule type="cellIs" dxfId="1378" priority="1584" operator="equal">
      <formula>"Mayor"</formula>
    </cfRule>
    <cfRule type="cellIs" dxfId="1377" priority="1585" operator="equal">
      <formula>"Moderado"</formula>
    </cfRule>
    <cfRule type="cellIs" dxfId="1376" priority="1586" operator="equal">
      <formula>"Menor"</formula>
    </cfRule>
    <cfRule type="cellIs" dxfId="1375" priority="1587" operator="equal">
      <formula>"Leve"</formula>
    </cfRule>
  </conditionalFormatting>
  <conditionalFormatting sqref="Q58">
    <cfRule type="cellIs" dxfId="1374" priority="1579" operator="equal">
      <formula>"Extremo"</formula>
    </cfRule>
    <cfRule type="cellIs" dxfId="1373" priority="1580" operator="equal">
      <formula>"Alto"</formula>
    </cfRule>
    <cfRule type="cellIs" dxfId="1372" priority="1581" operator="equal">
      <formula>"Moderado"</formula>
    </cfRule>
    <cfRule type="cellIs" dxfId="1371" priority="1582" operator="equal">
      <formula>"Bajo"</formula>
    </cfRule>
  </conditionalFormatting>
  <conditionalFormatting sqref="N58:N60">
    <cfRule type="containsText" dxfId="1370" priority="1578" operator="containsText" text="❌">
      <formula>NOT(ISERROR(SEARCH("❌",N58)))</formula>
    </cfRule>
  </conditionalFormatting>
  <conditionalFormatting sqref="K61">
    <cfRule type="cellIs" dxfId="1369" priority="1573" operator="equal">
      <formula>"Muy Alta"</formula>
    </cfRule>
    <cfRule type="cellIs" dxfId="1368" priority="1574" operator="equal">
      <formula>"Alta"</formula>
    </cfRule>
    <cfRule type="cellIs" dxfId="1367" priority="1575" operator="equal">
      <formula>"Media"</formula>
    </cfRule>
    <cfRule type="cellIs" dxfId="1366" priority="1576" operator="equal">
      <formula>"Baja"</formula>
    </cfRule>
    <cfRule type="cellIs" dxfId="1365" priority="1577" operator="equal">
      <formula>"Muy Baja"</formula>
    </cfRule>
  </conditionalFormatting>
  <conditionalFormatting sqref="O61">
    <cfRule type="cellIs" dxfId="1364" priority="1568" operator="equal">
      <formula>"Catastrófico"</formula>
    </cfRule>
    <cfRule type="cellIs" dxfId="1363" priority="1569" operator="equal">
      <formula>"Mayor"</formula>
    </cfRule>
    <cfRule type="cellIs" dxfId="1362" priority="1570" operator="equal">
      <formula>"Moderado"</formula>
    </cfRule>
    <cfRule type="cellIs" dxfId="1361" priority="1571" operator="equal">
      <formula>"Menor"</formula>
    </cfRule>
    <cfRule type="cellIs" dxfId="1360" priority="1572" operator="equal">
      <formula>"Leve"</formula>
    </cfRule>
  </conditionalFormatting>
  <conditionalFormatting sqref="Q61">
    <cfRule type="cellIs" dxfId="1359" priority="1564" operator="equal">
      <formula>"Extremo"</formula>
    </cfRule>
    <cfRule type="cellIs" dxfId="1358" priority="1565" operator="equal">
      <formula>"Alto"</formula>
    </cfRule>
    <cfRule type="cellIs" dxfId="1357" priority="1566" operator="equal">
      <formula>"Moderado"</formula>
    </cfRule>
    <cfRule type="cellIs" dxfId="1356" priority="1567" operator="equal">
      <formula>"Bajo"</formula>
    </cfRule>
  </conditionalFormatting>
  <conditionalFormatting sqref="N61:N63">
    <cfRule type="containsText" dxfId="1355" priority="1563" operator="containsText" text="❌">
      <formula>NOT(ISERROR(SEARCH("❌",N61)))</formula>
    </cfRule>
  </conditionalFormatting>
  <conditionalFormatting sqref="K64">
    <cfRule type="cellIs" dxfId="1354" priority="1558" operator="equal">
      <formula>"Muy Alta"</formula>
    </cfRule>
    <cfRule type="cellIs" dxfId="1353" priority="1559" operator="equal">
      <formula>"Alta"</formula>
    </cfRule>
    <cfRule type="cellIs" dxfId="1352" priority="1560" operator="equal">
      <formula>"Media"</formula>
    </cfRule>
    <cfRule type="cellIs" dxfId="1351" priority="1561" operator="equal">
      <formula>"Baja"</formula>
    </cfRule>
    <cfRule type="cellIs" dxfId="1350" priority="1562" operator="equal">
      <formula>"Muy Baja"</formula>
    </cfRule>
  </conditionalFormatting>
  <conditionalFormatting sqref="O64">
    <cfRule type="cellIs" dxfId="1349" priority="1553" operator="equal">
      <formula>"Catastrófico"</formula>
    </cfRule>
    <cfRule type="cellIs" dxfId="1348" priority="1554" operator="equal">
      <formula>"Mayor"</formula>
    </cfRule>
    <cfRule type="cellIs" dxfId="1347" priority="1555" operator="equal">
      <formula>"Moderado"</formula>
    </cfRule>
    <cfRule type="cellIs" dxfId="1346" priority="1556" operator="equal">
      <formula>"Menor"</formula>
    </cfRule>
    <cfRule type="cellIs" dxfId="1345" priority="1557" operator="equal">
      <formula>"Leve"</formula>
    </cfRule>
  </conditionalFormatting>
  <conditionalFormatting sqref="Q64">
    <cfRule type="cellIs" dxfId="1344" priority="1549" operator="equal">
      <formula>"Extremo"</formula>
    </cfRule>
    <cfRule type="cellIs" dxfId="1343" priority="1550" operator="equal">
      <formula>"Alto"</formula>
    </cfRule>
    <cfRule type="cellIs" dxfId="1342" priority="1551" operator="equal">
      <formula>"Moderado"</formula>
    </cfRule>
    <cfRule type="cellIs" dxfId="1341" priority="1552" operator="equal">
      <formula>"Bajo"</formula>
    </cfRule>
  </conditionalFormatting>
  <conditionalFormatting sqref="N64:N66">
    <cfRule type="containsText" dxfId="1340" priority="1548" operator="containsText" text="❌">
      <formula>NOT(ISERROR(SEARCH("❌",N64)))</formula>
    </cfRule>
  </conditionalFormatting>
  <conditionalFormatting sqref="K67">
    <cfRule type="cellIs" dxfId="1339" priority="1543" operator="equal">
      <formula>"Muy Alta"</formula>
    </cfRule>
    <cfRule type="cellIs" dxfId="1338" priority="1544" operator="equal">
      <formula>"Alta"</formula>
    </cfRule>
    <cfRule type="cellIs" dxfId="1337" priority="1545" operator="equal">
      <formula>"Media"</formula>
    </cfRule>
    <cfRule type="cellIs" dxfId="1336" priority="1546" operator="equal">
      <formula>"Baja"</formula>
    </cfRule>
    <cfRule type="cellIs" dxfId="1335" priority="1547" operator="equal">
      <formula>"Muy Baja"</formula>
    </cfRule>
  </conditionalFormatting>
  <conditionalFormatting sqref="O67">
    <cfRule type="cellIs" dxfId="1334" priority="1538" operator="equal">
      <formula>"Catastrófico"</formula>
    </cfRule>
    <cfRule type="cellIs" dxfId="1333" priority="1539" operator="equal">
      <formula>"Mayor"</formula>
    </cfRule>
    <cfRule type="cellIs" dxfId="1332" priority="1540" operator="equal">
      <formula>"Moderado"</formula>
    </cfRule>
    <cfRule type="cellIs" dxfId="1331" priority="1541" operator="equal">
      <formula>"Menor"</formula>
    </cfRule>
    <cfRule type="cellIs" dxfId="1330" priority="1542" operator="equal">
      <formula>"Leve"</formula>
    </cfRule>
  </conditionalFormatting>
  <conditionalFormatting sqref="Q67">
    <cfRule type="cellIs" dxfId="1329" priority="1534" operator="equal">
      <formula>"Extremo"</formula>
    </cfRule>
    <cfRule type="cellIs" dxfId="1328" priority="1535" operator="equal">
      <formula>"Alto"</formula>
    </cfRule>
    <cfRule type="cellIs" dxfId="1327" priority="1536" operator="equal">
      <formula>"Moderado"</formula>
    </cfRule>
    <cfRule type="cellIs" dxfId="1326" priority="1537" operator="equal">
      <formula>"Bajo"</formula>
    </cfRule>
  </conditionalFormatting>
  <conditionalFormatting sqref="N67:N69">
    <cfRule type="containsText" dxfId="1325" priority="1533" operator="containsText" text="❌">
      <formula>NOT(ISERROR(SEARCH("❌",N67)))</formula>
    </cfRule>
  </conditionalFormatting>
  <conditionalFormatting sqref="K73">
    <cfRule type="cellIs" dxfId="1324" priority="1528" operator="equal">
      <formula>"Muy Alta"</formula>
    </cfRule>
    <cfRule type="cellIs" dxfId="1323" priority="1529" operator="equal">
      <formula>"Alta"</formula>
    </cfRule>
    <cfRule type="cellIs" dxfId="1322" priority="1530" operator="equal">
      <formula>"Media"</formula>
    </cfRule>
    <cfRule type="cellIs" dxfId="1321" priority="1531" operator="equal">
      <formula>"Baja"</formula>
    </cfRule>
    <cfRule type="cellIs" dxfId="1320" priority="1532" operator="equal">
      <formula>"Muy Baja"</formula>
    </cfRule>
  </conditionalFormatting>
  <conditionalFormatting sqref="O73">
    <cfRule type="cellIs" dxfId="1319" priority="1523" operator="equal">
      <formula>"Catastrófico"</formula>
    </cfRule>
    <cfRule type="cellIs" dxfId="1318" priority="1524" operator="equal">
      <formula>"Mayor"</formula>
    </cfRule>
    <cfRule type="cellIs" dxfId="1317" priority="1525" operator="equal">
      <formula>"Moderado"</formula>
    </cfRule>
    <cfRule type="cellIs" dxfId="1316" priority="1526" operator="equal">
      <formula>"Menor"</formula>
    </cfRule>
    <cfRule type="cellIs" dxfId="1315" priority="1527" operator="equal">
      <formula>"Leve"</formula>
    </cfRule>
  </conditionalFormatting>
  <conditionalFormatting sqref="Q73">
    <cfRule type="cellIs" dxfId="1314" priority="1519" operator="equal">
      <formula>"Extremo"</formula>
    </cfRule>
    <cfRule type="cellIs" dxfId="1313" priority="1520" operator="equal">
      <formula>"Alto"</formula>
    </cfRule>
    <cfRule type="cellIs" dxfId="1312" priority="1521" operator="equal">
      <formula>"Moderado"</formula>
    </cfRule>
    <cfRule type="cellIs" dxfId="1311" priority="1522" operator="equal">
      <formula>"Bajo"</formula>
    </cfRule>
  </conditionalFormatting>
  <conditionalFormatting sqref="N73:N75">
    <cfRule type="containsText" dxfId="1310" priority="1518" operator="containsText" text="❌">
      <formula>NOT(ISERROR(SEARCH("❌",N73)))</formula>
    </cfRule>
  </conditionalFormatting>
  <conditionalFormatting sqref="K76">
    <cfRule type="cellIs" dxfId="1309" priority="1513" operator="equal">
      <formula>"Muy Alta"</formula>
    </cfRule>
    <cfRule type="cellIs" dxfId="1308" priority="1514" operator="equal">
      <formula>"Alta"</formula>
    </cfRule>
    <cfRule type="cellIs" dxfId="1307" priority="1515" operator="equal">
      <formula>"Media"</formula>
    </cfRule>
    <cfRule type="cellIs" dxfId="1306" priority="1516" operator="equal">
      <formula>"Baja"</formula>
    </cfRule>
    <cfRule type="cellIs" dxfId="1305" priority="1517" operator="equal">
      <formula>"Muy Baja"</formula>
    </cfRule>
  </conditionalFormatting>
  <conditionalFormatting sqref="O76">
    <cfRule type="cellIs" dxfId="1304" priority="1508" operator="equal">
      <formula>"Catastrófico"</formula>
    </cfRule>
    <cfRule type="cellIs" dxfId="1303" priority="1509" operator="equal">
      <formula>"Mayor"</formula>
    </cfRule>
    <cfRule type="cellIs" dxfId="1302" priority="1510" operator="equal">
      <formula>"Moderado"</formula>
    </cfRule>
    <cfRule type="cellIs" dxfId="1301" priority="1511" operator="equal">
      <formula>"Menor"</formula>
    </cfRule>
    <cfRule type="cellIs" dxfId="1300" priority="1512" operator="equal">
      <formula>"Leve"</formula>
    </cfRule>
  </conditionalFormatting>
  <conditionalFormatting sqref="Q76">
    <cfRule type="cellIs" dxfId="1299" priority="1504" operator="equal">
      <formula>"Extremo"</formula>
    </cfRule>
    <cfRule type="cellIs" dxfId="1298" priority="1505" operator="equal">
      <formula>"Alto"</formula>
    </cfRule>
    <cfRule type="cellIs" dxfId="1297" priority="1506" operator="equal">
      <formula>"Moderado"</formula>
    </cfRule>
    <cfRule type="cellIs" dxfId="1296" priority="1507" operator="equal">
      <formula>"Bajo"</formula>
    </cfRule>
  </conditionalFormatting>
  <conditionalFormatting sqref="N76:N78">
    <cfRule type="containsText" dxfId="1295" priority="1503" operator="containsText" text="❌">
      <formula>NOT(ISERROR(SEARCH("❌",N76)))</formula>
    </cfRule>
  </conditionalFormatting>
  <conditionalFormatting sqref="K79">
    <cfRule type="cellIs" dxfId="1294" priority="1498" operator="equal">
      <formula>"Muy Alta"</formula>
    </cfRule>
    <cfRule type="cellIs" dxfId="1293" priority="1499" operator="equal">
      <formula>"Alta"</formula>
    </cfRule>
    <cfRule type="cellIs" dxfId="1292" priority="1500" operator="equal">
      <formula>"Media"</formula>
    </cfRule>
    <cfRule type="cellIs" dxfId="1291" priority="1501" operator="equal">
      <formula>"Baja"</formula>
    </cfRule>
    <cfRule type="cellIs" dxfId="1290" priority="1502" operator="equal">
      <formula>"Muy Baja"</formula>
    </cfRule>
  </conditionalFormatting>
  <conditionalFormatting sqref="O79">
    <cfRule type="cellIs" dxfId="1289" priority="1493" operator="equal">
      <formula>"Catastrófico"</formula>
    </cfRule>
    <cfRule type="cellIs" dxfId="1288" priority="1494" operator="equal">
      <formula>"Mayor"</formula>
    </cfRule>
    <cfRule type="cellIs" dxfId="1287" priority="1495" operator="equal">
      <formula>"Moderado"</formula>
    </cfRule>
    <cfRule type="cellIs" dxfId="1286" priority="1496" operator="equal">
      <formula>"Menor"</formula>
    </cfRule>
    <cfRule type="cellIs" dxfId="1285" priority="1497" operator="equal">
      <formula>"Leve"</formula>
    </cfRule>
  </conditionalFormatting>
  <conditionalFormatting sqref="Q79">
    <cfRule type="cellIs" dxfId="1284" priority="1489" operator="equal">
      <formula>"Extremo"</formula>
    </cfRule>
    <cfRule type="cellIs" dxfId="1283" priority="1490" operator="equal">
      <formula>"Alto"</formula>
    </cfRule>
    <cfRule type="cellIs" dxfId="1282" priority="1491" operator="equal">
      <formula>"Moderado"</formula>
    </cfRule>
    <cfRule type="cellIs" dxfId="1281" priority="1492" operator="equal">
      <formula>"Bajo"</formula>
    </cfRule>
  </conditionalFormatting>
  <conditionalFormatting sqref="N79:N81">
    <cfRule type="containsText" dxfId="1280" priority="1488" operator="containsText" text="❌">
      <formula>NOT(ISERROR(SEARCH("❌",N79)))</formula>
    </cfRule>
  </conditionalFormatting>
  <conditionalFormatting sqref="O82">
    <cfRule type="cellIs" dxfId="1279" priority="1478" operator="equal">
      <formula>"Catastrófico"</formula>
    </cfRule>
    <cfRule type="cellIs" dxfId="1278" priority="1479" operator="equal">
      <formula>"Mayor"</formula>
    </cfRule>
    <cfRule type="cellIs" dxfId="1277" priority="1480" operator="equal">
      <formula>"Moderado"</formula>
    </cfRule>
    <cfRule type="cellIs" dxfId="1276" priority="1481" operator="equal">
      <formula>"Menor"</formula>
    </cfRule>
    <cfRule type="cellIs" dxfId="1275" priority="1482" operator="equal">
      <formula>"Leve"</formula>
    </cfRule>
  </conditionalFormatting>
  <conditionalFormatting sqref="Q82">
    <cfRule type="cellIs" dxfId="1274" priority="1474" operator="equal">
      <formula>"Extremo"</formula>
    </cfRule>
    <cfRule type="cellIs" dxfId="1273" priority="1475" operator="equal">
      <formula>"Alto"</formula>
    </cfRule>
    <cfRule type="cellIs" dxfId="1272" priority="1476" operator="equal">
      <formula>"Moderado"</formula>
    </cfRule>
    <cfRule type="cellIs" dxfId="1271" priority="1477" operator="equal">
      <formula>"Bajo"</formula>
    </cfRule>
  </conditionalFormatting>
  <conditionalFormatting sqref="N82:N84">
    <cfRule type="containsText" dxfId="1270" priority="1473" operator="containsText" text="❌">
      <formula>NOT(ISERROR(SEARCH("❌",N82)))</formula>
    </cfRule>
  </conditionalFormatting>
  <conditionalFormatting sqref="K88">
    <cfRule type="cellIs" dxfId="1269" priority="1468" operator="equal">
      <formula>"Muy Alta"</formula>
    </cfRule>
    <cfRule type="cellIs" dxfId="1268" priority="1469" operator="equal">
      <formula>"Alta"</formula>
    </cfRule>
    <cfRule type="cellIs" dxfId="1267" priority="1470" operator="equal">
      <formula>"Media"</formula>
    </cfRule>
    <cfRule type="cellIs" dxfId="1266" priority="1471" operator="equal">
      <formula>"Baja"</formula>
    </cfRule>
    <cfRule type="cellIs" dxfId="1265" priority="1472" operator="equal">
      <formula>"Muy Baja"</formula>
    </cfRule>
  </conditionalFormatting>
  <conditionalFormatting sqref="O88">
    <cfRule type="cellIs" dxfId="1264" priority="1463" operator="equal">
      <formula>"Catastrófico"</formula>
    </cfRule>
    <cfRule type="cellIs" dxfId="1263" priority="1464" operator="equal">
      <formula>"Mayor"</formula>
    </cfRule>
    <cfRule type="cellIs" dxfId="1262" priority="1465" operator="equal">
      <formula>"Moderado"</formula>
    </cfRule>
    <cfRule type="cellIs" dxfId="1261" priority="1466" operator="equal">
      <formula>"Menor"</formula>
    </cfRule>
    <cfRule type="cellIs" dxfId="1260" priority="1467" operator="equal">
      <formula>"Leve"</formula>
    </cfRule>
  </conditionalFormatting>
  <conditionalFormatting sqref="Q88">
    <cfRule type="cellIs" dxfId="1259" priority="1459" operator="equal">
      <formula>"Extremo"</formula>
    </cfRule>
    <cfRule type="cellIs" dxfId="1258" priority="1460" operator="equal">
      <formula>"Alto"</formula>
    </cfRule>
    <cfRule type="cellIs" dxfId="1257" priority="1461" operator="equal">
      <formula>"Moderado"</formula>
    </cfRule>
    <cfRule type="cellIs" dxfId="1256" priority="1462" operator="equal">
      <formula>"Bajo"</formula>
    </cfRule>
  </conditionalFormatting>
  <conditionalFormatting sqref="N88:N90">
    <cfRule type="containsText" dxfId="1255" priority="1458" operator="containsText" text="❌">
      <formula>NOT(ISERROR(SEARCH("❌",N88)))</formula>
    </cfRule>
  </conditionalFormatting>
  <conditionalFormatting sqref="K91">
    <cfRule type="cellIs" dxfId="1254" priority="1453" operator="equal">
      <formula>"Muy Alta"</formula>
    </cfRule>
    <cfRule type="cellIs" dxfId="1253" priority="1454" operator="equal">
      <formula>"Alta"</formula>
    </cfRule>
    <cfRule type="cellIs" dxfId="1252" priority="1455" operator="equal">
      <formula>"Media"</formula>
    </cfRule>
    <cfRule type="cellIs" dxfId="1251" priority="1456" operator="equal">
      <formula>"Baja"</formula>
    </cfRule>
    <cfRule type="cellIs" dxfId="1250" priority="1457" operator="equal">
      <formula>"Muy Baja"</formula>
    </cfRule>
  </conditionalFormatting>
  <conditionalFormatting sqref="O91">
    <cfRule type="cellIs" dxfId="1249" priority="1448" operator="equal">
      <formula>"Catastrófico"</formula>
    </cfRule>
    <cfRule type="cellIs" dxfId="1248" priority="1449" operator="equal">
      <formula>"Mayor"</formula>
    </cfRule>
    <cfRule type="cellIs" dxfId="1247" priority="1450" operator="equal">
      <formula>"Moderado"</formula>
    </cfRule>
    <cfRule type="cellIs" dxfId="1246" priority="1451" operator="equal">
      <formula>"Menor"</formula>
    </cfRule>
    <cfRule type="cellIs" dxfId="1245" priority="1452" operator="equal">
      <formula>"Leve"</formula>
    </cfRule>
  </conditionalFormatting>
  <conditionalFormatting sqref="Q91">
    <cfRule type="cellIs" dxfId="1244" priority="1444" operator="equal">
      <formula>"Extremo"</formula>
    </cfRule>
    <cfRule type="cellIs" dxfId="1243" priority="1445" operator="equal">
      <formula>"Alto"</formula>
    </cfRule>
    <cfRule type="cellIs" dxfId="1242" priority="1446" operator="equal">
      <formula>"Moderado"</formula>
    </cfRule>
    <cfRule type="cellIs" dxfId="1241" priority="1447" operator="equal">
      <formula>"Bajo"</formula>
    </cfRule>
  </conditionalFormatting>
  <conditionalFormatting sqref="N91:N93">
    <cfRule type="containsText" dxfId="1240" priority="1443" operator="containsText" text="❌">
      <formula>NOT(ISERROR(SEARCH("❌",N91)))</formula>
    </cfRule>
  </conditionalFormatting>
  <conditionalFormatting sqref="K94">
    <cfRule type="cellIs" dxfId="1239" priority="1438" operator="equal">
      <formula>"Muy Alta"</formula>
    </cfRule>
    <cfRule type="cellIs" dxfId="1238" priority="1439" operator="equal">
      <formula>"Alta"</formula>
    </cfRule>
    <cfRule type="cellIs" dxfId="1237" priority="1440" operator="equal">
      <formula>"Media"</formula>
    </cfRule>
    <cfRule type="cellIs" dxfId="1236" priority="1441" operator="equal">
      <formula>"Baja"</formula>
    </cfRule>
    <cfRule type="cellIs" dxfId="1235" priority="1442" operator="equal">
      <formula>"Muy Baja"</formula>
    </cfRule>
  </conditionalFormatting>
  <conditionalFormatting sqref="O94">
    <cfRule type="cellIs" dxfId="1234" priority="1433" operator="equal">
      <formula>"Catastrófico"</formula>
    </cfRule>
    <cfRule type="cellIs" dxfId="1233" priority="1434" operator="equal">
      <formula>"Mayor"</formula>
    </cfRule>
    <cfRule type="cellIs" dxfId="1232" priority="1435" operator="equal">
      <formula>"Moderado"</formula>
    </cfRule>
    <cfRule type="cellIs" dxfId="1231" priority="1436" operator="equal">
      <formula>"Menor"</formula>
    </cfRule>
    <cfRule type="cellIs" dxfId="1230" priority="1437" operator="equal">
      <formula>"Leve"</formula>
    </cfRule>
  </conditionalFormatting>
  <conditionalFormatting sqref="Q94">
    <cfRule type="cellIs" dxfId="1229" priority="1429" operator="equal">
      <formula>"Extremo"</formula>
    </cfRule>
    <cfRule type="cellIs" dxfId="1228" priority="1430" operator="equal">
      <formula>"Alto"</formula>
    </cfRule>
    <cfRule type="cellIs" dxfId="1227" priority="1431" operator="equal">
      <formula>"Moderado"</formula>
    </cfRule>
    <cfRule type="cellIs" dxfId="1226" priority="1432" operator="equal">
      <formula>"Bajo"</formula>
    </cfRule>
  </conditionalFormatting>
  <conditionalFormatting sqref="N94:N96">
    <cfRule type="containsText" dxfId="1225" priority="1428" operator="containsText" text="❌">
      <formula>NOT(ISERROR(SEARCH("❌",N94)))</formula>
    </cfRule>
  </conditionalFormatting>
  <conditionalFormatting sqref="O97:O98">
    <cfRule type="cellIs" dxfId="1224" priority="1418" operator="equal">
      <formula>"Catastrófico"</formula>
    </cfRule>
    <cfRule type="cellIs" dxfId="1223" priority="1419" operator="equal">
      <formula>"Mayor"</formula>
    </cfRule>
    <cfRule type="cellIs" dxfId="1222" priority="1420" operator="equal">
      <formula>"Moderado"</formula>
    </cfRule>
    <cfRule type="cellIs" dxfId="1221" priority="1421" operator="equal">
      <formula>"Menor"</formula>
    </cfRule>
    <cfRule type="cellIs" dxfId="1220" priority="1422" operator="equal">
      <formula>"Leve"</formula>
    </cfRule>
  </conditionalFormatting>
  <conditionalFormatting sqref="Q97:Q98">
    <cfRule type="cellIs" dxfId="1219" priority="1414" operator="equal">
      <formula>"Extremo"</formula>
    </cfRule>
    <cfRule type="cellIs" dxfId="1218" priority="1415" operator="equal">
      <formula>"Alto"</formula>
    </cfRule>
    <cfRule type="cellIs" dxfId="1217" priority="1416" operator="equal">
      <formula>"Moderado"</formula>
    </cfRule>
    <cfRule type="cellIs" dxfId="1216" priority="1417" operator="equal">
      <formula>"Bajo"</formula>
    </cfRule>
  </conditionalFormatting>
  <conditionalFormatting sqref="N97:N99">
    <cfRule type="containsText" dxfId="1215" priority="1413" operator="containsText" text="❌">
      <formula>NOT(ISERROR(SEARCH("❌",N97)))</formula>
    </cfRule>
  </conditionalFormatting>
  <conditionalFormatting sqref="K103">
    <cfRule type="cellIs" dxfId="1214" priority="1393" operator="equal">
      <formula>"Muy Alta"</formula>
    </cfRule>
    <cfRule type="cellIs" dxfId="1213" priority="1394" operator="equal">
      <formula>"Alta"</formula>
    </cfRule>
    <cfRule type="cellIs" dxfId="1212" priority="1395" operator="equal">
      <formula>"Media"</formula>
    </cfRule>
    <cfRule type="cellIs" dxfId="1211" priority="1396" operator="equal">
      <formula>"Baja"</formula>
    </cfRule>
    <cfRule type="cellIs" dxfId="1210" priority="1397" operator="equal">
      <formula>"Muy Baja"</formula>
    </cfRule>
  </conditionalFormatting>
  <conditionalFormatting sqref="O103">
    <cfRule type="cellIs" dxfId="1209" priority="1388" operator="equal">
      <formula>"Catastrófico"</formula>
    </cfRule>
    <cfRule type="cellIs" dxfId="1208" priority="1389" operator="equal">
      <formula>"Mayor"</formula>
    </cfRule>
    <cfRule type="cellIs" dxfId="1207" priority="1390" operator="equal">
      <formula>"Moderado"</formula>
    </cfRule>
    <cfRule type="cellIs" dxfId="1206" priority="1391" operator="equal">
      <formula>"Menor"</formula>
    </cfRule>
    <cfRule type="cellIs" dxfId="1205" priority="1392" operator="equal">
      <formula>"Leve"</formula>
    </cfRule>
  </conditionalFormatting>
  <conditionalFormatting sqref="Q103">
    <cfRule type="cellIs" dxfId="1204" priority="1384" operator="equal">
      <formula>"Extremo"</formula>
    </cfRule>
    <cfRule type="cellIs" dxfId="1203" priority="1385" operator="equal">
      <formula>"Alto"</formula>
    </cfRule>
    <cfRule type="cellIs" dxfId="1202" priority="1386" operator="equal">
      <formula>"Moderado"</formula>
    </cfRule>
    <cfRule type="cellIs" dxfId="1201" priority="1387" operator="equal">
      <formula>"Bajo"</formula>
    </cfRule>
  </conditionalFormatting>
  <conditionalFormatting sqref="N103:N105">
    <cfRule type="containsText" dxfId="1200" priority="1383" operator="containsText" text="❌">
      <formula>NOT(ISERROR(SEARCH("❌",N103)))</formula>
    </cfRule>
  </conditionalFormatting>
  <conditionalFormatting sqref="K106">
    <cfRule type="cellIs" dxfId="1199" priority="1378" operator="equal">
      <formula>"Muy Alta"</formula>
    </cfRule>
    <cfRule type="cellIs" dxfId="1198" priority="1379" operator="equal">
      <formula>"Alta"</formula>
    </cfRule>
    <cfRule type="cellIs" dxfId="1197" priority="1380" operator="equal">
      <formula>"Media"</formula>
    </cfRule>
    <cfRule type="cellIs" dxfId="1196" priority="1381" operator="equal">
      <formula>"Baja"</formula>
    </cfRule>
    <cfRule type="cellIs" dxfId="1195" priority="1382" operator="equal">
      <formula>"Muy Baja"</formula>
    </cfRule>
  </conditionalFormatting>
  <conditionalFormatting sqref="O106">
    <cfRule type="cellIs" dxfId="1194" priority="1373" operator="equal">
      <formula>"Catastrófico"</formula>
    </cfRule>
    <cfRule type="cellIs" dxfId="1193" priority="1374" operator="equal">
      <formula>"Mayor"</formula>
    </cfRule>
    <cfRule type="cellIs" dxfId="1192" priority="1375" operator="equal">
      <formula>"Moderado"</formula>
    </cfRule>
    <cfRule type="cellIs" dxfId="1191" priority="1376" operator="equal">
      <formula>"Menor"</formula>
    </cfRule>
    <cfRule type="cellIs" dxfId="1190" priority="1377" operator="equal">
      <formula>"Leve"</formula>
    </cfRule>
  </conditionalFormatting>
  <conditionalFormatting sqref="Q106">
    <cfRule type="cellIs" dxfId="1189" priority="1369" operator="equal">
      <formula>"Extremo"</formula>
    </cfRule>
    <cfRule type="cellIs" dxfId="1188" priority="1370" operator="equal">
      <formula>"Alto"</formula>
    </cfRule>
    <cfRule type="cellIs" dxfId="1187" priority="1371" operator="equal">
      <formula>"Moderado"</formula>
    </cfRule>
    <cfRule type="cellIs" dxfId="1186" priority="1372" operator="equal">
      <formula>"Bajo"</formula>
    </cfRule>
  </conditionalFormatting>
  <conditionalFormatting sqref="N106:N108">
    <cfRule type="containsText" dxfId="1185" priority="1368" operator="containsText" text="❌">
      <formula>NOT(ISERROR(SEARCH("❌",N106)))</formula>
    </cfRule>
  </conditionalFormatting>
  <conditionalFormatting sqref="K124">
    <cfRule type="cellIs" dxfId="1184" priority="1363" operator="equal">
      <formula>"Muy Alta"</formula>
    </cfRule>
    <cfRule type="cellIs" dxfId="1183" priority="1364" operator="equal">
      <formula>"Alta"</formula>
    </cfRule>
    <cfRule type="cellIs" dxfId="1182" priority="1365" operator="equal">
      <formula>"Media"</formula>
    </cfRule>
    <cfRule type="cellIs" dxfId="1181" priority="1366" operator="equal">
      <formula>"Baja"</formula>
    </cfRule>
    <cfRule type="cellIs" dxfId="1180" priority="1367" operator="equal">
      <formula>"Muy Baja"</formula>
    </cfRule>
  </conditionalFormatting>
  <conditionalFormatting sqref="O124">
    <cfRule type="cellIs" dxfId="1179" priority="1358" operator="equal">
      <formula>"Catastrófico"</formula>
    </cfRule>
    <cfRule type="cellIs" dxfId="1178" priority="1359" operator="equal">
      <formula>"Mayor"</formula>
    </cfRule>
    <cfRule type="cellIs" dxfId="1177" priority="1360" operator="equal">
      <formula>"Moderado"</formula>
    </cfRule>
    <cfRule type="cellIs" dxfId="1176" priority="1361" operator="equal">
      <formula>"Menor"</formula>
    </cfRule>
    <cfRule type="cellIs" dxfId="1175" priority="1362" operator="equal">
      <formula>"Leve"</formula>
    </cfRule>
  </conditionalFormatting>
  <conditionalFormatting sqref="Q124">
    <cfRule type="cellIs" dxfId="1174" priority="1354" operator="equal">
      <formula>"Extremo"</formula>
    </cfRule>
    <cfRule type="cellIs" dxfId="1173" priority="1355" operator="equal">
      <formula>"Alto"</formula>
    </cfRule>
    <cfRule type="cellIs" dxfId="1172" priority="1356" operator="equal">
      <formula>"Moderado"</formula>
    </cfRule>
    <cfRule type="cellIs" dxfId="1171" priority="1357" operator="equal">
      <formula>"Bajo"</formula>
    </cfRule>
  </conditionalFormatting>
  <conditionalFormatting sqref="N124:N126">
    <cfRule type="containsText" dxfId="1170" priority="1353" operator="containsText" text="❌">
      <formula>NOT(ISERROR(SEARCH("❌",N124)))</formula>
    </cfRule>
  </conditionalFormatting>
  <conditionalFormatting sqref="AB109">
    <cfRule type="cellIs" dxfId="1169" priority="1348" operator="equal">
      <formula>"Muy Alta"</formula>
    </cfRule>
    <cfRule type="cellIs" dxfId="1168" priority="1349" operator="equal">
      <formula>"Alta"</formula>
    </cfRule>
    <cfRule type="cellIs" dxfId="1167" priority="1350" operator="equal">
      <formula>"Media"</formula>
    </cfRule>
    <cfRule type="cellIs" dxfId="1166" priority="1351" operator="equal">
      <formula>"Baja"</formula>
    </cfRule>
    <cfRule type="cellIs" dxfId="1165" priority="1352" operator="equal">
      <formula>"Muy Baja"</formula>
    </cfRule>
  </conditionalFormatting>
  <conditionalFormatting sqref="AD109">
    <cfRule type="cellIs" dxfId="1164" priority="1343" operator="equal">
      <formula>"Catastrófico"</formula>
    </cfRule>
    <cfRule type="cellIs" dxfId="1163" priority="1344" operator="equal">
      <formula>"Mayor"</formula>
    </cfRule>
    <cfRule type="cellIs" dxfId="1162" priority="1345" operator="equal">
      <formula>"Moderado"</formula>
    </cfRule>
    <cfRule type="cellIs" dxfId="1161" priority="1346" operator="equal">
      <formula>"Menor"</formula>
    </cfRule>
    <cfRule type="cellIs" dxfId="1160" priority="1347" operator="equal">
      <formula>"Leve"</formula>
    </cfRule>
  </conditionalFormatting>
  <conditionalFormatting sqref="AF109">
    <cfRule type="cellIs" dxfId="1159" priority="1339" operator="equal">
      <formula>"Extremo"</formula>
    </cfRule>
    <cfRule type="cellIs" dxfId="1158" priority="1340" operator="equal">
      <formula>"Alto"</formula>
    </cfRule>
    <cfRule type="cellIs" dxfId="1157" priority="1341" operator="equal">
      <formula>"Moderado"</formula>
    </cfRule>
    <cfRule type="cellIs" dxfId="1156" priority="1342" operator="equal">
      <formula>"Bajo"</formula>
    </cfRule>
  </conditionalFormatting>
  <conditionalFormatting sqref="AB110">
    <cfRule type="cellIs" dxfId="1155" priority="1334" operator="equal">
      <formula>"Muy Alta"</formula>
    </cfRule>
    <cfRule type="cellIs" dxfId="1154" priority="1335" operator="equal">
      <formula>"Alta"</formula>
    </cfRule>
    <cfRule type="cellIs" dxfId="1153" priority="1336" operator="equal">
      <formula>"Media"</formula>
    </cfRule>
    <cfRule type="cellIs" dxfId="1152" priority="1337" operator="equal">
      <formula>"Baja"</formula>
    </cfRule>
    <cfRule type="cellIs" dxfId="1151" priority="1338" operator="equal">
      <formula>"Muy Baja"</formula>
    </cfRule>
  </conditionalFormatting>
  <conditionalFormatting sqref="AD110">
    <cfRule type="cellIs" dxfId="1150" priority="1329" operator="equal">
      <formula>"Catastrófico"</formula>
    </cfRule>
    <cfRule type="cellIs" dxfId="1149" priority="1330" operator="equal">
      <formula>"Mayor"</formula>
    </cfRule>
    <cfRule type="cellIs" dxfId="1148" priority="1331" operator="equal">
      <formula>"Moderado"</formula>
    </cfRule>
    <cfRule type="cellIs" dxfId="1147" priority="1332" operator="equal">
      <formula>"Menor"</formula>
    </cfRule>
    <cfRule type="cellIs" dxfId="1146" priority="1333" operator="equal">
      <formula>"Leve"</formula>
    </cfRule>
  </conditionalFormatting>
  <conditionalFormatting sqref="AF110">
    <cfRule type="cellIs" dxfId="1145" priority="1325" operator="equal">
      <formula>"Extremo"</formula>
    </cfRule>
    <cfRule type="cellIs" dxfId="1144" priority="1326" operator="equal">
      <formula>"Alto"</formula>
    </cfRule>
    <cfRule type="cellIs" dxfId="1143" priority="1327" operator="equal">
      <formula>"Moderado"</formula>
    </cfRule>
    <cfRule type="cellIs" dxfId="1142" priority="1328" operator="equal">
      <formula>"Bajo"</formula>
    </cfRule>
  </conditionalFormatting>
  <conditionalFormatting sqref="AB111">
    <cfRule type="cellIs" dxfId="1141" priority="1320" operator="equal">
      <formula>"Muy Alta"</formula>
    </cfRule>
    <cfRule type="cellIs" dxfId="1140" priority="1321" operator="equal">
      <formula>"Alta"</formula>
    </cfRule>
    <cfRule type="cellIs" dxfId="1139" priority="1322" operator="equal">
      <formula>"Media"</formula>
    </cfRule>
    <cfRule type="cellIs" dxfId="1138" priority="1323" operator="equal">
      <formula>"Baja"</formula>
    </cfRule>
    <cfRule type="cellIs" dxfId="1137" priority="1324" operator="equal">
      <formula>"Muy Baja"</formula>
    </cfRule>
  </conditionalFormatting>
  <conditionalFormatting sqref="AD111">
    <cfRule type="cellIs" dxfId="1136" priority="1315" operator="equal">
      <formula>"Catastrófico"</formula>
    </cfRule>
    <cfRule type="cellIs" dxfId="1135" priority="1316" operator="equal">
      <formula>"Mayor"</formula>
    </cfRule>
    <cfRule type="cellIs" dxfId="1134" priority="1317" operator="equal">
      <formula>"Moderado"</formula>
    </cfRule>
    <cfRule type="cellIs" dxfId="1133" priority="1318" operator="equal">
      <formula>"Menor"</formula>
    </cfRule>
    <cfRule type="cellIs" dxfId="1132" priority="1319" operator="equal">
      <formula>"Leve"</formula>
    </cfRule>
  </conditionalFormatting>
  <conditionalFormatting sqref="AF111">
    <cfRule type="cellIs" dxfId="1131" priority="1311" operator="equal">
      <formula>"Extremo"</formula>
    </cfRule>
    <cfRule type="cellIs" dxfId="1130" priority="1312" operator="equal">
      <formula>"Alto"</formula>
    </cfRule>
    <cfRule type="cellIs" dxfId="1129" priority="1313" operator="equal">
      <formula>"Moderado"</formula>
    </cfRule>
    <cfRule type="cellIs" dxfId="1128" priority="1314" operator="equal">
      <formula>"Bajo"</formula>
    </cfRule>
  </conditionalFormatting>
  <conditionalFormatting sqref="K109">
    <cfRule type="cellIs" dxfId="1127" priority="1306" operator="equal">
      <formula>"Muy Alta"</formula>
    </cfRule>
    <cfRule type="cellIs" dxfId="1126" priority="1307" operator="equal">
      <formula>"Alta"</formula>
    </cfRule>
    <cfRule type="cellIs" dxfId="1125" priority="1308" operator="equal">
      <formula>"Media"</formula>
    </cfRule>
    <cfRule type="cellIs" dxfId="1124" priority="1309" operator="equal">
      <formula>"Baja"</formula>
    </cfRule>
    <cfRule type="cellIs" dxfId="1123" priority="1310" operator="equal">
      <formula>"Muy Baja"</formula>
    </cfRule>
  </conditionalFormatting>
  <conditionalFormatting sqref="O109">
    <cfRule type="cellIs" dxfId="1122" priority="1301" operator="equal">
      <formula>"Catastrófico"</formula>
    </cfRule>
    <cfRule type="cellIs" dxfId="1121" priority="1302" operator="equal">
      <formula>"Mayor"</formula>
    </cfRule>
    <cfRule type="cellIs" dxfId="1120" priority="1303" operator="equal">
      <formula>"Moderado"</formula>
    </cfRule>
    <cfRule type="cellIs" dxfId="1119" priority="1304" operator="equal">
      <formula>"Menor"</formula>
    </cfRule>
    <cfRule type="cellIs" dxfId="1118" priority="1305" operator="equal">
      <formula>"Leve"</formula>
    </cfRule>
  </conditionalFormatting>
  <conditionalFormatting sqref="Q109">
    <cfRule type="cellIs" dxfId="1117" priority="1297" operator="equal">
      <formula>"Extremo"</formula>
    </cfRule>
    <cfRule type="cellIs" dxfId="1116" priority="1298" operator="equal">
      <formula>"Alto"</formula>
    </cfRule>
    <cfRule type="cellIs" dxfId="1115" priority="1299" operator="equal">
      <formula>"Moderado"</formula>
    </cfRule>
    <cfRule type="cellIs" dxfId="1114" priority="1300" operator="equal">
      <formula>"Bajo"</formula>
    </cfRule>
  </conditionalFormatting>
  <conditionalFormatting sqref="N109:N111">
    <cfRule type="containsText" dxfId="1113" priority="1296" operator="containsText" text="❌">
      <formula>NOT(ISERROR(SEARCH("❌",N109)))</formula>
    </cfRule>
  </conditionalFormatting>
  <conditionalFormatting sqref="AB112">
    <cfRule type="cellIs" dxfId="1112" priority="1291" operator="equal">
      <formula>"Muy Alta"</formula>
    </cfRule>
    <cfRule type="cellIs" dxfId="1111" priority="1292" operator="equal">
      <formula>"Alta"</formula>
    </cfRule>
    <cfRule type="cellIs" dxfId="1110" priority="1293" operator="equal">
      <formula>"Media"</formula>
    </cfRule>
    <cfRule type="cellIs" dxfId="1109" priority="1294" operator="equal">
      <formula>"Baja"</formula>
    </cfRule>
    <cfRule type="cellIs" dxfId="1108" priority="1295" operator="equal">
      <formula>"Muy Baja"</formula>
    </cfRule>
  </conditionalFormatting>
  <conditionalFormatting sqref="AD112">
    <cfRule type="cellIs" dxfId="1107" priority="1286" operator="equal">
      <formula>"Catastrófico"</formula>
    </cfRule>
    <cfRule type="cellIs" dxfId="1106" priority="1287" operator="equal">
      <formula>"Mayor"</formula>
    </cfRule>
    <cfRule type="cellIs" dxfId="1105" priority="1288" operator="equal">
      <formula>"Moderado"</formula>
    </cfRule>
    <cfRule type="cellIs" dxfId="1104" priority="1289" operator="equal">
      <formula>"Menor"</formula>
    </cfRule>
    <cfRule type="cellIs" dxfId="1103" priority="1290" operator="equal">
      <formula>"Leve"</formula>
    </cfRule>
  </conditionalFormatting>
  <conditionalFormatting sqref="AF112">
    <cfRule type="cellIs" dxfId="1102" priority="1282" operator="equal">
      <formula>"Extremo"</formula>
    </cfRule>
    <cfRule type="cellIs" dxfId="1101" priority="1283" operator="equal">
      <formula>"Alto"</formula>
    </cfRule>
    <cfRule type="cellIs" dxfId="1100" priority="1284" operator="equal">
      <formula>"Moderado"</formula>
    </cfRule>
    <cfRule type="cellIs" dxfId="1099" priority="1285" operator="equal">
      <formula>"Bajo"</formula>
    </cfRule>
  </conditionalFormatting>
  <conditionalFormatting sqref="AB113">
    <cfRule type="cellIs" dxfId="1098" priority="1277" operator="equal">
      <formula>"Muy Alta"</formula>
    </cfRule>
    <cfRule type="cellIs" dxfId="1097" priority="1278" operator="equal">
      <formula>"Alta"</formula>
    </cfRule>
    <cfRule type="cellIs" dxfId="1096" priority="1279" operator="equal">
      <formula>"Media"</formula>
    </cfRule>
    <cfRule type="cellIs" dxfId="1095" priority="1280" operator="equal">
      <formula>"Baja"</formula>
    </cfRule>
    <cfRule type="cellIs" dxfId="1094" priority="1281" operator="equal">
      <formula>"Muy Baja"</formula>
    </cfRule>
  </conditionalFormatting>
  <conditionalFormatting sqref="AD113">
    <cfRule type="cellIs" dxfId="1093" priority="1272" operator="equal">
      <formula>"Catastrófico"</formula>
    </cfRule>
    <cfRule type="cellIs" dxfId="1092" priority="1273" operator="equal">
      <formula>"Mayor"</formula>
    </cfRule>
    <cfRule type="cellIs" dxfId="1091" priority="1274" operator="equal">
      <formula>"Moderado"</formula>
    </cfRule>
    <cfRule type="cellIs" dxfId="1090" priority="1275" operator="equal">
      <formula>"Menor"</formula>
    </cfRule>
    <cfRule type="cellIs" dxfId="1089" priority="1276" operator="equal">
      <formula>"Leve"</formula>
    </cfRule>
  </conditionalFormatting>
  <conditionalFormatting sqref="AF113">
    <cfRule type="cellIs" dxfId="1088" priority="1268" operator="equal">
      <formula>"Extremo"</formula>
    </cfRule>
    <cfRule type="cellIs" dxfId="1087" priority="1269" operator="equal">
      <formula>"Alto"</formula>
    </cfRule>
    <cfRule type="cellIs" dxfId="1086" priority="1270" operator="equal">
      <formula>"Moderado"</formula>
    </cfRule>
    <cfRule type="cellIs" dxfId="1085" priority="1271" operator="equal">
      <formula>"Bajo"</formula>
    </cfRule>
  </conditionalFormatting>
  <conditionalFormatting sqref="AB114">
    <cfRule type="cellIs" dxfId="1084" priority="1263" operator="equal">
      <formula>"Muy Alta"</formula>
    </cfRule>
    <cfRule type="cellIs" dxfId="1083" priority="1264" operator="equal">
      <formula>"Alta"</formula>
    </cfRule>
    <cfRule type="cellIs" dxfId="1082" priority="1265" operator="equal">
      <formula>"Media"</formula>
    </cfRule>
    <cfRule type="cellIs" dxfId="1081" priority="1266" operator="equal">
      <formula>"Baja"</formula>
    </cfRule>
    <cfRule type="cellIs" dxfId="1080" priority="1267" operator="equal">
      <formula>"Muy Baja"</formula>
    </cfRule>
  </conditionalFormatting>
  <conditionalFormatting sqref="AD114">
    <cfRule type="cellIs" dxfId="1079" priority="1258" operator="equal">
      <formula>"Catastrófico"</formula>
    </cfRule>
    <cfRule type="cellIs" dxfId="1078" priority="1259" operator="equal">
      <formula>"Mayor"</formula>
    </cfRule>
    <cfRule type="cellIs" dxfId="1077" priority="1260" operator="equal">
      <formula>"Moderado"</formula>
    </cfRule>
    <cfRule type="cellIs" dxfId="1076" priority="1261" operator="equal">
      <formula>"Menor"</formula>
    </cfRule>
    <cfRule type="cellIs" dxfId="1075" priority="1262" operator="equal">
      <formula>"Leve"</formula>
    </cfRule>
  </conditionalFormatting>
  <conditionalFormatting sqref="AF114">
    <cfRule type="cellIs" dxfId="1074" priority="1254" operator="equal">
      <formula>"Extremo"</formula>
    </cfRule>
    <cfRule type="cellIs" dxfId="1073" priority="1255" operator="equal">
      <formula>"Alto"</formula>
    </cfRule>
    <cfRule type="cellIs" dxfId="1072" priority="1256" operator="equal">
      <formula>"Moderado"</formula>
    </cfRule>
    <cfRule type="cellIs" dxfId="1071" priority="1257" operator="equal">
      <formula>"Bajo"</formula>
    </cfRule>
  </conditionalFormatting>
  <conditionalFormatting sqref="K112">
    <cfRule type="cellIs" dxfId="1070" priority="1249" operator="equal">
      <formula>"Muy Alta"</formula>
    </cfRule>
    <cfRule type="cellIs" dxfId="1069" priority="1250" operator="equal">
      <formula>"Alta"</formula>
    </cfRule>
    <cfRule type="cellIs" dxfId="1068" priority="1251" operator="equal">
      <formula>"Media"</formula>
    </cfRule>
    <cfRule type="cellIs" dxfId="1067" priority="1252" operator="equal">
      <formula>"Baja"</formula>
    </cfRule>
    <cfRule type="cellIs" dxfId="1066" priority="1253" operator="equal">
      <formula>"Muy Baja"</formula>
    </cfRule>
  </conditionalFormatting>
  <conditionalFormatting sqref="O112">
    <cfRule type="cellIs" dxfId="1065" priority="1244" operator="equal">
      <formula>"Catastrófico"</formula>
    </cfRule>
    <cfRule type="cellIs" dxfId="1064" priority="1245" operator="equal">
      <formula>"Mayor"</formula>
    </cfRule>
    <cfRule type="cellIs" dxfId="1063" priority="1246" operator="equal">
      <formula>"Moderado"</formula>
    </cfRule>
    <cfRule type="cellIs" dxfId="1062" priority="1247" operator="equal">
      <formula>"Menor"</formula>
    </cfRule>
    <cfRule type="cellIs" dxfId="1061" priority="1248" operator="equal">
      <formula>"Leve"</formula>
    </cfRule>
  </conditionalFormatting>
  <conditionalFormatting sqref="Q112">
    <cfRule type="cellIs" dxfId="1060" priority="1240" operator="equal">
      <formula>"Extremo"</formula>
    </cfRule>
    <cfRule type="cellIs" dxfId="1059" priority="1241" operator="equal">
      <formula>"Alto"</formula>
    </cfRule>
    <cfRule type="cellIs" dxfId="1058" priority="1242" operator="equal">
      <formula>"Moderado"</formula>
    </cfRule>
    <cfRule type="cellIs" dxfId="1057" priority="1243" operator="equal">
      <formula>"Bajo"</formula>
    </cfRule>
  </conditionalFormatting>
  <conditionalFormatting sqref="N112:N114">
    <cfRule type="containsText" dxfId="1056" priority="1239" operator="containsText" text="❌">
      <formula>NOT(ISERROR(SEARCH("❌",N112)))</formula>
    </cfRule>
  </conditionalFormatting>
  <conditionalFormatting sqref="AB115">
    <cfRule type="cellIs" dxfId="1055" priority="1234" operator="equal">
      <formula>"Muy Alta"</formula>
    </cfRule>
    <cfRule type="cellIs" dxfId="1054" priority="1235" operator="equal">
      <formula>"Alta"</formula>
    </cfRule>
    <cfRule type="cellIs" dxfId="1053" priority="1236" operator="equal">
      <formula>"Media"</formula>
    </cfRule>
    <cfRule type="cellIs" dxfId="1052" priority="1237" operator="equal">
      <formula>"Baja"</formula>
    </cfRule>
    <cfRule type="cellIs" dxfId="1051" priority="1238" operator="equal">
      <formula>"Muy Baja"</formula>
    </cfRule>
  </conditionalFormatting>
  <conditionalFormatting sqref="AD115">
    <cfRule type="cellIs" dxfId="1050" priority="1229" operator="equal">
      <formula>"Catastrófico"</formula>
    </cfRule>
    <cfRule type="cellIs" dxfId="1049" priority="1230" operator="equal">
      <formula>"Mayor"</formula>
    </cfRule>
    <cfRule type="cellIs" dxfId="1048" priority="1231" operator="equal">
      <formula>"Moderado"</formula>
    </cfRule>
    <cfRule type="cellIs" dxfId="1047" priority="1232" operator="equal">
      <formula>"Menor"</formula>
    </cfRule>
    <cfRule type="cellIs" dxfId="1046" priority="1233" operator="equal">
      <formula>"Leve"</formula>
    </cfRule>
  </conditionalFormatting>
  <conditionalFormatting sqref="AF115">
    <cfRule type="cellIs" dxfId="1045" priority="1225" operator="equal">
      <formula>"Extremo"</formula>
    </cfRule>
    <cfRule type="cellIs" dxfId="1044" priority="1226" operator="equal">
      <formula>"Alto"</formula>
    </cfRule>
    <cfRule type="cellIs" dxfId="1043" priority="1227" operator="equal">
      <formula>"Moderado"</formula>
    </cfRule>
    <cfRule type="cellIs" dxfId="1042" priority="1228" operator="equal">
      <formula>"Bajo"</formula>
    </cfRule>
  </conditionalFormatting>
  <conditionalFormatting sqref="AB116">
    <cfRule type="cellIs" dxfId="1041" priority="1220" operator="equal">
      <formula>"Muy Alta"</formula>
    </cfRule>
    <cfRule type="cellIs" dxfId="1040" priority="1221" operator="equal">
      <formula>"Alta"</formula>
    </cfRule>
    <cfRule type="cellIs" dxfId="1039" priority="1222" operator="equal">
      <formula>"Media"</formula>
    </cfRule>
    <cfRule type="cellIs" dxfId="1038" priority="1223" operator="equal">
      <formula>"Baja"</formula>
    </cfRule>
    <cfRule type="cellIs" dxfId="1037" priority="1224" operator="equal">
      <formula>"Muy Baja"</formula>
    </cfRule>
  </conditionalFormatting>
  <conditionalFormatting sqref="AD116">
    <cfRule type="cellIs" dxfId="1036" priority="1215" operator="equal">
      <formula>"Catastrófico"</formula>
    </cfRule>
    <cfRule type="cellIs" dxfId="1035" priority="1216" operator="equal">
      <formula>"Mayor"</formula>
    </cfRule>
    <cfRule type="cellIs" dxfId="1034" priority="1217" operator="equal">
      <formula>"Moderado"</formula>
    </cfRule>
    <cfRule type="cellIs" dxfId="1033" priority="1218" operator="equal">
      <formula>"Menor"</formula>
    </cfRule>
    <cfRule type="cellIs" dxfId="1032" priority="1219" operator="equal">
      <formula>"Leve"</formula>
    </cfRule>
  </conditionalFormatting>
  <conditionalFormatting sqref="AF116">
    <cfRule type="cellIs" dxfId="1031" priority="1211" operator="equal">
      <formula>"Extremo"</formula>
    </cfRule>
    <cfRule type="cellIs" dxfId="1030" priority="1212" operator="equal">
      <formula>"Alto"</formula>
    </cfRule>
    <cfRule type="cellIs" dxfId="1029" priority="1213" operator="equal">
      <formula>"Moderado"</formula>
    </cfRule>
    <cfRule type="cellIs" dxfId="1028" priority="1214" operator="equal">
      <formula>"Bajo"</formula>
    </cfRule>
  </conditionalFormatting>
  <conditionalFormatting sqref="AB117">
    <cfRule type="cellIs" dxfId="1027" priority="1206" operator="equal">
      <formula>"Muy Alta"</formula>
    </cfRule>
    <cfRule type="cellIs" dxfId="1026" priority="1207" operator="equal">
      <formula>"Alta"</formula>
    </cfRule>
    <cfRule type="cellIs" dxfId="1025" priority="1208" operator="equal">
      <formula>"Media"</formula>
    </cfRule>
    <cfRule type="cellIs" dxfId="1024" priority="1209" operator="equal">
      <formula>"Baja"</formula>
    </cfRule>
    <cfRule type="cellIs" dxfId="1023" priority="1210" operator="equal">
      <formula>"Muy Baja"</formula>
    </cfRule>
  </conditionalFormatting>
  <conditionalFormatting sqref="AD117">
    <cfRule type="cellIs" dxfId="1022" priority="1201" operator="equal">
      <formula>"Catastrófico"</formula>
    </cfRule>
    <cfRule type="cellIs" dxfId="1021" priority="1202" operator="equal">
      <formula>"Mayor"</formula>
    </cfRule>
    <cfRule type="cellIs" dxfId="1020" priority="1203" operator="equal">
      <formula>"Moderado"</formula>
    </cfRule>
    <cfRule type="cellIs" dxfId="1019" priority="1204" operator="equal">
      <formula>"Menor"</formula>
    </cfRule>
    <cfRule type="cellIs" dxfId="1018" priority="1205" operator="equal">
      <formula>"Leve"</formula>
    </cfRule>
  </conditionalFormatting>
  <conditionalFormatting sqref="AF117">
    <cfRule type="cellIs" dxfId="1017" priority="1197" operator="equal">
      <formula>"Extremo"</formula>
    </cfRule>
    <cfRule type="cellIs" dxfId="1016" priority="1198" operator="equal">
      <formula>"Alto"</formula>
    </cfRule>
    <cfRule type="cellIs" dxfId="1015" priority="1199" operator="equal">
      <formula>"Moderado"</formula>
    </cfRule>
    <cfRule type="cellIs" dxfId="1014" priority="1200" operator="equal">
      <formula>"Bajo"</formula>
    </cfRule>
  </conditionalFormatting>
  <conditionalFormatting sqref="K115">
    <cfRule type="cellIs" dxfId="1013" priority="1192" operator="equal">
      <formula>"Muy Alta"</formula>
    </cfRule>
    <cfRule type="cellIs" dxfId="1012" priority="1193" operator="equal">
      <formula>"Alta"</formula>
    </cfRule>
    <cfRule type="cellIs" dxfId="1011" priority="1194" operator="equal">
      <formula>"Media"</formula>
    </cfRule>
    <cfRule type="cellIs" dxfId="1010" priority="1195" operator="equal">
      <formula>"Baja"</formula>
    </cfRule>
    <cfRule type="cellIs" dxfId="1009" priority="1196" operator="equal">
      <formula>"Muy Baja"</formula>
    </cfRule>
  </conditionalFormatting>
  <conditionalFormatting sqref="O115">
    <cfRule type="cellIs" dxfId="1008" priority="1187" operator="equal">
      <formula>"Catastrófico"</formula>
    </cfRule>
    <cfRule type="cellIs" dxfId="1007" priority="1188" operator="equal">
      <formula>"Mayor"</formula>
    </cfRule>
    <cfRule type="cellIs" dxfId="1006" priority="1189" operator="equal">
      <formula>"Moderado"</formula>
    </cfRule>
    <cfRule type="cellIs" dxfId="1005" priority="1190" operator="equal">
      <formula>"Menor"</formula>
    </cfRule>
    <cfRule type="cellIs" dxfId="1004" priority="1191" operator="equal">
      <formula>"Leve"</formula>
    </cfRule>
  </conditionalFormatting>
  <conditionalFormatting sqref="Q115">
    <cfRule type="cellIs" dxfId="1003" priority="1183" operator="equal">
      <formula>"Extremo"</formula>
    </cfRule>
    <cfRule type="cellIs" dxfId="1002" priority="1184" operator="equal">
      <formula>"Alto"</formula>
    </cfRule>
    <cfRule type="cellIs" dxfId="1001" priority="1185" operator="equal">
      <formula>"Moderado"</formula>
    </cfRule>
    <cfRule type="cellIs" dxfId="1000" priority="1186" operator="equal">
      <formula>"Bajo"</formula>
    </cfRule>
  </conditionalFormatting>
  <conditionalFormatting sqref="N115:N117">
    <cfRule type="containsText" dxfId="999" priority="1182" operator="containsText" text="❌">
      <formula>NOT(ISERROR(SEARCH("❌",N115)))</formula>
    </cfRule>
  </conditionalFormatting>
  <conditionalFormatting sqref="AB118">
    <cfRule type="cellIs" dxfId="998" priority="1177" operator="equal">
      <formula>"Muy Alta"</formula>
    </cfRule>
    <cfRule type="cellIs" dxfId="997" priority="1178" operator="equal">
      <formula>"Alta"</formula>
    </cfRule>
    <cfRule type="cellIs" dxfId="996" priority="1179" operator="equal">
      <formula>"Media"</formula>
    </cfRule>
    <cfRule type="cellIs" dxfId="995" priority="1180" operator="equal">
      <formula>"Baja"</formula>
    </cfRule>
    <cfRule type="cellIs" dxfId="994" priority="1181" operator="equal">
      <formula>"Muy Baja"</formula>
    </cfRule>
  </conditionalFormatting>
  <conditionalFormatting sqref="AD118">
    <cfRule type="cellIs" dxfId="993" priority="1172" operator="equal">
      <formula>"Catastrófico"</formula>
    </cfRule>
    <cfRule type="cellIs" dxfId="992" priority="1173" operator="equal">
      <formula>"Mayor"</formula>
    </cfRule>
    <cfRule type="cellIs" dxfId="991" priority="1174" operator="equal">
      <formula>"Moderado"</formula>
    </cfRule>
    <cfRule type="cellIs" dxfId="990" priority="1175" operator="equal">
      <formula>"Menor"</formula>
    </cfRule>
    <cfRule type="cellIs" dxfId="989" priority="1176" operator="equal">
      <formula>"Leve"</formula>
    </cfRule>
  </conditionalFormatting>
  <conditionalFormatting sqref="AF118">
    <cfRule type="cellIs" dxfId="988" priority="1168" operator="equal">
      <formula>"Extremo"</formula>
    </cfRule>
    <cfRule type="cellIs" dxfId="987" priority="1169" operator="equal">
      <formula>"Alto"</formula>
    </cfRule>
    <cfRule type="cellIs" dxfId="986" priority="1170" operator="equal">
      <formula>"Moderado"</formula>
    </cfRule>
    <cfRule type="cellIs" dxfId="985" priority="1171" operator="equal">
      <formula>"Bajo"</formula>
    </cfRule>
  </conditionalFormatting>
  <conditionalFormatting sqref="AB119">
    <cfRule type="cellIs" dxfId="984" priority="1163" operator="equal">
      <formula>"Muy Alta"</formula>
    </cfRule>
    <cfRule type="cellIs" dxfId="983" priority="1164" operator="equal">
      <formula>"Alta"</formula>
    </cfRule>
    <cfRule type="cellIs" dxfId="982" priority="1165" operator="equal">
      <formula>"Media"</formula>
    </cfRule>
    <cfRule type="cellIs" dxfId="981" priority="1166" operator="equal">
      <formula>"Baja"</formula>
    </cfRule>
    <cfRule type="cellIs" dxfId="980" priority="1167" operator="equal">
      <formula>"Muy Baja"</formula>
    </cfRule>
  </conditionalFormatting>
  <conditionalFormatting sqref="AD119">
    <cfRule type="cellIs" dxfId="979" priority="1158" operator="equal">
      <formula>"Catastrófico"</formula>
    </cfRule>
    <cfRule type="cellIs" dxfId="978" priority="1159" operator="equal">
      <formula>"Mayor"</formula>
    </cfRule>
    <cfRule type="cellIs" dxfId="977" priority="1160" operator="equal">
      <formula>"Moderado"</formula>
    </cfRule>
    <cfRule type="cellIs" dxfId="976" priority="1161" operator="equal">
      <formula>"Menor"</formula>
    </cfRule>
    <cfRule type="cellIs" dxfId="975" priority="1162" operator="equal">
      <formula>"Leve"</formula>
    </cfRule>
  </conditionalFormatting>
  <conditionalFormatting sqref="AF119">
    <cfRule type="cellIs" dxfId="974" priority="1154" operator="equal">
      <formula>"Extremo"</formula>
    </cfRule>
    <cfRule type="cellIs" dxfId="973" priority="1155" operator="equal">
      <formula>"Alto"</formula>
    </cfRule>
    <cfRule type="cellIs" dxfId="972" priority="1156" operator="equal">
      <formula>"Moderado"</formula>
    </cfRule>
    <cfRule type="cellIs" dxfId="971" priority="1157" operator="equal">
      <formula>"Bajo"</formula>
    </cfRule>
  </conditionalFormatting>
  <conditionalFormatting sqref="AB120">
    <cfRule type="cellIs" dxfId="970" priority="1149" operator="equal">
      <formula>"Muy Alta"</formula>
    </cfRule>
    <cfRule type="cellIs" dxfId="969" priority="1150" operator="equal">
      <formula>"Alta"</formula>
    </cfRule>
    <cfRule type="cellIs" dxfId="968" priority="1151" operator="equal">
      <formula>"Media"</formula>
    </cfRule>
    <cfRule type="cellIs" dxfId="967" priority="1152" operator="equal">
      <formula>"Baja"</formula>
    </cfRule>
    <cfRule type="cellIs" dxfId="966" priority="1153" operator="equal">
      <formula>"Muy Baja"</formula>
    </cfRule>
  </conditionalFormatting>
  <conditionalFormatting sqref="AD120">
    <cfRule type="cellIs" dxfId="965" priority="1144" operator="equal">
      <formula>"Catastrófico"</formula>
    </cfRule>
    <cfRule type="cellIs" dxfId="964" priority="1145" operator="equal">
      <formula>"Mayor"</formula>
    </cfRule>
    <cfRule type="cellIs" dxfId="963" priority="1146" operator="equal">
      <formula>"Moderado"</formula>
    </cfRule>
    <cfRule type="cellIs" dxfId="962" priority="1147" operator="equal">
      <formula>"Menor"</formula>
    </cfRule>
    <cfRule type="cellIs" dxfId="961" priority="1148" operator="equal">
      <formula>"Leve"</formula>
    </cfRule>
  </conditionalFormatting>
  <conditionalFormatting sqref="AF120">
    <cfRule type="cellIs" dxfId="960" priority="1140" operator="equal">
      <formula>"Extremo"</formula>
    </cfRule>
    <cfRule type="cellIs" dxfId="959" priority="1141" operator="equal">
      <formula>"Alto"</formula>
    </cfRule>
    <cfRule type="cellIs" dxfId="958" priority="1142" operator="equal">
      <formula>"Moderado"</formula>
    </cfRule>
    <cfRule type="cellIs" dxfId="957" priority="1143" operator="equal">
      <formula>"Bajo"</formula>
    </cfRule>
  </conditionalFormatting>
  <conditionalFormatting sqref="K118">
    <cfRule type="cellIs" dxfId="956" priority="1135" operator="equal">
      <formula>"Muy Alta"</formula>
    </cfRule>
    <cfRule type="cellIs" dxfId="955" priority="1136" operator="equal">
      <formula>"Alta"</formula>
    </cfRule>
    <cfRule type="cellIs" dxfId="954" priority="1137" operator="equal">
      <formula>"Media"</formula>
    </cfRule>
    <cfRule type="cellIs" dxfId="953" priority="1138" operator="equal">
      <formula>"Baja"</formula>
    </cfRule>
    <cfRule type="cellIs" dxfId="952" priority="1139" operator="equal">
      <formula>"Muy Baja"</formula>
    </cfRule>
  </conditionalFormatting>
  <conditionalFormatting sqref="O118">
    <cfRule type="cellIs" dxfId="951" priority="1130" operator="equal">
      <formula>"Catastrófico"</formula>
    </cfRule>
    <cfRule type="cellIs" dxfId="950" priority="1131" operator="equal">
      <formula>"Mayor"</formula>
    </cfRule>
    <cfRule type="cellIs" dxfId="949" priority="1132" operator="equal">
      <formula>"Moderado"</formula>
    </cfRule>
    <cfRule type="cellIs" dxfId="948" priority="1133" operator="equal">
      <formula>"Menor"</formula>
    </cfRule>
    <cfRule type="cellIs" dxfId="947" priority="1134" operator="equal">
      <formula>"Leve"</formula>
    </cfRule>
  </conditionalFormatting>
  <conditionalFormatting sqref="Q118">
    <cfRule type="cellIs" dxfId="946" priority="1126" operator="equal">
      <formula>"Extremo"</formula>
    </cfRule>
    <cfRule type="cellIs" dxfId="945" priority="1127" operator="equal">
      <formula>"Alto"</formula>
    </cfRule>
    <cfRule type="cellIs" dxfId="944" priority="1128" operator="equal">
      <formula>"Moderado"</formula>
    </cfRule>
    <cfRule type="cellIs" dxfId="943" priority="1129" operator="equal">
      <formula>"Bajo"</formula>
    </cfRule>
  </conditionalFormatting>
  <conditionalFormatting sqref="N118:N120">
    <cfRule type="containsText" dxfId="942" priority="1125" operator="containsText" text="❌">
      <formula>NOT(ISERROR(SEARCH("❌",N118)))</formula>
    </cfRule>
  </conditionalFormatting>
  <conditionalFormatting sqref="AB121">
    <cfRule type="cellIs" dxfId="941" priority="1120" operator="equal">
      <formula>"Muy Alta"</formula>
    </cfRule>
    <cfRule type="cellIs" dxfId="940" priority="1121" operator="equal">
      <formula>"Alta"</formula>
    </cfRule>
    <cfRule type="cellIs" dxfId="939" priority="1122" operator="equal">
      <formula>"Media"</formula>
    </cfRule>
    <cfRule type="cellIs" dxfId="938" priority="1123" operator="equal">
      <formula>"Baja"</formula>
    </cfRule>
    <cfRule type="cellIs" dxfId="937" priority="1124" operator="equal">
      <formula>"Muy Baja"</formula>
    </cfRule>
  </conditionalFormatting>
  <conditionalFormatting sqref="AD121">
    <cfRule type="cellIs" dxfId="936" priority="1115" operator="equal">
      <formula>"Catastrófico"</formula>
    </cfRule>
    <cfRule type="cellIs" dxfId="935" priority="1116" operator="equal">
      <formula>"Mayor"</formula>
    </cfRule>
    <cfRule type="cellIs" dxfId="934" priority="1117" operator="equal">
      <formula>"Moderado"</formula>
    </cfRule>
    <cfRule type="cellIs" dxfId="933" priority="1118" operator="equal">
      <formula>"Menor"</formula>
    </cfRule>
    <cfRule type="cellIs" dxfId="932" priority="1119" operator="equal">
      <formula>"Leve"</formula>
    </cfRule>
  </conditionalFormatting>
  <conditionalFormatting sqref="AF121">
    <cfRule type="cellIs" dxfId="931" priority="1111" operator="equal">
      <formula>"Extremo"</formula>
    </cfRule>
    <cfRule type="cellIs" dxfId="930" priority="1112" operator="equal">
      <formula>"Alto"</formula>
    </cfRule>
    <cfRule type="cellIs" dxfId="929" priority="1113" operator="equal">
      <formula>"Moderado"</formula>
    </cfRule>
    <cfRule type="cellIs" dxfId="928" priority="1114" operator="equal">
      <formula>"Bajo"</formula>
    </cfRule>
  </conditionalFormatting>
  <conditionalFormatting sqref="AB122">
    <cfRule type="cellIs" dxfId="927" priority="1106" operator="equal">
      <formula>"Muy Alta"</formula>
    </cfRule>
    <cfRule type="cellIs" dxfId="926" priority="1107" operator="equal">
      <formula>"Alta"</formula>
    </cfRule>
    <cfRule type="cellIs" dxfId="925" priority="1108" operator="equal">
      <formula>"Media"</formula>
    </cfRule>
    <cfRule type="cellIs" dxfId="924" priority="1109" operator="equal">
      <formula>"Baja"</formula>
    </cfRule>
    <cfRule type="cellIs" dxfId="923" priority="1110" operator="equal">
      <formula>"Muy Baja"</formula>
    </cfRule>
  </conditionalFormatting>
  <conditionalFormatting sqref="AD122">
    <cfRule type="cellIs" dxfId="922" priority="1101" operator="equal">
      <formula>"Catastrófico"</formula>
    </cfRule>
    <cfRule type="cellIs" dxfId="921" priority="1102" operator="equal">
      <formula>"Mayor"</formula>
    </cfRule>
    <cfRule type="cellIs" dxfId="920" priority="1103" operator="equal">
      <formula>"Moderado"</formula>
    </cfRule>
    <cfRule type="cellIs" dxfId="919" priority="1104" operator="equal">
      <formula>"Menor"</formula>
    </cfRule>
    <cfRule type="cellIs" dxfId="918" priority="1105" operator="equal">
      <formula>"Leve"</formula>
    </cfRule>
  </conditionalFormatting>
  <conditionalFormatting sqref="AF122">
    <cfRule type="cellIs" dxfId="917" priority="1097" operator="equal">
      <formula>"Extremo"</formula>
    </cfRule>
    <cfRule type="cellIs" dxfId="916" priority="1098" operator="equal">
      <formula>"Alto"</formula>
    </cfRule>
    <cfRule type="cellIs" dxfId="915" priority="1099" operator="equal">
      <formula>"Moderado"</formula>
    </cfRule>
    <cfRule type="cellIs" dxfId="914" priority="1100" operator="equal">
      <formula>"Bajo"</formula>
    </cfRule>
  </conditionalFormatting>
  <conditionalFormatting sqref="AB123:AB126">
    <cfRule type="cellIs" dxfId="913" priority="1092" operator="equal">
      <formula>"Muy Alta"</formula>
    </cfRule>
    <cfRule type="cellIs" dxfId="912" priority="1093" operator="equal">
      <formula>"Alta"</formula>
    </cfRule>
    <cfRule type="cellIs" dxfId="911" priority="1094" operator="equal">
      <formula>"Media"</formula>
    </cfRule>
    <cfRule type="cellIs" dxfId="910" priority="1095" operator="equal">
      <formula>"Baja"</formula>
    </cfRule>
    <cfRule type="cellIs" dxfId="909" priority="1096" operator="equal">
      <formula>"Muy Baja"</formula>
    </cfRule>
  </conditionalFormatting>
  <conditionalFormatting sqref="AD123:AD126">
    <cfRule type="cellIs" dxfId="908" priority="1087" operator="equal">
      <formula>"Catastrófico"</formula>
    </cfRule>
    <cfRule type="cellIs" dxfId="907" priority="1088" operator="equal">
      <formula>"Mayor"</formula>
    </cfRule>
    <cfRule type="cellIs" dxfId="906" priority="1089" operator="equal">
      <formula>"Moderado"</formula>
    </cfRule>
    <cfRule type="cellIs" dxfId="905" priority="1090" operator="equal">
      <formula>"Menor"</formula>
    </cfRule>
    <cfRule type="cellIs" dxfId="904" priority="1091" operator="equal">
      <formula>"Leve"</formula>
    </cfRule>
  </conditionalFormatting>
  <conditionalFormatting sqref="AF123:AF126">
    <cfRule type="cellIs" dxfId="903" priority="1083" operator="equal">
      <formula>"Extremo"</formula>
    </cfRule>
    <cfRule type="cellIs" dxfId="902" priority="1084" operator="equal">
      <formula>"Alto"</formula>
    </cfRule>
    <cfRule type="cellIs" dxfId="901" priority="1085" operator="equal">
      <formula>"Moderado"</formula>
    </cfRule>
    <cfRule type="cellIs" dxfId="900" priority="1086" operator="equal">
      <formula>"Bajo"</formula>
    </cfRule>
  </conditionalFormatting>
  <conditionalFormatting sqref="K121">
    <cfRule type="cellIs" dxfId="899" priority="1078" operator="equal">
      <formula>"Muy Alta"</formula>
    </cfRule>
    <cfRule type="cellIs" dxfId="898" priority="1079" operator="equal">
      <formula>"Alta"</formula>
    </cfRule>
    <cfRule type="cellIs" dxfId="897" priority="1080" operator="equal">
      <formula>"Media"</formula>
    </cfRule>
    <cfRule type="cellIs" dxfId="896" priority="1081" operator="equal">
      <formula>"Baja"</formula>
    </cfRule>
    <cfRule type="cellIs" dxfId="895" priority="1082" operator="equal">
      <formula>"Muy Baja"</formula>
    </cfRule>
  </conditionalFormatting>
  <conditionalFormatting sqref="O121">
    <cfRule type="cellIs" dxfId="894" priority="1073" operator="equal">
      <formula>"Catastrófico"</formula>
    </cfRule>
    <cfRule type="cellIs" dxfId="893" priority="1074" operator="equal">
      <formula>"Mayor"</formula>
    </cfRule>
    <cfRule type="cellIs" dxfId="892" priority="1075" operator="equal">
      <formula>"Moderado"</formula>
    </cfRule>
    <cfRule type="cellIs" dxfId="891" priority="1076" operator="equal">
      <formula>"Menor"</formula>
    </cfRule>
    <cfRule type="cellIs" dxfId="890" priority="1077" operator="equal">
      <formula>"Leve"</formula>
    </cfRule>
  </conditionalFormatting>
  <conditionalFormatting sqref="Q121">
    <cfRule type="cellIs" dxfId="889" priority="1069" operator="equal">
      <formula>"Extremo"</formula>
    </cfRule>
    <cfRule type="cellIs" dxfId="888" priority="1070" operator="equal">
      <formula>"Alto"</formula>
    </cfRule>
    <cfRule type="cellIs" dxfId="887" priority="1071" operator="equal">
      <formula>"Moderado"</formula>
    </cfRule>
    <cfRule type="cellIs" dxfId="886" priority="1072" operator="equal">
      <formula>"Bajo"</formula>
    </cfRule>
  </conditionalFormatting>
  <conditionalFormatting sqref="N121:N126">
    <cfRule type="containsText" dxfId="885" priority="1068" operator="containsText" text="❌">
      <formula>NOT(ISERROR(SEARCH("❌",N121)))</formula>
    </cfRule>
  </conditionalFormatting>
  <conditionalFormatting sqref="AB127">
    <cfRule type="cellIs" dxfId="884" priority="1063" operator="equal">
      <formula>"Muy Alta"</formula>
    </cfRule>
    <cfRule type="cellIs" dxfId="883" priority="1064" operator="equal">
      <formula>"Alta"</formula>
    </cfRule>
    <cfRule type="cellIs" dxfId="882" priority="1065" operator="equal">
      <formula>"Media"</formula>
    </cfRule>
    <cfRule type="cellIs" dxfId="881" priority="1066" operator="equal">
      <formula>"Baja"</formula>
    </cfRule>
    <cfRule type="cellIs" dxfId="880" priority="1067" operator="equal">
      <formula>"Muy Baja"</formula>
    </cfRule>
  </conditionalFormatting>
  <conditionalFormatting sqref="AD127">
    <cfRule type="cellIs" dxfId="879" priority="1058" operator="equal">
      <formula>"Catastrófico"</formula>
    </cfRule>
    <cfRule type="cellIs" dxfId="878" priority="1059" operator="equal">
      <formula>"Mayor"</formula>
    </cfRule>
    <cfRule type="cellIs" dxfId="877" priority="1060" operator="equal">
      <formula>"Moderado"</formula>
    </cfRule>
    <cfRule type="cellIs" dxfId="876" priority="1061" operator="equal">
      <formula>"Menor"</formula>
    </cfRule>
    <cfRule type="cellIs" dxfId="875" priority="1062" operator="equal">
      <formula>"Leve"</formula>
    </cfRule>
  </conditionalFormatting>
  <conditionalFormatting sqref="AF127">
    <cfRule type="cellIs" dxfId="874" priority="1054" operator="equal">
      <formula>"Extremo"</formula>
    </cfRule>
    <cfRule type="cellIs" dxfId="873" priority="1055" operator="equal">
      <formula>"Alto"</formula>
    </cfRule>
    <cfRule type="cellIs" dxfId="872" priority="1056" operator="equal">
      <formula>"Moderado"</formula>
    </cfRule>
    <cfRule type="cellIs" dxfId="871" priority="1057" operator="equal">
      <formula>"Bajo"</formula>
    </cfRule>
  </conditionalFormatting>
  <conditionalFormatting sqref="AB128">
    <cfRule type="cellIs" dxfId="870" priority="1049" operator="equal">
      <formula>"Muy Alta"</formula>
    </cfRule>
    <cfRule type="cellIs" dxfId="869" priority="1050" operator="equal">
      <formula>"Alta"</formula>
    </cfRule>
    <cfRule type="cellIs" dxfId="868" priority="1051" operator="equal">
      <formula>"Media"</formula>
    </cfRule>
    <cfRule type="cellIs" dxfId="867" priority="1052" operator="equal">
      <formula>"Baja"</formula>
    </cfRule>
    <cfRule type="cellIs" dxfId="866" priority="1053" operator="equal">
      <formula>"Muy Baja"</formula>
    </cfRule>
  </conditionalFormatting>
  <conditionalFormatting sqref="AD128">
    <cfRule type="cellIs" dxfId="865" priority="1044" operator="equal">
      <formula>"Catastrófico"</formula>
    </cfRule>
    <cfRule type="cellIs" dxfId="864" priority="1045" operator="equal">
      <formula>"Mayor"</formula>
    </cfRule>
    <cfRule type="cellIs" dxfId="863" priority="1046" operator="equal">
      <formula>"Moderado"</formula>
    </cfRule>
    <cfRule type="cellIs" dxfId="862" priority="1047" operator="equal">
      <formula>"Menor"</formula>
    </cfRule>
    <cfRule type="cellIs" dxfId="861" priority="1048" operator="equal">
      <formula>"Leve"</formula>
    </cfRule>
  </conditionalFormatting>
  <conditionalFormatting sqref="AF128">
    <cfRule type="cellIs" dxfId="860" priority="1040" operator="equal">
      <formula>"Extremo"</formula>
    </cfRule>
    <cfRule type="cellIs" dxfId="859" priority="1041" operator="equal">
      <formula>"Alto"</formula>
    </cfRule>
    <cfRule type="cellIs" dxfId="858" priority="1042" operator="equal">
      <formula>"Moderado"</formula>
    </cfRule>
    <cfRule type="cellIs" dxfId="857" priority="1043" operator="equal">
      <formula>"Bajo"</formula>
    </cfRule>
  </conditionalFormatting>
  <conditionalFormatting sqref="AB129">
    <cfRule type="cellIs" dxfId="856" priority="1035" operator="equal">
      <formula>"Muy Alta"</formula>
    </cfRule>
    <cfRule type="cellIs" dxfId="855" priority="1036" operator="equal">
      <formula>"Alta"</formula>
    </cfRule>
    <cfRule type="cellIs" dxfId="854" priority="1037" operator="equal">
      <formula>"Media"</formula>
    </cfRule>
    <cfRule type="cellIs" dxfId="853" priority="1038" operator="equal">
      <formula>"Baja"</formula>
    </cfRule>
    <cfRule type="cellIs" dxfId="852" priority="1039" operator="equal">
      <formula>"Muy Baja"</formula>
    </cfRule>
  </conditionalFormatting>
  <conditionalFormatting sqref="AD129">
    <cfRule type="cellIs" dxfId="851" priority="1030" operator="equal">
      <formula>"Catastrófico"</formula>
    </cfRule>
    <cfRule type="cellIs" dxfId="850" priority="1031" operator="equal">
      <formula>"Mayor"</formula>
    </cfRule>
    <cfRule type="cellIs" dxfId="849" priority="1032" operator="equal">
      <formula>"Moderado"</formula>
    </cfRule>
    <cfRule type="cellIs" dxfId="848" priority="1033" operator="equal">
      <formula>"Menor"</formula>
    </cfRule>
    <cfRule type="cellIs" dxfId="847" priority="1034" operator="equal">
      <formula>"Leve"</formula>
    </cfRule>
  </conditionalFormatting>
  <conditionalFormatting sqref="AF129">
    <cfRule type="cellIs" dxfId="846" priority="1026" operator="equal">
      <formula>"Extremo"</formula>
    </cfRule>
    <cfRule type="cellIs" dxfId="845" priority="1027" operator="equal">
      <formula>"Alto"</formula>
    </cfRule>
    <cfRule type="cellIs" dxfId="844" priority="1028" operator="equal">
      <formula>"Moderado"</formula>
    </cfRule>
    <cfRule type="cellIs" dxfId="843" priority="1029" operator="equal">
      <formula>"Bajo"</formula>
    </cfRule>
  </conditionalFormatting>
  <conditionalFormatting sqref="K127">
    <cfRule type="cellIs" dxfId="842" priority="1021" operator="equal">
      <formula>"Muy Alta"</formula>
    </cfRule>
    <cfRule type="cellIs" dxfId="841" priority="1022" operator="equal">
      <formula>"Alta"</formula>
    </cfRule>
    <cfRule type="cellIs" dxfId="840" priority="1023" operator="equal">
      <formula>"Media"</formula>
    </cfRule>
    <cfRule type="cellIs" dxfId="839" priority="1024" operator="equal">
      <formula>"Baja"</formula>
    </cfRule>
    <cfRule type="cellIs" dxfId="838" priority="1025" operator="equal">
      <formula>"Muy Baja"</formula>
    </cfRule>
  </conditionalFormatting>
  <conditionalFormatting sqref="O127">
    <cfRule type="cellIs" dxfId="837" priority="1016" operator="equal">
      <formula>"Catastrófico"</formula>
    </cfRule>
    <cfRule type="cellIs" dxfId="836" priority="1017" operator="equal">
      <formula>"Mayor"</formula>
    </cfRule>
    <cfRule type="cellIs" dxfId="835" priority="1018" operator="equal">
      <formula>"Moderado"</formula>
    </cfRule>
    <cfRule type="cellIs" dxfId="834" priority="1019" operator="equal">
      <formula>"Menor"</formula>
    </cfRule>
    <cfRule type="cellIs" dxfId="833" priority="1020" operator="equal">
      <formula>"Leve"</formula>
    </cfRule>
  </conditionalFormatting>
  <conditionalFormatting sqref="Q127">
    <cfRule type="cellIs" dxfId="832" priority="1012" operator="equal">
      <formula>"Extremo"</formula>
    </cfRule>
    <cfRule type="cellIs" dxfId="831" priority="1013" operator="equal">
      <formula>"Alto"</formula>
    </cfRule>
    <cfRule type="cellIs" dxfId="830" priority="1014" operator="equal">
      <formula>"Moderado"</formula>
    </cfRule>
    <cfRule type="cellIs" dxfId="829" priority="1015" operator="equal">
      <formula>"Bajo"</formula>
    </cfRule>
  </conditionalFormatting>
  <conditionalFormatting sqref="N127:N129">
    <cfRule type="containsText" dxfId="828" priority="1011" operator="containsText" text="❌">
      <formula>NOT(ISERROR(SEARCH("❌",N127)))</formula>
    </cfRule>
  </conditionalFormatting>
  <conditionalFormatting sqref="AB127:AB129">
    <cfRule type="cellIs" dxfId="827" priority="1006" operator="equal">
      <formula>"Muy Alta"</formula>
    </cfRule>
    <cfRule type="cellIs" dxfId="826" priority="1007" operator="equal">
      <formula>"Alta"</formula>
    </cfRule>
    <cfRule type="cellIs" dxfId="825" priority="1008" operator="equal">
      <formula>"Media"</formula>
    </cfRule>
    <cfRule type="cellIs" dxfId="824" priority="1009" operator="equal">
      <formula>"Baja"</formula>
    </cfRule>
    <cfRule type="cellIs" dxfId="823" priority="1010" operator="equal">
      <formula>"Muy Baja"</formula>
    </cfRule>
  </conditionalFormatting>
  <conditionalFormatting sqref="AD127:AD129">
    <cfRule type="cellIs" dxfId="822" priority="1001" operator="equal">
      <formula>"Catastrófico"</formula>
    </cfRule>
    <cfRule type="cellIs" dxfId="821" priority="1002" operator="equal">
      <formula>"Mayor"</formula>
    </cfRule>
    <cfRule type="cellIs" dxfId="820" priority="1003" operator="equal">
      <formula>"Moderado"</formula>
    </cfRule>
    <cfRule type="cellIs" dxfId="819" priority="1004" operator="equal">
      <formula>"Menor"</formula>
    </cfRule>
    <cfRule type="cellIs" dxfId="818" priority="1005" operator="equal">
      <formula>"Leve"</formula>
    </cfRule>
  </conditionalFormatting>
  <conditionalFormatting sqref="AF127:AF129">
    <cfRule type="cellIs" dxfId="817" priority="997" operator="equal">
      <formula>"Extremo"</formula>
    </cfRule>
    <cfRule type="cellIs" dxfId="816" priority="998" operator="equal">
      <formula>"Alto"</formula>
    </cfRule>
    <cfRule type="cellIs" dxfId="815" priority="999" operator="equal">
      <formula>"Moderado"</formula>
    </cfRule>
    <cfRule type="cellIs" dxfId="814" priority="1000" operator="equal">
      <formula>"Bajo"</formula>
    </cfRule>
  </conditionalFormatting>
  <conditionalFormatting sqref="N127:N129">
    <cfRule type="containsText" dxfId="813" priority="996" operator="containsText" text="❌">
      <formula>NOT(ISERROR(SEARCH("❌",N127)))</formula>
    </cfRule>
  </conditionalFormatting>
  <conditionalFormatting sqref="AB130">
    <cfRule type="cellIs" dxfId="812" priority="991" operator="equal">
      <formula>"Muy Alta"</formula>
    </cfRule>
    <cfRule type="cellIs" dxfId="811" priority="992" operator="equal">
      <formula>"Alta"</formula>
    </cfRule>
    <cfRule type="cellIs" dxfId="810" priority="993" operator="equal">
      <formula>"Media"</formula>
    </cfRule>
    <cfRule type="cellIs" dxfId="809" priority="994" operator="equal">
      <formula>"Baja"</formula>
    </cfRule>
    <cfRule type="cellIs" dxfId="808" priority="995" operator="equal">
      <formula>"Muy Baja"</formula>
    </cfRule>
  </conditionalFormatting>
  <conditionalFormatting sqref="AD130">
    <cfRule type="cellIs" dxfId="807" priority="986" operator="equal">
      <formula>"Catastrófico"</formula>
    </cfRule>
    <cfRule type="cellIs" dxfId="806" priority="987" operator="equal">
      <formula>"Mayor"</formula>
    </cfRule>
    <cfRule type="cellIs" dxfId="805" priority="988" operator="equal">
      <formula>"Moderado"</formula>
    </cfRule>
    <cfRule type="cellIs" dxfId="804" priority="989" operator="equal">
      <formula>"Menor"</formula>
    </cfRule>
    <cfRule type="cellIs" dxfId="803" priority="990" operator="equal">
      <formula>"Leve"</formula>
    </cfRule>
  </conditionalFormatting>
  <conditionalFormatting sqref="AF130">
    <cfRule type="cellIs" dxfId="802" priority="982" operator="equal">
      <formula>"Extremo"</formula>
    </cfRule>
    <cfRule type="cellIs" dxfId="801" priority="983" operator="equal">
      <formula>"Alto"</formula>
    </cfRule>
    <cfRule type="cellIs" dxfId="800" priority="984" operator="equal">
      <formula>"Moderado"</formula>
    </cfRule>
    <cfRule type="cellIs" dxfId="799" priority="985" operator="equal">
      <formula>"Bajo"</formula>
    </cfRule>
  </conditionalFormatting>
  <conditionalFormatting sqref="AB131">
    <cfRule type="cellIs" dxfId="798" priority="977" operator="equal">
      <formula>"Muy Alta"</formula>
    </cfRule>
    <cfRule type="cellIs" dxfId="797" priority="978" operator="equal">
      <formula>"Alta"</formula>
    </cfRule>
    <cfRule type="cellIs" dxfId="796" priority="979" operator="equal">
      <formula>"Media"</formula>
    </cfRule>
    <cfRule type="cellIs" dxfId="795" priority="980" operator="equal">
      <formula>"Baja"</formula>
    </cfRule>
    <cfRule type="cellIs" dxfId="794" priority="981" operator="equal">
      <formula>"Muy Baja"</formula>
    </cfRule>
  </conditionalFormatting>
  <conditionalFormatting sqref="AD131">
    <cfRule type="cellIs" dxfId="793" priority="972" operator="equal">
      <formula>"Catastrófico"</formula>
    </cfRule>
    <cfRule type="cellIs" dxfId="792" priority="973" operator="equal">
      <formula>"Mayor"</formula>
    </cfRule>
    <cfRule type="cellIs" dxfId="791" priority="974" operator="equal">
      <formula>"Moderado"</formula>
    </cfRule>
    <cfRule type="cellIs" dxfId="790" priority="975" operator="equal">
      <formula>"Menor"</formula>
    </cfRule>
    <cfRule type="cellIs" dxfId="789" priority="976" operator="equal">
      <formula>"Leve"</formula>
    </cfRule>
  </conditionalFormatting>
  <conditionalFormatting sqref="AF131">
    <cfRule type="cellIs" dxfId="788" priority="968" operator="equal">
      <formula>"Extremo"</formula>
    </cfRule>
    <cfRule type="cellIs" dxfId="787" priority="969" operator="equal">
      <formula>"Alto"</formula>
    </cfRule>
    <cfRule type="cellIs" dxfId="786" priority="970" operator="equal">
      <formula>"Moderado"</formula>
    </cfRule>
    <cfRule type="cellIs" dxfId="785" priority="971" operator="equal">
      <formula>"Bajo"</formula>
    </cfRule>
  </conditionalFormatting>
  <conditionalFormatting sqref="AB132">
    <cfRule type="cellIs" dxfId="784" priority="963" operator="equal">
      <formula>"Muy Alta"</formula>
    </cfRule>
    <cfRule type="cellIs" dxfId="783" priority="964" operator="equal">
      <formula>"Alta"</formula>
    </cfRule>
    <cfRule type="cellIs" dxfId="782" priority="965" operator="equal">
      <formula>"Media"</formula>
    </cfRule>
    <cfRule type="cellIs" dxfId="781" priority="966" operator="equal">
      <formula>"Baja"</formula>
    </cfRule>
    <cfRule type="cellIs" dxfId="780" priority="967" operator="equal">
      <formula>"Muy Baja"</formula>
    </cfRule>
  </conditionalFormatting>
  <conditionalFormatting sqref="AD132">
    <cfRule type="cellIs" dxfId="779" priority="958" operator="equal">
      <formula>"Catastrófico"</formula>
    </cfRule>
    <cfRule type="cellIs" dxfId="778" priority="959" operator="equal">
      <formula>"Mayor"</formula>
    </cfRule>
    <cfRule type="cellIs" dxfId="777" priority="960" operator="equal">
      <formula>"Moderado"</formula>
    </cfRule>
    <cfRule type="cellIs" dxfId="776" priority="961" operator="equal">
      <formula>"Menor"</formula>
    </cfRule>
    <cfRule type="cellIs" dxfId="775" priority="962" operator="equal">
      <formula>"Leve"</formula>
    </cfRule>
  </conditionalFormatting>
  <conditionalFormatting sqref="AF132">
    <cfRule type="cellIs" dxfId="774" priority="954" operator="equal">
      <formula>"Extremo"</formula>
    </cfRule>
    <cfRule type="cellIs" dxfId="773" priority="955" operator="equal">
      <formula>"Alto"</formula>
    </cfRule>
    <cfRule type="cellIs" dxfId="772" priority="956" operator="equal">
      <formula>"Moderado"</formula>
    </cfRule>
    <cfRule type="cellIs" dxfId="771" priority="957" operator="equal">
      <formula>"Bajo"</formula>
    </cfRule>
  </conditionalFormatting>
  <conditionalFormatting sqref="K130">
    <cfRule type="cellIs" dxfId="770" priority="949" operator="equal">
      <formula>"Muy Alta"</formula>
    </cfRule>
    <cfRule type="cellIs" dxfId="769" priority="950" operator="equal">
      <formula>"Alta"</formula>
    </cfRule>
    <cfRule type="cellIs" dxfId="768" priority="951" operator="equal">
      <formula>"Media"</formula>
    </cfRule>
    <cfRule type="cellIs" dxfId="767" priority="952" operator="equal">
      <formula>"Baja"</formula>
    </cfRule>
    <cfRule type="cellIs" dxfId="766" priority="953" operator="equal">
      <formula>"Muy Baja"</formula>
    </cfRule>
  </conditionalFormatting>
  <conditionalFormatting sqref="O130">
    <cfRule type="cellIs" dxfId="765" priority="944" operator="equal">
      <formula>"Catastrófico"</formula>
    </cfRule>
    <cfRule type="cellIs" dxfId="764" priority="945" operator="equal">
      <formula>"Mayor"</formula>
    </cfRule>
    <cfRule type="cellIs" dxfId="763" priority="946" operator="equal">
      <formula>"Moderado"</formula>
    </cfRule>
    <cfRule type="cellIs" dxfId="762" priority="947" operator="equal">
      <formula>"Menor"</formula>
    </cfRule>
    <cfRule type="cellIs" dxfId="761" priority="948" operator="equal">
      <formula>"Leve"</formula>
    </cfRule>
  </conditionalFormatting>
  <conditionalFormatting sqref="Q130">
    <cfRule type="cellIs" dxfId="760" priority="940" operator="equal">
      <formula>"Extremo"</formula>
    </cfRule>
    <cfRule type="cellIs" dxfId="759" priority="941" operator="equal">
      <formula>"Alto"</formula>
    </cfRule>
    <cfRule type="cellIs" dxfId="758" priority="942" operator="equal">
      <formula>"Moderado"</formula>
    </cfRule>
    <cfRule type="cellIs" dxfId="757" priority="943" operator="equal">
      <formula>"Bajo"</formula>
    </cfRule>
  </conditionalFormatting>
  <conditionalFormatting sqref="N130:N132">
    <cfRule type="containsText" dxfId="756" priority="939" operator="containsText" text="❌">
      <formula>NOT(ISERROR(SEARCH("❌",N130)))</formula>
    </cfRule>
  </conditionalFormatting>
  <conditionalFormatting sqref="AB130:AB132">
    <cfRule type="cellIs" dxfId="755" priority="934" operator="equal">
      <formula>"Muy Alta"</formula>
    </cfRule>
    <cfRule type="cellIs" dxfId="754" priority="935" operator="equal">
      <formula>"Alta"</formula>
    </cfRule>
    <cfRule type="cellIs" dxfId="753" priority="936" operator="equal">
      <formula>"Media"</formula>
    </cfRule>
    <cfRule type="cellIs" dxfId="752" priority="937" operator="equal">
      <formula>"Baja"</formula>
    </cfRule>
    <cfRule type="cellIs" dxfId="751" priority="938" operator="equal">
      <formula>"Muy Baja"</formula>
    </cfRule>
  </conditionalFormatting>
  <conditionalFormatting sqref="AD130:AD132">
    <cfRule type="cellIs" dxfId="750" priority="929" operator="equal">
      <formula>"Catastrófico"</formula>
    </cfRule>
    <cfRule type="cellIs" dxfId="749" priority="930" operator="equal">
      <formula>"Mayor"</formula>
    </cfRule>
    <cfRule type="cellIs" dxfId="748" priority="931" operator="equal">
      <formula>"Moderado"</formula>
    </cfRule>
    <cfRule type="cellIs" dxfId="747" priority="932" operator="equal">
      <formula>"Menor"</formula>
    </cfRule>
    <cfRule type="cellIs" dxfId="746" priority="933" operator="equal">
      <formula>"Leve"</formula>
    </cfRule>
  </conditionalFormatting>
  <conditionalFormatting sqref="AF130:AF132">
    <cfRule type="cellIs" dxfId="745" priority="925" operator="equal">
      <formula>"Extremo"</formula>
    </cfRule>
    <cfRule type="cellIs" dxfId="744" priority="926" operator="equal">
      <formula>"Alto"</formula>
    </cfRule>
    <cfRule type="cellIs" dxfId="743" priority="927" operator="equal">
      <formula>"Moderado"</formula>
    </cfRule>
    <cfRule type="cellIs" dxfId="742" priority="928" operator="equal">
      <formula>"Bajo"</formula>
    </cfRule>
  </conditionalFormatting>
  <conditionalFormatting sqref="N130:N132">
    <cfRule type="containsText" dxfId="741" priority="924" operator="containsText" text="❌">
      <formula>NOT(ISERROR(SEARCH("❌",N130)))</formula>
    </cfRule>
  </conditionalFormatting>
  <conditionalFormatting sqref="AB133">
    <cfRule type="cellIs" dxfId="740" priority="919" operator="equal">
      <formula>"Muy Alta"</formula>
    </cfRule>
    <cfRule type="cellIs" dxfId="739" priority="920" operator="equal">
      <formula>"Alta"</formula>
    </cfRule>
    <cfRule type="cellIs" dxfId="738" priority="921" operator="equal">
      <formula>"Media"</formula>
    </cfRule>
    <cfRule type="cellIs" dxfId="737" priority="922" operator="equal">
      <formula>"Baja"</formula>
    </cfRule>
    <cfRule type="cellIs" dxfId="736" priority="923" operator="equal">
      <formula>"Muy Baja"</formula>
    </cfRule>
  </conditionalFormatting>
  <conditionalFormatting sqref="AD133">
    <cfRule type="cellIs" dxfId="735" priority="914" operator="equal">
      <formula>"Catastrófico"</formula>
    </cfRule>
    <cfRule type="cellIs" dxfId="734" priority="915" operator="equal">
      <formula>"Mayor"</formula>
    </cfRule>
    <cfRule type="cellIs" dxfId="733" priority="916" operator="equal">
      <formula>"Moderado"</formula>
    </cfRule>
    <cfRule type="cellIs" dxfId="732" priority="917" operator="equal">
      <formula>"Menor"</formula>
    </cfRule>
    <cfRule type="cellIs" dxfId="731" priority="918" operator="equal">
      <formula>"Leve"</formula>
    </cfRule>
  </conditionalFormatting>
  <conditionalFormatting sqref="AF133">
    <cfRule type="cellIs" dxfId="730" priority="910" operator="equal">
      <formula>"Extremo"</formula>
    </cfRule>
    <cfRule type="cellIs" dxfId="729" priority="911" operator="equal">
      <formula>"Alto"</formula>
    </cfRule>
    <cfRule type="cellIs" dxfId="728" priority="912" operator="equal">
      <formula>"Moderado"</formula>
    </cfRule>
    <cfRule type="cellIs" dxfId="727" priority="913" operator="equal">
      <formula>"Bajo"</formula>
    </cfRule>
  </conditionalFormatting>
  <conditionalFormatting sqref="AB134">
    <cfRule type="cellIs" dxfId="726" priority="905" operator="equal">
      <formula>"Muy Alta"</formula>
    </cfRule>
    <cfRule type="cellIs" dxfId="725" priority="906" operator="equal">
      <formula>"Alta"</formula>
    </cfRule>
    <cfRule type="cellIs" dxfId="724" priority="907" operator="equal">
      <formula>"Media"</formula>
    </cfRule>
    <cfRule type="cellIs" dxfId="723" priority="908" operator="equal">
      <formula>"Baja"</formula>
    </cfRule>
    <cfRule type="cellIs" dxfId="722" priority="909" operator="equal">
      <formula>"Muy Baja"</formula>
    </cfRule>
  </conditionalFormatting>
  <conditionalFormatting sqref="AD134">
    <cfRule type="cellIs" dxfId="721" priority="900" operator="equal">
      <formula>"Catastrófico"</formula>
    </cfRule>
    <cfRule type="cellIs" dxfId="720" priority="901" operator="equal">
      <formula>"Mayor"</formula>
    </cfRule>
    <cfRule type="cellIs" dxfId="719" priority="902" operator="equal">
      <formula>"Moderado"</formula>
    </cfRule>
    <cfRule type="cellIs" dxfId="718" priority="903" operator="equal">
      <formula>"Menor"</formula>
    </cfRule>
    <cfRule type="cellIs" dxfId="717" priority="904" operator="equal">
      <formula>"Leve"</formula>
    </cfRule>
  </conditionalFormatting>
  <conditionalFormatting sqref="AF134">
    <cfRule type="cellIs" dxfId="716" priority="896" operator="equal">
      <formula>"Extremo"</formula>
    </cfRule>
    <cfRule type="cellIs" dxfId="715" priority="897" operator="equal">
      <formula>"Alto"</formula>
    </cfRule>
    <cfRule type="cellIs" dxfId="714" priority="898" operator="equal">
      <formula>"Moderado"</formula>
    </cfRule>
    <cfRule type="cellIs" dxfId="713" priority="899" operator="equal">
      <formula>"Bajo"</formula>
    </cfRule>
  </conditionalFormatting>
  <conditionalFormatting sqref="AB135">
    <cfRule type="cellIs" dxfId="712" priority="891" operator="equal">
      <formula>"Muy Alta"</formula>
    </cfRule>
    <cfRule type="cellIs" dxfId="711" priority="892" operator="equal">
      <formula>"Alta"</formula>
    </cfRule>
    <cfRule type="cellIs" dxfId="710" priority="893" operator="equal">
      <formula>"Media"</formula>
    </cfRule>
    <cfRule type="cellIs" dxfId="709" priority="894" operator="equal">
      <formula>"Baja"</formula>
    </cfRule>
    <cfRule type="cellIs" dxfId="708" priority="895" operator="equal">
      <formula>"Muy Baja"</formula>
    </cfRule>
  </conditionalFormatting>
  <conditionalFormatting sqref="AD135">
    <cfRule type="cellIs" dxfId="707" priority="886" operator="equal">
      <formula>"Catastrófico"</formula>
    </cfRule>
    <cfRule type="cellIs" dxfId="706" priority="887" operator="equal">
      <formula>"Mayor"</formula>
    </cfRule>
    <cfRule type="cellIs" dxfId="705" priority="888" operator="equal">
      <formula>"Moderado"</formula>
    </cfRule>
    <cfRule type="cellIs" dxfId="704" priority="889" operator="equal">
      <formula>"Menor"</formula>
    </cfRule>
    <cfRule type="cellIs" dxfId="703" priority="890" operator="equal">
      <formula>"Leve"</formula>
    </cfRule>
  </conditionalFormatting>
  <conditionalFormatting sqref="AF135">
    <cfRule type="cellIs" dxfId="702" priority="882" operator="equal">
      <formula>"Extremo"</formula>
    </cfRule>
    <cfRule type="cellIs" dxfId="701" priority="883" operator="equal">
      <formula>"Alto"</formula>
    </cfRule>
    <cfRule type="cellIs" dxfId="700" priority="884" operator="equal">
      <formula>"Moderado"</formula>
    </cfRule>
    <cfRule type="cellIs" dxfId="699" priority="885" operator="equal">
      <formula>"Bajo"</formula>
    </cfRule>
  </conditionalFormatting>
  <conditionalFormatting sqref="K133">
    <cfRule type="cellIs" dxfId="698" priority="877" operator="equal">
      <formula>"Muy Alta"</formula>
    </cfRule>
    <cfRule type="cellIs" dxfId="697" priority="878" operator="equal">
      <formula>"Alta"</formula>
    </cfRule>
    <cfRule type="cellIs" dxfId="696" priority="879" operator="equal">
      <formula>"Media"</formula>
    </cfRule>
    <cfRule type="cellIs" dxfId="695" priority="880" operator="equal">
      <formula>"Baja"</formula>
    </cfRule>
    <cfRule type="cellIs" dxfId="694" priority="881" operator="equal">
      <formula>"Muy Baja"</formula>
    </cfRule>
  </conditionalFormatting>
  <conditionalFormatting sqref="O133">
    <cfRule type="cellIs" dxfId="693" priority="872" operator="equal">
      <formula>"Catastrófico"</formula>
    </cfRule>
    <cfRule type="cellIs" dxfId="692" priority="873" operator="equal">
      <formula>"Mayor"</formula>
    </cfRule>
    <cfRule type="cellIs" dxfId="691" priority="874" operator="equal">
      <formula>"Moderado"</formula>
    </cfRule>
    <cfRule type="cellIs" dxfId="690" priority="875" operator="equal">
      <formula>"Menor"</formula>
    </cfRule>
    <cfRule type="cellIs" dxfId="689" priority="876" operator="equal">
      <formula>"Leve"</formula>
    </cfRule>
  </conditionalFormatting>
  <conditionalFormatting sqref="Q133">
    <cfRule type="cellIs" dxfId="688" priority="868" operator="equal">
      <formula>"Extremo"</formula>
    </cfRule>
    <cfRule type="cellIs" dxfId="687" priority="869" operator="equal">
      <formula>"Alto"</formula>
    </cfRule>
    <cfRule type="cellIs" dxfId="686" priority="870" operator="equal">
      <formula>"Moderado"</formula>
    </cfRule>
    <cfRule type="cellIs" dxfId="685" priority="871" operator="equal">
      <formula>"Bajo"</formula>
    </cfRule>
  </conditionalFormatting>
  <conditionalFormatting sqref="N133:N135">
    <cfRule type="containsText" dxfId="684" priority="867" operator="containsText" text="❌">
      <formula>NOT(ISERROR(SEARCH("❌",N133)))</formula>
    </cfRule>
  </conditionalFormatting>
  <conditionalFormatting sqref="AB133:AB135">
    <cfRule type="cellIs" dxfId="683" priority="862" operator="equal">
      <formula>"Muy Alta"</formula>
    </cfRule>
    <cfRule type="cellIs" dxfId="682" priority="863" operator="equal">
      <formula>"Alta"</formula>
    </cfRule>
    <cfRule type="cellIs" dxfId="681" priority="864" operator="equal">
      <formula>"Media"</formula>
    </cfRule>
    <cfRule type="cellIs" dxfId="680" priority="865" operator="equal">
      <formula>"Baja"</formula>
    </cfRule>
    <cfRule type="cellIs" dxfId="679" priority="866" operator="equal">
      <formula>"Muy Baja"</formula>
    </cfRule>
  </conditionalFormatting>
  <conditionalFormatting sqref="AD133:AD135">
    <cfRule type="cellIs" dxfId="678" priority="857" operator="equal">
      <formula>"Catastrófico"</formula>
    </cfRule>
    <cfRule type="cellIs" dxfId="677" priority="858" operator="equal">
      <formula>"Mayor"</formula>
    </cfRule>
    <cfRule type="cellIs" dxfId="676" priority="859" operator="equal">
      <formula>"Moderado"</formula>
    </cfRule>
    <cfRule type="cellIs" dxfId="675" priority="860" operator="equal">
      <formula>"Menor"</formula>
    </cfRule>
    <cfRule type="cellIs" dxfId="674" priority="861" operator="equal">
      <formula>"Leve"</formula>
    </cfRule>
  </conditionalFormatting>
  <conditionalFormatting sqref="AF133:AF135">
    <cfRule type="cellIs" dxfId="673" priority="853" operator="equal">
      <formula>"Extremo"</formula>
    </cfRule>
    <cfRule type="cellIs" dxfId="672" priority="854" operator="equal">
      <formula>"Alto"</formula>
    </cfRule>
    <cfRule type="cellIs" dxfId="671" priority="855" operator="equal">
      <formula>"Moderado"</formula>
    </cfRule>
    <cfRule type="cellIs" dxfId="670" priority="856" operator="equal">
      <formula>"Bajo"</formula>
    </cfRule>
  </conditionalFormatting>
  <conditionalFormatting sqref="N133:N135">
    <cfRule type="containsText" dxfId="669" priority="852" operator="containsText" text="❌">
      <formula>NOT(ISERROR(SEARCH("❌",N133)))</formula>
    </cfRule>
  </conditionalFormatting>
  <conditionalFormatting sqref="AB136">
    <cfRule type="cellIs" dxfId="668" priority="847" operator="equal">
      <formula>"Muy Alta"</formula>
    </cfRule>
    <cfRule type="cellIs" dxfId="667" priority="848" operator="equal">
      <formula>"Alta"</formula>
    </cfRule>
    <cfRule type="cellIs" dxfId="666" priority="849" operator="equal">
      <formula>"Media"</formula>
    </cfRule>
    <cfRule type="cellIs" dxfId="665" priority="850" operator="equal">
      <formula>"Baja"</formula>
    </cfRule>
    <cfRule type="cellIs" dxfId="664" priority="851" operator="equal">
      <formula>"Muy Baja"</formula>
    </cfRule>
  </conditionalFormatting>
  <conditionalFormatting sqref="AD136">
    <cfRule type="cellIs" dxfId="663" priority="842" operator="equal">
      <formula>"Catastrófico"</formula>
    </cfRule>
    <cfRule type="cellIs" dxfId="662" priority="843" operator="equal">
      <formula>"Mayor"</formula>
    </cfRule>
    <cfRule type="cellIs" dxfId="661" priority="844" operator="equal">
      <formula>"Moderado"</formula>
    </cfRule>
    <cfRule type="cellIs" dxfId="660" priority="845" operator="equal">
      <formula>"Menor"</formula>
    </cfRule>
    <cfRule type="cellIs" dxfId="659" priority="846" operator="equal">
      <formula>"Leve"</formula>
    </cfRule>
  </conditionalFormatting>
  <conditionalFormatting sqref="AF136">
    <cfRule type="cellIs" dxfId="658" priority="838" operator="equal">
      <formula>"Extremo"</formula>
    </cfRule>
    <cfRule type="cellIs" dxfId="657" priority="839" operator="equal">
      <formula>"Alto"</formula>
    </cfRule>
    <cfRule type="cellIs" dxfId="656" priority="840" operator="equal">
      <formula>"Moderado"</formula>
    </cfRule>
    <cfRule type="cellIs" dxfId="655" priority="841" operator="equal">
      <formula>"Bajo"</formula>
    </cfRule>
  </conditionalFormatting>
  <conditionalFormatting sqref="AB137">
    <cfRule type="cellIs" dxfId="654" priority="833" operator="equal">
      <formula>"Muy Alta"</formula>
    </cfRule>
    <cfRule type="cellIs" dxfId="653" priority="834" operator="equal">
      <formula>"Alta"</formula>
    </cfRule>
    <cfRule type="cellIs" dxfId="652" priority="835" operator="equal">
      <formula>"Media"</formula>
    </cfRule>
    <cfRule type="cellIs" dxfId="651" priority="836" operator="equal">
      <formula>"Baja"</formula>
    </cfRule>
    <cfRule type="cellIs" dxfId="650" priority="837" operator="equal">
      <formula>"Muy Baja"</formula>
    </cfRule>
  </conditionalFormatting>
  <conditionalFormatting sqref="AD137">
    <cfRule type="cellIs" dxfId="649" priority="828" operator="equal">
      <formula>"Catastrófico"</formula>
    </cfRule>
    <cfRule type="cellIs" dxfId="648" priority="829" operator="equal">
      <formula>"Mayor"</formula>
    </cfRule>
    <cfRule type="cellIs" dxfId="647" priority="830" operator="equal">
      <formula>"Moderado"</formula>
    </cfRule>
    <cfRule type="cellIs" dxfId="646" priority="831" operator="equal">
      <formula>"Menor"</formula>
    </cfRule>
    <cfRule type="cellIs" dxfId="645" priority="832" operator="equal">
      <formula>"Leve"</formula>
    </cfRule>
  </conditionalFormatting>
  <conditionalFormatting sqref="AF137">
    <cfRule type="cellIs" dxfId="644" priority="824" operator="equal">
      <formula>"Extremo"</formula>
    </cfRule>
    <cfRule type="cellIs" dxfId="643" priority="825" operator="equal">
      <formula>"Alto"</formula>
    </cfRule>
    <cfRule type="cellIs" dxfId="642" priority="826" operator="equal">
      <formula>"Moderado"</formula>
    </cfRule>
    <cfRule type="cellIs" dxfId="641" priority="827" operator="equal">
      <formula>"Bajo"</formula>
    </cfRule>
  </conditionalFormatting>
  <conditionalFormatting sqref="AB138">
    <cfRule type="cellIs" dxfId="640" priority="819" operator="equal">
      <formula>"Muy Alta"</formula>
    </cfRule>
    <cfRule type="cellIs" dxfId="639" priority="820" operator="equal">
      <formula>"Alta"</formula>
    </cfRule>
    <cfRule type="cellIs" dxfId="638" priority="821" operator="equal">
      <formula>"Media"</formula>
    </cfRule>
    <cfRule type="cellIs" dxfId="637" priority="822" operator="equal">
      <formula>"Baja"</formula>
    </cfRule>
    <cfRule type="cellIs" dxfId="636" priority="823" operator="equal">
      <formula>"Muy Baja"</formula>
    </cfRule>
  </conditionalFormatting>
  <conditionalFormatting sqref="AD138">
    <cfRule type="cellIs" dxfId="635" priority="814" operator="equal">
      <formula>"Catastrófico"</formula>
    </cfRule>
    <cfRule type="cellIs" dxfId="634" priority="815" operator="equal">
      <formula>"Mayor"</formula>
    </cfRule>
    <cfRule type="cellIs" dxfId="633" priority="816" operator="equal">
      <formula>"Moderado"</formula>
    </cfRule>
    <cfRule type="cellIs" dxfId="632" priority="817" operator="equal">
      <formula>"Menor"</formula>
    </cfRule>
    <cfRule type="cellIs" dxfId="631" priority="818" operator="equal">
      <formula>"Leve"</formula>
    </cfRule>
  </conditionalFormatting>
  <conditionalFormatting sqref="AF138">
    <cfRule type="cellIs" dxfId="630" priority="810" operator="equal">
      <formula>"Extremo"</formula>
    </cfRule>
    <cfRule type="cellIs" dxfId="629" priority="811" operator="equal">
      <formula>"Alto"</formula>
    </cfRule>
    <cfRule type="cellIs" dxfId="628" priority="812" operator="equal">
      <formula>"Moderado"</formula>
    </cfRule>
    <cfRule type="cellIs" dxfId="627" priority="813" operator="equal">
      <formula>"Bajo"</formula>
    </cfRule>
  </conditionalFormatting>
  <conditionalFormatting sqref="K136">
    <cfRule type="cellIs" dxfId="626" priority="805" operator="equal">
      <formula>"Muy Alta"</formula>
    </cfRule>
    <cfRule type="cellIs" dxfId="625" priority="806" operator="equal">
      <formula>"Alta"</formula>
    </cfRule>
    <cfRule type="cellIs" dxfId="624" priority="807" operator="equal">
      <formula>"Media"</formula>
    </cfRule>
    <cfRule type="cellIs" dxfId="623" priority="808" operator="equal">
      <formula>"Baja"</formula>
    </cfRule>
    <cfRule type="cellIs" dxfId="622" priority="809" operator="equal">
      <formula>"Muy Baja"</formula>
    </cfRule>
  </conditionalFormatting>
  <conditionalFormatting sqref="O136">
    <cfRule type="cellIs" dxfId="621" priority="800" operator="equal">
      <formula>"Catastrófico"</formula>
    </cfRule>
    <cfRule type="cellIs" dxfId="620" priority="801" operator="equal">
      <formula>"Mayor"</formula>
    </cfRule>
    <cfRule type="cellIs" dxfId="619" priority="802" operator="equal">
      <formula>"Moderado"</formula>
    </cfRule>
    <cfRule type="cellIs" dxfId="618" priority="803" operator="equal">
      <formula>"Menor"</formula>
    </cfRule>
    <cfRule type="cellIs" dxfId="617" priority="804" operator="equal">
      <formula>"Leve"</formula>
    </cfRule>
  </conditionalFormatting>
  <conditionalFormatting sqref="Q136">
    <cfRule type="cellIs" dxfId="616" priority="796" operator="equal">
      <formula>"Extremo"</formula>
    </cfRule>
    <cfRule type="cellIs" dxfId="615" priority="797" operator="equal">
      <formula>"Alto"</formula>
    </cfRule>
    <cfRule type="cellIs" dxfId="614" priority="798" operator="equal">
      <formula>"Moderado"</formula>
    </cfRule>
    <cfRule type="cellIs" dxfId="613" priority="799" operator="equal">
      <formula>"Bajo"</formula>
    </cfRule>
  </conditionalFormatting>
  <conditionalFormatting sqref="N136:N138">
    <cfRule type="containsText" dxfId="612" priority="795" operator="containsText" text="❌">
      <formula>NOT(ISERROR(SEARCH("❌",N136)))</formula>
    </cfRule>
  </conditionalFormatting>
  <conditionalFormatting sqref="AB136:AB138">
    <cfRule type="cellIs" dxfId="611" priority="790" operator="equal">
      <formula>"Muy Alta"</formula>
    </cfRule>
    <cfRule type="cellIs" dxfId="610" priority="791" operator="equal">
      <formula>"Alta"</formula>
    </cfRule>
    <cfRule type="cellIs" dxfId="609" priority="792" operator="equal">
      <formula>"Media"</formula>
    </cfRule>
    <cfRule type="cellIs" dxfId="608" priority="793" operator="equal">
      <formula>"Baja"</formula>
    </cfRule>
    <cfRule type="cellIs" dxfId="607" priority="794" operator="equal">
      <formula>"Muy Baja"</formula>
    </cfRule>
  </conditionalFormatting>
  <conditionalFormatting sqref="AD136:AD138">
    <cfRule type="cellIs" dxfId="606" priority="785" operator="equal">
      <formula>"Catastrófico"</formula>
    </cfRule>
    <cfRule type="cellIs" dxfId="605" priority="786" operator="equal">
      <formula>"Mayor"</formula>
    </cfRule>
    <cfRule type="cellIs" dxfId="604" priority="787" operator="equal">
      <formula>"Moderado"</formula>
    </cfRule>
    <cfRule type="cellIs" dxfId="603" priority="788" operator="equal">
      <formula>"Menor"</formula>
    </cfRule>
    <cfRule type="cellIs" dxfId="602" priority="789" operator="equal">
      <formula>"Leve"</formula>
    </cfRule>
  </conditionalFormatting>
  <conditionalFormatting sqref="AF136:AF138">
    <cfRule type="cellIs" dxfId="601" priority="781" operator="equal">
      <formula>"Extremo"</formula>
    </cfRule>
    <cfRule type="cellIs" dxfId="600" priority="782" operator="equal">
      <formula>"Alto"</formula>
    </cfRule>
    <cfRule type="cellIs" dxfId="599" priority="783" operator="equal">
      <formula>"Moderado"</formula>
    </cfRule>
    <cfRule type="cellIs" dxfId="598" priority="784" operator="equal">
      <formula>"Bajo"</formula>
    </cfRule>
  </conditionalFormatting>
  <conditionalFormatting sqref="N136:N138">
    <cfRule type="containsText" dxfId="597" priority="780" operator="containsText" text="❌">
      <formula>NOT(ISERROR(SEARCH("❌",N136)))</formula>
    </cfRule>
  </conditionalFormatting>
  <conditionalFormatting sqref="AB139">
    <cfRule type="cellIs" dxfId="596" priority="703" operator="equal">
      <formula>"Muy Alta"</formula>
    </cfRule>
    <cfRule type="cellIs" dxfId="595" priority="704" operator="equal">
      <formula>"Alta"</formula>
    </cfRule>
    <cfRule type="cellIs" dxfId="594" priority="705" operator="equal">
      <formula>"Media"</formula>
    </cfRule>
    <cfRule type="cellIs" dxfId="593" priority="706" operator="equal">
      <formula>"Baja"</formula>
    </cfRule>
    <cfRule type="cellIs" dxfId="592" priority="707" operator="equal">
      <formula>"Muy Baja"</formula>
    </cfRule>
  </conditionalFormatting>
  <conditionalFormatting sqref="AD139">
    <cfRule type="cellIs" dxfId="591" priority="698" operator="equal">
      <formula>"Catastrófico"</formula>
    </cfRule>
    <cfRule type="cellIs" dxfId="590" priority="699" operator="equal">
      <formula>"Mayor"</formula>
    </cfRule>
    <cfRule type="cellIs" dxfId="589" priority="700" operator="equal">
      <formula>"Moderado"</formula>
    </cfRule>
    <cfRule type="cellIs" dxfId="588" priority="701" operator="equal">
      <formula>"Menor"</formula>
    </cfRule>
    <cfRule type="cellIs" dxfId="587" priority="702" operator="equal">
      <formula>"Leve"</formula>
    </cfRule>
  </conditionalFormatting>
  <conditionalFormatting sqref="AF139">
    <cfRule type="cellIs" dxfId="586" priority="694" operator="equal">
      <formula>"Extremo"</formula>
    </cfRule>
    <cfRule type="cellIs" dxfId="585" priority="695" operator="equal">
      <formula>"Alto"</formula>
    </cfRule>
    <cfRule type="cellIs" dxfId="584" priority="696" operator="equal">
      <formula>"Moderado"</formula>
    </cfRule>
    <cfRule type="cellIs" dxfId="583" priority="697" operator="equal">
      <formula>"Bajo"</formula>
    </cfRule>
  </conditionalFormatting>
  <conditionalFormatting sqref="AB140">
    <cfRule type="cellIs" dxfId="582" priority="689" operator="equal">
      <formula>"Muy Alta"</formula>
    </cfRule>
    <cfRule type="cellIs" dxfId="581" priority="690" operator="equal">
      <formula>"Alta"</formula>
    </cfRule>
    <cfRule type="cellIs" dxfId="580" priority="691" operator="equal">
      <formula>"Media"</formula>
    </cfRule>
    <cfRule type="cellIs" dxfId="579" priority="692" operator="equal">
      <formula>"Baja"</formula>
    </cfRule>
    <cfRule type="cellIs" dxfId="578" priority="693" operator="equal">
      <formula>"Muy Baja"</formula>
    </cfRule>
  </conditionalFormatting>
  <conditionalFormatting sqref="AD140">
    <cfRule type="cellIs" dxfId="577" priority="684" operator="equal">
      <formula>"Catastrófico"</formula>
    </cfRule>
    <cfRule type="cellIs" dxfId="576" priority="685" operator="equal">
      <formula>"Mayor"</formula>
    </cfRule>
    <cfRule type="cellIs" dxfId="575" priority="686" operator="equal">
      <formula>"Moderado"</formula>
    </cfRule>
    <cfRule type="cellIs" dxfId="574" priority="687" operator="equal">
      <formula>"Menor"</formula>
    </cfRule>
    <cfRule type="cellIs" dxfId="573" priority="688" operator="equal">
      <formula>"Leve"</formula>
    </cfRule>
  </conditionalFormatting>
  <conditionalFormatting sqref="AF140">
    <cfRule type="cellIs" dxfId="572" priority="680" operator="equal">
      <formula>"Extremo"</formula>
    </cfRule>
    <cfRule type="cellIs" dxfId="571" priority="681" operator="equal">
      <formula>"Alto"</formula>
    </cfRule>
    <cfRule type="cellIs" dxfId="570" priority="682" operator="equal">
      <formula>"Moderado"</formula>
    </cfRule>
    <cfRule type="cellIs" dxfId="569" priority="683" operator="equal">
      <formula>"Bajo"</formula>
    </cfRule>
  </conditionalFormatting>
  <conditionalFormatting sqref="AB141">
    <cfRule type="cellIs" dxfId="568" priority="675" operator="equal">
      <formula>"Muy Alta"</formula>
    </cfRule>
    <cfRule type="cellIs" dxfId="567" priority="676" operator="equal">
      <formula>"Alta"</formula>
    </cfRule>
    <cfRule type="cellIs" dxfId="566" priority="677" operator="equal">
      <formula>"Media"</formula>
    </cfRule>
    <cfRule type="cellIs" dxfId="565" priority="678" operator="equal">
      <formula>"Baja"</formula>
    </cfRule>
    <cfRule type="cellIs" dxfId="564" priority="679" operator="equal">
      <formula>"Muy Baja"</formula>
    </cfRule>
  </conditionalFormatting>
  <conditionalFormatting sqref="AD141">
    <cfRule type="cellIs" dxfId="563" priority="670" operator="equal">
      <formula>"Catastrófico"</formula>
    </cfRule>
    <cfRule type="cellIs" dxfId="562" priority="671" operator="equal">
      <formula>"Mayor"</formula>
    </cfRule>
    <cfRule type="cellIs" dxfId="561" priority="672" operator="equal">
      <formula>"Moderado"</formula>
    </cfRule>
    <cfRule type="cellIs" dxfId="560" priority="673" operator="equal">
      <formula>"Menor"</formula>
    </cfRule>
    <cfRule type="cellIs" dxfId="559" priority="674" operator="equal">
      <formula>"Leve"</formula>
    </cfRule>
  </conditionalFormatting>
  <conditionalFormatting sqref="AF141">
    <cfRule type="cellIs" dxfId="558" priority="666" operator="equal">
      <formula>"Extremo"</formula>
    </cfRule>
    <cfRule type="cellIs" dxfId="557" priority="667" operator="equal">
      <formula>"Alto"</formula>
    </cfRule>
    <cfRule type="cellIs" dxfId="556" priority="668" operator="equal">
      <formula>"Moderado"</formula>
    </cfRule>
    <cfRule type="cellIs" dxfId="555" priority="669" operator="equal">
      <formula>"Bajo"</formula>
    </cfRule>
  </conditionalFormatting>
  <conditionalFormatting sqref="K139">
    <cfRule type="cellIs" dxfId="554" priority="661" operator="equal">
      <formula>"Muy Alta"</formula>
    </cfRule>
    <cfRule type="cellIs" dxfId="553" priority="662" operator="equal">
      <formula>"Alta"</formula>
    </cfRule>
    <cfRule type="cellIs" dxfId="552" priority="663" operator="equal">
      <formula>"Media"</formula>
    </cfRule>
    <cfRule type="cellIs" dxfId="551" priority="664" operator="equal">
      <formula>"Baja"</formula>
    </cfRule>
    <cfRule type="cellIs" dxfId="550" priority="665" operator="equal">
      <formula>"Muy Baja"</formula>
    </cfRule>
  </conditionalFormatting>
  <conditionalFormatting sqref="O139">
    <cfRule type="cellIs" dxfId="549" priority="656" operator="equal">
      <formula>"Catastrófico"</formula>
    </cfRule>
    <cfRule type="cellIs" dxfId="548" priority="657" operator="equal">
      <formula>"Mayor"</formula>
    </cfRule>
    <cfRule type="cellIs" dxfId="547" priority="658" operator="equal">
      <formula>"Moderado"</formula>
    </cfRule>
    <cfRule type="cellIs" dxfId="546" priority="659" operator="equal">
      <formula>"Menor"</formula>
    </cfRule>
    <cfRule type="cellIs" dxfId="545" priority="660" operator="equal">
      <formula>"Leve"</formula>
    </cfRule>
  </conditionalFormatting>
  <conditionalFormatting sqref="Q139">
    <cfRule type="cellIs" dxfId="544" priority="652" operator="equal">
      <formula>"Extremo"</formula>
    </cfRule>
    <cfRule type="cellIs" dxfId="543" priority="653" operator="equal">
      <formula>"Alto"</formula>
    </cfRule>
    <cfRule type="cellIs" dxfId="542" priority="654" operator="equal">
      <formula>"Moderado"</formula>
    </cfRule>
    <cfRule type="cellIs" dxfId="541" priority="655" operator="equal">
      <formula>"Bajo"</formula>
    </cfRule>
  </conditionalFormatting>
  <conditionalFormatting sqref="N139:N141">
    <cfRule type="containsText" dxfId="540" priority="651" operator="containsText" text="❌">
      <formula>NOT(ISERROR(SEARCH("❌",N139)))</formula>
    </cfRule>
  </conditionalFormatting>
  <conditionalFormatting sqref="AB139:AB141">
    <cfRule type="cellIs" dxfId="539" priority="646" operator="equal">
      <formula>"Muy Alta"</formula>
    </cfRule>
    <cfRule type="cellIs" dxfId="538" priority="647" operator="equal">
      <formula>"Alta"</formula>
    </cfRule>
    <cfRule type="cellIs" dxfId="537" priority="648" operator="equal">
      <formula>"Media"</formula>
    </cfRule>
    <cfRule type="cellIs" dxfId="536" priority="649" operator="equal">
      <formula>"Baja"</formula>
    </cfRule>
    <cfRule type="cellIs" dxfId="535" priority="650" operator="equal">
      <formula>"Muy Baja"</formula>
    </cfRule>
  </conditionalFormatting>
  <conditionalFormatting sqref="AD139:AD141">
    <cfRule type="cellIs" dxfId="534" priority="641" operator="equal">
      <formula>"Catastrófico"</formula>
    </cfRule>
    <cfRule type="cellIs" dxfId="533" priority="642" operator="equal">
      <formula>"Mayor"</formula>
    </cfRule>
    <cfRule type="cellIs" dxfId="532" priority="643" operator="equal">
      <formula>"Moderado"</formula>
    </cfRule>
    <cfRule type="cellIs" dxfId="531" priority="644" operator="equal">
      <formula>"Menor"</formula>
    </cfRule>
    <cfRule type="cellIs" dxfId="530" priority="645" operator="equal">
      <formula>"Leve"</formula>
    </cfRule>
  </conditionalFormatting>
  <conditionalFormatting sqref="AF139:AF141">
    <cfRule type="cellIs" dxfId="529" priority="637" operator="equal">
      <formula>"Extremo"</formula>
    </cfRule>
    <cfRule type="cellIs" dxfId="528" priority="638" operator="equal">
      <formula>"Alto"</formula>
    </cfRule>
    <cfRule type="cellIs" dxfId="527" priority="639" operator="equal">
      <formula>"Moderado"</formula>
    </cfRule>
    <cfRule type="cellIs" dxfId="526" priority="640" operator="equal">
      <formula>"Bajo"</formula>
    </cfRule>
  </conditionalFormatting>
  <conditionalFormatting sqref="N139:N141">
    <cfRule type="containsText" dxfId="525" priority="636" operator="containsText" text="❌">
      <formula>NOT(ISERROR(SEARCH("❌",N139)))</formula>
    </cfRule>
  </conditionalFormatting>
  <conditionalFormatting sqref="AB142">
    <cfRule type="cellIs" dxfId="524" priority="631" operator="equal">
      <formula>"Muy Alta"</formula>
    </cfRule>
    <cfRule type="cellIs" dxfId="523" priority="632" operator="equal">
      <formula>"Alta"</formula>
    </cfRule>
    <cfRule type="cellIs" dxfId="522" priority="633" operator="equal">
      <formula>"Media"</formula>
    </cfRule>
    <cfRule type="cellIs" dxfId="521" priority="634" operator="equal">
      <formula>"Baja"</formula>
    </cfRule>
    <cfRule type="cellIs" dxfId="520" priority="635" operator="equal">
      <formula>"Muy Baja"</formula>
    </cfRule>
  </conditionalFormatting>
  <conditionalFormatting sqref="AD142">
    <cfRule type="cellIs" dxfId="519" priority="626" operator="equal">
      <formula>"Catastrófico"</formula>
    </cfRule>
    <cfRule type="cellIs" dxfId="518" priority="627" operator="equal">
      <formula>"Mayor"</formula>
    </cfRule>
    <cfRule type="cellIs" dxfId="517" priority="628" operator="equal">
      <formula>"Moderado"</formula>
    </cfRule>
    <cfRule type="cellIs" dxfId="516" priority="629" operator="equal">
      <formula>"Menor"</formula>
    </cfRule>
    <cfRule type="cellIs" dxfId="515" priority="630" operator="equal">
      <formula>"Leve"</formula>
    </cfRule>
  </conditionalFormatting>
  <conditionalFormatting sqref="AF142">
    <cfRule type="cellIs" dxfId="514" priority="622" operator="equal">
      <formula>"Extremo"</formula>
    </cfRule>
    <cfRule type="cellIs" dxfId="513" priority="623" operator="equal">
      <formula>"Alto"</formula>
    </cfRule>
    <cfRule type="cellIs" dxfId="512" priority="624" operator="equal">
      <formula>"Moderado"</formula>
    </cfRule>
    <cfRule type="cellIs" dxfId="511" priority="625" operator="equal">
      <formula>"Bajo"</formula>
    </cfRule>
  </conditionalFormatting>
  <conditionalFormatting sqref="AB143">
    <cfRule type="cellIs" dxfId="510" priority="617" operator="equal">
      <formula>"Muy Alta"</formula>
    </cfRule>
    <cfRule type="cellIs" dxfId="509" priority="618" operator="equal">
      <formula>"Alta"</formula>
    </cfRule>
    <cfRule type="cellIs" dxfId="508" priority="619" operator="equal">
      <formula>"Media"</formula>
    </cfRule>
    <cfRule type="cellIs" dxfId="507" priority="620" operator="equal">
      <formula>"Baja"</formula>
    </cfRule>
    <cfRule type="cellIs" dxfId="506" priority="621" operator="equal">
      <formula>"Muy Baja"</formula>
    </cfRule>
  </conditionalFormatting>
  <conditionalFormatting sqref="AD143">
    <cfRule type="cellIs" dxfId="505" priority="612" operator="equal">
      <formula>"Catastrófico"</formula>
    </cfRule>
    <cfRule type="cellIs" dxfId="504" priority="613" operator="equal">
      <formula>"Mayor"</formula>
    </cfRule>
    <cfRule type="cellIs" dxfId="503" priority="614" operator="equal">
      <formula>"Moderado"</formula>
    </cfRule>
    <cfRule type="cellIs" dxfId="502" priority="615" operator="equal">
      <formula>"Menor"</formula>
    </cfRule>
    <cfRule type="cellIs" dxfId="501" priority="616" operator="equal">
      <formula>"Leve"</formula>
    </cfRule>
  </conditionalFormatting>
  <conditionalFormatting sqref="AF143">
    <cfRule type="cellIs" dxfId="500" priority="608" operator="equal">
      <formula>"Extremo"</formula>
    </cfRule>
    <cfRule type="cellIs" dxfId="499" priority="609" operator="equal">
      <formula>"Alto"</formula>
    </cfRule>
    <cfRule type="cellIs" dxfId="498" priority="610" operator="equal">
      <formula>"Moderado"</formula>
    </cfRule>
    <cfRule type="cellIs" dxfId="497" priority="611" operator="equal">
      <formula>"Bajo"</formula>
    </cfRule>
  </conditionalFormatting>
  <conditionalFormatting sqref="AB144">
    <cfRule type="cellIs" dxfId="496" priority="603" operator="equal">
      <formula>"Muy Alta"</formula>
    </cfRule>
    <cfRule type="cellIs" dxfId="495" priority="604" operator="equal">
      <formula>"Alta"</formula>
    </cfRule>
    <cfRule type="cellIs" dxfId="494" priority="605" operator="equal">
      <formula>"Media"</formula>
    </cfRule>
    <cfRule type="cellIs" dxfId="493" priority="606" operator="equal">
      <formula>"Baja"</formula>
    </cfRule>
    <cfRule type="cellIs" dxfId="492" priority="607" operator="equal">
      <formula>"Muy Baja"</formula>
    </cfRule>
  </conditionalFormatting>
  <conditionalFormatting sqref="AD144">
    <cfRule type="cellIs" dxfId="491" priority="598" operator="equal">
      <formula>"Catastrófico"</formula>
    </cfRule>
    <cfRule type="cellIs" dxfId="490" priority="599" operator="equal">
      <formula>"Mayor"</formula>
    </cfRule>
    <cfRule type="cellIs" dxfId="489" priority="600" operator="equal">
      <formula>"Moderado"</formula>
    </cfRule>
    <cfRule type="cellIs" dxfId="488" priority="601" operator="equal">
      <formula>"Menor"</formula>
    </cfRule>
    <cfRule type="cellIs" dxfId="487" priority="602" operator="equal">
      <formula>"Leve"</formula>
    </cfRule>
  </conditionalFormatting>
  <conditionalFormatting sqref="AF144">
    <cfRule type="cellIs" dxfId="486" priority="594" operator="equal">
      <formula>"Extremo"</formula>
    </cfRule>
    <cfRule type="cellIs" dxfId="485" priority="595" operator="equal">
      <formula>"Alto"</formula>
    </cfRule>
    <cfRule type="cellIs" dxfId="484" priority="596" operator="equal">
      <formula>"Moderado"</formula>
    </cfRule>
    <cfRule type="cellIs" dxfId="483" priority="597" operator="equal">
      <formula>"Bajo"</formula>
    </cfRule>
  </conditionalFormatting>
  <conditionalFormatting sqref="K142">
    <cfRule type="cellIs" dxfId="482" priority="589" operator="equal">
      <formula>"Muy Alta"</formula>
    </cfRule>
    <cfRule type="cellIs" dxfId="481" priority="590" operator="equal">
      <formula>"Alta"</formula>
    </cfRule>
    <cfRule type="cellIs" dxfId="480" priority="591" operator="equal">
      <formula>"Media"</formula>
    </cfRule>
    <cfRule type="cellIs" dxfId="479" priority="592" operator="equal">
      <formula>"Baja"</formula>
    </cfRule>
    <cfRule type="cellIs" dxfId="478" priority="593" operator="equal">
      <formula>"Muy Baja"</formula>
    </cfRule>
  </conditionalFormatting>
  <conditionalFormatting sqref="O142">
    <cfRule type="cellIs" dxfId="477" priority="584" operator="equal">
      <formula>"Catastrófico"</formula>
    </cfRule>
    <cfRule type="cellIs" dxfId="476" priority="585" operator="equal">
      <formula>"Mayor"</formula>
    </cfRule>
    <cfRule type="cellIs" dxfId="475" priority="586" operator="equal">
      <formula>"Moderado"</formula>
    </cfRule>
    <cfRule type="cellIs" dxfId="474" priority="587" operator="equal">
      <formula>"Menor"</formula>
    </cfRule>
    <cfRule type="cellIs" dxfId="473" priority="588" operator="equal">
      <formula>"Leve"</formula>
    </cfRule>
  </conditionalFormatting>
  <conditionalFormatting sqref="Q142">
    <cfRule type="cellIs" dxfId="472" priority="580" operator="equal">
      <formula>"Extremo"</formula>
    </cfRule>
    <cfRule type="cellIs" dxfId="471" priority="581" operator="equal">
      <formula>"Alto"</formula>
    </cfRule>
    <cfRule type="cellIs" dxfId="470" priority="582" operator="equal">
      <formula>"Moderado"</formula>
    </cfRule>
    <cfRule type="cellIs" dxfId="469" priority="583" operator="equal">
      <formula>"Bajo"</formula>
    </cfRule>
  </conditionalFormatting>
  <conditionalFormatting sqref="N142:N144">
    <cfRule type="containsText" dxfId="468" priority="579" operator="containsText" text="❌">
      <formula>NOT(ISERROR(SEARCH("❌",N142)))</formula>
    </cfRule>
  </conditionalFormatting>
  <conditionalFormatting sqref="AB142:AB144">
    <cfRule type="cellIs" dxfId="467" priority="574" operator="equal">
      <formula>"Muy Alta"</formula>
    </cfRule>
    <cfRule type="cellIs" dxfId="466" priority="575" operator="equal">
      <formula>"Alta"</formula>
    </cfRule>
    <cfRule type="cellIs" dxfId="465" priority="576" operator="equal">
      <formula>"Media"</formula>
    </cfRule>
    <cfRule type="cellIs" dxfId="464" priority="577" operator="equal">
      <formula>"Baja"</formula>
    </cfRule>
    <cfRule type="cellIs" dxfId="463" priority="578" operator="equal">
      <formula>"Muy Baja"</formula>
    </cfRule>
  </conditionalFormatting>
  <conditionalFormatting sqref="AD142:AD144">
    <cfRule type="cellIs" dxfId="462" priority="569" operator="equal">
      <formula>"Catastrófico"</formula>
    </cfRule>
    <cfRule type="cellIs" dxfId="461" priority="570" operator="equal">
      <formula>"Mayor"</formula>
    </cfRule>
    <cfRule type="cellIs" dxfId="460" priority="571" operator="equal">
      <formula>"Moderado"</formula>
    </cfRule>
    <cfRule type="cellIs" dxfId="459" priority="572" operator="equal">
      <formula>"Menor"</formula>
    </cfRule>
    <cfRule type="cellIs" dxfId="458" priority="573" operator="equal">
      <formula>"Leve"</formula>
    </cfRule>
  </conditionalFormatting>
  <conditionalFormatting sqref="AF142:AF144">
    <cfRule type="cellIs" dxfId="457" priority="565" operator="equal">
      <formula>"Extremo"</formula>
    </cfRule>
    <cfRule type="cellIs" dxfId="456" priority="566" operator="equal">
      <formula>"Alto"</formula>
    </cfRule>
    <cfRule type="cellIs" dxfId="455" priority="567" operator="equal">
      <formula>"Moderado"</formula>
    </cfRule>
    <cfRule type="cellIs" dxfId="454" priority="568" operator="equal">
      <formula>"Bajo"</formula>
    </cfRule>
  </conditionalFormatting>
  <conditionalFormatting sqref="N142:N144">
    <cfRule type="containsText" dxfId="453" priority="564" operator="containsText" text="❌">
      <formula>NOT(ISERROR(SEARCH("❌",N142)))</formula>
    </cfRule>
  </conditionalFormatting>
  <conditionalFormatting sqref="AB145">
    <cfRule type="cellIs" dxfId="452" priority="559" operator="equal">
      <formula>"Muy Alta"</formula>
    </cfRule>
    <cfRule type="cellIs" dxfId="451" priority="560" operator="equal">
      <formula>"Alta"</formula>
    </cfRule>
    <cfRule type="cellIs" dxfId="450" priority="561" operator="equal">
      <formula>"Media"</formula>
    </cfRule>
    <cfRule type="cellIs" dxfId="449" priority="562" operator="equal">
      <formula>"Baja"</formula>
    </cfRule>
    <cfRule type="cellIs" dxfId="448" priority="563" operator="equal">
      <formula>"Muy Baja"</formula>
    </cfRule>
  </conditionalFormatting>
  <conditionalFormatting sqref="AD145">
    <cfRule type="cellIs" dxfId="447" priority="554" operator="equal">
      <formula>"Catastrófico"</formula>
    </cfRule>
    <cfRule type="cellIs" dxfId="446" priority="555" operator="equal">
      <formula>"Mayor"</formula>
    </cfRule>
    <cfRule type="cellIs" dxfId="445" priority="556" operator="equal">
      <formula>"Moderado"</formula>
    </cfRule>
    <cfRule type="cellIs" dxfId="444" priority="557" operator="equal">
      <formula>"Menor"</formula>
    </cfRule>
    <cfRule type="cellIs" dxfId="443" priority="558" operator="equal">
      <formula>"Leve"</formula>
    </cfRule>
  </conditionalFormatting>
  <conditionalFormatting sqref="AF145">
    <cfRule type="cellIs" dxfId="442" priority="550" operator="equal">
      <formula>"Extremo"</formula>
    </cfRule>
    <cfRule type="cellIs" dxfId="441" priority="551" operator="equal">
      <formula>"Alto"</formula>
    </cfRule>
    <cfRule type="cellIs" dxfId="440" priority="552" operator="equal">
      <formula>"Moderado"</formula>
    </cfRule>
    <cfRule type="cellIs" dxfId="439" priority="553" operator="equal">
      <formula>"Bajo"</formula>
    </cfRule>
  </conditionalFormatting>
  <conditionalFormatting sqref="AB146">
    <cfRule type="cellIs" dxfId="438" priority="545" operator="equal">
      <formula>"Muy Alta"</formula>
    </cfRule>
    <cfRule type="cellIs" dxfId="437" priority="546" operator="equal">
      <formula>"Alta"</formula>
    </cfRule>
    <cfRule type="cellIs" dxfId="436" priority="547" operator="equal">
      <formula>"Media"</formula>
    </cfRule>
    <cfRule type="cellIs" dxfId="435" priority="548" operator="equal">
      <formula>"Baja"</formula>
    </cfRule>
    <cfRule type="cellIs" dxfId="434" priority="549" operator="equal">
      <formula>"Muy Baja"</formula>
    </cfRule>
  </conditionalFormatting>
  <conditionalFormatting sqref="AD146">
    <cfRule type="cellIs" dxfId="433" priority="540" operator="equal">
      <formula>"Catastrófico"</formula>
    </cfRule>
    <cfRule type="cellIs" dxfId="432" priority="541" operator="equal">
      <formula>"Mayor"</formula>
    </cfRule>
    <cfRule type="cellIs" dxfId="431" priority="542" operator="equal">
      <formula>"Moderado"</formula>
    </cfRule>
    <cfRule type="cellIs" dxfId="430" priority="543" operator="equal">
      <formula>"Menor"</formula>
    </cfRule>
    <cfRule type="cellIs" dxfId="429" priority="544" operator="equal">
      <formula>"Leve"</formula>
    </cfRule>
  </conditionalFormatting>
  <conditionalFormatting sqref="AF146">
    <cfRule type="cellIs" dxfId="428" priority="536" operator="equal">
      <formula>"Extremo"</formula>
    </cfRule>
    <cfRule type="cellIs" dxfId="427" priority="537" operator="equal">
      <formula>"Alto"</formula>
    </cfRule>
    <cfRule type="cellIs" dxfId="426" priority="538" operator="equal">
      <formula>"Moderado"</formula>
    </cfRule>
    <cfRule type="cellIs" dxfId="425" priority="539" operator="equal">
      <formula>"Bajo"</formula>
    </cfRule>
  </conditionalFormatting>
  <conditionalFormatting sqref="AB147">
    <cfRule type="cellIs" dxfId="424" priority="531" operator="equal">
      <formula>"Muy Alta"</formula>
    </cfRule>
    <cfRule type="cellIs" dxfId="423" priority="532" operator="equal">
      <formula>"Alta"</formula>
    </cfRule>
    <cfRule type="cellIs" dxfId="422" priority="533" operator="equal">
      <formula>"Media"</formula>
    </cfRule>
    <cfRule type="cellIs" dxfId="421" priority="534" operator="equal">
      <formula>"Baja"</formula>
    </cfRule>
    <cfRule type="cellIs" dxfId="420" priority="535" operator="equal">
      <formula>"Muy Baja"</formula>
    </cfRule>
  </conditionalFormatting>
  <conditionalFormatting sqref="AD147">
    <cfRule type="cellIs" dxfId="419" priority="526" operator="equal">
      <formula>"Catastrófico"</formula>
    </cfRule>
    <cfRule type="cellIs" dxfId="418" priority="527" operator="equal">
      <formula>"Mayor"</formula>
    </cfRule>
    <cfRule type="cellIs" dxfId="417" priority="528" operator="equal">
      <formula>"Moderado"</formula>
    </cfRule>
    <cfRule type="cellIs" dxfId="416" priority="529" operator="equal">
      <formula>"Menor"</formula>
    </cfRule>
    <cfRule type="cellIs" dxfId="415" priority="530" operator="equal">
      <formula>"Leve"</formula>
    </cfRule>
  </conditionalFormatting>
  <conditionalFormatting sqref="AF147">
    <cfRule type="cellIs" dxfId="414" priority="522" operator="equal">
      <formula>"Extremo"</formula>
    </cfRule>
    <cfRule type="cellIs" dxfId="413" priority="523" operator="equal">
      <formula>"Alto"</formula>
    </cfRule>
    <cfRule type="cellIs" dxfId="412" priority="524" operator="equal">
      <formula>"Moderado"</formula>
    </cfRule>
    <cfRule type="cellIs" dxfId="411" priority="525" operator="equal">
      <formula>"Bajo"</formula>
    </cfRule>
  </conditionalFormatting>
  <conditionalFormatting sqref="K145">
    <cfRule type="cellIs" dxfId="410" priority="517" operator="equal">
      <formula>"Muy Alta"</formula>
    </cfRule>
    <cfRule type="cellIs" dxfId="409" priority="518" operator="equal">
      <formula>"Alta"</formula>
    </cfRule>
    <cfRule type="cellIs" dxfId="408" priority="519" operator="equal">
      <formula>"Media"</formula>
    </cfRule>
    <cfRule type="cellIs" dxfId="407" priority="520" operator="equal">
      <formula>"Baja"</formula>
    </cfRule>
    <cfRule type="cellIs" dxfId="406" priority="521" operator="equal">
      <formula>"Muy Baja"</formula>
    </cfRule>
  </conditionalFormatting>
  <conditionalFormatting sqref="O145">
    <cfRule type="cellIs" dxfId="405" priority="512" operator="equal">
      <formula>"Catastrófico"</formula>
    </cfRule>
    <cfRule type="cellIs" dxfId="404" priority="513" operator="equal">
      <formula>"Mayor"</formula>
    </cfRule>
    <cfRule type="cellIs" dxfId="403" priority="514" operator="equal">
      <formula>"Moderado"</formula>
    </cfRule>
    <cfRule type="cellIs" dxfId="402" priority="515" operator="equal">
      <formula>"Menor"</formula>
    </cfRule>
    <cfRule type="cellIs" dxfId="401" priority="516" operator="equal">
      <formula>"Leve"</formula>
    </cfRule>
  </conditionalFormatting>
  <conditionalFormatting sqref="Q145">
    <cfRule type="cellIs" dxfId="400" priority="508" operator="equal">
      <formula>"Extremo"</formula>
    </cfRule>
    <cfRule type="cellIs" dxfId="399" priority="509" operator="equal">
      <formula>"Alto"</formula>
    </cfRule>
    <cfRule type="cellIs" dxfId="398" priority="510" operator="equal">
      <formula>"Moderado"</formula>
    </cfRule>
    <cfRule type="cellIs" dxfId="397" priority="511" operator="equal">
      <formula>"Bajo"</formula>
    </cfRule>
  </conditionalFormatting>
  <conditionalFormatting sqref="N145:N147">
    <cfRule type="containsText" dxfId="396" priority="507" operator="containsText" text="❌">
      <formula>NOT(ISERROR(SEARCH("❌",N145)))</formula>
    </cfRule>
  </conditionalFormatting>
  <conditionalFormatting sqref="AB145:AB147">
    <cfRule type="cellIs" dxfId="395" priority="502" operator="equal">
      <formula>"Muy Alta"</formula>
    </cfRule>
    <cfRule type="cellIs" dxfId="394" priority="503" operator="equal">
      <formula>"Alta"</formula>
    </cfRule>
    <cfRule type="cellIs" dxfId="393" priority="504" operator="equal">
      <formula>"Media"</formula>
    </cfRule>
    <cfRule type="cellIs" dxfId="392" priority="505" operator="equal">
      <formula>"Baja"</formula>
    </cfRule>
    <cfRule type="cellIs" dxfId="391" priority="506" operator="equal">
      <formula>"Muy Baja"</formula>
    </cfRule>
  </conditionalFormatting>
  <conditionalFormatting sqref="AD145:AD147">
    <cfRule type="cellIs" dxfId="390" priority="497" operator="equal">
      <formula>"Catastrófico"</formula>
    </cfRule>
    <cfRule type="cellIs" dxfId="389" priority="498" operator="equal">
      <formula>"Mayor"</formula>
    </cfRule>
    <cfRule type="cellIs" dxfId="388" priority="499" operator="equal">
      <formula>"Moderado"</formula>
    </cfRule>
    <cfRule type="cellIs" dxfId="387" priority="500" operator="equal">
      <formula>"Menor"</formula>
    </cfRule>
    <cfRule type="cellIs" dxfId="386" priority="501" operator="equal">
      <formula>"Leve"</formula>
    </cfRule>
  </conditionalFormatting>
  <conditionalFormatting sqref="AF145:AF147">
    <cfRule type="cellIs" dxfId="385" priority="493" operator="equal">
      <formula>"Extremo"</formula>
    </cfRule>
    <cfRule type="cellIs" dxfId="384" priority="494" operator="equal">
      <formula>"Alto"</formula>
    </cfRule>
    <cfRule type="cellIs" dxfId="383" priority="495" operator="equal">
      <formula>"Moderado"</formula>
    </cfRule>
    <cfRule type="cellIs" dxfId="382" priority="496" operator="equal">
      <formula>"Bajo"</formula>
    </cfRule>
  </conditionalFormatting>
  <conditionalFormatting sqref="N145:N147">
    <cfRule type="containsText" dxfId="381" priority="492" operator="containsText" text="❌">
      <formula>NOT(ISERROR(SEARCH("❌",N145)))</formula>
    </cfRule>
  </conditionalFormatting>
  <conditionalFormatting sqref="AB148">
    <cfRule type="cellIs" dxfId="380" priority="487" operator="equal">
      <formula>"Muy Alta"</formula>
    </cfRule>
    <cfRule type="cellIs" dxfId="379" priority="488" operator="equal">
      <formula>"Alta"</formula>
    </cfRule>
    <cfRule type="cellIs" dxfId="378" priority="489" operator="equal">
      <formula>"Media"</formula>
    </cfRule>
    <cfRule type="cellIs" dxfId="377" priority="490" operator="equal">
      <formula>"Baja"</formula>
    </cfRule>
    <cfRule type="cellIs" dxfId="376" priority="491" operator="equal">
      <formula>"Muy Baja"</formula>
    </cfRule>
  </conditionalFormatting>
  <conditionalFormatting sqref="AD148">
    <cfRule type="cellIs" dxfId="375" priority="482" operator="equal">
      <formula>"Catastrófico"</formula>
    </cfRule>
    <cfRule type="cellIs" dxfId="374" priority="483" operator="equal">
      <formula>"Mayor"</formula>
    </cfRule>
    <cfRule type="cellIs" dxfId="373" priority="484" operator="equal">
      <formula>"Moderado"</formula>
    </cfRule>
    <cfRule type="cellIs" dxfId="372" priority="485" operator="equal">
      <formula>"Menor"</formula>
    </cfRule>
    <cfRule type="cellIs" dxfId="371" priority="486" operator="equal">
      <formula>"Leve"</formula>
    </cfRule>
  </conditionalFormatting>
  <conditionalFormatting sqref="AF148">
    <cfRule type="cellIs" dxfId="370" priority="478" operator="equal">
      <formula>"Extremo"</formula>
    </cfRule>
    <cfRule type="cellIs" dxfId="369" priority="479" operator="equal">
      <formula>"Alto"</formula>
    </cfRule>
    <cfRule type="cellIs" dxfId="368" priority="480" operator="equal">
      <formula>"Moderado"</formula>
    </cfRule>
    <cfRule type="cellIs" dxfId="367" priority="481" operator="equal">
      <formula>"Bajo"</formula>
    </cfRule>
  </conditionalFormatting>
  <conditionalFormatting sqref="AB149">
    <cfRule type="cellIs" dxfId="366" priority="473" operator="equal">
      <formula>"Muy Alta"</formula>
    </cfRule>
    <cfRule type="cellIs" dxfId="365" priority="474" operator="equal">
      <formula>"Alta"</formula>
    </cfRule>
    <cfRule type="cellIs" dxfId="364" priority="475" operator="equal">
      <formula>"Media"</formula>
    </cfRule>
    <cfRule type="cellIs" dxfId="363" priority="476" operator="equal">
      <formula>"Baja"</formula>
    </cfRule>
    <cfRule type="cellIs" dxfId="362" priority="477" operator="equal">
      <formula>"Muy Baja"</formula>
    </cfRule>
  </conditionalFormatting>
  <conditionalFormatting sqref="AD149">
    <cfRule type="cellIs" dxfId="361" priority="468" operator="equal">
      <formula>"Catastrófico"</formula>
    </cfRule>
    <cfRule type="cellIs" dxfId="360" priority="469" operator="equal">
      <formula>"Mayor"</formula>
    </cfRule>
    <cfRule type="cellIs" dxfId="359" priority="470" operator="equal">
      <formula>"Moderado"</formula>
    </cfRule>
    <cfRule type="cellIs" dxfId="358" priority="471" operator="equal">
      <formula>"Menor"</formula>
    </cfRule>
    <cfRule type="cellIs" dxfId="357" priority="472" operator="equal">
      <formula>"Leve"</formula>
    </cfRule>
  </conditionalFormatting>
  <conditionalFormatting sqref="AF149">
    <cfRule type="cellIs" dxfId="356" priority="464" operator="equal">
      <formula>"Extremo"</formula>
    </cfRule>
    <cfRule type="cellIs" dxfId="355" priority="465" operator="equal">
      <formula>"Alto"</formula>
    </cfRule>
    <cfRule type="cellIs" dxfId="354" priority="466" operator="equal">
      <formula>"Moderado"</formula>
    </cfRule>
    <cfRule type="cellIs" dxfId="353" priority="467" operator="equal">
      <formula>"Bajo"</formula>
    </cfRule>
  </conditionalFormatting>
  <conditionalFormatting sqref="AB150">
    <cfRule type="cellIs" dxfId="352" priority="459" operator="equal">
      <formula>"Muy Alta"</formula>
    </cfRule>
    <cfRule type="cellIs" dxfId="351" priority="460" operator="equal">
      <formula>"Alta"</formula>
    </cfRule>
    <cfRule type="cellIs" dxfId="350" priority="461" operator="equal">
      <formula>"Media"</formula>
    </cfRule>
    <cfRule type="cellIs" dxfId="349" priority="462" operator="equal">
      <formula>"Baja"</formula>
    </cfRule>
    <cfRule type="cellIs" dxfId="348" priority="463" operator="equal">
      <formula>"Muy Baja"</formula>
    </cfRule>
  </conditionalFormatting>
  <conditionalFormatting sqref="AD150">
    <cfRule type="cellIs" dxfId="347" priority="454" operator="equal">
      <formula>"Catastrófico"</formula>
    </cfRule>
    <cfRule type="cellIs" dxfId="346" priority="455" operator="equal">
      <formula>"Mayor"</formula>
    </cfRule>
    <cfRule type="cellIs" dxfId="345" priority="456" operator="equal">
      <formula>"Moderado"</formula>
    </cfRule>
    <cfRule type="cellIs" dxfId="344" priority="457" operator="equal">
      <formula>"Menor"</formula>
    </cfRule>
    <cfRule type="cellIs" dxfId="343" priority="458" operator="equal">
      <formula>"Leve"</formula>
    </cfRule>
  </conditionalFormatting>
  <conditionalFormatting sqref="AF150">
    <cfRule type="cellIs" dxfId="342" priority="450" operator="equal">
      <formula>"Extremo"</formula>
    </cfRule>
    <cfRule type="cellIs" dxfId="341" priority="451" operator="equal">
      <formula>"Alto"</formula>
    </cfRule>
    <cfRule type="cellIs" dxfId="340" priority="452" operator="equal">
      <formula>"Moderado"</formula>
    </cfRule>
    <cfRule type="cellIs" dxfId="339" priority="453" operator="equal">
      <formula>"Bajo"</formula>
    </cfRule>
  </conditionalFormatting>
  <conditionalFormatting sqref="K148">
    <cfRule type="cellIs" dxfId="338" priority="445" operator="equal">
      <formula>"Muy Alta"</formula>
    </cfRule>
    <cfRule type="cellIs" dxfId="337" priority="446" operator="equal">
      <formula>"Alta"</formula>
    </cfRule>
    <cfRule type="cellIs" dxfId="336" priority="447" operator="equal">
      <formula>"Media"</formula>
    </cfRule>
    <cfRule type="cellIs" dxfId="335" priority="448" operator="equal">
      <formula>"Baja"</formula>
    </cfRule>
    <cfRule type="cellIs" dxfId="334" priority="449" operator="equal">
      <formula>"Muy Baja"</formula>
    </cfRule>
  </conditionalFormatting>
  <conditionalFormatting sqref="O148">
    <cfRule type="cellIs" dxfId="333" priority="440" operator="equal">
      <formula>"Catastrófico"</formula>
    </cfRule>
    <cfRule type="cellIs" dxfId="332" priority="441" operator="equal">
      <formula>"Mayor"</formula>
    </cfRule>
    <cfRule type="cellIs" dxfId="331" priority="442" operator="equal">
      <formula>"Moderado"</formula>
    </cfRule>
    <cfRule type="cellIs" dxfId="330" priority="443" operator="equal">
      <formula>"Menor"</formula>
    </cfRule>
    <cfRule type="cellIs" dxfId="329" priority="444" operator="equal">
      <formula>"Leve"</formula>
    </cfRule>
  </conditionalFormatting>
  <conditionalFormatting sqref="Q148">
    <cfRule type="cellIs" dxfId="328" priority="436" operator="equal">
      <formula>"Extremo"</formula>
    </cfRule>
    <cfRule type="cellIs" dxfId="327" priority="437" operator="equal">
      <formula>"Alto"</formula>
    </cfRule>
    <cfRule type="cellIs" dxfId="326" priority="438" operator="equal">
      <formula>"Moderado"</formula>
    </cfRule>
    <cfRule type="cellIs" dxfId="325" priority="439" operator="equal">
      <formula>"Bajo"</formula>
    </cfRule>
  </conditionalFormatting>
  <conditionalFormatting sqref="N148:N150">
    <cfRule type="containsText" dxfId="324" priority="435" operator="containsText" text="❌">
      <formula>NOT(ISERROR(SEARCH("❌",N148)))</formula>
    </cfRule>
  </conditionalFormatting>
  <conditionalFormatting sqref="AB148:AB150">
    <cfRule type="cellIs" dxfId="323" priority="430" operator="equal">
      <formula>"Muy Alta"</formula>
    </cfRule>
    <cfRule type="cellIs" dxfId="322" priority="431" operator="equal">
      <formula>"Alta"</formula>
    </cfRule>
    <cfRule type="cellIs" dxfId="321" priority="432" operator="equal">
      <formula>"Media"</formula>
    </cfRule>
    <cfRule type="cellIs" dxfId="320" priority="433" operator="equal">
      <formula>"Baja"</formula>
    </cfRule>
    <cfRule type="cellIs" dxfId="319" priority="434" operator="equal">
      <formula>"Muy Baja"</formula>
    </cfRule>
  </conditionalFormatting>
  <conditionalFormatting sqref="AD148:AD150">
    <cfRule type="cellIs" dxfId="318" priority="425" operator="equal">
      <formula>"Catastrófico"</formula>
    </cfRule>
    <cfRule type="cellIs" dxfId="317" priority="426" operator="equal">
      <formula>"Mayor"</formula>
    </cfRule>
    <cfRule type="cellIs" dxfId="316" priority="427" operator="equal">
      <formula>"Moderado"</formula>
    </cfRule>
    <cfRule type="cellIs" dxfId="315" priority="428" operator="equal">
      <formula>"Menor"</formula>
    </cfRule>
    <cfRule type="cellIs" dxfId="314" priority="429" operator="equal">
      <formula>"Leve"</formula>
    </cfRule>
  </conditionalFormatting>
  <conditionalFormatting sqref="AF148:AF150">
    <cfRule type="cellIs" dxfId="313" priority="421" operator="equal">
      <formula>"Extremo"</formula>
    </cfRule>
    <cfRule type="cellIs" dxfId="312" priority="422" operator="equal">
      <formula>"Alto"</formula>
    </cfRule>
    <cfRule type="cellIs" dxfId="311" priority="423" operator="equal">
      <formula>"Moderado"</formula>
    </cfRule>
    <cfRule type="cellIs" dxfId="310" priority="424" operator="equal">
      <formula>"Bajo"</formula>
    </cfRule>
  </conditionalFormatting>
  <conditionalFormatting sqref="N148:N150">
    <cfRule type="containsText" dxfId="309" priority="420" operator="containsText" text="❌">
      <formula>NOT(ISERROR(SEARCH("❌",N148)))</formula>
    </cfRule>
  </conditionalFormatting>
  <conditionalFormatting sqref="AB151">
    <cfRule type="cellIs" dxfId="308" priority="415" operator="equal">
      <formula>"Muy Alta"</formula>
    </cfRule>
    <cfRule type="cellIs" dxfId="307" priority="416" operator="equal">
      <formula>"Alta"</formula>
    </cfRule>
    <cfRule type="cellIs" dxfId="306" priority="417" operator="equal">
      <formula>"Media"</formula>
    </cfRule>
    <cfRule type="cellIs" dxfId="305" priority="418" operator="equal">
      <formula>"Baja"</formula>
    </cfRule>
    <cfRule type="cellIs" dxfId="304" priority="419" operator="equal">
      <formula>"Muy Baja"</formula>
    </cfRule>
  </conditionalFormatting>
  <conditionalFormatting sqref="AD151">
    <cfRule type="cellIs" dxfId="303" priority="410" operator="equal">
      <formula>"Catastrófico"</formula>
    </cfRule>
    <cfRule type="cellIs" dxfId="302" priority="411" operator="equal">
      <formula>"Mayor"</formula>
    </cfRule>
    <cfRule type="cellIs" dxfId="301" priority="412" operator="equal">
      <formula>"Moderado"</formula>
    </cfRule>
    <cfRule type="cellIs" dxfId="300" priority="413" operator="equal">
      <formula>"Menor"</formula>
    </cfRule>
    <cfRule type="cellIs" dxfId="299" priority="414" operator="equal">
      <formula>"Leve"</formula>
    </cfRule>
  </conditionalFormatting>
  <conditionalFormatting sqref="AF151">
    <cfRule type="cellIs" dxfId="298" priority="406" operator="equal">
      <formula>"Extremo"</formula>
    </cfRule>
    <cfRule type="cellIs" dxfId="297" priority="407" operator="equal">
      <formula>"Alto"</formula>
    </cfRule>
    <cfRule type="cellIs" dxfId="296" priority="408" operator="equal">
      <formula>"Moderado"</formula>
    </cfRule>
    <cfRule type="cellIs" dxfId="295" priority="409" operator="equal">
      <formula>"Bajo"</formula>
    </cfRule>
  </conditionalFormatting>
  <conditionalFormatting sqref="AB152">
    <cfRule type="cellIs" dxfId="294" priority="401" operator="equal">
      <formula>"Muy Alta"</formula>
    </cfRule>
    <cfRule type="cellIs" dxfId="293" priority="402" operator="equal">
      <formula>"Alta"</formula>
    </cfRule>
    <cfRule type="cellIs" dxfId="292" priority="403" operator="equal">
      <formula>"Media"</formula>
    </cfRule>
    <cfRule type="cellIs" dxfId="291" priority="404" operator="equal">
      <formula>"Baja"</formula>
    </cfRule>
    <cfRule type="cellIs" dxfId="290" priority="405" operator="equal">
      <formula>"Muy Baja"</formula>
    </cfRule>
  </conditionalFormatting>
  <conditionalFormatting sqref="AD152">
    <cfRule type="cellIs" dxfId="289" priority="396" operator="equal">
      <formula>"Catastrófico"</formula>
    </cfRule>
    <cfRule type="cellIs" dxfId="288" priority="397" operator="equal">
      <formula>"Mayor"</formula>
    </cfRule>
    <cfRule type="cellIs" dxfId="287" priority="398" operator="equal">
      <formula>"Moderado"</formula>
    </cfRule>
    <cfRule type="cellIs" dxfId="286" priority="399" operator="equal">
      <formula>"Menor"</formula>
    </cfRule>
    <cfRule type="cellIs" dxfId="285" priority="400" operator="equal">
      <formula>"Leve"</formula>
    </cfRule>
  </conditionalFormatting>
  <conditionalFormatting sqref="AF152">
    <cfRule type="cellIs" dxfId="284" priority="392" operator="equal">
      <formula>"Extremo"</formula>
    </cfRule>
    <cfRule type="cellIs" dxfId="283" priority="393" operator="equal">
      <formula>"Alto"</formula>
    </cfRule>
    <cfRule type="cellIs" dxfId="282" priority="394" operator="equal">
      <formula>"Moderado"</formula>
    </cfRule>
    <cfRule type="cellIs" dxfId="281" priority="395" operator="equal">
      <formula>"Bajo"</formula>
    </cfRule>
  </conditionalFormatting>
  <conditionalFormatting sqref="AB153">
    <cfRule type="cellIs" dxfId="280" priority="387" operator="equal">
      <formula>"Muy Alta"</formula>
    </cfRule>
    <cfRule type="cellIs" dxfId="279" priority="388" operator="equal">
      <formula>"Alta"</formula>
    </cfRule>
    <cfRule type="cellIs" dxfId="278" priority="389" operator="equal">
      <formula>"Media"</formula>
    </cfRule>
    <cfRule type="cellIs" dxfId="277" priority="390" operator="equal">
      <formula>"Baja"</formula>
    </cfRule>
    <cfRule type="cellIs" dxfId="276" priority="391" operator="equal">
      <formula>"Muy Baja"</formula>
    </cfRule>
  </conditionalFormatting>
  <conditionalFormatting sqref="AD153">
    <cfRule type="cellIs" dxfId="275" priority="382" operator="equal">
      <formula>"Catastrófico"</formula>
    </cfRule>
    <cfRule type="cellIs" dxfId="274" priority="383" operator="equal">
      <formula>"Mayor"</formula>
    </cfRule>
    <cfRule type="cellIs" dxfId="273" priority="384" operator="equal">
      <formula>"Moderado"</formula>
    </cfRule>
    <cfRule type="cellIs" dxfId="272" priority="385" operator="equal">
      <formula>"Menor"</formula>
    </cfRule>
    <cfRule type="cellIs" dxfId="271" priority="386" operator="equal">
      <formula>"Leve"</formula>
    </cfRule>
  </conditionalFormatting>
  <conditionalFormatting sqref="AF153">
    <cfRule type="cellIs" dxfId="270" priority="378" operator="equal">
      <formula>"Extremo"</formula>
    </cfRule>
    <cfRule type="cellIs" dxfId="269" priority="379" operator="equal">
      <formula>"Alto"</formula>
    </cfRule>
    <cfRule type="cellIs" dxfId="268" priority="380" operator="equal">
      <formula>"Moderado"</formula>
    </cfRule>
    <cfRule type="cellIs" dxfId="267" priority="381" operator="equal">
      <formula>"Bajo"</formula>
    </cfRule>
  </conditionalFormatting>
  <conditionalFormatting sqref="K151">
    <cfRule type="cellIs" dxfId="266" priority="373" operator="equal">
      <formula>"Muy Alta"</formula>
    </cfRule>
    <cfRule type="cellIs" dxfId="265" priority="374" operator="equal">
      <formula>"Alta"</formula>
    </cfRule>
    <cfRule type="cellIs" dxfId="264" priority="375" operator="equal">
      <formula>"Media"</formula>
    </cfRule>
    <cfRule type="cellIs" dxfId="263" priority="376" operator="equal">
      <formula>"Baja"</formula>
    </cfRule>
    <cfRule type="cellIs" dxfId="262" priority="377" operator="equal">
      <formula>"Muy Baja"</formula>
    </cfRule>
  </conditionalFormatting>
  <conditionalFormatting sqref="O151">
    <cfRule type="cellIs" dxfId="261" priority="368" operator="equal">
      <formula>"Catastrófico"</formula>
    </cfRule>
    <cfRule type="cellIs" dxfId="260" priority="369" operator="equal">
      <formula>"Mayor"</formula>
    </cfRule>
    <cfRule type="cellIs" dxfId="259" priority="370" operator="equal">
      <formula>"Moderado"</formula>
    </cfRule>
    <cfRule type="cellIs" dxfId="258" priority="371" operator="equal">
      <formula>"Menor"</formula>
    </cfRule>
    <cfRule type="cellIs" dxfId="257" priority="372" operator="equal">
      <formula>"Leve"</formula>
    </cfRule>
  </conditionalFormatting>
  <conditionalFormatting sqref="Q151">
    <cfRule type="cellIs" dxfId="256" priority="364" operator="equal">
      <formula>"Extremo"</formula>
    </cfRule>
    <cfRule type="cellIs" dxfId="255" priority="365" operator="equal">
      <formula>"Alto"</formula>
    </cfRule>
    <cfRule type="cellIs" dxfId="254" priority="366" operator="equal">
      <formula>"Moderado"</formula>
    </cfRule>
    <cfRule type="cellIs" dxfId="253" priority="367" operator="equal">
      <formula>"Bajo"</formula>
    </cfRule>
  </conditionalFormatting>
  <conditionalFormatting sqref="N151:N153">
    <cfRule type="containsText" dxfId="252" priority="363" operator="containsText" text="❌">
      <formula>NOT(ISERROR(SEARCH("❌",N151)))</formula>
    </cfRule>
  </conditionalFormatting>
  <conditionalFormatting sqref="AB151:AB153">
    <cfRule type="cellIs" dxfId="251" priority="358" operator="equal">
      <formula>"Muy Alta"</formula>
    </cfRule>
    <cfRule type="cellIs" dxfId="250" priority="359" operator="equal">
      <formula>"Alta"</formula>
    </cfRule>
    <cfRule type="cellIs" dxfId="249" priority="360" operator="equal">
      <formula>"Media"</formula>
    </cfRule>
    <cfRule type="cellIs" dxfId="248" priority="361" operator="equal">
      <formula>"Baja"</formula>
    </cfRule>
    <cfRule type="cellIs" dxfId="247" priority="362" operator="equal">
      <formula>"Muy Baja"</formula>
    </cfRule>
  </conditionalFormatting>
  <conditionalFormatting sqref="AD151:AD153">
    <cfRule type="cellIs" dxfId="246" priority="353" operator="equal">
      <formula>"Catastrófico"</formula>
    </cfRule>
    <cfRule type="cellIs" dxfId="245" priority="354" operator="equal">
      <formula>"Mayor"</formula>
    </cfRule>
    <cfRule type="cellIs" dxfId="244" priority="355" operator="equal">
      <formula>"Moderado"</formula>
    </cfRule>
    <cfRule type="cellIs" dxfId="243" priority="356" operator="equal">
      <formula>"Menor"</formula>
    </cfRule>
    <cfRule type="cellIs" dxfId="242" priority="357" operator="equal">
      <formula>"Leve"</formula>
    </cfRule>
  </conditionalFormatting>
  <conditionalFormatting sqref="AF151:AF153">
    <cfRule type="cellIs" dxfId="241" priority="349" operator="equal">
      <formula>"Extremo"</formula>
    </cfRule>
    <cfRule type="cellIs" dxfId="240" priority="350" operator="equal">
      <formula>"Alto"</formula>
    </cfRule>
    <cfRule type="cellIs" dxfId="239" priority="351" operator="equal">
      <formula>"Moderado"</formula>
    </cfRule>
    <cfRule type="cellIs" dxfId="238" priority="352" operator="equal">
      <formula>"Bajo"</formula>
    </cfRule>
  </conditionalFormatting>
  <conditionalFormatting sqref="N151:N153">
    <cfRule type="containsText" dxfId="237" priority="348" operator="containsText" text="❌">
      <formula>NOT(ISERROR(SEARCH("❌",N151)))</formula>
    </cfRule>
  </conditionalFormatting>
  <conditionalFormatting sqref="AB17">
    <cfRule type="cellIs" dxfId="236" priority="343" operator="equal">
      <formula>"Muy Alta"</formula>
    </cfRule>
    <cfRule type="cellIs" dxfId="235" priority="344" operator="equal">
      <formula>"Alta"</formula>
    </cfRule>
    <cfRule type="cellIs" dxfId="234" priority="345" operator="equal">
      <formula>"Media"</formula>
    </cfRule>
    <cfRule type="cellIs" dxfId="233" priority="346" operator="equal">
      <formula>"Baja"</formula>
    </cfRule>
    <cfRule type="cellIs" dxfId="232" priority="347" operator="equal">
      <formula>"Muy Baja"</formula>
    </cfRule>
  </conditionalFormatting>
  <conditionalFormatting sqref="AD17">
    <cfRule type="cellIs" dxfId="231" priority="338" operator="equal">
      <formula>"Catastrófico"</formula>
    </cfRule>
    <cfRule type="cellIs" dxfId="230" priority="339" operator="equal">
      <formula>"Mayor"</formula>
    </cfRule>
    <cfRule type="cellIs" dxfId="229" priority="340" operator="equal">
      <formula>"Moderado"</formula>
    </cfRule>
    <cfRule type="cellIs" dxfId="228" priority="341" operator="equal">
      <formula>"Menor"</formula>
    </cfRule>
    <cfRule type="cellIs" dxfId="227" priority="342" operator="equal">
      <formula>"Leve"</formula>
    </cfRule>
  </conditionalFormatting>
  <conditionalFormatting sqref="AF17">
    <cfRule type="cellIs" dxfId="226" priority="334" operator="equal">
      <formula>"Extremo"</formula>
    </cfRule>
    <cfRule type="cellIs" dxfId="225" priority="335" operator="equal">
      <formula>"Alto"</formula>
    </cfRule>
    <cfRule type="cellIs" dxfId="224" priority="336" operator="equal">
      <formula>"Moderado"</formula>
    </cfRule>
    <cfRule type="cellIs" dxfId="223" priority="337" operator="equal">
      <formula>"Bajo"</formula>
    </cfRule>
  </conditionalFormatting>
  <conditionalFormatting sqref="AB18">
    <cfRule type="cellIs" dxfId="222" priority="329" operator="equal">
      <formula>"Muy Alta"</formula>
    </cfRule>
    <cfRule type="cellIs" dxfId="221" priority="330" operator="equal">
      <formula>"Alta"</formula>
    </cfRule>
    <cfRule type="cellIs" dxfId="220" priority="331" operator="equal">
      <formula>"Media"</formula>
    </cfRule>
    <cfRule type="cellIs" dxfId="219" priority="332" operator="equal">
      <formula>"Baja"</formula>
    </cfRule>
    <cfRule type="cellIs" dxfId="218" priority="333" operator="equal">
      <formula>"Muy Baja"</formula>
    </cfRule>
  </conditionalFormatting>
  <conditionalFormatting sqref="AD18">
    <cfRule type="cellIs" dxfId="217" priority="324" operator="equal">
      <formula>"Catastrófico"</formula>
    </cfRule>
    <cfRule type="cellIs" dxfId="216" priority="325" operator="equal">
      <formula>"Mayor"</formula>
    </cfRule>
    <cfRule type="cellIs" dxfId="215" priority="326" operator="equal">
      <formula>"Moderado"</formula>
    </cfRule>
    <cfRule type="cellIs" dxfId="214" priority="327" operator="equal">
      <formula>"Menor"</formula>
    </cfRule>
    <cfRule type="cellIs" dxfId="213" priority="328" operator="equal">
      <formula>"Leve"</formula>
    </cfRule>
  </conditionalFormatting>
  <conditionalFormatting sqref="AF18">
    <cfRule type="cellIs" dxfId="212" priority="320" operator="equal">
      <formula>"Extremo"</formula>
    </cfRule>
    <cfRule type="cellIs" dxfId="211" priority="321" operator="equal">
      <formula>"Alto"</formula>
    </cfRule>
    <cfRule type="cellIs" dxfId="210" priority="322" operator="equal">
      <formula>"Moderado"</formula>
    </cfRule>
    <cfRule type="cellIs" dxfId="209" priority="323" operator="equal">
      <formula>"Bajo"</formula>
    </cfRule>
  </conditionalFormatting>
  <conditionalFormatting sqref="AB20">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20">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20">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21">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21">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21">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5">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5">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5">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5">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6">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6">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6">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7">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7">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7">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5">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5">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5:N87">
    <cfRule type="containsText" dxfId="119" priority="158" operator="containsText" text="❌">
      <formula>NOT(ISERROR(SEARCH("❌",N85)))</formula>
    </cfRule>
  </conditionalFormatting>
  <conditionalFormatting sqref="AF99">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9">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9">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100:AB102">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100:AD102">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100:AF102">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100">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100">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100">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100">
    <cfRule type="containsText" dxfId="76" priority="73" operator="containsText" text="❌">
      <formula>NOT(ISERROR(SEARCH("❌",N100)))</formula>
    </cfRule>
  </conditionalFormatting>
  <conditionalFormatting sqref="AB100:AB102">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100:AD102">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100:AF102">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100">
    <cfRule type="containsText" dxfId="61" priority="58" operator="containsText" text="❌">
      <formula>NOT(ISERROR(SEARCH("❌",N100)))</formula>
    </cfRule>
  </conditionalFormatting>
  <conditionalFormatting sqref="AB70">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70">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70">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71">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71">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71">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72">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72">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72">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70">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70">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70">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70:N72">
    <cfRule type="containsText" dxfId="4" priority="1" operator="containsText" text="❌">
      <formula>NOT(ISERROR(SEARCH("❌",N70)))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AM130:AM153 AM16:AM122</xm:sqref>
        </x14:dataValidation>
        <x14:dataValidation type="list" allowBlank="1" showInputMessage="1" showErrorMessage="1">
          <x14:formula1>
            <xm:f>'Opciones Tratamiento'!$B$13:$B$19</xm:f>
          </x14:formula1>
          <xm:sqref>I7 I10 I13 I103 I16 I19 I22 I25 I28 I31 I34 I37 I40 I43 I46 I49 I52 I55 I106 I58 I61 I64 I67 I73 I76 I79 I82 I88 I91 I94 I97:I98 I139 I124 I109 I112 I115 I118 I121 I127 I130 I133 I136 I142 I145 I148 I151 I85 I70</xm:sqref>
        </x14:dataValidation>
        <x14:dataValidation type="list" allowBlank="1" showInputMessage="1" showErrorMessage="1">
          <x14:formula1>
            <xm:f>'Opciones Tratamiento'!$E$2:$E$4</xm:f>
          </x14:formula1>
          <xm:sqref>E7 E10 E13 E103 E16 E19 E22 E25 E28 E31 E34 E37 E40 E43 E46 E49 E52 E55 E106 E58 E61 E64 E67 E73 E76 E79 E82 E88 E91 E94 E97:E98 E139 E124 E109 E112 E115 E118 E121 E127 E130 E133 E136 E142 E145 E148 E151 E85 E70</xm:sqref>
        </x14:dataValidation>
        <x14:dataValidation type="list" allowBlank="1" showInputMessage="1" showErrorMessage="1">
          <x14:formula1>
            <xm:f>'Tabla Impacto'!$F$210:$F$221</xm:f>
          </x14:formula1>
          <xm:sqref>M7 M10 M13 M148 M16 M19 M22 M25 M28 M31 M34 M37 M40 M43 M46 M49 M52 M55 M151 M58 M61 M64 M67 M73 M142 M145 M76 M79 M82 M85 M88 M91 M94 M97:M98 M139 M103 M106 M109 M112 M115 M118 M121 M124 M127 M130 M133 M136 M70</xm:sqref>
        </x14:dataValidation>
        <x14:dataValidation type="list" allowBlank="1" showInputMessage="1" showErrorMessage="1">
          <x14:formula1>
            <xm:f>'Tabla Valoración controles'!$D$4:$D$6</xm:f>
          </x14:formula1>
          <xm:sqref>U103:U153 U7:U98</xm:sqref>
        </x14:dataValidation>
        <x14:dataValidation type="list" allowBlank="1" showInputMessage="1" showErrorMessage="1">
          <x14:formula1>
            <xm:f>'Tabla Valoración controles'!$D$7:$D$8</xm:f>
          </x14:formula1>
          <xm:sqref>V103:V153 V7:V98</xm:sqref>
        </x14:dataValidation>
        <x14:dataValidation type="list" allowBlank="1" showInputMessage="1" showErrorMessage="1">
          <x14:formula1>
            <xm:f>'Tabla Valoración controles'!$D$9:$D$10</xm:f>
          </x14:formula1>
          <xm:sqref>X103:X153 X7:X98</xm:sqref>
        </x14:dataValidation>
        <x14:dataValidation type="list" allowBlank="1" showInputMessage="1" showErrorMessage="1">
          <x14:formula1>
            <xm:f>'Tabla Valoración controles'!$D$11:$D$12</xm:f>
          </x14:formula1>
          <xm:sqref>Y103:Y153 Y7:Y98</xm:sqref>
        </x14:dataValidation>
        <x14:dataValidation type="list" allowBlank="1" showInputMessage="1" showErrorMessage="1">
          <x14:formula1>
            <xm:f>'Tabla Valoración controles'!$D$13:$D$14</xm:f>
          </x14:formula1>
          <xm:sqref>Z103:Z153 Z7:Z98</xm:sqref>
        </x14:dataValidation>
        <x14:dataValidation type="list" allowBlank="1" showInputMessage="1" showErrorMessage="1">
          <x14:formula1>
            <xm:f>'Opciones Tratamiento'!$B$2:$B$5</xm:f>
          </x14:formula1>
          <xm:sqref>AG103:AG153 AG7:AG98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4.5" x14ac:dyDescent="0.35"/>
  <cols>
    <col min="2" max="9" width="5.7265625" customWidth="1"/>
    <col min="10" max="59" width="8.7265625" customWidth="1"/>
    <col min="61" max="65" width="5.7265625" customWidth="1"/>
    <col min="66" max="66" width="20.7265625" customWidth="1"/>
  </cols>
  <sheetData>
    <row r="1" spans="1:119"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35">
      <c r="A2" s="56"/>
      <c r="B2" s="538" t="s">
        <v>135</v>
      </c>
      <c r="C2" s="538"/>
      <c r="D2" s="538"/>
      <c r="E2" s="538"/>
      <c r="F2" s="538"/>
      <c r="G2" s="538"/>
      <c r="H2" s="538"/>
      <c r="I2" s="538"/>
      <c r="J2" s="299" t="s">
        <v>2</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35">
      <c r="A3" s="56"/>
      <c r="B3" s="538"/>
      <c r="C3" s="538"/>
      <c r="D3" s="538"/>
      <c r="E3" s="538"/>
      <c r="F3" s="538"/>
      <c r="G3" s="538"/>
      <c r="H3" s="538"/>
      <c r="I3" s="538"/>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35">
      <c r="A4" s="56"/>
      <c r="B4" s="538"/>
      <c r="C4" s="538"/>
      <c r="D4" s="538"/>
      <c r="E4" s="538"/>
      <c r="F4" s="538"/>
      <c r="G4" s="538"/>
      <c r="H4" s="538"/>
      <c r="I4" s="538"/>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35">
      <c r="A6" s="56"/>
      <c r="B6" s="300" t="s">
        <v>4</v>
      </c>
      <c r="C6" s="300"/>
      <c r="D6" s="301"/>
      <c r="E6" s="522" t="s">
        <v>107</v>
      </c>
      <c r="F6" s="523"/>
      <c r="G6" s="523"/>
      <c r="H6" s="523"/>
      <c r="I6" s="529"/>
      <c r="J6" s="539" t="str">
        <f>IF(AND('Mapa final'!$K$7="Muy Alta",'Mapa final'!$O$7="Leve"),CONCATENATE("R",'Mapa final'!$A$7),"")</f>
        <v/>
      </c>
      <c r="K6" s="533"/>
      <c r="L6" s="533" t="str">
        <f>IF(AND('Mapa final'!$K$10="Muy Alta",'Mapa final'!$O$10="Leve"),CONCATENATE("R",'Mapa final'!$A$10),"")</f>
        <v/>
      </c>
      <c r="M6" s="533"/>
      <c r="N6" s="533" t="str">
        <f>IF(AND('Mapa final'!$K$13="Muy Alta",'Mapa final'!$O$13="Leve"),CONCATENATE("R",'Mapa final'!$A$13),"")</f>
        <v/>
      </c>
      <c r="O6" s="533"/>
      <c r="P6" s="533" t="e">
        <f>IF(AND('Mapa final'!#REF!="Muy Alta",'Mapa final'!#REF!="Leve"),CONCATENATE("R",'Mapa final'!#REF!),"")</f>
        <v>#REF!</v>
      </c>
      <c r="Q6" s="533"/>
      <c r="R6" s="533" t="str">
        <f>IF(AND('Mapa final'!$K$16="Muy Alta",'Mapa final'!$O$16="Leve"),CONCATENATE("R",'Mapa final'!$A$16),"")</f>
        <v/>
      </c>
      <c r="S6" s="533"/>
      <c r="T6" s="473" t="str">
        <f>IF(AND('Mapa final'!$K$7="Muy Alta",'Mapa final'!$O$7="Menor"),CONCATENATE("R",'Mapa final'!$A$7),"")</f>
        <v/>
      </c>
      <c r="U6" s="474"/>
      <c r="V6" s="474" t="str">
        <f>IF(AND('Mapa final'!$K$10="Muy Alta",'Mapa final'!$O$10="Menor"),CONCATENATE("R",'Mapa final'!$A$10),"")</f>
        <v/>
      </c>
      <c r="W6" s="474"/>
      <c r="X6" s="474" t="str">
        <f>IF(AND('Mapa final'!$K$13="Muy Alta",'Mapa final'!$O$13="Menor"),CONCATENATE("R",'Mapa final'!$A$13),"")</f>
        <v/>
      </c>
      <c r="Y6" s="474"/>
      <c r="Z6" s="474" t="e">
        <f>IF(AND('Mapa final'!#REF!="Muy Alta",'Mapa final'!#REF!="Menor"),CONCATENATE("R",'Mapa final'!#REF!),"")</f>
        <v>#REF!</v>
      </c>
      <c r="AA6" s="474"/>
      <c r="AB6" s="474" t="str">
        <f>IF(AND('Mapa final'!$K$16="Muy Alta",'Mapa final'!$O$16="Menor"),CONCATENATE("R",'Mapa final'!$A$16),"")</f>
        <v/>
      </c>
      <c r="AC6" s="475"/>
      <c r="AD6" s="473" t="str">
        <f>IF(AND('Mapa final'!$K$7="Muy Alta",'Mapa final'!$O$7="Moderado"),CONCATENATE("R",'Mapa final'!$A$7),"")</f>
        <v/>
      </c>
      <c r="AE6" s="474"/>
      <c r="AF6" s="474" t="str">
        <f>IF(AND('Mapa final'!$K$10="Muy Alta",'Mapa final'!$O$10="Moderado"),CONCATENATE("R",'Mapa final'!$A$10),"")</f>
        <v/>
      </c>
      <c r="AG6" s="474"/>
      <c r="AH6" s="474" t="str">
        <f>IF(AND('Mapa final'!$K$13="Muy Alta",'Mapa final'!$O$13="Moderado"),CONCATENATE("R",'Mapa final'!$A$13),"")</f>
        <v/>
      </c>
      <c r="AI6" s="474"/>
      <c r="AJ6" s="474" t="e">
        <f>IF(AND('Mapa final'!#REF!="Muy Alta",'Mapa final'!#REF!="Moderado"),CONCATENATE("R",'Mapa final'!#REF!),"")</f>
        <v>#REF!</v>
      </c>
      <c r="AK6" s="474"/>
      <c r="AL6" s="474" t="str">
        <f>IF(AND('Mapa final'!$K$16="Muy Alta",'Mapa final'!$O$16="Moderado"),CONCATENATE("R",'Mapa final'!$A$16),"")</f>
        <v/>
      </c>
      <c r="AM6" s="475"/>
      <c r="AN6" s="473" t="str">
        <f>IF(AND('Mapa final'!$K$7="Muy Alta",'Mapa final'!$O$7="Mayor"),CONCATENATE("R",'Mapa final'!$A$7),"")</f>
        <v/>
      </c>
      <c r="AO6" s="474"/>
      <c r="AP6" s="474" t="str">
        <f>IF(AND('Mapa final'!$K$10="Muy Alta",'Mapa final'!$O$10="Mayor"),CONCATENATE("R",'Mapa final'!$A$10),"")</f>
        <v/>
      </c>
      <c r="AQ6" s="474"/>
      <c r="AR6" s="474" t="str">
        <f>IF(AND('Mapa final'!$K$13="Muy Alta",'Mapa final'!$O$13="Mayor"),CONCATENATE("R",'Mapa final'!$A$13),"")</f>
        <v/>
      </c>
      <c r="AS6" s="474"/>
      <c r="AT6" s="474" t="e">
        <f>IF(AND('Mapa final'!#REF!="Muy Alta",'Mapa final'!#REF!="Mayor"),CONCATENATE("R",'Mapa final'!#REF!),"")</f>
        <v>#REF!</v>
      </c>
      <c r="AU6" s="474"/>
      <c r="AV6" s="474" t="str">
        <f>IF(AND('Mapa final'!$K$16="Muy Alta",'Mapa final'!$O$16="Mayor"),CONCATENATE("R",'Mapa final'!$A$16),"")</f>
        <v/>
      </c>
      <c r="AW6" s="475"/>
      <c r="AX6" s="480" t="str">
        <f>IF(AND('Mapa final'!$K$7="Muy Alta",'Mapa final'!$O$7="Catastrófico"),CONCATENATE("R",'Mapa final'!$A$7),"")</f>
        <v/>
      </c>
      <c r="AY6" s="479"/>
      <c r="AZ6" s="479" t="str">
        <f>IF(AND('Mapa final'!$K$10="Muy Alta",'Mapa final'!$O$10="Catastrófico"),CONCATENATE("R",'Mapa final'!$A$10),"")</f>
        <v/>
      </c>
      <c r="BA6" s="479"/>
      <c r="BB6" s="479" t="str">
        <f>IF(AND('Mapa final'!$K$13="Muy Alta",'Mapa final'!$O$13="Catastrófico"),CONCATENATE("R",'Mapa final'!$A$13),"")</f>
        <v/>
      </c>
      <c r="BC6" s="479"/>
      <c r="BD6" s="479" t="e">
        <f>IF(AND('Mapa final'!#REF!="Muy Alta",'Mapa final'!#REF!="Catastrófico"),CONCATENATE("R",'Mapa final'!#REF!),"")</f>
        <v>#REF!</v>
      </c>
      <c r="BE6" s="479"/>
      <c r="BF6" s="479" t="str">
        <f>IF(AND('Mapa final'!$K$16="Muy Alta",'Mapa final'!$O$16="Catastrófico"),CONCATENATE("R",'Mapa final'!$A$16),"")</f>
        <v/>
      </c>
      <c r="BG6" s="53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35">
      <c r="A7" s="56"/>
      <c r="B7" s="300"/>
      <c r="C7" s="300"/>
      <c r="D7" s="301"/>
      <c r="E7" s="524"/>
      <c r="F7" s="525"/>
      <c r="G7" s="525"/>
      <c r="H7" s="525"/>
      <c r="I7" s="530"/>
      <c r="J7" s="535"/>
      <c r="K7" s="461"/>
      <c r="L7" s="461"/>
      <c r="M7" s="461"/>
      <c r="N7" s="461"/>
      <c r="O7" s="461"/>
      <c r="P7" s="461"/>
      <c r="Q7" s="461"/>
      <c r="R7" s="461"/>
      <c r="S7" s="461"/>
      <c r="T7" s="463"/>
      <c r="U7" s="461"/>
      <c r="V7" s="461"/>
      <c r="W7" s="461"/>
      <c r="X7" s="461"/>
      <c r="Y7" s="461"/>
      <c r="Z7" s="461"/>
      <c r="AA7" s="461"/>
      <c r="AB7" s="461"/>
      <c r="AC7" s="462"/>
      <c r="AD7" s="463"/>
      <c r="AE7" s="461"/>
      <c r="AF7" s="461"/>
      <c r="AG7" s="461"/>
      <c r="AH7" s="461"/>
      <c r="AI7" s="461"/>
      <c r="AJ7" s="461"/>
      <c r="AK7" s="461"/>
      <c r="AL7" s="461"/>
      <c r="AM7" s="462"/>
      <c r="AN7" s="463"/>
      <c r="AO7" s="461"/>
      <c r="AP7" s="461"/>
      <c r="AQ7" s="461"/>
      <c r="AR7" s="461"/>
      <c r="AS7" s="461"/>
      <c r="AT7" s="461"/>
      <c r="AU7" s="461"/>
      <c r="AV7" s="461"/>
      <c r="AW7" s="462"/>
      <c r="AX7" s="457"/>
      <c r="AY7" s="455"/>
      <c r="AZ7" s="455"/>
      <c r="BA7" s="455"/>
      <c r="BB7" s="455"/>
      <c r="BC7" s="455"/>
      <c r="BD7" s="455"/>
      <c r="BE7" s="455"/>
      <c r="BF7" s="455"/>
      <c r="BG7" s="4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35">
      <c r="A8" s="56"/>
      <c r="B8" s="300"/>
      <c r="C8" s="300"/>
      <c r="D8" s="301"/>
      <c r="E8" s="524"/>
      <c r="F8" s="525"/>
      <c r="G8" s="525"/>
      <c r="H8" s="525"/>
      <c r="I8" s="530"/>
      <c r="J8" s="535" t="str">
        <f>IF(AND('Mapa final'!$K$19="Muy Alta",'Mapa final'!$O$19="Leve"),CONCATENATE("R",'Mapa final'!$A$19),"")</f>
        <v/>
      </c>
      <c r="K8" s="461"/>
      <c r="L8" s="461" t="str">
        <f>IF(AND('Mapa final'!$K$22="Muy Alta",'Mapa final'!$O$22="Leve"),CONCATENATE("R",'Mapa final'!$A$22),"")</f>
        <v/>
      </c>
      <c r="M8" s="461"/>
      <c r="N8" s="461" t="str">
        <f>IF(AND('Mapa final'!$K$25="Muy Alta",'Mapa final'!$O$25="Leve"),CONCATENATE("R",'Mapa final'!$A$25),"")</f>
        <v/>
      </c>
      <c r="O8" s="461"/>
      <c r="P8" s="461" t="str">
        <f>IF(AND('Mapa final'!$K$28="Muy Alta",'Mapa final'!$O$28="Leve"),CONCATENATE("R",'Mapa final'!$A$28),"")</f>
        <v/>
      </c>
      <c r="Q8" s="461"/>
      <c r="R8" s="461" t="str">
        <f>IF(AND('Mapa final'!$K$31="Muy Alta",'Mapa final'!$O$31="Leve"),CONCATENATE("R",'Mapa final'!$A$31),"")</f>
        <v/>
      </c>
      <c r="S8" s="461"/>
      <c r="T8" s="463" t="str">
        <f>IF(AND('Mapa final'!$K$19="Muy Alta",'Mapa final'!$O$19="Menor"),CONCATENATE("R",'Mapa final'!$A$19),"")</f>
        <v/>
      </c>
      <c r="U8" s="461"/>
      <c r="V8" s="461" t="str">
        <f>IF(AND('Mapa final'!$K$22="Muy Alta",'Mapa final'!$O$22="Menor"),CONCATENATE("R",'Mapa final'!$A$22),"")</f>
        <v/>
      </c>
      <c r="W8" s="461"/>
      <c r="X8" s="461" t="str">
        <f>IF(AND('Mapa final'!$K$25="Muy Alta",'Mapa final'!$O$25="Menor"),CONCATENATE("R",'Mapa final'!$A$25),"")</f>
        <v/>
      </c>
      <c r="Y8" s="461"/>
      <c r="Z8" s="461" t="str">
        <f>IF(AND('Mapa final'!$K$28="Muy Alta",'Mapa final'!$O$28="Menor"),CONCATENATE("R",'Mapa final'!$A$28),"")</f>
        <v/>
      </c>
      <c r="AA8" s="461"/>
      <c r="AB8" s="461" t="str">
        <f>IF(AND('Mapa final'!$K$31="Muy Alta",'Mapa final'!$O$31="Menor"),CONCATENATE("R",'Mapa final'!$A$31),"")</f>
        <v/>
      </c>
      <c r="AC8" s="462"/>
      <c r="AD8" s="463" t="str">
        <f>IF(AND('Mapa final'!$K$19="Muy Alta",'Mapa final'!$O$19="Moderado"),CONCATENATE("R",'Mapa final'!$A$19),"")</f>
        <v/>
      </c>
      <c r="AE8" s="461"/>
      <c r="AF8" s="461" t="str">
        <f>IF(AND('Mapa final'!$K$22="Muy Alta",'Mapa final'!$O$22="Moderado"),CONCATENATE("R",'Mapa final'!$A$22),"")</f>
        <v/>
      </c>
      <c r="AG8" s="461"/>
      <c r="AH8" s="461" t="str">
        <f>IF(AND('Mapa final'!$K$25="Muy Alta",'Mapa final'!$O$25="Moderado"),CONCATENATE("R",'Mapa final'!$A$25),"")</f>
        <v/>
      </c>
      <c r="AI8" s="461"/>
      <c r="AJ8" s="461" t="str">
        <f>IF(AND('Mapa final'!$K$28="Muy Alta",'Mapa final'!$O$28="Moderado"),CONCATENATE("R",'Mapa final'!$A$28),"")</f>
        <v/>
      </c>
      <c r="AK8" s="461"/>
      <c r="AL8" s="461" t="str">
        <f>IF(AND('Mapa final'!$K$31="Muy Alta",'Mapa final'!$O$31="Moderado"),CONCATENATE("R",'Mapa final'!$A$31),"")</f>
        <v/>
      </c>
      <c r="AM8" s="462"/>
      <c r="AN8" s="463" t="str">
        <f>IF(AND('Mapa final'!$K$19="Muy Alta",'Mapa final'!$O$19="Mayor"),CONCATENATE("R",'Mapa final'!$A$19),"")</f>
        <v/>
      </c>
      <c r="AO8" s="461"/>
      <c r="AP8" s="461" t="str">
        <f>IF(AND('Mapa final'!$K$22="Muy Alta",'Mapa final'!$O$22="Mayor"),CONCATENATE("R",'Mapa final'!$A$22),"")</f>
        <v/>
      </c>
      <c r="AQ8" s="461"/>
      <c r="AR8" s="461" t="str">
        <f>IF(AND('Mapa final'!$K$25="Muy Alta",'Mapa final'!$O$25="Mayor"),CONCATENATE("R",'Mapa final'!$A$25),"")</f>
        <v/>
      </c>
      <c r="AS8" s="461"/>
      <c r="AT8" s="461" t="str">
        <f>IF(AND('Mapa final'!$K$28="Muy Alta",'Mapa final'!$O$28="Mayor"),CONCATENATE("R",'Mapa final'!$A$28),"")</f>
        <v/>
      </c>
      <c r="AU8" s="461"/>
      <c r="AV8" s="461" t="str">
        <f>IF(AND('Mapa final'!$K$31="Muy Alta",'Mapa final'!$O$31="Mayor"),CONCATENATE("R",'Mapa final'!$A$31),"")</f>
        <v/>
      </c>
      <c r="AW8" s="462"/>
      <c r="AX8" s="457" t="str">
        <f>IF(AND('Mapa final'!$K$19="Muy Alta",'Mapa final'!$O$19="Catastrófico"),CONCATENATE("R",'Mapa final'!$A$19),"")</f>
        <v/>
      </c>
      <c r="AY8" s="455"/>
      <c r="AZ8" s="455" t="str">
        <f>IF(AND('Mapa final'!$K$22="Muy Alta",'Mapa final'!$O$22="Catastrófico"),CONCATENATE("R",'Mapa final'!$A$22),"")</f>
        <v/>
      </c>
      <c r="BA8" s="455"/>
      <c r="BB8" s="455" t="str">
        <f>IF(AND('Mapa final'!$K$25="Muy Alta",'Mapa final'!$O$25="Catastrófico"),CONCATENATE("R",'Mapa final'!$A$25),"")</f>
        <v/>
      </c>
      <c r="BC8" s="455"/>
      <c r="BD8" s="455" t="str">
        <f>IF(AND('Mapa final'!$K$28="Muy Alta",'Mapa final'!$O$28="Catastrófico"),CONCATENATE("R",'Mapa final'!$A$28),"")</f>
        <v/>
      </c>
      <c r="BE8" s="455"/>
      <c r="BF8" s="455" t="str">
        <f>IF(AND('Mapa final'!$K$31="Muy Alta",'Mapa final'!$O$31="Catastrófico"),CONCATENATE("R",'Mapa final'!$A$31),"")</f>
        <v/>
      </c>
      <c r="BG8" s="4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35">
      <c r="A9" s="56"/>
      <c r="B9" s="300"/>
      <c r="C9" s="300"/>
      <c r="D9" s="301"/>
      <c r="E9" s="524"/>
      <c r="F9" s="525"/>
      <c r="G9" s="525"/>
      <c r="H9" s="525"/>
      <c r="I9" s="530"/>
      <c r="J9" s="535"/>
      <c r="K9" s="461"/>
      <c r="L9" s="461"/>
      <c r="M9" s="461"/>
      <c r="N9" s="461"/>
      <c r="O9" s="461"/>
      <c r="P9" s="461"/>
      <c r="Q9" s="461"/>
      <c r="R9" s="461"/>
      <c r="S9" s="461"/>
      <c r="T9" s="463"/>
      <c r="U9" s="461"/>
      <c r="V9" s="461"/>
      <c r="W9" s="461"/>
      <c r="X9" s="461"/>
      <c r="Y9" s="461"/>
      <c r="Z9" s="461"/>
      <c r="AA9" s="461"/>
      <c r="AB9" s="461"/>
      <c r="AC9" s="462"/>
      <c r="AD9" s="463"/>
      <c r="AE9" s="461"/>
      <c r="AF9" s="461"/>
      <c r="AG9" s="461"/>
      <c r="AH9" s="461"/>
      <c r="AI9" s="461"/>
      <c r="AJ9" s="461"/>
      <c r="AK9" s="461"/>
      <c r="AL9" s="461"/>
      <c r="AM9" s="462"/>
      <c r="AN9" s="463"/>
      <c r="AO9" s="461"/>
      <c r="AP9" s="461"/>
      <c r="AQ9" s="461"/>
      <c r="AR9" s="461"/>
      <c r="AS9" s="461"/>
      <c r="AT9" s="461"/>
      <c r="AU9" s="461"/>
      <c r="AV9" s="461"/>
      <c r="AW9" s="462"/>
      <c r="AX9" s="457"/>
      <c r="AY9" s="455"/>
      <c r="AZ9" s="455"/>
      <c r="BA9" s="455"/>
      <c r="BB9" s="455"/>
      <c r="BC9" s="455"/>
      <c r="BD9" s="455"/>
      <c r="BE9" s="455"/>
      <c r="BF9" s="455"/>
      <c r="BG9" s="4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35">
      <c r="A10" s="56"/>
      <c r="B10" s="300"/>
      <c r="C10" s="300"/>
      <c r="D10" s="301"/>
      <c r="E10" s="524"/>
      <c r="F10" s="525"/>
      <c r="G10" s="525"/>
      <c r="H10" s="525"/>
      <c r="I10" s="530"/>
      <c r="J10" s="535" t="str">
        <f>IF(AND('Mapa final'!$K$34="Muy Alta",'Mapa final'!$O$34="Leve"),CONCATENATE("R",'Mapa final'!$A$34),"")</f>
        <v/>
      </c>
      <c r="K10" s="461"/>
      <c r="L10" s="461" t="str">
        <f>IF(AND('Mapa final'!$K$37="Muy Alta",'Mapa final'!$O$37="Leve"),CONCATENATE("R",'Mapa final'!$A$37),"")</f>
        <v/>
      </c>
      <c r="M10" s="461"/>
      <c r="N10" s="461" t="str">
        <f>IF(AND('Mapa final'!$K$40="Muy Alta",'Mapa final'!$O$40="Leve"),CONCATENATE("R",'Mapa final'!$A$40),"")</f>
        <v/>
      </c>
      <c r="O10" s="461"/>
      <c r="P10" s="461" t="str">
        <f>IF(AND('Mapa final'!$K$43="Muy Alta",'Mapa final'!$O$43="Leve"),CONCATENATE("R",'Mapa final'!$A$43),"")</f>
        <v/>
      </c>
      <c r="Q10" s="461"/>
      <c r="R10" s="461" t="str">
        <f>IF(AND('Mapa final'!$K$46="Muy Alta",'Mapa final'!$O$46="Leve"),CONCATENATE("R",'Mapa final'!$A$46),"")</f>
        <v/>
      </c>
      <c r="S10" s="461"/>
      <c r="T10" s="463" t="str">
        <f>IF(AND('Mapa final'!$K$34="Muy Alta",'Mapa final'!$O$34="Menor"),CONCATENATE("R",'Mapa final'!$A$34),"")</f>
        <v/>
      </c>
      <c r="U10" s="461"/>
      <c r="V10" s="461" t="str">
        <f>IF(AND('Mapa final'!$K$37="Muy Alta",'Mapa final'!$O$37="Menor"),CONCATENATE("R",'Mapa final'!$A$37),"")</f>
        <v/>
      </c>
      <c r="W10" s="461"/>
      <c r="X10" s="461" t="str">
        <f>IF(AND('Mapa final'!$K$40="Muy Alta",'Mapa final'!$O$40="Menor"),CONCATENATE("R",'Mapa final'!$A$40),"")</f>
        <v/>
      </c>
      <c r="Y10" s="461"/>
      <c r="Z10" s="461" t="str">
        <f>IF(AND('Mapa final'!$K$43="Muy Alta",'Mapa final'!$O$43="Menor"),CONCATENATE("R",'Mapa final'!$A$43),"")</f>
        <v/>
      </c>
      <c r="AA10" s="461"/>
      <c r="AB10" s="461" t="str">
        <f>IF(AND('Mapa final'!$K$46="Muy Alta",'Mapa final'!$O$46="Menor"),CONCATENATE("R",'Mapa final'!$A$46),"")</f>
        <v/>
      </c>
      <c r="AC10" s="462"/>
      <c r="AD10" s="463" t="str">
        <f>IF(AND('Mapa final'!$K$34="Muy Alta",'Mapa final'!$O$34="Moderado"),CONCATENATE("R",'Mapa final'!$A$34),"")</f>
        <v/>
      </c>
      <c r="AE10" s="461"/>
      <c r="AF10" s="461" t="str">
        <f>IF(AND('Mapa final'!$K$37="Muy Alta",'Mapa final'!$O$37="Moderado"),CONCATENATE("R",'Mapa final'!$A$37),"")</f>
        <v/>
      </c>
      <c r="AG10" s="461"/>
      <c r="AH10" s="461" t="str">
        <f>IF(AND('Mapa final'!$K$40="Muy Alta",'Mapa final'!$O$40="Moderado"),CONCATENATE("R",'Mapa final'!$A$40),"")</f>
        <v/>
      </c>
      <c r="AI10" s="461"/>
      <c r="AJ10" s="461" t="str">
        <f>IF(AND('Mapa final'!$K$43="Muy Alta",'Mapa final'!$O$43="Moderado"),CONCATENATE("R",'Mapa final'!$A$43),"")</f>
        <v/>
      </c>
      <c r="AK10" s="461"/>
      <c r="AL10" s="461" t="str">
        <f>IF(AND('Mapa final'!$K$46="Muy Alta",'Mapa final'!$O$46="Moderado"),CONCATENATE("R",'Mapa final'!$A$46),"")</f>
        <v/>
      </c>
      <c r="AM10" s="462"/>
      <c r="AN10" s="463" t="str">
        <f>IF(AND('Mapa final'!$K$34="Muy Alta",'Mapa final'!$O$34="Mayor"),CONCATENATE("R",'Mapa final'!$A$34),"")</f>
        <v/>
      </c>
      <c r="AO10" s="461"/>
      <c r="AP10" s="461" t="str">
        <f>IF(AND('Mapa final'!$K$37="Muy Alta",'Mapa final'!$O$37="Mayor"),CONCATENATE("R",'Mapa final'!$A$37),"")</f>
        <v/>
      </c>
      <c r="AQ10" s="461"/>
      <c r="AR10" s="461" t="str">
        <f>IF(AND('Mapa final'!$K$40="Muy Alta",'Mapa final'!$O$40="Mayor"),CONCATENATE("R",'Mapa final'!$A$40),"")</f>
        <v/>
      </c>
      <c r="AS10" s="461"/>
      <c r="AT10" s="461" t="str">
        <f>IF(AND('Mapa final'!$K$43="Muy Alta",'Mapa final'!$O$43="Mayor"),CONCATENATE("R",'Mapa final'!$A$43),"")</f>
        <v/>
      </c>
      <c r="AU10" s="461"/>
      <c r="AV10" s="461" t="str">
        <f>IF(AND('Mapa final'!$K$46="Muy Alta",'Mapa final'!$O$46="Mayor"),CONCATENATE("R",'Mapa final'!$A$46),"")</f>
        <v/>
      </c>
      <c r="AW10" s="462"/>
      <c r="AX10" s="457" t="str">
        <f>IF(AND('Mapa final'!$K$34="Muy Alta",'Mapa final'!$O$34="Catastrófico"),CONCATENATE("R",'Mapa final'!$A$34),"")</f>
        <v/>
      </c>
      <c r="AY10" s="455"/>
      <c r="AZ10" s="455" t="str">
        <f>IF(AND('Mapa final'!$K$37="Muy Alta",'Mapa final'!$O$37="Catastrófico"),CONCATENATE("R",'Mapa final'!$A$37),"")</f>
        <v/>
      </c>
      <c r="BA10" s="455"/>
      <c r="BB10" s="455" t="str">
        <f>IF(AND('Mapa final'!$K$40="Muy Alta",'Mapa final'!$O$40="Catastrófico"),CONCATENATE("R",'Mapa final'!$A$40),"")</f>
        <v/>
      </c>
      <c r="BC10" s="455"/>
      <c r="BD10" s="455" t="str">
        <f>IF(AND('Mapa final'!$K$43="Muy Alta",'Mapa final'!$O$43="Catastrófico"),CONCATENATE("R",'Mapa final'!$A$43),"")</f>
        <v/>
      </c>
      <c r="BE10" s="455"/>
      <c r="BF10" s="455" t="str">
        <f>IF(AND('Mapa final'!$K$46="Muy Alta",'Mapa final'!$O$46="Catastrófico"),CONCATENATE("R",'Mapa final'!$A$46),"")</f>
        <v/>
      </c>
      <c r="BG10" s="4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35">
      <c r="A11" s="56"/>
      <c r="B11" s="300"/>
      <c r="C11" s="300"/>
      <c r="D11" s="301"/>
      <c r="E11" s="524"/>
      <c r="F11" s="525"/>
      <c r="G11" s="525"/>
      <c r="H11" s="525"/>
      <c r="I11" s="530"/>
      <c r="J11" s="535"/>
      <c r="K11" s="461"/>
      <c r="L11" s="461"/>
      <c r="M11" s="461"/>
      <c r="N11" s="461"/>
      <c r="O11" s="461"/>
      <c r="P11" s="461"/>
      <c r="Q11" s="461"/>
      <c r="R11" s="461"/>
      <c r="S11" s="461"/>
      <c r="T11" s="463"/>
      <c r="U11" s="461"/>
      <c r="V11" s="461"/>
      <c r="W11" s="461"/>
      <c r="X11" s="461"/>
      <c r="Y11" s="461"/>
      <c r="Z11" s="461"/>
      <c r="AA11" s="461"/>
      <c r="AB11" s="461"/>
      <c r="AC11" s="462"/>
      <c r="AD11" s="463"/>
      <c r="AE11" s="461"/>
      <c r="AF11" s="461"/>
      <c r="AG11" s="461"/>
      <c r="AH11" s="461"/>
      <c r="AI11" s="461"/>
      <c r="AJ11" s="461"/>
      <c r="AK11" s="461"/>
      <c r="AL11" s="461"/>
      <c r="AM11" s="462"/>
      <c r="AN11" s="463"/>
      <c r="AO11" s="461"/>
      <c r="AP11" s="461"/>
      <c r="AQ11" s="461"/>
      <c r="AR11" s="461"/>
      <c r="AS11" s="461"/>
      <c r="AT11" s="461"/>
      <c r="AU11" s="461"/>
      <c r="AV11" s="461"/>
      <c r="AW11" s="462"/>
      <c r="AX11" s="457"/>
      <c r="AY11" s="455"/>
      <c r="AZ11" s="455"/>
      <c r="BA11" s="455"/>
      <c r="BB11" s="455"/>
      <c r="BC11" s="455"/>
      <c r="BD11" s="455"/>
      <c r="BE11" s="455"/>
      <c r="BF11" s="455"/>
      <c r="BG11" s="4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35">
      <c r="A12" s="56"/>
      <c r="B12" s="300"/>
      <c r="C12" s="300"/>
      <c r="D12" s="301"/>
      <c r="E12" s="524"/>
      <c r="F12" s="525"/>
      <c r="G12" s="525"/>
      <c r="H12" s="525"/>
      <c r="I12" s="530"/>
      <c r="J12" s="461" t="str">
        <f>IF(AND('Mapa final'!$K$49="Muy Alta",'Mapa final'!$O$49="Leve"),CONCATENATE("R",'Mapa final'!$A$49),"")</f>
        <v/>
      </c>
      <c r="K12" s="461"/>
      <c r="L12" s="461" t="str">
        <f>IF(AND('Mapa final'!$K$52="Muy Alta",'Mapa final'!$O$52="Leve"),CONCATENATE("R",'Mapa final'!$A$52),"")</f>
        <v/>
      </c>
      <c r="M12" s="461"/>
      <c r="N12" s="461" t="str">
        <f>IF(AND('Mapa final'!$K$55="Muy Alta",'Mapa final'!$O$55="Leve"),CONCATENATE("R",'Mapa final'!$A$55),"")</f>
        <v/>
      </c>
      <c r="O12" s="461"/>
      <c r="P12" s="461" t="str">
        <f>IF(AND('Mapa final'!$K$58="Muy Alta",'Mapa final'!$O$58="Leve"),CONCATENATE("R",'Mapa final'!$A$58),"")</f>
        <v/>
      </c>
      <c r="Q12" s="461"/>
      <c r="R12" s="461" t="str">
        <f>IF(AND('Mapa final'!$K$61="Muy Alta",'Mapa final'!$O$61="Leve"),CONCATENATE("R",'Mapa final'!$A$61),"")</f>
        <v/>
      </c>
      <c r="S12" s="461"/>
      <c r="T12" s="463" t="str">
        <f>IF(AND('Mapa final'!$K$49="Muy Alta",'Mapa final'!$O$49="Menor"),CONCATENATE("R",'Mapa final'!$A$49),"")</f>
        <v/>
      </c>
      <c r="U12" s="461"/>
      <c r="V12" s="461" t="str">
        <f>IF(AND('Mapa final'!$K$52="Muy Alta",'Mapa final'!$O$52="Menor"),CONCATENATE("R",'Mapa final'!$A$52),"")</f>
        <v/>
      </c>
      <c r="W12" s="461"/>
      <c r="X12" s="461" t="str">
        <f>IF(AND('Mapa final'!$K$55="Muy Alta",'Mapa final'!$O$55="Menor"),CONCATENATE("R",'Mapa final'!$A$55),"")</f>
        <v/>
      </c>
      <c r="Y12" s="461"/>
      <c r="Z12" s="461" t="str">
        <f>IF(AND('Mapa final'!$K$58="Muy Alta",'Mapa final'!$O$58="Menor"),CONCATENATE("R",'Mapa final'!$A$58),"")</f>
        <v/>
      </c>
      <c r="AA12" s="461"/>
      <c r="AB12" s="461" t="str">
        <f>IF(AND('Mapa final'!$K$61="Muy Alta",'Mapa final'!$O$61="Menor"),CONCATENATE("R",'Mapa final'!$A$61),"")</f>
        <v/>
      </c>
      <c r="AC12" s="462"/>
      <c r="AD12" s="463" t="str">
        <f>IF(AND('Mapa final'!$K$49="Muy Alta",'Mapa final'!$O$49="Moderado"),CONCATENATE("R",'Mapa final'!$A$49),"")</f>
        <v/>
      </c>
      <c r="AE12" s="461"/>
      <c r="AF12" s="461" t="str">
        <f>IF(AND('Mapa final'!$K$52="Muy Alta",'Mapa final'!$O$52="Moderado"),CONCATENATE("R",'Mapa final'!$A$52),"")</f>
        <v/>
      </c>
      <c r="AG12" s="461"/>
      <c r="AH12" s="461" t="str">
        <f>IF(AND('Mapa final'!$K$55="Muy Alta",'Mapa final'!$O$55="Moderado"),CONCATENATE("R",'Mapa final'!$A$55),"")</f>
        <v/>
      </c>
      <c r="AI12" s="461"/>
      <c r="AJ12" s="461" t="str">
        <f>IF(AND('Mapa final'!$K$58="Muy Alta",'Mapa final'!$O$58="Moderado"),CONCATENATE("R",'Mapa final'!$A$58),"")</f>
        <v/>
      </c>
      <c r="AK12" s="461"/>
      <c r="AL12" s="461" t="str">
        <f>IF(AND('Mapa final'!$K$61="Muy Alta",'Mapa final'!$O$61="Moderado"),CONCATENATE("R",'Mapa final'!$A$61),"")</f>
        <v/>
      </c>
      <c r="AM12" s="462"/>
      <c r="AN12" s="463" t="str">
        <f>IF(AND('Mapa final'!$K$49="Muy Alta",'Mapa final'!$O$49="Mayor"),CONCATENATE("R",'Mapa final'!$A$49),"")</f>
        <v/>
      </c>
      <c r="AO12" s="461"/>
      <c r="AP12" s="461" t="str">
        <f>IF(AND('Mapa final'!$K$52="Muy Alta",'Mapa final'!$O$52="Mayor"),CONCATENATE("R",'Mapa final'!$A$52),"")</f>
        <v>R16</v>
      </c>
      <c r="AQ12" s="461"/>
      <c r="AR12" s="461" t="str">
        <f>IF(AND('Mapa final'!$K$55="Muy Alta",'Mapa final'!$O$55="Mayor"),CONCATENATE("R",'Mapa final'!$A$55),"")</f>
        <v/>
      </c>
      <c r="AS12" s="461"/>
      <c r="AT12" s="461" t="str">
        <f>IF(AND('Mapa final'!$K$58="Muy Alta",'Mapa final'!$O$58="Mayor"),CONCATENATE("R",'Mapa final'!$A$58),"")</f>
        <v/>
      </c>
      <c r="AU12" s="461"/>
      <c r="AV12" s="461" t="str">
        <f>IF(AND('Mapa final'!$K$61="Muy Alta",'Mapa final'!$O$61="Mayor"),CONCATENATE("R",'Mapa final'!$A$61),"")</f>
        <v/>
      </c>
      <c r="AW12" s="462"/>
      <c r="AX12" s="457" t="str">
        <f>IF(AND('Mapa final'!$K$49="Muy Alta",'Mapa final'!$O$49="Catastrófico"),CONCATENATE("R",'Mapa final'!$A$49),"")</f>
        <v/>
      </c>
      <c r="AY12" s="455"/>
      <c r="AZ12" s="455" t="str">
        <f>IF(AND('Mapa final'!$K$52="Muy Alta",'Mapa final'!$O$52="Catastrófico"),CONCATENATE("R",'Mapa final'!$A$52),"")</f>
        <v/>
      </c>
      <c r="BA12" s="455"/>
      <c r="BB12" s="455" t="str">
        <f>IF(AND('Mapa final'!$K$55="Muy Alta",'Mapa final'!$O$55="Catastrófico"),CONCATENATE("R",'Mapa final'!$A$55),"")</f>
        <v/>
      </c>
      <c r="BC12" s="455"/>
      <c r="BD12" s="455" t="str">
        <f>IF(AND('Mapa final'!$K$58="Muy Alta",'Mapa final'!$O$58="Catastrófico"),CONCATENATE("R",'Mapa final'!$A$58),"")</f>
        <v/>
      </c>
      <c r="BE12" s="455"/>
      <c r="BF12" s="455" t="str">
        <f>IF(AND('Mapa final'!$K$61="Muy Alta",'Mapa final'!$O$61="Catastrófico"),CONCATENATE("R",'Mapa final'!$A$61),"")</f>
        <v/>
      </c>
      <c r="BG12" s="4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4">
      <c r="A13" s="56"/>
      <c r="B13" s="300"/>
      <c r="C13" s="300"/>
      <c r="D13" s="301"/>
      <c r="E13" s="524"/>
      <c r="F13" s="525"/>
      <c r="G13" s="525"/>
      <c r="H13" s="525"/>
      <c r="I13" s="530"/>
      <c r="J13" s="461"/>
      <c r="K13" s="461"/>
      <c r="L13" s="461"/>
      <c r="M13" s="461"/>
      <c r="N13" s="461"/>
      <c r="O13" s="461"/>
      <c r="P13" s="461"/>
      <c r="Q13" s="461"/>
      <c r="R13" s="461"/>
      <c r="S13" s="461"/>
      <c r="T13" s="463"/>
      <c r="U13" s="461"/>
      <c r="V13" s="461"/>
      <c r="W13" s="461"/>
      <c r="X13" s="461"/>
      <c r="Y13" s="461"/>
      <c r="Z13" s="461"/>
      <c r="AA13" s="461"/>
      <c r="AB13" s="461"/>
      <c r="AC13" s="462"/>
      <c r="AD13" s="463"/>
      <c r="AE13" s="461"/>
      <c r="AF13" s="461"/>
      <c r="AG13" s="461"/>
      <c r="AH13" s="461"/>
      <c r="AI13" s="461"/>
      <c r="AJ13" s="461"/>
      <c r="AK13" s="461"/>
      <c r="AL13" s="461"/>
      <c r="AM13" s="462"/>
      <c r="AN13" s="463"/>
      <c r="AO13" s="461"/>
      <c r="AP13" s="461"/>
      <c r="AQ13" s="461"/>
      <c r="AR13" s="461"/>
      <c r="AS13" s="461"/>
      <c r="AT13" s="461"/>
      <c r="AU13" s="461"/>
      <c r="AV13" s="461"/>
      <c r="AW13" s="462"/>
      <c r="AX13" s="457"/>
      <c r="AY13" s="455"/>
      <c r="AZ13" s="455"/>
      <c r="BA13" s="455"/>
      <c r="BB13" s="455"/>
      <c r="BC13" s="455"/>
      <c r="BD13" s="455"/>
      <c r="BE13" s="455"/>
      <c r="BF13" s="455"/>
      <c r="BG13" s="4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35">
      <c r="A14" s="56"/>
      <c r="B14" s="300"/>
      <c r="C14" s="300"/>
      <c r="D14" s="301"/>
      <c r="E14" s="524"/>
      <c r="F14" s="525"/>
      <c r="G14" s="525"/>
      <c r="H14" s="525"/>
      <c r="I14" s="530"/>
      <c r="J14" s="461" t="str">
        <f>IF(AND('Mapa final'!$K$64="Muy Alta",'Mapa final'!$O$64="Leve"),CONCATENATE("R",'Mapa final'!$A$64),"")</f>
        <v/>
      </c>
      <c r="K14" s="461"/>
      <c r="L14" s="461" t="str">
        <f>IF(AND('Mapa final'!$K$67="Muy Alta",'Mapa final'!$O$67="Leve"),CONCATENATE("R",'Mapa final'!$A$67),"")</f>
        <v/>
      </c>
      <c r="M14" s="461"/>
      <c r="N14" s="461" t="str">
        <f>IF(AND('Mapa final'!$K$73="Muy Alta",'Mapa final'!$O$73="Leve"),CONCATENATE("R",'Mapa final'!$A$73),"")</f>
        <v/>
      </c>
      <c r="O14" s="461"/>
      <c r="P14" s="461" t="str">
        <f>IF(AND('Mapa final'!$K$76="Muy Alta",'Mapa final'!$O$76="Leve"),CONCATENATE("R",'Mapa final'!$A$76),"")</f>
        <v/>
      </c>
      <c r="Q14" s="461"/>
      <c r="R14" s="461" t="str">
        <f>IF(AND('Mapa final'!$K$79="Muy Alta",'Mapa final'!$O$79="Leve"),CONCATENATE("R",'Mapa final'!$A$79),"")</f>
        <v/>
      </c>
      <c r="S14" s="461"/>
      <c r="T14" s="463" t="str">
        <f>IF(AND('Mapa final'!$K$64="Muy Alta",'Mapa final'!$O$64="Menor"),CONCATENATE("R",'Mapa final'!$A$64),"")</f>
        <v/>
      </c>
      <c r="U14" s="461"/>
      <c r="V14" s="461" t="str">
        <f>IF(AND('Mapa final'!$K$67="Muy Alta",'Mapa final'!$O$67="Menor"),CONCATENATE("R",'Mapa final'!$A$67),"")</f>
        <v/>
      </c>
      <c r="W14" s="461"/>
      <c r="X14" s="461" t="str">
        <f>IF(AND('Mapa final'!$K$73="Muy Alta",'Mapa final'!$O$73="Menor"),CONCATENATE("R",'Mapa final'!$A$73),"")</f>
        <v/>
      </c>
      <c r="Y14" s="461"/>
      <c r="Z14" s="461" t="str">
        <f>IF(AND('Mapa final'!$K$76="Muy Alta",'Mapa final'!$O$76="Menor"),CONCATENATE("R",'Mapa final'!$A$76),"")</f>
        <v/>
      </c>
      <c r="AA14" s="461"/>
      <c r="AB14" s="461" t="str">
        <f>IF(AND('Mapa final'!$K$79="Muy Alta",'Mapa final'!$O$79="Menor"),CONCATENATE("R",'Mapa final'!$A$79),"")</f>
        <v/>
      </c>
      <c r="AC14" s="462"/>
      <c r="AD14" s="463" t="str">
        <f>IF(AND('Mapa final'!$K$64="Muy Alta",'Mapa final'!$O$64="Moderado"),CONCATENATE("R",'Mapa final'!$A$64),"")</f>
        <v/>
      </c>
      <c r="AE14" s="461"/>
      <c r="AF14" s="461" t="str">
        <f>IF(AND('Mapa final'!$K$67="Muy Alta",'Mapa final'!$O$67="Moderado"),CONCATENATE("R",'Mapa final'!$A$67),"")</f>
        <v/>
      </c>
      <c r="AG14" s="461"/>
      <c r="AH14" s="461" t="str">
        <f>IF(AND('Mapa final'!$K$73="Muy Alta",'Mapa final'!$O$73="Moderado"),CONCATENATE("R",'Mapa final'!$A$73),"")</f>
        <v/>
      </c>
      <c r="AI14" s="461"/>
      <c r="AJ14" s="461" t="str">
        <f>IF(AND('Mapa final'!$K$76="Muy Alta",'Mapa final'!$O$76="Moderado"),CONCATENATE("R",'Mapa final'!$A$76),"")</f>
        <v/>
      </c>
      <c r="AK14" s="461"/>
      <c r="AL14" s="461" t="str">
        <f>IF(AND('Mapa final'!$K$79="Muy Alta",'Mapa final'!$O$79="Moderado"),CONCATENATE("R",'Mapa final'!$A$79),"")</f>
        <v/>
      </c>
      <c r="AM14" s="462"/>
      <c r="AN14" s="463" t="str">
        <f>IF(AND('Mapa final'!$K$64="Muy Alta",'Mapa final'!$O$64="Mayor"),CONCATENATE("R",'Mapa final'!$A$64),"")</f>
        <v/>
      </c>
      <c r="AO14" s="461"/>
      <c r="AP14" s="461" t="str">
        <f>IF(AND('Mapa final'!$K$67="Muy Alta",'Mapa final'!$O$67="Mayor"),CONCATENATE("R",'Mapa final'!$A$67),"")</f>
        <v/>
      </c>
      <c r="AQ14" s="461"/>
      <c r="AR14" s="461" t="str">
        <f>IF(AND('Mapa final'!$K$73="Muy Alta",'Mapa final'!$O$73="Mayor"),CONCATENATE("R",'Mapa final'!$A$73),"")</f>
        <v/>
      </c>
      <c r="AS14" s="461"/>
      <c r="AT14" s="461" t="str">
        <f>IF(AND('Mapa final'!$K$76="Muy Alta",'Mapa final'!$O$76="Mayor"),CONCATENATE("R",'Mapa final'!$A$76),"")</f>
        <v/>
      </c>
      <c r="AU14" s="461"/>
      <c r="AV14" s="461" t="str">
        <f>IF(AND('Mapa final'!$K$79="Muy Alta",'Mapa final'!$O$79="Mayor"),CONCATENATE("R",'Mapa final'!$A$79),"")</f>
        <v/>
      </c>
      <c r="AW14" s="462"/>
      <c r="AX14" s="457" t="str">
        <f>IF(AND('Mapa final'!$K$64="Muy Alta",'Mapa final'!$O$64="Catastrófico"),CONCATENATE("R",'Mapa final'!$A$64),"")</f>
        <v/>
      </c>
      <c r="AY14" s="455"/>
      <c r="AZ14" s="455" t="str">
        <f>IF(AND('Mapa final'!$K$67="Muy Alta",'Mapa final'!$O$67="Catastrófico"),CONCATENATE("R",'Mapa final'!$A$67),"")</f>
        <v/>
      </c>
      <c r="BA14" s="455"/>
      <c r="BB14" s="455" t="str">
        <f>IF(AND('Mapa final'!$K$73="Muy Alta",'Mapa final'!$O$73="Catastrófico"),CONCATENATE("R",'Mapa final'!$A$73),"")</f>
        <v/>
      </c>
      <c r="BC14" s="455"/>
      <c r="BD14" s="455" t="str">
        <f>IF(AND('Mapa final'!$K$76="Muy Alta",'Mapa final'!$O$76="Catastrófico"),CONCATENATE("R",'Mapa final'!$A$76),"")</f>
        <v/>
      </c>
      <c r="BE14" s="455"/>
      <c r="BF14" s="455" t="str">
        <f>IF(AND('Mapa final'!$K$79="Muy Alta",'Mapa final'!$O$79="Catastrófico"),CONCATENATE("R",'Mapa final'!$A$79),"")</f>
        <v/>
      </c>
      <c r="BG14" s="456"/>
      <c r="BH14" s="56"/>
      <c r="BI14" s="486" t="s">
        <v>73</v>
      </c>
      <c r="BJ14" s="487"/>
      <c r="BK14" s="487"/>
      <c r="BL14" s="487"/>
      <c r="BM14" s="487"/>
      <c r="BN14" s="488"/>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35">
      <c r="A15" s="56"/>
      <c r="B15" s="300"/>
      <c r="C15" s="300"/>
      <c r="D15" s="301"/>
      <c r="E15" s="524"/>
      <c r="F15" s="525"/>
      <c r="G15" s="525"/>
      <c r="H15" s="525"/>
      <c r="I15" s="530"/>
      <c r="J15" s="461"/>
      <c r="K15" s="461"/>
      <c r="L15" s="461"/>
      <c r="M15" s="461"/>
      <c r="N15" s="461"/>
      <c r="O15" s="461"/>
      <c r="P15" s="461"/>
      <c r="Q15" s="461"/>
      <c r="R15" s="461"/>
      <c r="S15" s="461"/>
      <c r="T15" s="463"/>
      <c r="U15" s="461"/>
      <c r="V15" s="461"/>
      <c r="W15" s="461"/>
      <c r="X15" s="461"/>
      <c r="Y15" s="461"/>
      <c r="Z15" s="461"/>
      <c r="AA15" s="461"/>
      <c r="AB15" s="461"/>
      <c r="AC15" s="462"/>
      <c r="AD15" s="463"/>
      <c r="AE15" s="461"/>
      <c r="AF15" s="461"/>
      <c r="AG15" s="461"/>
      <c r="AH15" s="461"/>
      <c r="AI15" s="461"/>
      <c r="AJ15" s="461"/>
      <c r="AK15" s="461"/>
      <c r="AL15" s="461"/>
      <c r="AM15" s="462"/>
      <c r="AN15" s="463"/>
      <c r="AO15" s="461"/>
      <c r="AP15" s="461"/>
      <c r="AQ15" s="461"/>
      <c r="AR15" s="461"/>
      <c r="AS15" s="461"/>
      <c r="AT15" s="461"/>
      <c r="AU15" s="461"/>
      <c r="AV15" s="461"/>
      <c r="AW15" s="462"/>
      <c r="AX15" s="457"/>
      <c r="AY15" s="455"/>
      <c r="AZ15" s="455"/>
      <c r="BA15" s="455"/>
      <c r="BB15" s="455"/>
      <c r="BC15" s="455"/>
      <c r="BD15" s="455"/>
      <c r="BE15" s="455"/>
      <c r="BF15" s="455"/>
      <c r="BG15" s="456"/>
      <c r="BH15" s="56"/>
      <c r="BI15" s="489"/>
      <c r="BJ15" s="490"/>
      <c r="BK15" s="490"/>
      <c r="BL15" s="490"/>
      <c r="BM15" s="490"/>
      <c r="BN15" s="491"/>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35">
      <c r="A16" s="56"/>
      <c r="B16" s="300"/>
      <c r="C16" s="300"/>
      <c r="D16" s="301"/>
      <c r="E16" s="524"/>
      <c r="F16" s="525"/>
      <c r="G16" s="525"/>
      <c r="H16" s="525"/>
      <c r="I16" s="530"/>
      <c r="J16" s="461" t="str">
        <f>IF(AND('Mapa final'!$K$82="Muy Alta",'Mapa final'!$O$82="Leve"),CONCATENATE("R",'Mapa final'!$A$82),"")</f>
        <v/>
      </c>
      <c r="K16" s="461"/>
      <c r="L16" s="461" t="str">
        <f>IF(AND('Mapa final'!$K$85="Muy Alta",'Mapa final'!$O$85="Leve"),CONCATENATE("R",'Mapa final'!$A$85),"")</f>
        <v/>
      </c>
      <c r="M16" s="461"/>
      <c r="N16" s="461" t="str">
        <f>IF(AND('Mapa final'!$K$88="Muy Alta",'Mapa final'!$O$88="Leve"),CONCATENATE("R",'Mapa final'!$A$88),"")</f>
        <v/>
      </c>
      <c r="O16" s="461"/>
      <c r="P16" s="461" t="str">
        <f>IF(AND('Mapa final'!$K$91="Muy Alta",'Mapa final'!$O$91="Leve"),CONCATENATE("R",'Mapa final'!$A$91),"")</f>
        <v/>
      </c>
      <c r="Q16" s="461"/>
      <c r="R16" s="461" t="str">
        <f>IF(AND('Mapa final'!$K$94="Muy Alta",'Mapa final'!$O$94="Leve"),CONCATENATE("R",'Mapa final'!$A$94),"")</f>
        <v/>
      </c>
      <c r="S16" s="461"/>
      <c r="T16" s="463" t="str">
        <f>IF(AND('Mapa final'!$K$82="Muy Alta",'Mapa final'!$O$82="Menor"),CONCATENATE("R",'Mapa final'!$A$82),"")</f>
        <v/>
      </c>
      <c r="U16" s="461"/>
      <c r="V16" s="461" t="str">
        <f>IF(AND('Mapa final'!$K$85="Muy Alta",'Mapa final'!$O$85="Menor"),CONCATENATE("R",'Mapa final'!$A$85),"")</f>
        <v/>
      </c>
      <c r="W16" s="461"/>
      <c r="X16" s="461" t="str">
        <f>IF(AND('Mapa final'!$K$88="Muy Alta",'Mapa final'!$O$88="Menor"),CONCATENATE("R",'Mapa final'!$A$88),"")</f>
        <v/>
      </c>
      <c r="Y16" s="461"/>
      <c r="Z16" s="461" t="str">
        <f>IF(AND('Mapa final'!$K$91="Muy Alta",'Mapa final'!$O$91="Menor"),CONCATENATE("R",'Mapa final'!$A$91),"")</f>
        <v/>
      </c>
      <c r="AA16" s="461"/>
      <c r="AB16" s="461" t="str">
        <f>IF(AND('Mapa final'!$K$94="Muy Alta",'Mapa final'!$O$94="Menor"),CONCATENATE("R",'Mapa final'!$A$94),"")</f>
        <v/>
      </c>
      <c r="AC16" s="462"/>
      <c r="AD16" s="463" t="str">
        <f>IF(AND('Mapa final'!$K$82="Muy Alta",'Mapa final'!$O$82="Moderado"),CONCATENATE("R",'Mapa final'!$A$82),"")</f>
        <v/>
      </c>
      <c r="AE16" s="461"/>
      <c r="AF16" s="461" t="str">
        <f>IF(AND('Mapa final'!$K$85="Muy Alta",'Mapa final'!$O$85="Moderado"),CONCATENATE("R",'Mapa final'!$A$85),"")</f>
        <v/>
      </c>
      <c r="AG16" s="461"/>
      <c r="AH16" s="461" t="str">
        <f>IF(AND('Mapa final'!$K$88="Muy Alta",'Mapa final'!$O$88="Moderado"),CONCATENATE("R",'Mapa final'!$A$88),"")</f>
        <v/>
      </c>
      <c r="AI16" s="461"/>
      <c r="AJ16" s="461" t="str">
        <f>IF(AND('Mapa final'!$K$91="Muy Alta",'Mapa final'!$O$91="Moderado"),CONCATENATE("R",'Mapa final'!$A$91),"")</f>
        <v/>
      </c>
      <c r="AK16" s="461"/>
      <c r="AL16" s="461" t="str">
        <f>IF(AND('Mapa final'!$K$94="Muy Alta",'Mapa final'!$O$94="Moderado"),CONCATENATE("R",'Mapa final'!$A$94),"")</f>
        <v/>
      </c>
      <c r="AM16" s="462"/>
      <c r="AN16" s="463" t="str">
        <f>IF(AND('Mapa final'!$K$82="Muy Alta",'Mapa final'!$O$82="Mayor"),CONCATENATE("R",'Mapa final'!$A$82),"")</f>
        <v/>
      </c>
      <c r="AO16" s="461"/>
      <c r="AP16" s="461" t="str">
        <f>IF(AND('Mapa final'!$K$85="Muy Alta",'Mapa final'!$O$85="Mayor"),CONCATENATE("R",'Mapa final'!$A$85),"")</f>
        <v/>
      </c>
      <c r="AQ16" s="461"/>
      <c r="AR16" s="461" t="str">
        <f>IF(AND('Mapa final'!$K$88="Muy Alta",'Mapa final'!$O$88="Mayor"),CONCATENATE("R",'Mapa final'!$A$88),"")</f>
        <v/>
      </c>
      <c r="AS16" s="461"/>
      <c r="AT16" s="461" t="str">
        <f>IF(AND('Mapa final'!$K$91="Muy Alta",'Mapa final'!$O$91="Mayor"),CONCATENATE("R",'Mapa final'!$A$91),"")</f>
        <v/>
      </c>
      <c r="AU16" s="461"/>
      <c r="AV16" s="461" t="str">
        <f>IF(AND('Mapa final'!$K$94="Muy Alta",'Mapa final'!$O$94="Mayor"),CONCATENATE("R",'Mapa final'!$A$94),"")</f>
        <v/>
      </c>
      <c r="AW16" s="462"/>
      <c r="AX16" s="457" t="str">
        <f>IF(AND('Mapa final'!$K$82="Muy Alta",'Mapa final'!$O$82="Catastrófico"),CONCATENATE("R",'Mapa final'!$A$82),"")</f>
        <v/>
      </c>
      <c r="AY16" s="455"/>
      <c r="AZ16" s="455" t="str">
        <f>IF(AND('Mapa final'!$K$85="Muy Alta",'Mapa final'!$O$85="Catastrófico"),CONCATENATE("R",'Mapa final'!$A$85),"")</f>
        <v/>
      </c>
      <c r="BA16" s="455"/>
      <c r="BB16" s="455" t="str">
        <f>IF(AND('Mapa final'!$K$88="Muy Alta",'Mapa final'!$O$88="Catastrófico"),CONCATENATE("R",'Mapa final'!$A$88),"")</f>
        <v/>
      </c>
      <c r="BC16" s="455"/>
      <c r="BD16" s="455" t="str">
        <f>IF(AND('Mapa final'!$K$91="Muy Alta",'Mapa final'!$O$91="Catastrófico"),CONCATENATE("R",'Mapa final'!$A$91),"")</f>
        <v/>
      </c>
      <c r="BE16" s="455"/>
      <c r="BF16" s="455" t="str">
        <f>IF(AND('Mapa final'!$K$94="Muy Alta",'Mapa final'!$O$94="Catastrófico"),CONCATENATE("R",'Mapa final'!$A$94),"")</f>
        <v/>
      </c>
      <c r="BG16" s="456"/>
      <c r="BH16" s="56"/>
      <c r="BI16" s="489"/>
      <c r="BJ16" s="490"/>
      <c r="BK16" s="490"/>
      <c r="BL16" s="490"/>
      <c r="BM16" s="490"/>
      <c r="BN16" s="491"/>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35">
      <c r="A17" s="56"/>
      <c r="B17" s="300"/>
      <c r="C17" s="300"/>
      <c r="D17" s="301"/>
      <c r="E17" s="524"/>
      <c r="F17" s="525"/>
      <c r="G17" s="525"/>
      <c r="H17" s="525"/>
      <c r="I17" s="530"/>
      <c r="J17" s="461"/>
      <c r="K17" s="461"/>
      <c r="L17" s="461"/>
      <c r="M17" s="461"/>
      <c r="N17" s="461"/>
      <c r="O17" s="461"/>
      <c r="P17" s="461"/>
      <c r="Q17" s="461"/>
      <c r="R17" s="461"/>
      <c r="S17" s="461"/>
      <c r="T17" s="463"/>
      <c r="U17" s="461"/>
      <c r="V17" s="461"/>
      <c r="W17" s="461"/>
      <c r="X17" s="461"/>
      <c r="Y17" s="461"/>
      <c r="Z17" s="461"/>
      <c r="AA17" s="461"/>
      <c r="AB17" s="461"/>
      <c r="AC17" s="462"/>
      <c r="AD17" s="463"/>
      <c r="AE17" s="461"/>
      <c r="AF17" s="461"/>
      <c r="AG17" s="461"/>
      <c r="AH17" s="461"/>
      <c r="AI17" s="461"/>
      <c r="AJ17" s="461"/>
      <c r="AK17" s="461"/>
      <c r="AL17" s="461"/>
      <c r="AM17" s="462"/>
      <c r="AN17" s="463"/>
      <c r="AO17" s="461"/>
      <c r="AP17" s="461"/>
      <c r="AQ17" s="461"/>
      <c r="AR17" s="461"/>
      <c r="AS17" s="461"/>
      <c r="AT17" s="461"/>
      <c r="AU17" s="461"/>
      <c r="AV17" s="461"/>
      <c r="AW17" s="462"/>
      <c r="AX17" s="457"/>
      <c r="AY17" s="455"/>
      <c r="AZ17" s="455"/>
      <c r="BA17" s="455"/>
      <c r="BB17" s="455"/>
      <c r="BC17" s="455"/>
      <c r="BD17" s="455"/>
      <c r="BE17" s="455"/>
      <c r="BF17" s="455"/>
      <c r="BG17" s="456"/>
      <c r="BH17" s="56"/>
      <c r="BI17" s="489"/>
      <c r="BJ17" s="490"/>
      <c r="BK17" s="490"/>
      <c r="BL17" s="490"/>
      <c r="BM17" s="490"/>
      <c r="BN17" s="491"/>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35">
      <c r="A18" s="56"/>
      <c r="B18" s="300"/>
      <c r="C18" s="300"/>
      <c r="D18" s="301"/>
      <c r="E18" s="524"/>
      <c r="F18" s="525"/>
      <c r="G18" s="525"/>
      <c r="H18" s="525"/>
      <c r="I18" s="530"/>
      <c r="J18" s="461" t="str">
        <f>IF(AND('Mapa final'!$K$97="Muy Alta",'Mapa final'!$O$97="Leve"),CONCATENATE("R",'Mapa final'!$A$97),"")</f>
        <v/>
      </c>
      <c r="K18" s="461"/>
      <c r="L18" s="461" t="e">
        <f>IF(AND('Mapa final'!#REF!="Muy Alta",'Mapa final'!#REF!="Leve"),CONCATENATE("R",'Mapa final'!#REF!),"")</f>
        <v>#REF!</v>
      </c>
      <c r="M18" s="461"/>
      <c r="N18" s="461" t="str">
        <f>IF(AND('Mapa final'!$K$100="Muy Alta",'Mapa final'!$O$100="Leve"),CONCATENATE("R",'Mapa final'!$A$100),"")</f>
        <v/>
      </c>
      <c r="O18" s="461"/>
      <c r="P18" s="461" t="str">
        <f>IF(AND('Mapa final'!$K$103="Muy Alta",'Mapa final'!$O$103="Leve"),CONCATENATE("R",'Mapa final'!$A$103),"")</f>
        <v/>
      </c>
      <c r="Q18" s="461"/>
      <c r="R18" s="461" t="str">
        <f>IF(AND('Mapa final'!$K$106="Muy Alta",'Mapa final'!$O$106="Leve"),CONCATENATE("R",'Mapa final'!$A$106),"")</f>
        <v/>
      </c>
      <c r="S18" s="461"/>
      <c r="T18" s="463" t="str">
        <f>IF(AND('Mapa final'!$K$97="Muy Alta",'Mapa final'!$O$97="Menor"),CONCATENATE("R",'Mapa final'!$A$97),"")</f>
        <v/>
      </c>
      <c r="U18" s="461"/>
      <c r="V18" s="461" t="e">
        <f>IF(AND('Mapa final'!#REF!="Muy Alta",'Mapa final'!#REF!="Menor"),CONCATENATE("R",'Mapa final'!#REF!),"")</f>
        <v>#REF!</v>
      </c>
      <c r="W18" s="461"/>
      <c r="X18" s="461" t="str">
        <f>IF(AND('Mapa final'!$K$100="Muy Alta",'Mapa final'!$O$100="Menor"),CONCATENATE("R",'Mapa final'!$A$100),"")</f>
        <v/>
      </c>
      <c r="Y18" s="461"/>
      <c r="Z18" s="461" t="str">
        <f>IF(AND('Mapa final'!$K$103="Muy Alta",'Mapa final'!$O$103="Menor"),CONCATENATE("R",'Mapa final'!$A$103),"")</f>
        <v/>
      </c>
      <c r="AA18" s="461"/>
      <c r="AB18" s="461" t="str">
        <f>IF(AND('Mapa final'!$K$106="Muy Alta",'Mapa final'!$O$106="Menor"),CONCATENATE("R",'Mapa final'!$A$106),"")</f>
        <v/>
      </c>
      <c r="AC18" s="462"/>
      <c r="AD18" s="463" t="str">
        <f>IF(AND('Mapa final'!$K$97="Muy Alta",'Mapa final'!$O$97="Moderado"),CONCATENATE("R",'Mapa final'!$A$97),"")</f>
        <v/>
      </c>
      <c r="AE18" s="461"/>
      <c r="AF18" s="461" t="e">
        <f>IF(AND('Mapa final'!#REF!="Muy Alta",'Mapa final'!#REF!="Moderado"),CONCATENATE("R",'Mapa final'!#REF!),"")</f>
        <v>#REF!</v>
      </c>
      <c r="AG18" s="461"/>
      <c r="AH18" s="461" t="str">
        <f>IF(AND('Mapa final'!$K$100="Muy Alta",'Mapa final'!$O$100="Moderado"),CONCATENATE("R",'Mapa final'!$A$100),"")</f>
        <v/>
      </c>
      <c r="AI18" s="461"/>
      <c r="AJ18" s="461" t="str">
        <f>IF(AND('Mapa final'!$K$103="Muy Alta",'Mapa final'!$O$103="Moderado"),CONCATENATE("R",'Mapa final'!$A$103),"")</f>
        <v/>
      </c>
      <c r="AK18" s="461"/>
      <c r="AL18" s="461" t="str">
        <f>IF(AND('Mapa final'!$K$106="Muy Alta",'Mapa final'!$O$106="Moderado"),CONCATENATE("R",'Mapa final'!$A$106),"")</f>
        <v/>
      </c>
      <c r="AM18" s="462"/>
      <c r="AN18" s="463" t="str">
        <f>IF(AND('Mapa final'!$K$97="Muy Alta",'Mapa final'!$O$97="Mayor"),CONCATENATE("R",'Mapa final'!$A$97),"")</f>
        <v/>
      </c>
      <c r="AO18" s="461"/>
      <c r="AP18" s="461" t="e">
        <f>IF(AND('Mapa final'!#REF!="Muy Alta",'Mapa final'!#REF!="Mayor"),CONCATENATE("R",'Mapa final'!#REF!),"")</f>
        <v>#REF!</v>
      </c>
      <c r="AQ18" s="461"/>
      <c r="AR18" s="461" t="str">
        <f>IF(AND('Mapa final'!$K$100="Muy Alta",'Mapa final'!$O$100="Mayor"),CONCATENATE("R",'Mapa final'!$A$100),"")</f>
        <v/>
      </c>
      <c r="AS18" s="461"/>
      <c r="AT18" s="461" t="str">
        <f>IF(AND('Mapa final'!$K$103="Muy Alta",'Mapa final'!$O$103="Mayor"),CONCATENATE("R",'Mapa final'!$A$103),"")</f>
        <v/>
      </c>
      <c r="AU18" s="461"/>
      <c r="AV18" s="461" t="str">
        <f>IF(AND('Mapa final'!$K$106="Muy Alta",'Mapa final'!$O$106="Mayor"),CONCATENATE("R",'Mapa final'!$A$106),"")</f>
        <v/>
      </c>
      <c r="AW18" s="462"/>
      <c r="AX18" s="457" t="str">
        <f>IF(AND('Mapa final'!$K$97="Muy Alta",'Mapa final'!$O$97="Catastrófico"),CONCATENATE("R",'Mapa final'!$A$97),"")</f>
        <v/>
      </c>
      <c r="AY18" s="455"/>
      <c r="AZ18" s="455" t="e">
        <f>IF(AND('Mapa final'!#REF!="Muy Alta",'Mapa final'!#REF!="Catastrófico"),CONCATENATE("R",'Mapa final'!#REF!),"")</f>
        <v>#REF!</v>
      </c>
      <c r="BA18" s="455"/>
      <c r="BB18" s="455" t="str">
        <f>IF(AND('Mapa final'!$K$100="Muy Alta",'Mapa final'!$O$100="Catastrófico"),CONCATENATE("R",'Mapa final'!$A$100),"")</f>
        <v/>
      </c>
      <c r="BC18" s="455"/>
      <c r="BD18" s="455" t="str">
        <f>IF(AND('Mapa final'!$K$103="Muy Alta",'Mapa final'!$O$103="Catastrófico"),CONCATENATE("R",'Mapa final'!$A$103),"")</f>
        <v/>
      </c>
      <c r="BE18" s="455"/>
      <c r="BF18" s="455" t="str">
        <f>IF(AND('Mapa final'!$K$106="Muy Alta",'Mapa final'!$O$106="Catastrófico"),CONCATENATE("R",'Mapa final'!$A$106),"")</f>
        <v/>
      </c>
      <c r="BG18" s="456"/>
      <c r="BH18" s="56"/>
      <c r="BI18" s="489"/>
      <c r="BJ18" s="490"/>
      <c r="BK18" s="490"/>
      <c r="BL18" s="490"/>
      <c r="BM18" s="490"/>
      <c r="BN18" s="491"/>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35">
      <c r="A19" s="56"/>
      <c r="B19" s="300"/>
      <c r="C19" s="300"/>
      <c r="D19" s="301"/>
      <c r="E19" s="524"/>
      <c r="F19" s="525"/>
      <c r="G19" s="525"/>
      <c r="H19" s="525"/>
      <c r="I19" s="530"/>
      <c r="J19" s="461"/>
      <c r="K19" s="461"/>
      <c r="L19" s="461"/>
      <c r="M19" s="461"/>
      <c r="N19" s="461"/>
      <c r="O19" s="461"/>
      <c r="P19" s="461"/>
      <c r="Q19" s="461"/>
      <c r="R19" s="461"/>
      <c r="S19" s="461"/>
      <c r="T19" s="463"/>
      <c r="U19" s="461"/>
      <c r="V19" s="461"/>
      <c r="W19" s="461"/>
      <c r="X19" s="461"/>
      <c r="Y19" s="461"/>
      <c r="Z19" s="461"/>
      <c r="AA19" s="461"/>
      <c r="AB19" s="461"/>
      <c r="AC19" s="462"/>
      <c r="AD19" s="463"/>
      <c r="AE19" s="461"/>
      <c r="AF19" s="461"/>
      <c r="AG19" s="461"/>
      <c r="AH19" s="461"/>
      <c r="AI19" s="461"/>
      <c r="AJ19" s="461"/>
      <c r="AK19" s="461"/>
      <c r="AL19" s="461"/>
      <c r="AM19" s="462"/>
      <c r="AN19" s="463"/>
      <c r="AO19" s="461"/>
      <c r="AP19" s="461"/>
      <c r="AQ19" s="461"/>
      <c r="AR19" s="461"/>
      <c r="AS19" s="461"/>
      <c r="AT19" s="461"/>
      <c r="AU19" s="461"/>
      <c r="AV19" s="461"/>
      <c r="AW19" s="462"/>
      <c r="AX19" s="457"/>
      <c r="AY19" s="455"/>
      <c r="AZ19" s="455"/>
      <c r="BA19" s="455"/>
      <c r="BB19" s="455"/>
      <c r="BC19" s="455"/>
      <c r="BD19" s="455"/>
      <c r="BE19" s="455"/>
      <c r="BF19" s="455"/>
      <c r="BG19" s="456"/>
      <c r="BH19" s="56"/>
      <c r="BI19" s="489"/>
      <c r="BJ19" s="490"/>
      <c r="BK19" s="490"/>
      <c r="BL19" s="490"/>
      <c r="BM19" s="490"/>
      <c r="BN19" s="491"/>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35">
      <c r="A20" s="56"/>
      <c r="B20" s="300"/>
      <c r="C20" s="300"/>
      <c r="D20" s="301"/>
      <c r="E20" s="524"/>
      <c r="F20" s="525"/>
      <c r="G20" s="525"/>
      <c r="H20" s="525"/>
      <c r="I20" s="530"/>
      <c r="J20" s="461" t="str">
        <f>IF(AND('Mapa final'!$K$109="Muy Alta",'Mapa final'!$O$109="Leve"),CONCATENATE("R",'Mapa final'!$A$109),"")</f>
        <v/>
      </c>
      <c r="K20" s="461"/>
      <c r="L20" s="461" t="str">
        <f>IF(AND('Mapa final'!$K$112="Muy Alta",'Mapa final'!$O$112="Leve"),CONCATENATE("R",'Mapa final'!$A$112),"")</f>
        <v/>
      </c>
      <c r="M20" s="461"/>
      <c r="N20" s="461" t="str">
        <f>IF(AND('Mapa final'!$K$115="Muy Alta",'Mapa final'!$O$115="Leve"),CONCATENATE("R",'Mapa final'!$A$115),"")</f>
        <v/>
      </c>
      <c r="O20" s="461"/>
      <c r="P20" s="461" t="str">
        <f>IF(AND('Mapa final'!$K$118="Muy Alta",'Mapa final'!$O$118="Leve"),CONCATENATE("R",'Mapa final'!$A$118),"")</f>
        <v/>
      </c>
      <c r="Q20" s="461"/>
      <c r="R20" s="461" t="str">
        <f>IF(AND('Mapa final'!$K$121="Muy Alta",'Mapa final'!$O$121="Leve"),CONCATENATE("R",'Mapa final'!$A$121),"")</f>
        <v/>
      </c>
      <c r="S20" s="461"/>
      <c r="T20" s="463" t="str">
        <f>IF(AND('Mapa final'!$K$109="Muy Alta",'Mapa final'!$O$109="Menor"),CONCATENATE("R",'Mapa final'!$A$109),"")</f>
        <v/>
      </c>
      <c r="U20" s="461"/>
      <c r="V20" s="461" t="str">
        <f>IF(AND('Mapa final'!$K$112="Muy Alta",'Mapa final'!$O$112="Menor"),CONCATENATE("R",'Mapa final'!$A$112),"")</f>
        <v/>
      </c>
      <c r="W20" s="461"/>
      <c r="X20" s="461" t="str">
        <f>IF(AND('Mapa final'!$K$115="Muy Alta",'Mapa final'!$O$115="Menor"),CONCATENATE("R",'Mapa final'!$A$115),"")</f>
        <v/>
      </c>
      <c r="Y20" s="461"/>
      <c r="Z20" s="461" t="str">
        <f>IF(AND('Mapa final'!$K$118="Muy Alta",'Mapa final'!$O$118="Menor"),CONCATENATE("R",'Mapa final'!$A$118),"")</f>
        <v/>
      </c>
      <c r="AA20" s="461"/>
      <c r="AB20" s="461" t="str">
        <f>IF(AND('Mapa final'!$K$121="Muy Alta",'Mapa final'!$O$121="Menor"),CONCATENATE("R",'Mapa final'!$A$121),"")</f>
        <v/>
      </c>
      <c r="AC20" s="462"/>
      <c r="AD20" s="463" t="str">
        <f>IF(AND('Mapa final'!$K$109="Muy Alta",'Mapa final'!$O$109="Moderado"),CONCATENATE("R",'Mapa final'!$A$109),"")</f>
        <v/>
      </c>
      <c r="AE20" s="461"/>
      <c r="AF20" s="461" t="str">
        <f>IF(AND('Mapa final'!$K$112="Muy Alta",'Mapa final'!$O$112="Moderado"),CONCATENATE("R",'Mapa final'!$A$112),"")</f>
        <v/>
      </c>
      <c r="AG20" s="461"/>
      <c r="AH20" s="461" t="str">
        <f>IF(AND('Mapa final'!$K$115="Muy Alta",'Mapa final'!$O$115="Moderado"),CONCATENATE("R",'Mapa final'!$A$115),"")</f>
        <v/>
      </c>
      <c r="AI20" s="461"/>
      <c r="AJ20" s="461" t="str">
        <f>IF(AND('Mapa final'!$K$118="Muy Alta",'Mapa final'!$O$118="Moderado"),CONCATENATE("R",'Mapa final'!$A$118),"")</f>
        <v/>
      </c>
      <c r="AK20" s="461"/>
      <c r="AL20" s="461" t="str">
        <f>IF(AND('Mapa final'!$K$121="Muy Alta",'Mapa final'!$O$121="Moderado"),CONCATENATE("R",'Mapa final'!$A$121),"")</f>
        <v/>
      </c>
      <c r="AM20" s="462"/>
      <c r="AN20" s="463" t="str">
        <f>IF(AND('Mapa final'!$K$109="Muy Alta",'Mapa final'!$O$109="Mayor"),CONCATENATE("R",'Mapa final'!$A$109),"")</f>
        <v/>
      </c>
      <c r="AO20" s="461"/>
      <c r="AP20" s="461" t="str">
        <f>IF(AND('Mapa final'!$K$112="Muy Alta",'Mapa final'!$O$112="Mayor"),CONCATENATE("R",'Mapa final'!$A$112),"")</f>
        <v/>
      </c>
      <c r="AQ20" s="461"/>
      <c r="AR20" s="461" t="str">
        <f>IF(AND('Mapa final'!$K$115="Muy Alta",'Mapa final'!$O$115="Mayor"),CONCATENATE("R",'Mapa final'!$A$115),"")</f>
        <v/>
      </c>
      <c r="AS20" s="461"/>
      <c r="AT20" s="461" t="str">
        <f>IF(AND('Mapa final'!$K$118="Muy Alta",'Mapa final'!$O$118="Mayor"),CONCATENATE("R",'Mapa final'!$A$118),"")</f>
        <v/>
      </c>
      <c r="AU20" s="461"/>
      <c r="AV20" s="461" t="str">
        <f>IF(AND('Mapa final'!$K$121="Muy Alta",'Mapa final'!$O$121="Mayor"),CONCATENATE("R",'Mapa final'!$A$121),"")</f>
        <v/>
      </c>
      <c r="AW20" s="462"/>
      <c r="AX20" s="457" t="str">
        <f>IF(AND('Mapa final'!$K$109="Muy Alta",'Mapa final'!$O$109="Catastrófico"),CONCATENATE("R",'Mapa final'!$A$109),"")</f>
        <v/>
      </c>
      <c r="AY20" s="455"/>
      <c r="AZ20" s="455" t="str">
        <f>IF(AND('Mapa final'!$K$112="Muy Alta",'Mapa final'!$O$112="Catastrófico"),CONCATENATE("R",'Mapa final'!$A$112),"")</f>
        <v/>
      </c>
      <c r="BA20" s="455"/>
      <c r="BB20" s="455" t="str">
        <f>IF(AND('Mapa final'!$K$115="Muy Alta",'Mapa final'!$O$115="Catastrófico"),CONCATENATE("R",'Mapa final'!$A$115),"")</f>
        <v/>
      </c>
      <c r="BC20" s="455"/>
      <c r="BD20" s="455" t="str">
        <f>IF(AND('Mapa final'!$K$118="Muy Alta",'Mapa final'!$O$118="Catastrófico"),CONCATENATE("R",'Mapa final'!$A$118),"")</f>
        <v/>
      </c>
      <c r="BE20" s="455"/>
      <c r="BF20" s="455" t="str">
        <f>IF(AND('Mapa final'!$K$121="Muy Alta",'Mapa final'!$O$121="Catastrófico"),CONCATENATE("R",'Mapa final'!$A$121),"")</f>
        <v/>
      </c>
      <c r="BG20" s="456"/>
      <c r="BH20" s="56"/>
      <c r="BI20" s="489"/>
      <c r="BJ20" s="490"/>
      <c r="BK20" s="490"/>
      <c r="BL20" s="490"/>
      <c r="BM20" s="490"/>
      <c r="BN20" s="491"/>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35">
      <c r="A21" s="56"/>
      <c r="B21" s="300"/>
      <c r="C21" s="300"/>
      <c r="D21" s="301"/>
      <c r="E21" s="524"/>
      <c r="F21" s="525"/>
      <c r="G21" s="525"/>
      <c r="H21" s="525"/>
      <c r="I21" s="530"/>
      <c r="J21" s="461"/>
      <c r="K21" s="461"/>
      <c r="L21" s="461"/>
      <c r="M21" s="461"/>
      <c r="N21" s="461"/>
      <c r="O21" s="461"/>
      <c r="P21" s="461"/>
      <c r="Q21" s="461"/>
      <c r="R21" s="461"/>
      <c r="S21" s="461"/>
      <c r="T21" s="463"/>
      <c r="U21" s="461"/>
      <c r="V21" s="461"/>
      <c r="W21" s="461"/>
      <c r="X21" s="461"/>
      <c r="Y21" s="461"/>
      <c r="Z21" s="461"/>
      <c r="AA21" s="461"/>
      <c r="AB21" s="461"/>
      <c r="AC21" s="462"/>
      <c r="AD21" s="463"/>
      <c r="AE21" s="461"/>
      <c r="AF21" s="461"/>
      <c r="AG21" s="461"/>
      <c r="AH21" s="461"/>
      <c r="AI21" s="461"/>
      <c r="AJ21" s="461"/>
      <c r="AK21" s="461"/>
      <c r="AL21" s="461"/>
      <c r="AM21" s="462"/>
      <c r="AN21" s="463"/>
      <c r="AO21" s="461"/>
      <c r="AP21" s="461"/>
      <c r="AQ21" s="461"/>
      <c r="AR21" s="461"/>
      <c r="AS21" s="461"/>
      <c r="AT21" s="461"/>
      <c r="AU21" s="461"/>
      <c r="AV21" s="461"/>
      <c r="AW21" s="462"/>
      <c r="AX21" s="457"/>
      <c r="AY21" s="455"/>
      <c r="AZ21" s="455"/>
      <c r="BA21" s="455"/>
      <c r="BB21" s="455"/>
      <c r="BC21" s="455"/>
      <c r="BD21" s="455"/>
      <c r="BE21" s="455"/>
      <c r="BF21" s="455"/>
      <c r="BG21" s="456"/>
      <c r="BH21" s="56"/>
      <c r="BI21" s="489"/>
      <c r="BJ21" s="490"/>
      <c r="BK21" s="490"/>
      <c r="BL21" s="490"/>
      <c r="BM21" s="490"/>
      <c r="BN21" s="491"/>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35">
      <c r="A22" s="56"/>
      <c r="B22" s="300"/>
      <c r="C22" s="300"/>
      <c r="D22" s="301"/>
      <c r="E22" s="524"/>
      <c r="F22" s="525"/>
      <c r="G22" s="525"/>
      <c r="H22" s="525"/>
      <c r="I22" s="530"/>
      <c r="J22" s="461" t="str">
        <f>IF(AND('Mapa final'!$K$124="Muy Alta",'Mapa final'!$O$124="Leve"),CONCATENATE("R",'Mapa final'!$A$124),"")</f>
        <v/>
      </c>
      <c r="K22" s="461"/>
      <c r="L22" s="461" t="str">
        <f>IF(AND('Mapa final'!$K$127="Muy Alta",'Mapa final'!$O$127="Leve"),CONCATENATE("R",'Mapa final'!$A$127),"")</f>
        <v/>
      </c>
      <c r="M22" s="461"/>
      <c r="N22" s="461" t="str">
        <f>IF(AND('Mapa final'!$K$130="Muy Alta",'Mapa final'!$O$130="Leve"),CONCATENATE("R",'Mapa final'!$A$130),"")</f>
        <v/>
      </c>
      <c r="O22" s="461"/>
      <c r="P22" s="461" t="str">
        <f>IF(AND('Mapa final'!$K$133="Muy Alta",'Mapa final'!$O$133="Leve"),CONCATENATE("R",'Mapa final'!$A$133),"")</f>
        <v/>
      </c>
      <c r="Q22" s="461"/>
      <c r="R22" s="461" t="str">
        <f>IF(AND('Mapa final'!$K$136="Muy Alta",'Mapa final'!$O$136="Leve"),CONCATENATE("R",'Mapa final'!$A$136),"")</f>
        <v/>
      </c>
      <c r="S22" s="461"/>
      <c r="T22" s="463" t="str">
        <f>IF(AND('Mapa final'!$K$124="Muy Alta",'Mapa final'!$O$124="Menor"),CONCATENATE("R",'Mapa final'!$A$124),"")</f>
        <v/>
      </c>
      <c r="U22" s="461"/>
      <c r="V22" s="461" t="str">
        <f>IF(AND('Mapa final'!$K$127="Muy Alta",'Mapa final'!$O$127="Menor"),CONCATENATE("R",'Mapa final'!$A$127),"")</f>
        <v/>
      </c>
      <c r="W22" s="461"/>
      <c r="X22" s="461" t="str">
        <f>IF(AND('Mapa final'!$K$130="Muy Alta",'Mapa final'!$O$130="Menor"),CONCATENATE("R",'Mapa final'!$A$130),"")</f>
        <v/>
      </c>
      <c r="Y22" s="461"/>
      <c r="Z22" s="461" t="str">
        <f>IF(AND('Mapa final'!$K$133="Muy Alta",'Mapa final'!$O$133="Menor"),CONCATENATE("R",'Mapa final'!$A$133),"")</f>
        <v/>
      </c>
      <c r="AA22" s="461"/>
      <c r="AB22" s="461" t="str">
        <f>IF(AND('Mapa final'!$K$136="Muy Alta",'Mapa final'!$O$136="Menor"),CONCATENATE("R",'Mapa final'!$A$136),"")</f>
        <v/>
      </c>
      <c r="AC22" s="462"/>
      <c r="AD22" s="463" t="str">
        <f>IF(AND('Mapa final'!$K$124="Muy Alta",'Mapa final'!$O$124="Moderado"),CONCATENATE("R",'Mapa final'!$A$124),"")</f>
        <v/>
      </c>
      <c r="AE22" s="461"/>
      <c r="AF22" s="461" t="str">
        <f>IF(AND('Mapa final'!$K$127="Muy Alta",'Mapa final'!$O$127="Moderado"),CONCATENATE("R",'Mapa final'!$A$127),"")</f>
        <v/>
      </c>
      <c r="AG22" s="461"/>
      <c r="AH22" s="461" t="str">
        <f>IF(AND('Mapa final'!$K$130="Muy Alta",'Mapa final'!$O$130="Moderado"),CONCATENATE("R",'Mapa final'!$A$130),"")</f>
        <v/>
      </c>
      <c r="AI22" s="461"/>
      <c r="AJ22" s="461" t="str">
        <f>IF(AND('Mapa final'!$K$133="Muy Alta",'Mapa final'!$O$133="Moderado"),CONCATENATE("R",'Mapa final'!$A$133),"")</f>
        <v/>
      </c>
      <c r="AK22" s="461"/>
      <c r="AL22" s="461" t="str">
        <f>IF(AND('Mapa final'!$K$136="Muy Alta",'Mapa final'!$O$136="Moderado"),CONCATENATE("R",'Mapa final'!$A$136),"")</f>
        <v/>
      </c>
      <c r="AM22" s="462"/>
      <c r="AN22" s="463" t="str">
        <f>IF(AND('Mapa final'!$K$124="Muy Alta",'Mapa final'!$O$124="Mayor"),CONCATENATE("R",'Mapa final'!$A$124),"")</f>
        <v/>
      </c>
      <c r="AO22" s="461"/>
      <c r="AP22" s="461" t="str">
        <f>IF(AND('Mapa final'!$K$127="Muy Alta",'Mapa final'!$O$127="Mayor"),CONCATENATE("R",'Mapa final'!$A$127),"")</f>
        <v/>
      </c>
      <c r="AQ22" s="461"/>
      <c r="AR22" s="461" t="str">
        <f>IF(AND('Mapa final'!$K$130="Muy Alta",'Mapa final'!$O$130="Mayor"),CONCATENATE("R",'Mapa final'!$A$130),"")</f>
        <v/>
      </c>
      <c r="AS22" s="461"/>
      <c r="AT22" s="461" t="str">
        <f>IF(AND('Mapa final'!$K$133="Muy Alta",'Mapa final'!$O$133="Mayor"),CONCATENATE("R",'Mapa final'!$A$133),"")</f>
        <v/>
      </c>
      <c r="AU22" s="461"/>
      <c r="AV22" s="461" t="str">
        <f>IF(AND('Mapa final'!$K$136="Muy Alta",'Mapa final'!$O$136="Mayor"),CONCATENATE("R",'Mapa final'!$A$136),"")</f>
        <v/>
      </c>
      <c r="AW22" s="462"/>
      <c r="AX22" s="457" t="str">
        <f>IF(AND('Mapa final'!$K$124="Muy Alta",'Mapa final'!$O$124="Catastrófico"),CONCATENATE("R",'Mapa final'!$A$124),"")</f>
        <v/>
      </c>
      <c r="AY22" s="455"/>
      <c r="AZ22" s="455" t="str">
        <f>IF(AND('Mapa final'!$K$127="Muy Alta",'Mapa final'!$O$127="Catastrófico"),CONCATENATE("R",'Mapa final'!$A$127),"")</f>
        <v/>
      </c>
      <c r="BA22" s="455"/>
      <c r="BB22" s="455" t="str">
        <f>IF(AND('Mapa final'!$K$130="Muy Alta",'Mapa final'!$O$130="Catastrófico"),CONCATENATE("R",'Mapa final'!$A$130),"")</f>
        <v/>
      </c>
      <c r="BC22" s="455"/>
      <c r="BD22" s="455" t="str">
        <f>IF(AND('Mapa final'!$K$133="Muy Alta",'Mapa final'!$O$133="Catastrófico"),CONCATENATE("R",'Mapa final'!$A$133),"")</f>
        <v/>
      </c>
      <c r="BE22" s="455"/>
      <c r="BF22" s="455" t="str">
        <f>IF(AND('Mapa final'!$K$136="Muy Alta",'Mapa final'!$O$136="Catastrófico"),CONCATENATE("R",'Mapa final'!$A$136),"")</f>
        <v/>
      </c>
      <c r="BG22" s="456"/>
      <c r="BH22" s="56"/>
      <c r="BI22" s="489"/>
      <c r="BJ22" s="490"/>
      <c r="BK22" s="490"/>
      <c r="BL22" s="490"/>
      <c r="BM22" s="490"/>
      <c r="BN22" s="491"/>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35">
      <c r="A23" s="56"/>
      <c r="B23" s="300"/>
      <c r="C23" s="300"/>
      <c r="D23" s="301"/>
      <c r="E23" s="524"/>
      <c r="F23" s="525"/>
      <c r="G23" s="525"/>
      <c r="H23" s="525"/>
      <c r="I23" s="530"/>
      <c r="J23" s="461"/>
      <c r="K23" s="461"/>
      <c r="L23" s="461"/>
      <c r="M23" s="461"/>
      <c r="N23" s="461"/>
      <c r="O23" s="461"/>
      <c r="P23" s="461"/>
      <c r="Q23" s="461"/>
      <c r="R23" s="461"/>
      <c r="S23" s="461"/>
      <c r="T23" s="463"/>
      <c r="U23" s="461"/>
      <c r="V23" s="461"/>
      <c r="W23" s="461"/>
      <c r="X23" s="461"/>
      <c r="Y23" s="461"/>
      <c r="Z23" s="461"/>
      <c r="AA23" s="461"/>
      <c r="AB23" s="461"/>
      <c r="AC23" s="462"/>
      <c r="AD23" s="463"/>
      <c r="AE23" s="461"/>
      <c r="AF23" s="461"/>
      <c r="AG23" s="461"/>
      <c r="AH23" s="461"/>
      <c r="AI23" s="461"/>
      <c r="AJ23" s="461"/>
      <c r="AK23" s="461"/>
      <c r="AL23" s="461"/>
      <c r="AM23" s="462"/>
      <c r="AN23" s="463"/>
      <c r="AO23" s="461"/>
      <c r="AP23" s="461"/>
      <c r="AQ23" s="461"/>
      <c r="AR23" s="461"/>
      <c r="AS23" s="461"/>
      <c r="AT23" s="461"/>
      <c r="AU23" s="461"/>
      <c r="AV23" s="461"/>
      <c r="AW23" s="462"/>
      <c r="AX23" s="457"/>
      <c r="AY23" s="455"/>
      <c r="AZ23" s="455"/>
      <c r="BA23" s="455"/>
      <c r="BB23" s="455"/>
      <c r="BC23" s="455"/>
      <c r="BD23" s="455"/>
      <c r="BE23" s="455"/>
      <c r="BF23" s="455"/>
      <c r="BG23" s="456"/>
      <c r="BH23" s="56"/>
      <c r="BI23" s="489"/>
      <c r="BJ23" s="490"/>
      <c r="BK23" s="490"/>
      <c r="BL23" s="490"/>
      <c r="BM23" s="490"/>
      <c r="BN23" s="491"/>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35">
      <c r="A24" s="56"/>
      <c r="B24" s="300"/>
      <c r="C24" s="300"/>
      <c r="D24" s="301"/>
      <c r="E24" s="524"/>
      <c r="F24" s="525"/>
      <c r="G24" s="525"/>
      <c r="H24" s="525"/>
      <c r="I24" s="530"/>
      <c r="J24" s="461" t="str">
        <f>IF(AND('Mapa final'!$K$139="Muy Alta",'Mapa final'!$O$139="Leve"),CONCATENATE("R",'Mapa final'!$A$139),"")</f>
        <v/>
      </c>
      <c r="K24" s="461"/>
      <c r="L24" s="461" t="str">
        <f>IF(AND('Mapa final'!$K$142="Muy Alta",'Mapa final'!$O$142="Leve"),CONCATENATE("R",'Mapa final'!$A$142),"")</f>
        <v/>
      </c>
      <c r="M24" s="461"/>
      <c r="N24" s="461" t="str">
        <f>IF(AND('Mapa final'!$K$145="Muy Alta",'Mapa final'!$O$145="Leve"),CONCATENATE("R",'Mapa final'!$A$145),"")</f>
        <v/>
      </c>
      <c r="O24" s="461"/>
      <c r="P24" s="461" t="str">
        <f>IF(AND('Mapa final'!$K$148="Muy Alta",'Mapa final'!$O$148="Leve"),CONCATENATE("R",'Mapa final'!$A$148),"")</f>
        <v/>
      </c>
      <c r="Q24" s="461"/>
      <c r="R24" s="461" t="str">
        <f>IF(AND('Mapa final'!$K$151="Muy Alta",'Mapa final'!$O$151="Leve"),CONCATENATE("R",'Mapa final'!$A$151),"")</f>
        <v/>
      </c>
      <c r="S24" s="461"/>
      <c r="T24" s="463" t="str">
        <f>IF(AND('Mapa final'!$K$139="Muy Alta",'Mapa final'!$O$139="Menor"),CONCATENATE("R",'Mapa final'!$A$139),"")</f>
        <v/>
      </c>
      <c r="U24" s="461"/>
      <c r="V24" s="461" t="str">
        <f>IF(AND('Mapa final'!$K$142="Muy Alta",'Mapa final'!$O$142="Menor"),CONCATENATE("R",'Mapa final'!$A$142),"")</f>
        <v/>
      </c>
      <c r="W24" s="461"/>
      <c r="X24" s="461" t="str">
        <f>IF(AND('Mapa final'!$K$145="Muy Alta",'Mapa final'!$O$145="Menor"),CONCATENATE("R",'Mapa final'!$A$145),"")</f>
        <v/>
      </c>
      <c r="Y24" s="461"/>
      <c r="Z24" s="461" t="str">
        <f>IF(AND('Mapa final'!$K$148="Muy Alta",'Mapa final'!$O$148="Menor"),CONCATENATE("R",'Mapa final'!$A$148),"")</f>
        <v/>
      </c>
      <c r="AA24" s="461"/>
      <c r="AB24" s="461" t="str">
        <f>IF(AND('Mapa final'!$K$151="Muy Alta",'Mapa final'!$O$151="Menor"),CONCATENATE("R",'Mapa final'!$A$151),"")</f>
        <v/>
      </c>
      <c r="AC24" s="462"/>
      <c r="AD24" s="463" t="str">
        <f>IF(AND('Mapa final'!$K$139="Muy Alta",'Mapa final'!$O$139="Moderado"),CONCATENATE("R",'Mapa final'!$A$139),"")</f>
        <v/>
      </c>
      <c r="AE24" s="461"/>
      <c r="AF24" s="461" t="str">
        <f>IF(AND('Mapa final'!$K$142="Muy Alta",'Mapa final'!$O$142="Moderado"),CONCATENATE("R",'Mapa final'!$A$142),"")</f>
        <v/>
      </c>
      <c r="AG24" s="461"/>
      <c r="AH24" s="461" t="str">
        <f>IF(AND('Mapa final'!$K$145="Muy Alta",'Mapa final'!$O$145="Moderado"),CONCATENATE("R",'Mapa final'!$A$145),"")</f>
        <v/>
      </c>
      <c r="AI24" s="461"/>
      <c r="AJ24" s="461" t="str">
        <f>IF(AND('Mapa final'!$K$148="Muy Alta",'Mapa final'!$O$148="Moderado"),CONCATENATE("R",'Mapa final'!$A$148),"")</f>
        <v/>
      </c>
      <c r="AK24" s="461"/>
      <c r="AL24" s="461" t="str">
        <f>IF(AND('Mapa final'!$K$151="Muy Alta",'Mapa final'!$O$151="Moderado"),CONCATENATE("R",'Mapa final'!$A$151),"")</f>
        <v/>
      </c>
      <c r="AM24" s="462"/>
      <c r="AN24" s="463" t="str">
        <f>IF(AND('Mapa final'!$K$139="Muy Alta",'Mapa final'!$O$139="Mayor"),CONCATENATE("R",'Mapa final'!$A$139),"")</f>
        <v/>
      </c>
      <c r="AO24" s="461"/>
      <c r="AP24" s="461" t="str">
        <f>IF(AND('Mapa final'!$K$142="Muy Alta",'Mapa final'!$O$142="Mayor"),CONCATENATE("R",'Mapa final'!$A$142),"")</f>
        <v/>
      </c>
      <c r="AQ24" s="461"/>
      <c r="AR24" s="461" t="str">
        <f>IF(AND('Mapa final'!$K$145="Muy Alta",'Mapa final'!$O$145="Mayor"),CONCATENATE("R",'Mapa final'!$A$145),"")</f>
        <v/>
      </c>
      <c r="AS24" s="461"/>
      <c r="AT24" s="461" t="str">
        <f>IF(AND('Mapa final'!$K$148="Muy Alta",'Mapa final'!$O$148="Mayor"),CONCATENATE("R",'Mapa final'!$A$148),"")</f>
        <v/>
      </c>
      <c r="AU24" s="461"/>
      <c r="AV24" s="461" t="str">
        <f>IF(AND('Mapa final'!$K$151="Muy Alta",'Mapa final'!$O$151="Mayor"),CONCATENATE("R",'Mapa final'!$A$151),"")</f>
        <v/>
      </c>
      <c r="AW24" s="462"/>
      <c r="AX24" s="457" t="str">
        <f>IF(AND('Mapa final'!$K$139="Muy Alta",'Mapa final'!$O$139="Catastrófico"),CONCATENATE("R",'Mapa final'!$A$139),"")</f>
        <v/>
      </c>
      <c r="AY24" s="455"/>
      <c r="AZ24" s="455" t="str">
        <f>IF(AND('Mapa final'!$K$142="Muy Alta",'Mapa final'!$O$142="Catastrófico"),CONCATENATE("R",'Mapa final'!$A$142),"")</f>
        <v/>
      </c>
      <c r="BA24" s="455"/>
      <c r="BB24" s="455" t="str">
        <f>IF(AND('Mapa final'!$K$145="Muy Alta",'Mapa final'!$O$145="Catastrófico"),CONCATENATE("R",'Mapa final'!$A$145),"")</f>
        <v/>
      </c>
      <c r="BC24" s="455"/>
      <c r="BD24" s="455" t="str">
        <f>IF(AND('Mapa final'!$K$148="Muy Alta",'Mapa final'!$O$148="Catastrófico"),CONCATENATE("R",'Mapa final'!$A$148),"")</f>
        <v/>
      </c>
      <c r="BE24" s="455"/>
      <c r="BF24" s="455" t="str">
        <f>IF(AND('Mapa final'!$K$151="Muy Alta",'Mapa final'!$O$151="Catastrófico"),CONCATENATE("R",'Mapa final'!$A$151),"")</f>
        <v/>
      </c>
      <c r="BG24" s="456"/>
      <c r="BH24" s="56"/>
      <c r="BI24" s="489"/>
      <c r="BJ24" s="490"/>
      <c r="BK24" s="490"/>
      <c r="BL24" s="490"/>
      <c r="BM24" s="490"/>
      <c r="BN24" s="491"/>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4">
      <c r="A25" s="56"/>
      <c r="B25" s="300"/>
      <c r="C25" s="300"/>
      <c r="D25" s="301"/>
      <c r="E25" s="527"/>
      <c r="F25" s="528"/>
      <c r="G25" s="528"/>
      <c r="H25" s="528"/>
      <c r="I25" s="531"/>
      <c r="J25" s="461"/>
      <c r="K25" s="461"/>
      <c r="L25" s="461"/>
      <c r="M25" s="461"/>
      <c r="N25" s="461"/>
      <c r="O25" s="461"/>
      <c r="P25" s="461"/>
      <c r="Q25" s="461"/>
      <c r="R25" s="461"/>
      <c r="S25" s="461"/>
      <c r="T25" s="464"/>
      <c r="U25" s="465"/>
      <c r="V25" s="465"/>
      <c r="W25" s="465"/>
      <c r="X25" s="465"/>
      <c r="Y25" s="465"/>
      <c r="Z25" s="465"/>
      <c r="AA25" s="465"/>
      <c r="AB25" s="465"/>
      <c r="AC25" s="466"/>
      <c r="AD25" s="464"/>
      <c r="AE25" s="465"/>
      <c r="AF25" s="465"/>
      <c r="AG25" s="465"/>
      <c r="AH25" s="465"/>
      <c r="AI25" s="465"/>
      <c r="AJ25" s="465"/>
      <c r="AK25" s="465"/>
      <c r="AL25" s="465"/>
      <c r="AM25" s="466"/>
      <c r="AN25" s="464"/>
      <c r="AO25" s="465"/>
      <c r="AP25" s="465"/>
      <c r="AQ25" s="465"/>
      <c r="AR25" s="465"/>
      <c r="AS25" s="465"/>
      <c r="AT25" s="465"/>
      <c r="AU25" s="465"/>
      <c r="AV25" s="465"/>
      <c r="AW25" s="466"/>
      <c r="AX25" s="477"/>
      <c r="AY25" s="476"/>
      <c r="AZ25" s="476"/>
      <c r="BA25" s="476"/>
      <c r="BB25" s="476"/>
      <c r="BC25" s="476"/>
      <c r="BD25" s="476"/>
      <c r="BE25" s="476"/>
      <c r="BF25" s="476"/>
      <c r="BG25" s="478"/>
      <c r="BH25" s="56"/>
      <c r="BI25" s="489"/>
      <c r="BJ25" s="490"/>
      <c r="BK25" s="490"/>
      <c r="BL25" s="490"/>
      <c r="BM25" s="490"/>
      <c r="BN25" s="491"/>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35">
      <c r="A26" s="56"/>
      <c r="B26" s="300"/>
      <c r="C26" s="300"/>
      <c r="D26" s="301"/>
      <c r="E26" s="522" t="s">
        <v>106</v>
      </c>
      <c r="F26" s="523"/>
      <c r="G26" s="523"/>
      <c r="H26" s="523"/>
      <c r="I26" s="523"/>
      <c r="J26" s="467" t="str">
        <f>IF(AND('Mapa final'!$K$7="Alta",'Mapa final'!$O$7="Leve"),CONCATENATE("R",'Mapa final'!$A$7),"")</f>
        <v/>
      </c>
      <c r="K26" s="468"/>
      <c r="L26" s="468" t="str">
        <f>IF(AND('Mapa final'!$K$10="Alta",'Mapa final'!$O$10="Leve"),CONCATENATE("R",'Mapa final'!$A$10),"")</f>
        <v/>
      </c>
      <c r="M26" s="468"/>
      <c r="N26" s="468" t="str">
        <f>IF(AND('Mapa final'!$K$13="Alta",'Mapa final'!$O$13="Leve"),CONCATENATE("R",'Mapa final'!$A$13),"")</f>
        <v/>
      </c>
      <c r="O26" s="468"/>
      <c r="P26" s="468" t="e">
        <f>IF(AND('Mapa final'!#REF!="Alta",'Mapa final'!#REF!="Leve"),CONCATENATE("R",'Mapa final'!#REF!),"")</f>
        <v>#REF!</v>
      </c>
      <c r="Q26" s="468"/>
      <c r="R26" s="468" t="str">
        <f>IF(AND('Mapa final'!$K$16="Alta",'Mapa final'!$O$16="Leve"),CONCATENATE("R",'Mapa final'!$A$16),"")</f>
        <v/>
      </c>
      <c r="S26" s="469"/>
      <c r="T26" s="467" t="str">
        <f>IF(AND('Mapa final'!$K$7="Alta",'Mapa final'!$O$7="Menor"),CONCATENATE("R",'Mapa final'!$A$7),"")</f>
        <v/>
      </c>
      <c r="U26" s="468"/>
      <c r="V26" s="468" t="str">
        <f>IF(AND('Mapa final'!$K$10="Alta",'Mapa final'!$O$10="Menor"),CONCATENATE("R",'Mapa final'!$A$10),"")</f>
        <v/>
      </c>
      <c r="W26" s="468"/>
      <c r="X26" s="468" t="str">
        <f>IF(AND('Mapa final'!$K$13="Alta",'Mapa final'!$O$13="Menor"),CONCATENATE("R",'Mapa final'!$A$13),"")</f>
        <v/>
      </c>
      <c r="Y26" s="468"/>
      <c r="Z26" s="468" t="e">
        <f>IF(AND('Mapa final'!#REF!="Alta",'Mapa final'!#REF!="Menor"),CONCATENATE("R",'Mapa final'!#REF!),"")</f>
        <v>#REF!</v>
      </c>
      <c r="AA26" s="468"/>
      <c r="AB26" s="468" t="str">
        <f>IF(AND('Mapa final'!$K$16="Alta",'Mapa final'!$O$16="Menor"),CONCATENATE("R",'Mapa final'!$A$16),"")</f>
        <v/>
      </c>
      <c r="AC26" s="469"/>
      <c r="AD26" s="473" t="str">
        <f>IF(AND('Mapa final'!$K$7="Alta",'Mapa final'!$O$7="Moderado"),CONCATENATE("R",'Mapa final'!$A$7),"")</f>
        <v/>
      </c>
      <c r="AE26" s="474"/>
      <c r="AF26" s="474" t="str">
        <f>IF(AND('Mapa final'!$K$10="Alta",'Mapa final'!$O$10="Moderado"),CONCATENATE("R",'Mapa final'!$A$10),"")</f>
        <v/>
      </c>
      <c r="AG26" s="474"/>
      <c r="AH26" s="474" t="str">
        <f>IF(AND('Mapa final'!$K$13="Alta",'Mapa final'!$O$13="Moderado"),CONCATENATE("R",'Mapa final'!$A$13),"")</f>
        <v>R3</v>
      </c>
      <c r="AI26" s="474"/>
      <c r="AJ26" s="474" t="e">
        <f>IF(AND('Mapa final'!#REF!="Alta",'Mapa final'!#REF!="Moderado"),CONCATENATE("R",'Mapa final'!#REF!),"")</f>
        <v>#REF!</v>
      </c>
      <c r="AK26" s="474"/>
      <c r="AL26" s="474" t="str">
        <f>IF(AND('Mapa final'!$K$16="Alta",'Mapa final'!$O$16="Moderado"),CONCATENATE("R",'Mapa final'!$A$16),"")</f>
        <v/>
      </c>
      <c r="AM26" s="475"/>
      <c r="AN26" s="473" t="str">
        <f>IF(AND('Mapa final'!$K$7="Alta",'Mapa final'!$O$7="Mayor"),CONCATENATE("R",'Mapa final'!$A$7),"")</f>
        <v/>
      </c>
      <c r="AO26" s="474"/>
      <c r="AP26" s="474" t="str">
        <f>IF(AND('Mapa final'!$K$10="Alta",'Mapa final'!$O$10="Mayor"),CONCATENATE("R",'Mapa final'!$A$10),"")</f>
        <v/>
      </c>
      <c r="AQ26" s="474"/>
      <c r="AR26" s="474" t="str">
        <f>IF(AND('Mapa final'!$K$13="Alta",'Mapa final'!$O$13="Mayor"),CONCATENATE("R",'Mapa final'!$A$13),"")</f>
        <v/>
      </c>
      <c r="AS26" s="474"/>
      <c r="AT26" s="474" t="e">
        <f>IF(AND('Mapa final'!#REF!="Alta",'Mapa final'!#REF!="Mayor"),CONCATENATE("R",'Mapa final'!#REF!),"")</f>
        <v>#REF!</v>
      </c>
      <c r="AU26" s="474"/>
      <c r="AV26" s="474" t="str">
        <f>IF(AND('Mapa final'!$K$16="Alta",'Mapa final'!$O$16="Mayor"),CONCATENATE("R",'Mapa final'!$A$16),"")</f>
        <v/>
      </c>
      <c r="AW26" s="475"/>
      <c r="AX26" s="480" t="str">
        <f>IF(AND('Mapa final'!$K$7="Alta",'Mapa final'!$O$7="Catastrófico"),CONCATENATE("R",'Mapa final'!$A$7),"")</f>
        <v/>
      </c>
      <c r="AY26" s="479"/>
      <c r="AZ26" s="479" t="str">
        <f>IF(AND('Mapa final'!$K$10="Alta",'Mapa final'!$O$10="Catastrófico"),CONCATENATE("R",'Mapa final'!$A$10),"")</f>
        <v/>
      </c>
      <c r="BA26" s="479"/>
      <c r="BB26" s="479" t="str">
        <f>IF(AND('Mapa final'!$K$13="Alta",'Mapa final'!$O$13="Catastrófico"),CONCATENATE("R",'Mapa final'!$A$13),"")</f>
        <v/>
      </c>
      <c r="BC26" s="479"/>
      <c r="BD26" s="479" t="e">
        <f>IF(AND('Mapa final'!#REF!="Alta",'Mapa final'!#REF!="Catastrófico"),CONCATENATE("R",'Mapa final'!#REF!),"")</f>
        <v>#REF!</v>
      </c>
      <c r="BE26" s="479"/>
      <c r="BF26" s="479" t="str">
        <f>IF(AND('Mapa final'!$K$16="Alta",'Mapa final'!$O$16="Catastrófico"),CONCATENATE("R",'Mapa final'!$A$16),"")</f>
        <v/>
      </c>
      <c r="BG26" s="536"/>
      <c r="BH26" s="56"/>
      <c r="BI26" s="489"/>
      <c r="BJ26" s="490"/>
      <c r="BK26" s="490"/>
      <c r="BL26" s="490"/>
      <c r="BM26" s="490"/>
      <c r="BN26" s="491"/>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35">
      <c r="A27" s="56"/>
      <c r="B27" s="300"/>
      <c r="C27" s="300"/>
      <c r="D27" s="301"/>
      <c r="E27" s="524"/>
      <c r="F27" s="525"/>
      <c r="G27" s="525"/>
      <c r="H27" s="525"/>
      <c r="I27" s="526"/>
      <c r="J27" s="460"/>
      <c r="K27" s="458"/>
      <c r="L27" s="458"/>
      <c r="M27" s="458"/>
      <c r="N27" s="458"/>
      <c r="O27" s="458"/>
      <c r="P27" s="458"/>
      <c r="Q27" s="458"/>
      <c r="R27" s="458"/>
      <c r="S27" s="459"/>
      <c r="T27" s="460"/>
      <c r="U27" s="458"/>
      <c r="V27" s="458"/>
      <c r="W27" s="458"/>
      <c r="X27" s="458"/>
      <c r="Y27" s="458"/>
      <c r="Z27" s="458"/>
      <c r="AA27" s="458"/>
      <c r="AB27" s="458"/>
      <c r="AC27" s="459"/>
      <c r="AD27" s="463"/>
      <c r="AE27" s="461"/>
      <c r="AF27" s="461"/>
      <c r="AG27" s="461"/>
      <c r="AH27" s="461"/>
      <c r="AI27" s="461"/>
      <c r="AJ27" s="461"/>
      <c r="AK27" s="461"/>
      <c r="AL27" s="461"/>
      <c r="AM27" s="462"/>
      <c r="AN27" s="463"/>
      <c r="AO27" s="461"/>
      <c r="AP27" s="461"/>
      <c r="AQ27" s="461"/>
      <c r="AR27" s="461"/>
      <c r="AS27" s="461"/>
      <c r="AT27" s="461"/>
      <c r="AU27" s="461"/>
      <c r="AV27" s="461"/>
      <c r="AW27" s="462"/>
      <c r="AX27" s="457"/>
      <c r="AY27" s="455"/>
      <c r="AZ27" s="455"/>
      <c r="BA27" s="455"/>
      <c r="BB27" s="455"/>
      <c r="BC27" s="455"/>
      <c r="BD27" s="455"/>
      <c r="BE27" s="455"/>
      <c r="BF27" s="455"/>
      <c r="BG27" s="456"/>
      <c r="BH27" s="56"/>
      <c r="BI27" s="489"/>
      <c r="BJ27" s="490"/>
      <c r="BK27" s="490"/>
      <c r="BL27" s="490"/>
      <c r="BM27" s="490"/>
      <c r="BN27" s="491"/>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35">
      <c r="A28" s="56"/>
      <c r="B28" s="300"/>
      <c r="C28" s="300"/>
      <c r="D28" s="301"/>
      <c r="E28" s="524"/>
      <c r="F28" s="525"/>
      <c r="G28" s="525"/>
      <c r="H28" s="525"/>
      <c r="I28" s="526"/>
      <c r="J28" s="460" t="str">
        <f>IF(AND('Mapa final'!$K$19="Alta",'Mapa final'!$O$19="Leve"),CONCATENATE("R",'Mapa final'!$A$19),"")</f>
        <v/>
      </c>
      <c r="K28" s="458"/>
      <c r="L28" s="458" t="str">
        <f>IF(AND('Mapa final'!$K$22="Alta",'Mapa final'!$O$22="Leve"),CONCATENATE("R",'Mapa final'!$A$22),"")</f>
        <v/>
      </c>
      <c r="M28" s="458"/>
      <c r="N28" s="458" t="str">
        <f>IF(AND('Mapa final'!$K$25="Alta",'Mapa final'!$O$25="Leve"),CONCATENATE("R",'Mapa final'!$A$25),"")</f>
        <v/>
      </c>
      <c r="O28" s="458"/>
      <c r="P28" s="458" t="str">
        <f>IF(AND('Mapa final'!$K$28="Alta",'Mapa final'!$O$28="Leve"),CONCATENATE("R",'Mapa final'!$A$28),"")</f>
        <v/>
      </c>
      <c r="Q28" s="458"/>
      <c r="R28" s="458" t="str">
        <f>IF(AND('Mapa final'!$K$31="Alta",'Mapa final'!$O$31="Leve"),CONCATENATE("R",'Mapa final'!$A$31),"")</f>
        <v/>
      </c>
      <c r="S28" s="459"/>
      <c r="T28" s="460" t="str">
        <f>IF(AND('Mapa final'!$K$19="Alta",'Mapa final'!$O$19="Menor"),CONCATENATE("R",'Mapa final'!$A$19),"")</f>
        <v/>
      </c>
      <c r="U28" s="458"/>
      <c r="V28" s="458" t="str">
        <f>IF(AND('Mapa final'!$K$22="Alta",'Mapa final'!$O$22="Menor"),CONCATENATE("R",'Mapa final'!$A$22),"")</f>
        <v/>
      </c>
      <c r="W28" s="458"/>
      <c r="X28" s="458" t="str">
        <f>IF(AND('Mapa final'!$K$25="Alta",'Mapa final'!$O$25="Menor"),CONCATENATE("R",'Mapa final'!$A$25),"")</f>
        <v/>
      </c>
      <c r="Y28" s="458"/>
      <c r="Z28" s="458" t="str">
        <f>IF(AND('Mapa final'!$K$28="Alta",'Mapa final'!$O$28="Menor"),CONCATENATE("R",'Mapa final'!$A$28),"")</f>
        <v/>
      </c>
      <c r="AA28" s="458"/>
      <c r="AB28" s="458" t="str">
        <f>IF(AND('Mapa final'!$K$31="Alta",'Mapa final'!$O$31="Menor"),CONCATENATE("R",'Mapa final'!$A$31),"")</f>
        <v/>
      </c>
      <c r="AC28" s="459"/>
      <c r="AD28" s="463" t="str">
        <f>IF(AND('Mapa final'!$K$19="Alta",'Mapa final'!$O$19="Moderado"),CONCATENATE("R",'Mapa final'!$A$19),"")</f>
        <v/>
      </c>
      <c r="AE28" s="461"/>
      <c r="AF28" s="461" t="str">
        <f>IF(AND('Mapa final'!$K$22="Alta",'Mapa final'!$O$22="Moderado"),CONCATENATE("R",'Mapa final'!$A$22),"")</f>
        <v/>
      </c>
      <c r="AG28" s="461"/>
      <c r="AH28" s="461" t="str">
        <f>IF(AND('Mapa final'!$K$25="Alta",'Mapa final'!$O$25="Moderado"),CONCATENATE("R",'Mapa final'!$A$25),"")</f>
        <v>R7</v>
      </c>
      <c r="AI28" s="461"/>
      <c r="AJ28" s="461" t="str">
        <f>IF(AND('Mapa final'!$K$28="Alta",'Mapa final'!$O$28="Moderado"),CONCATENATE("R",'Mapa final'!$A$28),"")</f>
        <v/>
      </c>
      <c r="AK28" s="461"/>
      <c r="AL28" s="461" t="str">
        <f>IF(AND('Mapa final'!$K$31="Alta",'Mapa final'!$O$31="Moderado"),CONCATENATE("R",'Mapa final'!$A$31),"")</f>
        <v>R9</v>
      </c>
      <c r="AM28" s="462"/>
      <c r="AN28" s="463" t="str">
        <f>IF(AND('Mapa final'!$K$19="Alta",'Mapa final'!$O$19="Mayor"),CONCATENATE("R",'Mapa final'!$A$19),"")</f>
        <v/>
      </c>
      <c r="AO28" s="461"/>
      <c r="AP28" s="461" t="str">
        <f>IF(AND('Mapa final'!$K$22="Alta",'Mapa final'!$O$22="Mayor"),CONCATENATE("R",'Mapa final'!$A$22),"")</f>
        <v/>
      </c>
      <c r="AQ28" s="461"/>
      <c r="AR28" s="461" t="str">
        <f>IF(AND('Mapa final'!$K$25="Alta",'Mapa final'!$O$25="Mayor"),CONCATENATE("R",'Mapa final'!$A$25),"")</f>
        <v/>
      </c>
      <c r="AS28" s="461"/>
      <c r="AT28" s="461" t="str">
        <f>IF(AND('Mapa final'!$K$28="Alta",'Mapa final'!$O$28="Mayor"),CONCATENATE("R",'Mapa final'!$A$28),"")</f>
        <v>R8</v>
      </c>
      <c r="AU28" s="461"/>
      <c r="AV28" s="461" t="str">
        <f>IF(AND('Mapa final'!$K$31="Alta",'Mapa final'!$O$31="Mayor"),CONCATENATE("R",'Mapa final'!$A$31),"")</f>
        <v/>
      </c>
      <c r="AW28" s="462"/>
      <c r="AX28" s="457" t="str">
        <f>IF(AND('Mapa final'!$K$19="Alta",'Mapa final'!$O$19="Catastrófico"),CONCATENATE("R",'Mapa final'!$A$19),"")</f>
        <v/>
      </c>
      <c r="AY28" s="455"/>
      <c r="AZ28" s="455" t="str">
        <f>IF(AND('Mapa final'!$K$22="Alta",'Mapa final'!$O$22="Catastrófico"),CONCATENATE("R",'Mapa final'!$A$22),"")</f>
        <v/>
      </c>
      <c r="BA28" s="455"/>
      <c r="BB28" s="455" t="str">
        <f>IF(AND('Mapa final'!$K$25="Alta",'Mapa final'!$O$25="Catastrófico"),CONCATENATE("R",'Mapa final'!$A$25),"")</f>
        <v/>
      </c>
      <c r="BC28" s="455"/>
      <c r="BD28" s="455" t="str">
        <f>IF(AND('Mapa final'!$K$28="Alta",'Mapa final'!$O$28="Catastrófico"),CONCATENATE("R",'Mapa final'!$A$28),"")</f>
        <v/>
      </c>
      <c r="BE28" s="455"/>
      <c r="BF28" s="455" t="str">
        <f>IF(AND('Mapa final'!$K$31="Alta",'Mapa final'!$O$31="Catastrófico"),CONCATENATE("R",'Mapa final'!$A$31),"")</f>
        <v/>
      </c>
      <c r="BG28" s="456"/>
      <c r="BH28" s="56"/>
      <c r="BI28" s="489"/>
      <c r="BJ28" s="490"/>
      <c r="BK28" s="490"/>
      <c r="BL28" s="490"/>
      <c r="BM28" s="490"/>
      <c r="BN28" s="491"/>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35">
      <c r="A29" s="56"/>
      <c r="B29" s="300"/>
      <c r="C29" s="300"/>
      <c r="D29" s="301"/>
      <c r="E29" s="524"/>
      <c r="F29" s="525"/>
      <c r="G29" s="525"/>
      <c r="H29" s="525"/>
      <c r="I29" s="526"/>
      <c r="J29" s="460"/>
      <c r="K29" s="458"/>
      <c r="L29" s="458"/>
      <c r="M29" s="458"/>
      <c r="N29" s="458"/>
      <c r="O29" s="458"/>
      <c r="P29" s="458"/>
      <c r="Q29" s="458"/>
      <c r="R29" s="458"/>
      <c r="S29" s="459"/>
      <c r="T29" s="460"/>
      <c r="U29" s="458"/>
      <c r="V29" s="458"/>
      <c r="W29" s="458"/>
      <c r="X29" s="458"/>
      <c r="Y29" s="458"/>
      <c r="Z29" s="458"/>
      <c r="AA29" s="458"/>
      <c r="AB29" s="458"/>
      <c r="AC29" s="459"/>
      <c r="AD29" s="463"/>
      <c r="AE29" s="461"/>
      <c r="AF29" s="461"/>
      <c r="AG29" s="461"/>
      <c r="AH29" s="461"/>
      <c r="AI29" s="461"/>
      <c r="AJ29" s="461"/>
      <c r="AK29" s="461"/>
      <c r="AL29" s="461"/>
      <c r="AM29" s="462"/>
      <c r="AN29" s="463"/>
      <c r="AO29" s="461"/>
      <c r="AP29" s="461"/>
      <c r="AQ29" s="461"/>
      <c r="AR29" s="461"/>
      <c r="AS29" s="461"/>
      <c r="AT29" s="461"/>
      <c r="AU29" s="461"/>
      <c r="AV29" s="461"/>
      <c r="AW29" s="462"/>
      <c r="AX29" s="457"/>
      <c r="AY29" s="455"/>
      <c r="AZ29" s="455"/>
      <c r="BA29" s="455"/>
      <c r="BB29" s="455"/>
      <c r="BC29" s="455"/>
      <c r="BD29" s="455"/>
      <c r="BE29" s="455"/>
      <c r="BF29" s="455"/>
      <c r="BG29" s="456"/>
      <c r="BH29" s="56"/>
      <c r="BI29" s="489"/>
      <c r="BJ29" s="490"/>
      <c r="BK29" s="490"/>
      <c r="BL29" s="490"/>
      <c r="BM29" s="490"/>
      <c r="BN29" s="491"/>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35">
      <c r="A30" s="56"/>
      <c r="B30" s="300"/>
      <c r="C30" s="300"/>
      <c r="D30" s="301"/>
      <c r="E30" s="524"/>
      <c r="F30" s="525"/>
      <c r="G30" s="525"/>
      <c r="H30" s="525"/>
      <c r="I30" s="526"/>
      <c r="J30" s="460" t="str">
        <f>IF(AND('Mapa final'!$K$34="Alta",'Mapa final'!$O$34="Leve"),CONCATENATE("R",'Mapa final'!$A$34),"")</f>
        <v/>
      </c>
      <c r="K30" s="458"/>
      <c r="L30" s="458" t="str">
        <f>IF(AND('Mapa final'!$K$37="Alta",'Mapa final'!$O$37="Leve"),CONCATENATE("R",'Mapa final'!$A$37),"")</f>
        <v/>
      </c>
      <c r="M30" s="458"/>
      <c r="N30" s="458" t="str">
        <f>IF(AND('Mapa final'!$K$40="Alta",'Mapa final'!$O$40="Leve"),CONCATENATE("R",'Mapa final'!$A$40),"")</f>
        <v/>
      </c>
      <c r="O30" s="458"/>
      <c r="P30" s="458" t="str">
        <f>IF(AND('Mapa final'!$K$43="Alta",'Mapa final'!$O$43="Leve"),CONCATENATE("R",'Mapa final'!$A$43),"")</f>
        <v/>
      </c>
      <c r="Q30" s="458"/>
      <c r="R30" s="458" t="str">
        <f>IF(AND('Mapa final'!$K$46="Alta",'Mapa final'!$O$46="Leve"),CONCATENATE("R",'Mapa final'!$A$46),"")</f>
        <v/>
      </c>
      <c r="S30" s="459"/>
      <c r="T30" s="460" t="str">
        <f>IF(AND('Mapa final'!$K$34="Alta",'Mapa final'!$O$34="Menor"),CONCATENATE("R",'Mapa final'!$A$34),"")</f>
        <v/>
      </c>
      <c r="U30" s="458"/>
      <c r="V30" s="458" t="str">
        <f>IF(AND('Mapa final'!$K$37="Alta",'Mapa final'!$O$37="Menor"),CONCATENATE("R",'Mapa final'!$A$37),"")</f>
        <v/>
      </c>
      <c r="W30" s="458"/>
      <c r="X30" s="458" t="str">
        <f>IF(AND('Mapa final'!$K$40="Alta",'Mapa final'!$O$40="Menor"),CONCATENATE("R",'Mapa final'!$A$40),"")</f>
        <v/>
      </c>
      <c r="Y30" s="458"/>
      <c r="Z30" s="458" t="str">
        <f>IF(AND('Mapa final'!$K$43="Alta",'Mapa final'!$O$43="Menor"),CONCATENATE("R",'Mapa final'!$A$43),"")</f>
        <v/>
      </c>
      <c r="AA30" s="458"/>
      <c r="AB30" s="458" t="str">
        <f>IF(AND('Mapa final'!$K$46="Alta",'Mapa final'!$O$46="Menor"),CONCATENATE("R",'Mapa final'!$A$46),"")</f>
        <v/>
      </c>
      <c r="AC30" s="459"/>
      <c r="AD30" s="463" t="str">
        <f>IF(AND('Mapa final'!$K$34="Alta",'Mapa final'!$O$34="Moderado"),CONCATENATE("R",'Mapa final'!$A$34),"")</f>
        <v/>
      </c>
      <c r="AE30" s="461"/>
      <c r="AF30" s="461" t="str">
        <f>IF(AND('Mapa final'!$K$37="Alta",'Mapa final'!$O$37="Moderado"),CONCATENATE("R",'Mapa final'!$A$37),"")</f>
        <v/>
      </c>
      <c r="AG30" s="461"/>
      <c r="AH30" s="461" t="str">
        <f>IF(AND('Mapa final'!$K$40="Alta",'Mapa final'!$O$40="Moderado"),CONCATENATE("R",'Mapa final'!$A$40),"")</f>
        <v/>
      </c>
      <c r="AI30" s="461"/>
      <c r="AJ30" s="461" t="str">
        <f>IF(AND('Mapa final'!$K$43="Alta",'Mapa final'!$O$43="Moderado"),CONCATENATE("R",'Mapa final'!$A$43),"")</f>
        <v/>
      </c>
      <c r="AK30" s="461"/>
      <c r="AL30" s="461" t="str">
        <f>IF(AND('Mapa final'!$K$46="Alta",'Mapa final'!$O$46="Moderado"),CONCATENATE("R",'Mapa final'!$A$46),"")</f>
        <v>R14</v>
      </c>
      <c r="AM30" s="462"/>
      <c r="AN30" s="463" t="str">
        <f>IF(AND('Mapa final'!$K$34="Alta",'Mapa final'!$O$34="Mayor"),CONCATENATE("R",'Mapa final'!$A$34),"")</f>
        <v/>
      </c>
      <c r="AO30" s="461"/>
      <c r="AP30" s="461" t="str">
        <f>IF(AND('Mapa final'!$K$37="Alta",'Mapa final'!$O$37="Mayor"),CONCATENATE("R",'Mapa final'!$A$37),"")</f>
        <v/>
      </c>
      <c r="AQ30" s="461"/>
      <c r="AR30" s="461" t="str">
        <f>IF(AND('Mapa final'!$K$40="Alta",'Mapa final'!$O$40="Mayor"),CONCATENATE("R",'Mapa final'!$A$40),"")</f>
        <v/>
      </c>
      <c r="AS30" s="461"/>
      <c r="AT30" s="461" t="str">
        <f>IF(AND('Mapa final'!$K$43="Alta",'Mapa final'!$O$43="Mayor"),CONCATENATE("R",'Mapa final'!$A$43),"")</f>
        <v/>
      </c>
      <c r="AU30" s="461"/>
      <c r="AV30" s="461" t="str">
        <f>IF(AND('Mapa final'!$K$46="Alta",'Mapa final'!$O$46="Mayor"),CONCATENATE("R",'Mapa final'!$A$46),"")</f>
        <v/>
      </c>
      <c r="AW30" s="462"/>
      <c r="AX30" s="457" t="str">
        <f>IF(AND('Mapa final'!$K$34="Alta",'Mapa final'!$O$34="Catastrófico"),CONCATENATE("R",'Mapa final'!$A$34),"")</f>
        <v/>
      </c>
      <c r="AY30" s="455"/>
      <c r="AZ30" s="455" t="str">
        <f>IF(AND('Mapa final'!$K$37="Alta",'Mapa final'!$O$37="Catastrófico"),CONCATENATE("R",'Mapa final'!$A$37),"")</f>
        <v/>
      </c>
      <c r="BA30" s="455"/>
      <c r="BB30" s="455" t="str">
        <f>IF(AND('Mapa final'!$K$40="Alta",'Mapa final'!$O$40="Catastrófico"),CONCATENATE("R",'Mapa final'!$A$40),"")</f>
        <v/>
      </c>
      <c r="BC30" s="455"/>
      <c r="BD30" s="455" t="str">
        <f>IF(AND('Mapa final'!$K$43="Alta",'Mapa final'!$O$43="Catastrófico"),CONCATENATE("R",'Mapa final'!$A$43),"")</f>
        <v/>
      </c>
      <c r="BE30" s="455"/>
      <c r="BF30" s="455" t="str">
        <f>IF(AND('Mapa final'!$K$46="Alta",'Mapa final'!$O$46="Catastrófico"),CONCATENATE("R",'Mapa final'!$A$46),"")</f>
        <v/>
      </c>
      <c r="BG30" s="456"/>
      <c r="BH30" s="56"/>
      <c r="BI30" s="489"/>
      <c r="BJ30" s="490"/>
      <c r="BK30" s="490"/>
      <c r="BL30" s="490"/>
      <c r="BM30" s="490"/>
      <c r="BN30" s="491"/>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35">
      <c r="A31" s="56"/>
      <c r="B31" s="300"/>
      <c r="C31" s="300"/>
      <c r="D31" s="301"/>
      <c r="E31" s="524"/>
      <c r="F31" s="525"/>
      <c r="G31" s="525"/>
      <c r="H31" s="525"/>
      <c r="I31" s="526"/>
      <c r="J31" s="460"/>
      <c r="K31" s="458"/>
      <c r="L31" s="458"/>
      <c r="M31" s="458"/>
      <c r="N31" s="458"/>
      <c r="O31" s="458"/>
      <c r="P31" s="458"/>
      <c r="Q31" s="458"/>
      <c r="R31" s="458"/>
      <c r="S31" s="459"/>
      <c r="T31" s="460"/>
      <c r="U31" s="458"/>
      <c r="V31" s="458"/>
      <c r="W31" s="458"/>
      <c r="X31" s="458"/>
      <c r="Y31" s="458"/>
      <c r="Z31" s="458"/>
      <c r="AA31" s="458"/>
      <c r="AB31" s="458"/>
      <c r="AC31" s="459"/>
      <c r="AD31" s="463"/>
      <c r="AE31" s="461"/>
      <c r="AF31" s="461"/>
      <c r="AG31" s="461"/>
      <c r="AH31" s="461"/>
      <c r="AI31" s="461"/>
      <c r="AJ31" s="461"/>
      <c r="AK31" s="461"/>
      <c r="AL31" s="461"/>
      <c r="AM31" s="462"/>
      <c r="AN31" s="463"/>
      <c r="AO31" s="461"/>
      <c r="AP31" s="461"/>
      <c r="AQ31" s="461"/>
      <c r="AR31" s="461"/>
      <c r="AS31" s="461"/>
      <c r="AT31" s="461"/>
      <c r="AU31" s="461"/>
      <c r="AV31" s="461"/>
      <c r="AW31" s="462"/>
      <c r="AX31" s="457"/>
      <c r="AY31" s="455"/>
      <c r="AZ31" s="455"/>
      <c r="BA31" s="455"/>
      <c r="BB31" s="455"/>
      <c r="BC31" s="455"/>
      <c r="BD31" s="455"/>
      <c r="BE31" s="455"/>
      <c r="BF31" s="455"/>
      <c r="BG31" s="456"/>
      <c r="BH31" s="56"/>
      <c r="BI31" s="489"/>
      <c r="BJ31" s="490"/>
      <c r="BK31" s="490"/>
      <c r="BL31" s="490"/>
      <c r="BM31" s="490"/>
      <c r="BN31" s="491"/>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35">
      <c r="A32" s="56"/>
      <c r="B32" s="300"/>
      <c r="C32" s="300"/>
      <c r="D32" s="301"/>
      <c r="E32" s="524"/>
      <c r="F32" s="525"/>
      <c r="G32" s="525"/>
      <c r="H32" s="525"/>
      <c r="I32" s="526"/>
      <c r="J32" s="460" t="str">
        <f>IF(AND('Mapa final'!$K$49="Alta",'Mapa final'!$O$49="Leve"),CONCATENATE("R",'Mapa final'!$A$49),"")</f>
        <v/>
      </c>
      <c r="K32" s="458"/>
      <c r="L32" s="458" t="str">
        <f>IF(AND('Mapa final'!$K$52="Alta",'Mapa final'!$O$52="Leve"),CONCATENATE("R",'Mapa final'!$A$52),"")</f>
        <v/>
      </c>
      <c r="M32" s="458"/>
      <c r="N32" s="458" t="str">
        <f>IF(AND('Mapa final'!$K$55="Alta",'Mapa final'!$O$55="Leve"),CONCATENATE("R",'Mapa final'!$A$55),"")</f>
        <v/>
      </c>
      <c r="O32" s="458"/>
      <c r="P32" s="458" t="str">
        <f>IF(AND('Mapa final'!$K$58="Alta",'Mapa final'!$O$58="Leve"),CONCATENATE("R",'Mapa final'!$A$58),"")</f>
        <v/>
      </c>
      <c r="Q32" s="458"/>
      <c r="R32" s="458" t="str">
        <f>IF(AND('Mapa final'!$K$61="Alta",'Mapa final'!$O$61="Leve"),CONCATENATE("R",'Mapa final'!$A$61),"")</f>
        <v/>
      </c>
      <c r="S32" s="459"/>
      <c r="T32" s="460" t="str">
        <f>IF(AND('Mapa final'!$K$49="Alta",'Mapa final'!$O$49="Menor"),CONCATENATE("R",'Mapa final'!$A$49),"")</f>
        <v/>
      </c>
      <c r="U32" s="458"/>
      <c r="V32" s="458" t="str">
        <f>IF(AND('Mapa final'!$K$52="Alta",'Mapa final'!$O$52="Menor"),CONCATENATE("R",'Mapa final'!$A$52),"")</f>
        <v/>
      </c>
      <c r="W32" s="458"/>
      <c r="X32" s="458" t="str">
        <f>IF(AND('Mapa final'!$K$55="Alta",'Mapa final'!$O$55="Menor"),CONCATENATE("R",'Mapa final'!$A$55),"")</f>
        <v/>
      </c>
      <c r="Y32" s="458"/>
      <c r="Z32" s="458" t="str">
        <f>IF(AND('Mapa final'!$K$58="Alta",'Mapa final'!$O$58="Menor"),CONCATENATE("R",'Mapa final'!$A$58),"")</f>
        <v/>
      </c>
      <c r="AA32" s="458"/>
      <c r="AB32" s="458" t="str">
        <f>IF(AND('Mapa final'!$K$61="Alta",'Mapa final'!$O$61="Menor"),CONCATENATE("R",'Mapa final'!$A$61),"")</f>
        <v/>
      </c>
      <c r="AC32" s="459"/>
      <c r="AD32" s="463" t="str">
        <f>IF(AND('Mapa final'!$K$49="Alta",'Mapa final'!$O$49="Moderado"),CONCATENATE("R",'Mapa final'!$A$49),"")</f>
        <v/>
      </c>
      <c r="AE32" s="461"/>
      <c r="AF32" s="461" t="str">
        <f>IF(AND('Mapa final'!$K$52="Alta",'Mapa final'!$O$52="Moderado"),CONCATENATE("R",'Mapa final'!$A$52),"")</f>
        <v/>
      </c>
      <c r="AG32" s="461"/>
      <c r="AH32" s="461" t="str">
        <f>IF(AND('Mapa final'!$K$55="Alta",'Mapa final'!$O$55="Moderado"),CONCATENATE("R",'Mapa final'!$A$55),"")</f>
        <v/>
      </c>
      <c r="AI32" s="461"/>
      <c r="AJ32" s="461" t="str">
        <f>IF(AND('Mapa final'!$K$58="Alta",'Mapa final'!$O$58="Moderado"),CONCATENATE("R",'Mapa final'!$A$58),"")</f>
        <v/>
      </c>
      <c r="AK32" s="461"/>
      <c r="AL32" s="461" t="str">
        <f>IF(AND('Mapa final'!$K$61="Alta",'Mapa final'!$O$61="Moderado"),CONCATENATE("R",'Mapa final'!$A$61),"")</f>
        <v/>
      </c>
      <c r="AM32" s="462"/>
      <c r="AN32" s="463" t="str">
        <f>IF(AND('Mapa final'!$K$49="Alta",'Mapa final'!$O$49="Mayor"),CONCATENATE("R",'Mapa final'!$A$49),"")</f>
        <v/>
      </c>
      <c r="AO32" s="461"/>
      <c r="AP32" s="461" t="str">
        <f>IF(AND('Mapa final'!$K$52="Alta",'Mapa final'!$O$52="Mayor"),CONCATENATE("R",'Mapa final'!$A$52),"")</f>
        <v/>
      </c>
      <c r="AQ32" s="461"/>
      <c r="AR32" s="461" t="str">
        <f>IF(AND('Mapa final'!$K$55="Alta",'Mapa final'!$O$55="Mayor"),CONCATENATE("R",'Mapa final'!$A$55),"")</f>
        <v/>
      </c>
      <c r="AS32" s="461"/>
      <c r="AT32" s="461" t="str">
        <f>IF(AND('Mapa final'!$K$58="Alta",'Mapa final'!$O$58="Mayor"),CONCATENATE("R",'Mapa final'!$A$58),"")</f>
        <v/>
      </c>
      <c r="AU32" s="461"/>
      <c r="AV32" s="461" t="str">
        <f>IF(AND('Mapa final'!$K$61="Alta",'Mapa final'!$O$61="Mayor"),CONCATENATE("R",'Mapa final'!$A$61),"")</f>
        <v/>
      </c>
      <c r="AW32" s="462"/>
      <c r="AX32" s="457" t="str">
        <f>IF(AND('Mapa final'!$K$49="Alta",'Mapa final'!$O$49="Catastrófico"),CONCATENATE("R",'Mapa final'!$A$49),"")</f>
        <v/>
      </c>
      <c r="AY32" s="455"/>
      <c r="AZ32" s="455" t="str">
        <f>IF(AND('Mapa final'!$K$52="Alta",'Mapa final'!$O$52="Catastrófico"),CONCATENATE("R",'Mapa final'!$A$52),"")</f>
        <v/>
      </c>
      <c r="BA32" s="455"/>
      <c r="BB32" s="455" t="str">
        <f>IF(AND('Mapa final'!$K$55="Alta",'Mapa final'!$O$55="Catastrófico"),CONCATENATE("R",'Mapa final'!$A$55),"")</f>
        <v/>
      </c>
      <c r="BC32" s="455"/>
      <c r="BD32" s="455" t="str">
        <f>IF(AND('Mapa final'!$K$58="Alta",'Mapa final'!$O$58="Catastrófico"),CONCATENATE("R",'Mapa final'!$A$58),"")</f>
        <v/>
      </c>
      <c r="BE32" s="455"/>
      <c r="BF32" s="455" t="str">
        <f>IF(AND('Mapa final'!$K$61="Alta",'Mapa final'!$O$61="Catastrófico"),CONCATENATE("R",'Mapa final'!$A$61),"")</f>
        <v/>
      </c>
      <c r="BG32" s="456"/>
      <c r="BH32" s="56"/>
      <c r="BI32" s="489"/>
      <c r="BJ32" s="490"/>
      <c r="BK32" s="490"/>
      <c r="BL32" s="490"/>
      <c r="BM32" s="490"/>
      <c r="BN32" s="491"/>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4">
      <c r="A33" s="56"/>
      <c r="B33" s="300"/>
      <c r="C33" s="300"/>
      <c r="D33" s="301"/>
      <c r="E33" s="524"/>
      <c r="F33" s="525"/>
      <c r="G33" s="525"/>
      <c r="H33" s="525"/>
      <c r="I33" s="526"/>
      <c r="J33" s="460"/>
      <c r="K33" s="458"/>
      <c r="L33" s="458"/>
      <c r="M33" s="458"/>
      <c r="N33" s="458"/>
      <c r="O33" s="458"/>
      <c r="P33" s="458"/>
      <c r="Q33" s="458"/>
      <c r="R33" s="458"/>
      <c r="S33" s="459"/>
      <c r="T33" s="460"/>
      <c r="U33" s="458"/>
      <c r="V33" s="458"/>
      <c r="W33" s="458"/>
      <c r="X33" s="458"/>
      <c r="Y33" s="458"/>
      <c r="Z33" s="458"/>
      <c r="AA33" s="458"/>
      <c r="AB33" s="458"/>
      <c r="AC33" s="459"/>
      <c r="AD33" s="463"/>
      <c r="AE33" s="461"/>
      <c r="AF33" s="461"/>
      <c r="AG33" s="461"/>
      <c r="AH33" s="461"/>
      <c r="AI33" s="461"/>
      <c r="AJ33" s="461"/>
      <c r="AK33" s="461"/>
      <c r="AL33" s="461"/>
      <c r="AM33" s="462"/>
      <c r="AN33" s="463"/>
      <c r="AO33" s="461"/>
      <c r="AP33" s="461"/>
      <c r="AQ33" s="461"/>
      <c r="AR33" s="461"/>
      <c r="AS33" s="461"/>
      <c r="AT33" s="461"/>
      <c r="AU33" s="461"/>
      <c r="AV33" s="461"/>
      <c r="AW33" s="462"/>
      <c r="AX33" s="457"/>
      <c r="AY33" s="455"/>
      <c r="AZ33" s="455"/>
      <c r="BA33" s="455"/>
      <c r="BB33" s="455"/>
      <c r="BC33" s="455"/>
      <c r="BD33" s="455"/>
      <c r="BE33" s="455"/>
      <c r="BF33" s="455"/>
      <c r="BG33" s="456"/>
      <c r="BH33" s="56"/>
      <c r="BI33" s="492"/>
      <c r="BJ33" s="493"/>
      <c r="BK33" s="493"/>
      <c r="BL33" s="493"/>
      <c r="BM33" s="493"/>
      <c r="BN33" s="494"/>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35">
      <c r="A34" s="56"/>
      <c r="B34" s="300"/>
      <c r="C34" s="300"/>
      <c r="D34" s="301"/>
      <c r="E34" s="524"/>
      <c r="F34" s="525"/>
      <c r="G34" s="525"/>
      <c r="H34" s="525"/>
      <c r="I34" s="526"/>
      <c r="J34" s="460" t="str">
        <f>IF(AND('Mapa final'!$K$64="Alta",'Mapa final'!$O$64="Leve"),CONCATENATE("R",'Mapa final'!$A$64),"")</f>
        <v/>
      </c>
      <c r="K34" s="458"/>
      <c r="L34" s="458" t="str">
        <f>IF(AND('Mapa final'!$K$67="Alta",'Mapa final'!$O$67="Leve"),CONCATENATE("R",'Mapa final'!$A$67),"")</f>
        <v/>
      </c>
      <c r="M34" s="458"/>
      <c r="N34" s="458" t="str">
        <f>IF(AND('Mapa final'!$K$73="Alta",'Mapa final'!$O$73="Leve"),CONCATENATE("R",'Mapa final'!$A$73),"")</f>
        <v/>
      </c>
      <c r="O34" s="458"/>
      <c r="P34" s="458" t="str">
        <f>IF(AND('Mapa final'!$K$76="Alta",'Mapa final'!$O$76="Leve"),CONCATENATE("R",'Mapa final'!$A$76),"")</f>
        <v/>
      </c>
      <c r="Q34" s="458"/>
      <c r="R34" s="458" t="str">
        <f>IF(AND('Mapa final'!$K$79="Alta",'Mapa final'!$O$79="Leve"),CONCATENATE("R",'Mapa final'!$A$79),"")</f>
        <v/>
      </c>
      <c r="S34" s="459"/>
      <c r="T34" s="460" t="str">
        <f>IF(AND('Mapa final'!$K$64="Alta",'Mapa final'!$O$64="Menor"),CONCATENATE("R",'Mapa final'!$A$64),"")</f>
        <v/>
      </c>
      <c r="U34" s="458"/>
      <c r="V34" s="458" t="str">
        <f>IF(AND('Mapa final'!$K$67="Alta",'Mapa final'!$O$67="Menor"),CONCATENATE("R",'Mapa final'!$A$67),"")</f>
        <v/>
      </c>
      <c r="W34" s="458"/>
      <c r="X34" s="458" t="str">
        <f>IF(AND('Mapa final'!$K$73="Alta",'Mapa final'!$O$73="Menor"),CONCATENATE("R",'Mapa final'!$A$73),"")</f>
        <v/>
      </c>
      <c r="Y34" s="458"/>
      <c r="Z34" s="458" t="str">
        <f>IF(AND('Mapa final'!$K$76="Alta",'Mapa final'!$O$76="Menor"),CONCATENATE("R",'Mapa final'!$A$76),"")</f>
        <v/>
      </c>
      <c r="AA34" s="458"/>
      <c r="AB34" s="458" t="str">
        <f>IF(AND('Mapa final'!$K$79="Alta",'Mapa final'!$O$79="Menor"),CONCATENATE("R",'Mapa final'!$A$79),"")</f>
        <v/>
      </c>
      <c r="AC34" s="459"/>
      <c r="AD34" s="463" t="str">
        <f>IF(AND('Mapa final'!$K$64="Alta",'Mapa final'!$O$64="Moderado"),CONCATENATE("R",'Mapa final'!$A$64),"")</f>
        <v/>
      </c>
      <c r="AE34" s="461"/>
      <c r="AF34" s="461" t="str">
        <f>IF(AND('Mapa final'!$K$67="Alta",'Mapa final'!$O$67="Moderado"),CONCATENATE("R",'Mapa final'!$A$67),"")</f>
        <v/>
      </c>
      <c r="AG34" s="461"/>
      <c r="AH34" s="461" t="str">
        <f>IF(AND('Mapa final'!$K$73="Alta",'Mapa final'!$O$73="Moderado"),CONCATENATE("R",'Mapa final'!$A$73),"")</f>
        <v/>
      </c>
      <c r="AI34" s="461"/>
      <c r="AJ34" s="461" t="str">
        <f>IF(AND('Mapa final'!$K$76="Alta",'Mapa final'!$O$76="Moderado"),CONCATENATE("R",'Mapa final'!$A$76),"")</f>
        <v/>
      </c>
      <c r="AK34" s="461"/>
      <c r="AL34" s="461" t="str">
        <f>IF(AND('Mapa final'!$K$79="Alta",'Mapa final'!$O$79="Moderado"),CONCATENATE("R",'Mapa final'!$A$79),"")</f>
        <v/>
      </c>
      <c r="AM34" s="462"/>
      <c r="AN34" s="463" t="str">
        <f>IF(AND('Mapa final'!$K$64="Alta",'Mapa final'!$O$64="Mayor"),CONCATENATE("R",'Mapa final'!$A$64),"")</f>
        <v/>
      </c>
      <c r="AO34" s="461"/>
      <c r="AP34" s="461" t="str">
        <f>IF(AND('Mapa final'!$K$67="Alta",'Mapa final'!$O$67="Mayor"),CONCATENATE("R",'Mapa final'!$A$67),"")</f>
        <v/>
      </c>
      <c r="AQ34" s="461"/>
      <c r="AR34" s="461" t="str">
        <f>IF(AND('Mapa final'!$K$73="Alta",'Mapa final'!$O$73="Mayor"),CONCATENATE("R",'Mapa final'!$A$73),"")</f>
        <v/>
      </c>
      <c r="AS34" s="461"/>
      <c r="AT34" s="461" t="str">
        <f>IF(AND('Mapa final'!$K$76="Alta",'Mapa final'!$O$76="Mayor"),CONCATENATE("R",'Mapa final'!$A$76),"")</f>
        <v/>
      </c>
      <c r="AU34" s="461"/>
      <c r="AV34" s="461" t="str">
        <f>IF(AND('Mapa final'!$K$79="Alta",'Mapa final'!$O$79="Mayor"),CONCATENATE("R",'Mapa final'!$A$79),"")</f>
        <v/>
      </c>
      <c r="AW34" s="462"/>
      <c r="AX34" s="457" t="str">
        <f>IF(AND('Mapa final'!$K$64="Alta",'Mapa final'!$O$64="Catastrófico"),CONCATENATE("R",'Mapa final'!$A$64),"")</f>
        <v/>
      </c>
      <c r="AY34" s="455"/>
      <c r="AZ34" s="455" t="str">
        <f>IF(AND('Mapa final'!$K$67="Alta",'Mapa final'!$O$67="Catastrófico"),CONCATENATE("R",'Mapa final'!$A$67),"")</f>
        <v/>
      </c>
      <c r="BA34" s="455"/>
      <c r="BB34" s="455" t="str">
        <f>IF(AND('Mapa final'!$K$73="Alta",'Mapa final'!$O$73="Catastrófico"),CONCATENATE("R",'Mapa final'!$A$73),"")</f>
        <v/>
      </c>
      <c r="BC34" s="455"/>
      <c r="BD34" s="455" t="str">
        <f>IF(AND('Mapa final'!$K$76="Alta",'Mapa final'!$O$76="Catastrófico"),CONCATENATE("R",'Mapa final'!$A$76),"")</f>
        <v/>
      </c>
      <c r="BE34" s="455"/>
      <c r="BF34" s="455" t="str">
        <f>IF(AND('Mapa final'!$K$79="Alta",'Mapa final'!$O$79="Catastrófico"),CONCATENATE("R",'Mapa final'!$A$79),"")</f>
        <v/>
      </c>
      <c r="BG34" s="456"/>
      <c r="BH34" s="56"/>
      <c r="BI34" s="495" t="s">
        <v>74</v>
      </c>
      <c r="BJ34" s="496"/>
      <c r="BK34" s="496"/>
      <c r="BL34" s="496"/>
      <c r="BM34" s="496"/>
      <c r="BN34" s="497"/>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35">
      <c r="A35" s="56"/>
      <c r="B35" s="300"/>
      <c r="C35" s="300"/>
      <c r="D35" s="301"/>
      <c r="E35" s="524"/>
      <c r="F35" s="525"/>
      <c r="G35" s="525"/>
      <c r="H35" s="525"/>
      <c r="I35" s="526"/>
      <c r="J35" s="460"/>
      <c r="K35" s="458"/>
      <c r="L35" s="458"/>
      <c r="M35" s="458"/>
      <c r="N35" s="458"/>
      <c r="O35" s="458"/>
      <c r="P35" s="458"/>
      <c r="Q35" s="458"/>
      <c r="R35" s="458"/>
      <c r="S35" s="459"/>
      <c r="T35" s="460"/>
      <c r="U35" s="458"/>
      <c r="V35" s="458"/>
      <c r="W35" s="458"/>
      <c r="X35" s="458"/>
      <c r="Y35" s="458"/>
      <c r="Z35" s="458"/>
      <c r="AA35" s="458"/>
      <c r="AB35" s="458"/>
      <c r="AC35" s="459"/>
      <c r="AD35" s="463"/>
      <c r="AE35" s="461"/>
      <c r="AF35" s="461"/>
      <c r="AG35" s="461"/>
      <c r="AH35" s="461"/>
      <c r="AI35" s="461"/>
      <c r="AJ35" s="461"/>
      <c r="AK35" s="461"/>
      <c r="AL35" s="461"/>
      <c r="AM35" s="462"/>
      <c r="AN35" s="463"/>
      <c r="AO35" s="461"/>
      <c r="AP35" s="461"/>
      <c r="AQ35" s="461"/>
      <c r="AR35" s="461"/>
      <c r="AS35" s="461"/>
      <c r="AT35" s="461"/>
      <c r="AU35" s="461"/>
      <c r="AV35" s="461"/>
      <c r="AW35" s="462"/>
      <c r="AX35" s="457"/>
      <c r="AY35" s="455"/>
      <c r="AZ35" s="455"/>
      <c r="BA35" s="455"/>
      <c r="BB35" s="455"/>
      <c r="BC35" s="455"/>
      <c r="BD35" s="455"/>
      <c r="BE35" s="455"/>
      <c r="BF35" s="455"/>
      <c r="BG35" s="456"/>
      <c r="BH35" s="56"/>
      <c r="BI35" s="498"/>
      <c r="BJ35" s="499"/>
      <c r="BK35" s="499"/>
      <c r="BL35" s="499"/>
      <c r="BM35" s="499"/>
      <c r="BN35" s="500"/>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35">
      <c r="A36" s="56"/>
      <c r="B36" s="300"/>
      <c r="C36" s="300"/>
      <c r="D36" s="301"/>
      <c r="E36" s="524"/>
      <c r="F36" s="525"/>
      <c r="G36" s="525"/>
      <c r="H36" s="525"/>
      <c r="I36" s="526"/>
      <c r="J36" s="460" t="str">
        <f>IF(AND('Mapa final'!$K$82="Alta",'Mapa final'!$O$82="Leve"),CONCATENATE("R",'Mapa final'!$A$82),"")</f>
        <v/>
      </c>
      <c r="K36" s="458"/>
      <c r="L36" s="458" t="str">
        <f>IF(AND('Mapa final'!$K$85="Alta",'Mapa final'!$O$85="Leve"),CONCATENATE("R",'Mapa final'!$A$85),"")</f>
        <v/>
      </c>
      <c r="M36" s="458"/>
      <c r="N36" s="458" t="str">
        <f>IF(AND('Mapa final'!$K$88="Alta",'Mapa final'!$O$88="Leve"),CONCATENATE("R",'Mapa final'!$A$88),"")</f>
        <v/>
      </c>
      <c r="O36" s="458"/>
      <c r="P36" s="458" t="str">
        <f>IF(AND('Mapa final'!$K$91="Alta",'Mapa final'!$O$91="Leve"),CONCATENATE("R",'Mapa final'!$A$91),"")</f>
        <v/>
      </c>
      <c r="Q36" s="458"/>
      <c r="R36" s="458" t="str">
        <f>IF(AND('Mapa final'!$K$94="Alta",'Mapa final'!$O$94="Leve"),CONCATENATE("R",'Mapa final'!$A$94),"")</f>
        <v/>
      </c>
      <c r="S36" s="459"/>
      <c r="T36" s="460" t="str">
        <f>IF(AND('Mapa final'!$K$82="Alta",'Mapa final'!$O$82="Menor"),CONCATENATE("R",'Mapa final'!$A$82),"")</f>
        <v/>
      </c>
      <c r="U36" s="458"/>
      <c r="V36" s="458" t="str">
        <f>IF(AND('Mapa final'!$K$85="Alta",'Mapa final'!$O$85="Menor"),CONCATENATE("R",'Mapa final'!$A$85),"")</f>
        <v/>
      </c>
      <c r="W36" s="458"/>
      <c r="X36" s="458" t="str">
        <f>IF(AND('Mapa final'!$K$88="Alta",'Mapa final'!$O$88="Menor"),CONCATENATE("R",'Mapa final'!$A$88),"")</f>
        <v/>
      </c>
      <c r="Y36" s="458"/>
      <c r="Z36" s="458" t="str">
        <f>IF(AND('Mapa final'!$K$91="Alta",'Mapa final'!$O$91="Menor"),CONCATENATE("R",'Mapa final'!$A$91),"")</f>
        <v/>
      </c>
      <c r="AA36" s="458"/>
      <c r="AB36" s="458" t="str">
        <f>IF(AND('Mapa final'!$K$94="Alta",'Mapa final'!$O$94="Menor"),CONCATENATE("R",'Mapa final'!$A$94),"")</f>
        <v/>
      </c>
      <c r="AC36" s="459"/>
      <c r="AD36" s="463" t="str">
        <f>IF(AND('Mapa final'!$K$82="Alta",'Mapa final'!$O$82="Moderado"),CONCATENATE("R",'Mapa final'!$A$82),"")</f>
        <v/>
      </c>
      <c r="AE36" s="461"/>
      <c r="AF36" s="461" t="str">
        <f>IF(AND('Mapa final'!$K$85="Alta",'Mapa final'!$O$85="Moderado"),CONCATENATE("R",'Mapa final'!$A$85),"")</f>
        <v/>
      </c>
      <c r="AG36" s="461"/>
      <c r="AH36" s="461" t="str">
        <f>IF(AND('Mapa final'!$K$88="Alta",'Mapa final'!$O$88="Moderado"),CONCATENATE("R",'Mapa final'!$A$88),"")</f>
        <v/>
      </c>
      <c r="AI36" s="461"/>
      <c r="AJ36" s="461" t="str">
        <f>IF(AND('Mapa final'!$K$91="Alta",'Mapa final'!$O$91="Moderado"),CONCATENATE("R",'Mapa final'!$A$91),"")</f>
        <v/>
      </c>
      <c r="AK36" s="461"/>
      <c r="AL36" s="461" t="str">
        <f>IF(AND('Mapa final'!$K$94="Alta",'Mapa final'!$O$94="Moderado"),CONCATENATE("R",'Mapa final'!$A$94),"")</f>
        <v/>
      </c>
      <c r="AM36" s="462"/>
      <c r="AN36" s="463" t="str">
        <f>IF(AND('Mapa final'!$K$82="Alta",'Mapa final'!$O$82="Mayor"),CONCATENATE("R",'Mapa final'!$A$82),"")</f>
        <v/>
      </c>
      <c r="AO36" s="461"/>
      <c r="AP36" s="461" t="str">
        <f>IF(AND('Mapa final'!$K$85="Alta",'Mapa final'!$O$85="Mayor"),CONCATENATE("R",'Mapa final'!$A$85),"")</f>
        <v/>
      </c>
      <c r="AQ36" s="461"/>
      <c r="AR36" s="461" t="str">
        <f>IF(AND('Mapa final'!$K$88="Alta",'Mapa final'!$O$88="Mayor"),CONCATENATE("R",'Mapa final'!$A$88),"")</f>
        <v/>
      </c>
      <c r="AS36" s="461"/>
      <c r="AT36" s="461" t="str">
        <f>IF(AND('Mapa final'!$K$91="Alta",'Mapa final'!$O$91="Mayor"),CONCATENATE("R",'Mapa final'!$A$91),"")</f>
        <v/>
      </c>
      <c r="AU36" s="461"/>
      <c r="AV36" s="461" t="str">
        <f>IF(AND('Mapa final'!$K$94="Alta",'Mapa final'!$O$94="Mayor"),CONCATENATE("R",'Mapa final'!$A$94),"")</f>
        <v>R30</v>
      </c>
      <c r="AW36" s="462"/>
      <c r="AX36" s="457" t="str">
        <f>IF(AND('Mapa final'!$K$82="Alta",'Mapa final'!$O$82="Catastrófico"),CONCATENATE("R",'Mapa final'!$A$82),"")</f>
        <v/>
      </c>
      <c r="AY36" s="455"/>
      <c r="AZ36" s="455" t="str">
        <f>IF(AND('Mapa final'!$K$85="Alta",'Mapa final'!$O$85="Catastrófico"),CONCATENATE("R",'Mapa final'!$A$85),"")</f>
        <v/>
      </c>
      <c r="BA36" s="455"/>
      <c r="BB36" s="455" t="str">
        <f>IF(AND('Mapa final'!$K$88="Alta",'Mapa final'!$O$88="Catastrófico"),CONCATENATE("R",'Mapa final'!$A$88),"")</f>
        <v/>
      </c>
      <c r="BC36" s="455"/>
      <c r="BD36" s="455" t="str">
        <f>IF(AND('Mapa final'!$K$91="Alta",'Mapa final'!$O$91="Catastrófico"),CONCATENATE("R",'Mapa final'!$A$91),"")</f>
        <v/>
      </c>
      <c r="BE36" s="455"/>
      <c r="BF36" s="455" t="str">
        <f>IF(AND('Mapa final'!$K$94="Alta",'Mapa final'!$O$94="Catastrófico"),CONCATENATE("R",'Mapa final'!$A$94),"")</f>
        <v/>
      </c>
      <c r="BG36" s="456"/>
      <c r="BH36" s="56"/>
      <c r="BI36" s="498"/>
      <c r="BJ36" s="499"/>
      <c r="BK36" s="499"/>
      <c r="BL36" s="499"/>
      <c r="BM36" s="499"/>
      <c r="BN36" s="500"/>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35">
      <c r="A37" s="56"/>
      <c r="B37" s="300"/>
      <c r="C37" s="300"/>
      <c r="D37" s="301"/>
      <c r="E37" s="524"/>
      <c r="F37" s="525"/>
      <c r="G37" s="525"/>
      <c r="H37" s="525"/>
      <c r="I37" s="526"/>
      <c r="J37" s="460"/>
      <c r="K37" s="458"/>
      <c r="L37" s="458"/>
      <c r="M37" s="458"/>
      <c r="N37" s="458"/>
      <c r="O37" s="458"/>
      <c r="P37" s="458"/>
      <c r="Q37" s="458"/>
      <c r="R37" s="458"/>
      <c r="S37" s="459"/>
      <c r="T37" s="460"/>
      <c r="U37" s="458"/>
      <c r="V37" s="458"/>
      <c r="W37" s="458"/>
      <c r="X37" s="458"/>
      <c r="Y37" s="458"/>
      <c r="Z37" s="458"/>
      <c r="AA37" s="458"/>
      <c r="AB37" s="458"/>
      <c r="AC37" s="459"/>
      <c r="AD37" s="463"/>
      <c r="AE37" s="461"/>
      <c r="AF37" s="461"/>
      <c r="AG37" s="461"/>
      <c r="AH37" s="461"/>
      <c r="AI37" s="461"/>
      <c r="AJ37" s="461"/>
      <c r="AK37" s="461"/>
      <c r="AL37" s="461"/>
      <c r="AM37" s="462"/>
      <c r="AN37" s="463"/>
      <c r="AO37" s="461"/>
      <c r="AP37" s="461"/>
      <c r="AQ37" s="461"/>
      <c r="AR37" s="461"/>
      <c r="AS37" s="461"/>
      <c r="AT37" s="461"/>
      <c r="AU37" s="461"/>
      <c r="AV37" s="461"/>
      <c r="AW37" s="462"/>
      <c r="AX37" s="457"/>
      <c r="AY37" s="455"/>
      <c r="AZ37" s="455"/>
      <c r="BA37" s="455"/>
      <c r="BB37" s="455"/>
      <c r="BC37" s="455"/>
      <c r="BD37" s="455"/>
      <c r="BE37" s="455"/>
      <c r="BF37" s="455"/>
      <c r="BG37" s="456"/>
      <c r="BH37" s="56"/>
      <c r="BI37" s="498"/>
      <c r="BJ37" s="499"/>
      <c r="BK37" s="499"/>
      <c r="BL37" s="499"/>
      <c r="BM37" s="499"/>
      <c r="BN37" s="500"/>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35">
      <c r="A38" s="56"/>
      <c r="B38" s="300"/>
      <c r="C38" s="300"/>
      <c r="D38" s="301"/>
      <c r="E38" s="524"/>
      <c r="F38" s="525"/>
      <c r="G38" s="525"/>
      <c r="H38" s="525"/>
      <c r="I38" s="526"/>
      <c r="J38" s="460" t="str">
        <f>IF(AND('Mapa final'!$K$97="Alta",'Mapa final'!$O$97="Leve"),CONCATENATE("R",'Mapa final'!$A$97),"")</f>
        <v/>
      </c>
      <c r="K38" s="458"/>
      <c r="L38" s="458" t="e">
        <f>IF(AND('Mapa final'!#REF!="Alta",'Mapa final'!#REF!="Leve"),CONCATENATE("R",'Mapa final'!#REF!),"")</f>
        <v>#REF!</v>
      </c>
      <c r="M38" s="458"/>
      <c r="N38" s="458" t="str">
        <f>IF(AND('Mapa final'!$K$100="Alta",'Mapa final'!$O$100="Leve"),CONCATENATE("R",'Mapa final'!$A$100),"")</f>
        <v/>
      </c>
      <c r="O38" s="458"/>
      <c r="P38" s="458" t="str">
        <f>IF(AND('Mapa final'!$K$103="Alta",'Mapa final'!$O$103="Leve"),CONCATENATE("R",'Mapa final'!$A$103),"")</f>
        <v/>
      </c>
      <c r="Q38" s="458"/>
      <c r="R38" s="458" t="str">
        <f>IF(AND('Mapa final'!$K$106="Alta",'Mapa final'!$O$106="Leve"),CONCATENATE("R",'Mapa final'!$A$106),"")</f>
        <v/>
      </c>
      <c r="S38" s="459"/>
      <c r="T38" s="460" t="str">
        <f>IF(AND('Mapa final'!$K$97="Alta",'Mapa final'!$O$97="Menor"),CONCATENATE("R",'Mapa final'!$A$97),"")</f>
        <v/>
      </c>
      <c r="U38" s="458"/>
      <c r="V38" s="458" t="e">
        <f>IF(AND('Mapa final'!#REF!="Alta",'Mapa final'!#REF!="Menor"),CONCATENATE("R",'Mapa final'!#REF!),"")</f>
        <v>#REF!</v>
      </c>
      <c r="W38" s="458"/>
      <c r="X38" s="458" t="str">
        <f>IF(AND('Mapa final'!$K$100="Alta",'Mapa final'!$O$100="Menor"),CONCATENATE("R",'Mapa final'!$A$100),"")</f>
        <v/>
      </c>
      <c r="Y38" s="458"/>
      <c r="Z38" s="458" t="str">
        <f>IF(AND('Mapa final'!$K$103="Alta",'Mapa final'!$O$103="Menor"),CONCATENATE("R",'Mapa final'!$A$103),"")</f>
        <v/>
      </c>
      <c r="AA38" s="458"/>
      <c r="AB38" s="458" t="str">
        <f>IF(AND('Mapa final'!$K$106="Alta",'Mapa final'!$O$106="Menor"),CONCATENATE("R",'Mapa final'!$A$106),"")</f>
        <v/>
      </c>
      <c r="AC38" s="459"/>
      <c r="AD38" s="463" t="str">
        <f>IF(AND('Mapa final'!$K$97="Alta",'Mapa final'!$O$97="Moderado"),CONCATENATE("R",'Mapa final'!$A$97),"")</f>
        <v/>
      </c>
      <c r="AE38" s="461"/>
      <c r="AF38" s="461" t="e">
        <f>IF(AND('Mapa final'!#REF!="Alta",'Mapa final'!#REF!="Moderado"),CONCATENATE("R",'Mapa final'!#REF!),"")</f>
        <v>#REF!</v>
      </c>
      <c r="AG38" s="461"/>
      <c r="AH38" s="461" t="str">
        <f>IF(AND('Mapa final'!$K$100="Alta",'Mapa final'!$O$100="Moderado"),CONCATENATE("R",'Mapa final'!$A$100),"")</f>
        <v>R32</v>
      </c>
      <c r="AI38" s="461"/>
      <c r="AJ38" s="461" t="str">
        <f>IF(AND('Mapa final'!$K$103="Alta",'Mapa final'!$O$103="Moderado"),CONCATENATE("R",'Mapa final'!$A$103),"")</f>
        <v/>
      </c>
      <c r="AK38" s="461"/>
      <c r="AL38" s="461" t="str">
        <f>IF(AND('Mapa final'!$K$106="Alta",'Mapa final'!$O$106="Moderado"),CONCATENATE("R",'Mapa final'!$A$106),"")</f>
        <v/>
      </c>
      <c r="AM38" s="462"/>
      <c r="AN38" s="463" t="str">
        <f>IF(AND('Mapa final'!$K$97="Alta",'Mapa final'!$O$97="Mayor"),CONCATENATE("R",'Mapa final'!$A$97),"")</f>
        <v/>
      </c>
      <c r="AO38" s="461"/>
      <c r="AP38" s="461" t="e">
        <f>IF(AND('Mapa final'!#REF!="Alta",'Mapa final'!#REF!="Mayor"),CONCATENATE("R",'Mapa final'!#REF!),"")</f>
        <v>#REF!</v>
      </c>
      <c r="AQ38" s="461"/>
      <c r="AR38" s="461" t="str">
        <f>IF(AND('Mapa final'!$K$100="Alta",'Mapa final'!$O$100="Mayor"),CONCATENATE("R",'Mapa final'!$A$100),"")</f>
        <v/>
      </c>
      <c r="AS38" s="461"/>
      <c r="AT38" s="461" t="str">
        <f>IF(AND('Mapa final'!$K$103="Alta",'Mapa final'!$O$103="Mayor"),CONCATENATE("R",'Mapa final'!$A$103),"")</f>
        <v/>
      </c>
      <c r="AU38" s="461"/>
      <c r="AV38" s="461" t="str">
        <f>IF(AND('Mapa final'!$K$106="Alta",'Mapa final'!$O$106="Mayor"),CONCATENATE("R",'Mapa final'!$A$106),"")</f>
        <v/>
      </c>
      <c r="AW38" s="462"/>
      <c r="AX38" s="457" t="str">
        <f>IF(AND('Mapa final'!$K$97="Alta",'Mapa final'!$O$97="Catastrófico"),CONCATENATE("R",'Mapa final'!$A$97),"")</f>
        <v/>
      </c>
      <c r="AY38" s="455"/>
      <c r="AZ38" s="455" t="e">
        <f>IF(AND('Mapa final'!#REF!="Alta",'Mapa final'!#REF!="Catastrófico"),CONCATENATE("R",'Mapa final'!#REF!),"")</f>
        <v>#REF!</v>
      </c>
      <c r="BA38" s="455"/>
      <c r="BB38" s="455" t="str">
        <f>IF(AND('Mapa final'!$K$100="Alta",'Mapa final'!$O$100="Catastrófico"),CONCATENATE("R",'Mapa final'!$A$100),"")</f>
        <v/>
      </c>
      <c r="BC38" s="455"/>
      <c r="BD38" s="455" t="str">
        <f>IF(AND('Mapa final'!$K$103="Alta",'Mapa final'!$O$103="Catastrófico"),CONCATENATE("R",'Mapa final'!$A$103),"")</f>
        <v/>
      </c>
      <c r="BE38" s="455"/>
      <c r="BF38" s="455" t="str">
        <f>IF(AND('Mapa final'!$K$106="Alta",'Mapa final'!$O$106="Catastrófico"),CONCATENATE("R",'Mapa final'!$A$106),"")</f>
        <v/>
      </c>
      <c r="BG38" s="456"/>
      <c r="BH38" s="56"/>
      <c r="BI38" s="498"/>
      <c r="BJ38" s="499"/>
      <c r="BK38" s="499"/>
      <c r="BL38" s="499"/>
      <c r="BM38" s="499"/>
      <c r="BN38" s="500"/>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35">
      <c r="A39" s="56"/>
      <c r="B39" s="300"/>
      <c r="C39" s="300"/>
      <c r="D39" s="301"/>
      <c r="E39" s="524"/>
      <c r="F39" s="525"/>
      <c r="G39" s="525"/>
      <c r="H39" s="525"/>
      <c r="I39" s="526"/>
      <c r="J39" s="460"/>
      <c r="K39" s="458"/>
      <c r="L39" s="458"/>
      <c r="M39" s="458"/>
      <c r="N39" s="458"/>
      <c r="O39" s="458"/>
      <c r="P39" s="458"/>
      <c r="Q39" s="458"/>
      <c r="R39" s="458"/>
      <c r="S39" s="459"/>
      <c r="T39" s="460"/>
      <c r="U39" s="458"/>
      <c r="V39" s="458"/>
      <c r="W39" s="458"/>
      <c r="X39" s="458"/>
      <c r="Y39" s="458"/>
      <c r="Z39" s="458"/>
      <c r="AA39" s="458"/>
      <c r="AB39" s="458"/>
      <c r="AC39" s="459"/>
      <c r="AD39" s="463"/>
      <c r="AE39" s="461"/>
      <c r="AF39" s="461"/>
      <c r="AG39" s="461"/>
      <c r="AH39" s="461"/>
      <c r="AI39" s="461"/>
      <c r="AJ39" s="461"/>
      <c r="AK39" s="461"/>
      <c r="AL39" s="461"/>
      <c r="AM39" s="462"/>
      <c r="AN39" s="463"/>
      <c r="AO39" s="461"/>
      <c r="AP39" s="461"/>
      <c r="AQ39" s="461"/>
      <c r="AR39" s="461"/>
      <c r="AS39" s="461"/>
      <c r="AT39" s="461"/>
      <c r="AU39" s="461"/>
      <c r="AV39" s="461"/>
      <c r="AW39" s="462"/>
      <c r="AX39" s="457"/>
      <c r="AY39" s="455"/>
      <c r="AZ39" s="455"/>
      <c r="BA39" s="455"/>
      <c r="BB39" s="455"/>
      <c r="BC39" s="455"/>
      <c r="BD39" s="455"/>
      <c r="BE39" s="455"/>
      <c r="BF39" s="455"/>
      <c r="BG39" s="456"/>
      <c r="BH39" s="56"/>
      <c r="BI39" s="498"/>
      <c r="BJ39" s="499"/>
      <c r="BK39" s="499"/>
      <c r="BL39" s="499"/>
      <c r="BM39" s="499"/>
      <c r="BN39" s="500"/>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35">
      <c r="A40" s="56"/>
      <c r="B40" s="300"/>
      <c r="C40" s="300"/>
      <c r="D40" s="301"/>
      <c r="E40" s="524"/>
      <c r="F40" s="525"/>
      <c r="G40" s="525"/>
      <c r="H40" s="525"/>
      <c r="I40" s="526"/>
      <c r="J40" s="460" t="str">
        <f>IF(AND('Mapa final'!$K$109="Alta",'Mapa final'!$O$109="Leve"),CONCATENATE("R",'Mapa final'!$A$109),"")</f>
        <v/>
      </c>
      <c r="K40" s="458"/>
      <c r="L40" s="458" t="str">
        <f>IF(AND('Mapa final'!$K$112="Alta",'Mapa final'!$O$112="Leve"),CONCATENATE("R",'Mapa final'!$A$112),"")</f>
        <v/>
      </c>
      <c r="M40" s="458"/>
      <c r="N40" s="458" t="str">
        <f>IF(AND('Mapa final'!$K$115="Alta",'Mapa final'!$O$115="Leve"),CONCATENATE("R",'Mapa final'!$A$115),"")</f>
        <v/>
      </c>
      <c r="O40" s="458"/>
      <c r="P40" s="458" t="str">
        <f>IF(AND('Mapa final'!$K$118="Alta",'Mapa final'!$O$118="Leve"),CONCATENATE("R",'Mapa final'!$A$118),"")</f>
        <v/>
      </c>
      <c r="Q40" s="458"/>
      <c r="R40" s="458" t="str">
        <f>IF(AND('Mapa final'!$K$121="Alta",'Mapa final'!$O$121="Leve"),CONCATENATE("R",'Mapa final'!$A$121),"")</f>
        <v/>
      </c>
      <c r="S40" s="459"/>
      <c r="T40" s="460" t="str">
        <f>IF(AND('Mapa final'!$K$109="Alta",'Mapa final'!$O$109="Menor"),CONCATENATE("R",'Mapa final'!$A$109),"")</f>
        <v/>
      </c>
      <c r="U40" s="458"/>
      <c r="V40" s="458" t="str">
        <f>IF(AND('Mapa final'!$K$112="Alta",'Mapa final'!$O$112="Menor"),CONCATENATE("R",'Mapa final'!$A$112),"")</f>
        <v/>
      </c>
      <c r="W40" s="458"/>
      <c r="X40" s="458" t="str">
        <f>IF(AND('Mapa final'!$K$115="Alta",'Mapa final'!$O$115="Menor"),CONCATENATE("R",'Mapa final'!$A$115),"")</f>
        <v/>
      </c>
      <c r="Y40" s="458"/>
      <c r="Z40" s="458" t="str">
        <f>IF(AND('Mapa final'!$K$118="Alta",'Mapa final'!$O$118="Menor"),CONCATENATE("R",'Mapa final'!$A$118),"")</f>
        <v/>
      </c>
      <c r="AA40" s="458"/>
      <c r="AB40" s="458" t="str">
        <f>IF(AND('Mapa final'!$K$121="Alta",'Mapa final'!$O$121="Menor"),CONCATENATE("R",'Mapa final'!$A$121),"")</f>
        <v/>
      </c>
      <c r="AC40" s="459"/>
      <c r="AD40" s="463" t="str">
        <f>IF(AND('Mapa final'!$K$109="Alta",'Mapa final'!$O$109="Moderado"),CONCATENATE("R",'Mapa final'!$A$109),"")</f>
        <v/>
      </c>
      <c r="AE40" s="461"/>
      <c r="AF40" s="461" t="str">
        <f>IF(AND('Mapa final'!$K$112="Alta",'Mapa final'!$O$112="Moderado"),CONCATENATE("R",'Mapa final'!$A$112),"")</f>
        <v/>
      </c>
      <c r="AG40" s="461"/>
      <c r="AH40" s="461" t="str">
        <f>IF(AND('Mapa final'!$K$115="Alta",'Mapa final'!$O$115="Moderado"),CONCATENATE("R",'Mapa final'!$A$115),"")</f>
        <v/>
      </c>
      <c r="AI40" s="461"/>
      <c r="AJ40" s="461" t="str">
        <f>IF(AND('Mapa final'!$K$118="Alta",'Mapa final'!$O$118="Moderado"),CONCATENATE("R",'Mapa final'!$A$118),"")</f>
        <v>R38</v>
      </c>
      <c r="AK40" s="461"/>
      <c r="AL40" s="461" t="str">
        <f>IF(AND('Mapa final'!$K$121="Alta",'Mapa final'!$O$121="Moderado"),CONCATENATE("R",'Mapa final'!$A$121),"")</f>
        <v/>
      </c>
      <c r="AM40" s="462"/>
      <c r="AN40" s="463" t="str">
        <f>IF(AND('Mapa final'!$K$109="Alta",'Mapa final'!$O$109="Mayor"),CONCATENATE("R",'Mapa final'!$A$109),"")</f>
        <v/>
      </c>
      <c r="AO40" s="461"/>
      <c r="AP40" s="461" t="str">
        <f>IF(AND('Mapa final'!$K$112="Alta",'Mapa final'!$O$112="Mayor"),CONCATENATE("R",'Mapa final'!$A$112),"")</f>
        <v/>
      </c>
      <c r="AQ40" s="461"/>
      <c r="AR40" s="461" t="str">
        <f>IF(AND('Mapa final'!$K$115="Alta",'Mapa final'!$O$115="Mayor"),CONCATENATE("R",'Mapa final'!$A$115),"")</f>
        <v/>
      </c>
      <c r="AS40" s="461"/>
      <c r="AT40" s="461" t="str">
        <f>IF(AND('Mapa final'!$K$118="Alta",'Mapa final'!$O$118="Mayor"),CONCATENATE("R",'Mapa final'!$A$118),"")</f>
        <v/>
      </c>
      <c r="AU40" s="461"/>
      <c r="AV40" s="461" t="str">
        <f>IF(AND('Mapa final'!$K$121="Alta",'Mapa final'!$O$121="Mayor"),CONCATENATE("R",'Mapa final'!$A$121),"")</f>
        <v/>
      </c>
      <c r="AW40" s="462"/>
      <c r="AX40" s="457" t="str">
        <f>IF(AND('Mapa final'!$K$109="Alta",'Mapa final'!$O$109="Catastrófico"),CONCATENATE("R",'Mapa final'!$A$109),"")</f>
        <v/>
      </c>
      <c r="AY40" s="455"/>
      <c r="AZ40" s="455" t="str">
        <f>IF(AND('Mapa final'!$K$112="Alta",'Mapa final'!$O$112="Catastrófico"),CONCATENATE("R",'Mapa final'!$A$112),"")</f>
        <v/>
      </c>
      <c r="BA40" s="455"/>
      <c r="BB40" s="455" t="str">
        <f>IF(AND('Mapa final'!$K$115="Alta",'Mapa final'!$O$115="Catastrófico"),CONCATENATE("R",'Mapa final'!$A$115),"")</f>
        <v/>
      </c>
      <c r="BC40" s="455"/>
      <c r="BD40" s="455" t="str">
        <f>IF(AND('Mapa final'!$K$118="Alta",'Mapa final'!$O$118="Catastrófico"),CONCATENATE("R",'Mapa final'!$A$118),"")</f>
        <v/>
      </c>
      <c r="BE40" s="455"/>
      <c r="BF40" s="455" t="str">
        <f>IF(AND('Mapa final'!$K$121="Alta",'Mapa final'!$O$121="Catastrófico"),CONCATENATE("R",'Mapa final'!$A$121),"")</f>
        <v/>
      </c>
      <c r="BG40" s="456"/>
      <c r="BH40" s="56"/>
      <c r="BI40" s="498"/>
      <c r="BJ40" s="499"/>
      <c r="BK40" s="499"/>
      <c r="BL40" s="499"/>
      <c r="BM40" s="499"/>
      <c r="BN40" s="500"/>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35">
      <c r="A41" s="56"/>
      <c r="B41" s="300"/>
      <c r="C41" s="300"/>
      <c r="D41" s="301"/>
      <c r="E41" s="524"/>
      <c r="F41" s="525"/>
      <c r="G41" s="525"/>
      <c r="H41" s="525"/>
      <c r="I41" s="526"/>
      <c r="J41" s="460"/>
      <c r="K41" s="458"/>
      <c r="L41" s="458"/>
      <c r="M41" s="458"/>
      <c r="N41" s="458"/>
      <c r="O41" s="458"/>
      <c r="P41" s="458"/>
      <c r="Q41" s="458"/>
      <c r="R41" s="458"/>
      <c r="S41" s="459"/>
      <c r="T41" s="460"/>
      <c r="U41" s="458"/>
      <c r="V41" s="458"/>
      <c r="W41" s="458"/>
      <c r="X41" s="458"/>
      <c r="Y41" s="458"/>
      <c r="Z41" s="458"/>
      <c r="AA41" s="458"/>
      <c r="AB41" s="458"/>
      <c r="AC41" s="459"/>
      <c r="AD41" s="463"/>
      <c r="AE41" s="461"/>
      <c r="AF41" s="461"/>
      <c r="AG41" s="461"/>
      <c r="AH41" s="461"/>
      <c r="AI41" s="461"/>
      <c r="AJ41" s="461"/>
      <c r="AK41" s="461"/>
      <c r="AL41" s="461"/>
      <c r="AM41" s="462"/>
      <c r="AN41" s="463"/>
      <c r="AO41" s="461"/>
      <c r="AP41" s="461"/>
      <c r="AQ41" s="461"/>
      <c r="AR41" s="461"/>
      <c r="AS41" s="461"/>
      <c r="AT41" s="461"/>
      <c r="AU41" s="461"/>
      <c r="AV41" s="461"/>
      <c r="AW41" s="462"/>
      <c r="AX41" s="457"/>
      <c r="AY41" s="455"/>
      <c r="AZ41" s="455"/>
      <c r="BA41" s="455"/>
      <c r="BB41" s="455"/>
      <c r="BC41" s="455"/>
      <c r="BD41" s="455"/>
      <c r="BE41" s="455"/>
      <c r="BF41" s="455"/>
      <c r="BG41" s="456"/>
      <c r="BH41" s="56"/>
      <c r="BI41" s="498"/>
      <c r="BJ41" s="499"/>
      <c r="BK41" s="499"/>
      <c r="BL41" s="499"/>
      <c r="BM41" s="499"/>
      <c r="BN41" s="500"/>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35">
      <c r="A42" s="56"/>
      <c r="B42" s="300"/>
      <c r="C42" s="300"/>
      <c r="D42" s="301"/>
      <c r="E42" s="524"/>
      <c r="F42" s="525"/>
      <c r="G42" s="525"/>
      <c r="H42" s="525"/>
      <c r="I42" s="526"/>
      <c r="J42" s="460" t="str">
        <f>IF(AND('Mapa final'!$K$124="Alta",'Mapa final'!$O$124="Leve"),CONCATENATE("R",'Mapa final'!$A$124),"")</f>
        <v/>
      </c>
      <c r="K42" s="458"/>
      <c r="L42" s="458" t="str">
        <f>IF(AND('Mapa final'!$K$127="Alta",'Mapa final'!$O$127="Leve"),CONCATENATE("R",'Mapa final'!$A$127),"")</f>
        <v/>
      </c>
      <c r="M42" s="458"/>
      <c r="N42" s="458" t="str">
        <f>IF(AND('Mapa final'!$K$130="Alta",'Mapa final'!$O$130="Leve"),CONCATENATE("R",'Mapa final'!$A$130),"")</f>
        <v/>
      </c>
      <c r="O42" s="458"/>
      <c r="P42" s="458" t="str">
        <f>IF(AND('Mapa final'!$K$133="Alta",'Mapa final'!$O$133="Leve"),CONCATENATE("R",'Mapa final'!$A$133),"")</f>
        <v/>
      </c>
      <c r="Q42" s="458"/>
      <c r="R42" s="458" t="str">
        <f>IF(AND('Mapa final'!$K$136="Alta",'Mapa final'!$O$136="Leve"),CONCATENATE("R",'Mapa final'!$A$136),"")</f>
        <v/>
      </c>
      <c r="S42" s="459"/>
      <c r="T42" s="460" t="str">
        <f>IF(AND('Mapa final'!$K$124="Alta",'Mapa final'!$O$124="Menor"),CONCATENATE("R",'Mapa final'!$A$124),"")</f>
        <v/>
      </c>
      <c r="U42" s="458"/>
      <c r="V42" s="458" t="str">
        <f>IF(AND('Mapa final'!$K$127="Alta",'Mapa final'!$O$127="Menor"),CONCATENATE("R",'Mapa final'!$A$127),"")</f>
        <v/>
      </c>
      <c r="W42" s="458"/>
      <c r="X42" s="458" t="str">
        <f>IF(AND('Mapa final'!$K$130="Alta",'Mapa final'!$O$130="Menor"),CONCATENATE("R",'Mapa final'!$A$130),"")</f>
        <v/>
      </c>
      <c r="Y42" s="458"/>
      <c r="Z42" s="458" t="str">
        <f>IF(AND('Mapa final'!$K$133="Alta",'Mapa final'!$O$133="Menor"),CONCATENATE("R",'Mapa final'!$A$133),"")</f>
        <v/>
      </c>
      <c r="AA42" s="458"/>
      <c r="AB42" s="458" t="str">
        <f>IF(AND('Mapa final'!$K$136="Alta",'Mapa final'!$O$136="Menor"),CONCATENATE("R",'Mapa final'!$A$136),"")</f>
        <v/>
      </c>
      <c r="AC42" s="459"/>
      <c r="AD42" s="463" t="str">
        <f>IF(AND('Mapa final'!$K$124="Alta",'Mapa final'!$O$124="Moderado"),CONCATENATE("R",'Mapa final'!$A$124),"")</f>
        <v/>
      </c>
      <c r="AE42" s="461"/>
      <c r="AF42" s="461" t="str">
        <f>IF(AND('Mapa final'!$K$127="Alta",'Mapa final'!$O$127="Moderado"),CONCATENATE("R",'Mapa final'!$A$127),"")</f>
        <v/>
      </c>
      <c r="AG42" s="461"/>
      <c r="AH42" s="461" t="str">
        <f>IF(AND('Mapa final'!$K$130="Alta",'Mapa final'!$O$130="Moderado"),CONCATENATE("R",'Mapa final'!$A$130),"")</f>
        <v/>
      </c>
      <c r="AI42" s="461"/>
      <c r="AJ42" s="461" t="str">
        <f>IF(AND('Mapa final'!$K$133="Alta",'Mapa final'!$O$133="Moderado"),CONCATENATE("R",'Mapa final'!$A$133),"")</f>
        <v/>
      </c>
      <c r="AK42" s="461"/>
      <c r="AL42" s="461" t="str">
        <f>IF(AND('Mapa final'!$K$136="Alta",'Mapa final'!$O$136="Moderado"),CONCATENATE("R",'Mapa final'!$A$136),"")</f>
        <v/>
      </c>
      <c r="AM42" s="462"/>
      <c r="AN42" s="463" t="str">
        <f>IF(AND('Mapa final'!$K$124="Alta",'Mapa final'!$O$124="Mayor"),CONCATENATE("R",'Mapa final'!$A$124),"")</f>
        <v/>
      </c>
      <c r="AO42" s="461"/>
      <c r="AP42" s="461" t="str">
        <f>IF(AND('Mapa final'!$K$127="Alta",'Mapa final'!$O$127="Mayor"),CONCATENATE("R",'Mapa final'!$A$127),"")</f>
        <v/>
      </c>
      <c r="AQ42" s="461"/>
      <c r="AR42" s="461" t="str">
        <f>IF(AND('Mapa final'!$K$130="Alta",'Mapa final'!$O$130="Mayor"),CONCATENATE("R",'Mapa final'!$A$130),"")</f>
        <v/>
      </c>
      <c r="AS42" s="461"/>
      <c r="AT42" s="461" t="str">
        <f>IF(AND('Mapa final'!$K$133="Alta",'Mapa final'!$O$133="Mayor"),CONCATENATE("R",'Mapa final'!$A$133),"")</f>
        <v/>
      </c>
      <c r="AU42" s="461"/>
      <c r="AV42" s="461" t="str">
        <f>IF(AND('Mapa final'!$K$136="Alta",'Mapa final'!$O$136="Mayor"),CONCATENATE("R",'Mapa final'!$A$136),"")</f>
        <v/>
      </c>
      <c r="AW42" s="462"/>
      <c r="AX42" s="457" t="str">
        <f>IF(AND('Mapa final'!$K$124="Alta",'Mapa final'!$O$124="Catastrófico"),CONCATENATE("R",'Mapa final'!$A$124),"")</f>
        <v/>
      </c>
      <c r="AY42" s="455"/>
      <c r="AZ42" s="455" t="str">
        <f>IF(AND('Mapa final'!$K$127="Alta",'Mapa final'!$O$127="Catastrófico"),CONCATENATE("R",'Mapa final'!$A$127),"")</f>
        <v/>
      </c>
      <c r="BA42" s="455"/>
      <c r="BB42" s="455" t="str">
        <f>IF(AND('Mapa final'!$K$130="Alta",'Mapa final'!$O$130="Catastrófico"),CONCATENATE("R",'Mapa final'!$A$130),"")</f>
        <v/>
      </c>
      <c r="BC42" s="455"/>
      <c r="BD42" s="455" t="str">
        <f>IF(AND('Mapa final'!$K$133="Alta",'Mapa final'!$O$133="Catastrófico"),CONCATENATE("R",'Mapa final'!$A$133),"")</f>
        <v/>
      </c>
      <c r="BE42" s="455"/>
      <c r="BF42" s="455" t="str">
        <f>IF(AND('Mapa final'!$K$136="Alta",'Mapa final'!$O$136="Catastrófico"),CONCATENATE("R",'Mapa final'!$A$136),"")</f>
        <v/>
      </c>
      <c r="BG42" s="456"/>
      <c r="BH42" s="56"/>
      <c r="BI42" s="498"/>
      <c r="BJ42" s="499"/>
      <c r="BK42" s="499"/>
      <c r="BL42" s="499"/>
      <c r="BM42" s="499"/>
      <c r="BN42" s="500"/>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35">
      <c r="A43" s="56"/>
      <c r="B43" s="300"/>
      <c r="C43" s="300"/>
      <c r="D43" s="301"/>
      <c r="E43" s="524"/>
      <c r="F43" s="525"/>
      <c r="G43" s="525"/>
      <c r="H43" s="525"/>
      <c r="I43" s="526"/>
      <c r="J43" s="460"/>
      <c r="K43" s="458"/>
      <c r="L43" s="458"/>
      <c r="M43" s="458"/>
      <c r="N43" s="458"/>
      <c r="O43" s="458"/>
      <c r="P43" s="458"/>
      <c r="Q43" s="458"/>
      <c r="R43" s="458"/>
      <c r="S43" s="459"/>
      <c r="T43" s="460"/>
      <c r="U43" s="458"/>
      <c r="V43" s="458"/>
      <c r="W43" s="458"/>
      <c r="X43" s="458"/>
      <c r="Y43" s="458"/>
      <c r="Z43" s="458"/>
      <c r="AA43" s="458"/>
      <c r="AB43" s="458"/>
      <c r="AC43" s="459"/>
      <c r="AD43" s="463"/>
      <c r="AE43" s="461"/>
      <c r="AF43" s="461"/>
      <c r="AG43" s="461"/>
      <c r="AH43" s="461"/>
      <c r="AI43" s="461"/>
      <c r="AJ43" s="461"/>
      <c r="AK43" s="461"/>
      <c r="AL43" s="461"/>
      <c r="AM43" s="462"/>
      <c r="AN43" s="463"/>
      <c r="AO43" s="461"/>
      <c r="AP43" s="461"/>
      <c r="AQ43" s="461"/>
      <c r="AR43" s="461"/>
      <c r="AS43" s="461"/>
      <c r="AT43" s="461"/>
      <c r="AU43" s="461"/>
      <c r="AV43" s="461"/>
      <c r="AW43" s="462"/>
      <c r="AX43" s="457"/>
      <c r="AY43" s="455"/>
      <c r="AZ43" s="455"/>
      <c r="BA43" s="455"/>
      <c r="BB43" s="455"/>
      <c r="BC43" s="455"/>
      <c r="BD43" s="455"/>
      <c r="BE43" s="455"/>
      <c r="BF43" s="455"/>
      <c r="BG43" s="456"/>
      <c r="BH43" s="56"/>
      <c r="BI43" s="498"/>
      <c r="BJ43" s="499"/>
      <c r="BK43" s="499"/>
      <c r="BL43" s="499"/>
      <c r="BM43" s="499"/>
      <c r="BN43" s="500"/>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35">
      <c r="A44" s="56"/>
      <c r="B44" s="300"/>
      <c r="C44" s="300"/>
      <c r="D44" s="301"/>
      <c r="E44" s="524"/>
      <c r="F44" s="525"/>
      <c r="G44" s="525"/>
      <c r="H44" s="525"/>
      <c r="I44" s="526"/>
      <c r="J44" s="460" t="str">
        <f>IF(AND('Mapa final'!$K$139="Alta",'Mapa final'!$O$139="Leve"),CONCATENATE("R",'Mapa final'!$A$139),"")</f>
        <v/>
      </c>
      <c r="K44" s="458"/>
      <c r="L44" s="458" t="str">
        <f>IF(AND('Mapa final'!$K$142="Alta",'Mapa final'!$O$142="Leve"),CONCATENATE("R",'Mapa final'!$A$142),"")</f>
        <v/>
      </c>
      <c r="M44" s="458"/>
      <c r="N44" s="458" t="str">
        <f>IF(AND('Mapa final'!$K$145="Alta",'Mapa final'!$O$145="Leve"),CONCATENATE("R",'Mapa final'!$A$145),"")</f>
        <v/>
      </c>
      <c r="O44" s="458"/>
      <c r="P44" s="458" t="str">
        <f>IF(AND('Mapa final'!$K$148="Alta",'Mapa final'!$O$148="Leve"),CONCATENATE("R",'Mapa final'!$A$148),"")</f>
        <v/>
      </c>
      <c r="Q44" s="458"/>
      <c r="R44" s="458" t="str">
        <f>IF(AND('Mapa final'!$K$151="Alta",'Mapa final'!$O$151="Leve"),CONCATENATE("R",'Mapa final'!$A$151),"")</f>
        <v/>
      </c>
      <c r="S44" s="459"/>
      <c r="T44" s="460" t="str">
        <f>IF(AND('Mapa final'!$K$139="Alta",'Mapa final'!$O$139="Menor"),CONCATENATE("R",'Mapa final'!$A$139),"")</f>
        <v/>
      </c>
      <c r="U44" s="458"/>
      <c r="V44" s="458" t="str">
        <f>IF(AND('Mapa final'!$K$142="Alta",'Mapa final'!$O$142="Menor"),CONCATENATE("R",'Mapa final'!$A$142),"")</f>
        <v/>
      </c>
      <c r="W44" s="458"/>
      <c r="X44" s="458" t="str">
        <f>IF(AND('Mapa final'!$K$145="Alta",'Mapa final'!$O$145="Menor"),CONCATENATE("R",'Mapa final'!$A$145),"")</f>
        <v/>
      </c>
      <c r="Y44" s="458"/>
      <c r="Z44" s="458" t="str">
        <f>IF(AND('Mapa final'!$K$148="Alta",'Mapa final'!$O$148="Menor"),CONCATENATE("R",'Mapa final'!$A$148),"")</f>
        <v/>
      </c>
      <c r="AA44" s="458"/>
      <c r="AB44" s="458" t="str">
        <f>IF(AND('Mapa final'!$K$151="Alta",'Mapa final'!$O$151="Menor"),CONCATENATE("R",'Mapa final'!$A$151),"")</f>
        <v/>
      </c>
      <c r="AC44" s="459"/>
      <c r="AD44" s="463" t="str">
        <f>IF(AND('Mapa final'!$K$139="Alta",'Mapa final'!$O$139="Moderado"),CONCATENATE("R",'Mapa final'!$A$139),"")</f>
        <v/>
      </c>
      <c r="AE44" s="461"/>
      <c r="AF44" s="461" t="str">
        <f>IF(AND('Mapa final'!$K$142="Alta",'Mapa final'!$O$142="Moderado"),CONCATENATE("R",'Mapa final'!$A$142),"")</f>
        <v/>
      </c>
      <c r="AG44" s="461"/>
      <c r="AH44" s="461" t="str">
        <f>IF(AND('Mapa final'!$K$145="Alta",'Mapa final'!$O$145="Moderado"),CONCATENATE("R",'Mapa final'!$A$145),"")</f>
        <v/>
      </c>
      <c r="AI44" s="461"/>
      <c r="AJ44" s="461" t="str">
        <f>IF(AND('Mapa final'!$K$148="Alta",'Mapa final'!$O$148="Moderado"),CONCATENATE("R",'Mapa final'!$A$148),"")</f>
        <v/>
      </c>
      <c r="AK44" s="461"/>
      <c r="AL44" s="461" t="str">
        <f>IF(AND('Mapa final'!$K$151="Alta",'Mapa final'!$O$151="Moderado"),CONCATENATE("R",'Mapa final'!$A$151),"")</f>
        <v/>
      </c>
      <c r="AM44" s="462"/>
      <c r="AN44" s="463" t="str">
        <f>IF(AND('Mapa final'!$K$139="Alta",'Mapa final'!$O$139="Mayor"),CONCATENATE("R",'Mapa final'!$A$139),"")</f>
        <v/>
      </c>
      <c r="AO44" s="461"/>
      <c r="AP44" s="461" t="str">
        <f>IF(AND('Mapa final'!$K$142="Alta",'Mapa final'!$O$142="Mayor"),CONCATENATE("R",'Mapa final'!$A$142),"")</f>
        <v/>
      </c>
      <c r="AQ44" s="461"/>
      <c r="AR44" s="461" t="str">
        <f>IF(AND('Mapa final'!$K$145="Alta",'Mapa final'!$O$145="Mayor"),CONCATENATE("R",'Mapa final'!$A$145),"")</f>
        <v/>
      </c>
      <c r="AS44" s="461"/>
      <c r="AT44" s="461" t="str">
        <f>IF(AND('Mapa final'!$K$148="Alta",'Mapa final'!$O$148="Mayor"),CONCATENATE("R",'Mapa final'!$A$148),"")</f>
        <v/>
      </c>
      <c r="AU44" s="461"/>
      <c r="AV44" s="461" t="str">
        <f>IF(AND('Mapa final'!$K$151="Alta",'Mapa final'!$O$151="Mayor"),CONCATENATE("R",'Mapa final'!$A$151),"")</f>
        <v/>
      </c>
      <c r="AW44" s="462"/>
      <c r="AX44" s="457" t="str">
        <f>IF(AND('Mapa final'!$K$139="Alta",'Mapa final'!$O$139="Catastrófico"),CONCATENATE("R",'Mapa final'!$A$139),"")</f>
        <v/>
      </c>
      <c r="AY44" s="455"/>
      <c r="AZ44" s="455" t="str">
        <f>IF(AND('Mapa final'!$K$142="Alta",'Mapa final'!$O$142="Catastrófico"),CONCATENATE("R",'Mapa final'!$A$142),"")</f>
        <v/>
      </c>
      <c r="BA44" s="455"/>
      <c r="BB44" s="455" t="str">
        <f>IF(AND('Mapa final'!$K$145="Alta",'Mapa final'!$O$145="Catastrófico"),CONCATENATE("R",'Mapa final'!$A$145),"")</f>
        <v/>
      </c>
      <c r="BC44" s="455"/>
      <c r="BD44" s="455" t="str">
        <f>IF(AND('Mapa final'!$K$148="Alta",'Mapa final'!$O$148="Catastrófico"),CONCATENATE("R",'Mapa final'!$A$148),"")</f>
        <v/>
      </c>
      <c r="BE44" s="455"/>
      <c r="BF44" s="455" t="str">
        <f>IF(AND('Mapa final'!$K$151="Alta",'Mapa final'!$O$151="Catastrófico"),CONCATENATE("R",'Mapa final'!$A$151),"")</f>
        <v/>
      </c>
      <c r="BG44" s="456"/>
      <c r="BH44" s="56"/>
      <c r="BI44" s="498"/>
      <c r="BJ44" s="499"/>
      <c r="BK44" s="499"/>
      <c r="BL44" s="499"/>
      <c r="BM44" s="499"/>
      <c r="BN44" s="500"/>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4">
      <c r="A45" s="56"/>
      <c r="B45" s="300"/>
      <c r="C45" s="300"/>
      <c r="D45" s="301"/>
      <c r="E45" s="524"/>
      <c r="F45" s="525"/>
      <c r="G45" s="525"/>
      <c r="H45" s="525"/>
      <c r="I45" s="526"/>
      <c r="J45" s="470"/>
      <c r="K45" s="471"/>
      <c r="L45" s="471"/>
      <c r="M45" s="471"/>
      <c r="N45" s="471"/>
      <c r="O45" s="471"/>
      <c r="P45" s="471"/>
      <c r="Q45" s="471"/>
      <c r="R45" s="471"/>
      <c r="S45" s="472"/>
      <c r="T45" s="470"/>
      <c r="U45" s="471"/>
      <c r="V45" s="471"/>
      <c r="W45" s="471"/>
      <c r="X45" s="471"/>
      <c r="Y45" s="471"/>
      <c r="Z45" s="471"/>
      <c r="AA45" s="471"/>
      <c r="AB45" s="471"/>
      <c r="AC45" s="472"/>
      <c r="AD45" s="464"/>
      <c r="AE45" s="465"/>
      <c r="AF45" s="465"/>
      <c r="AG45" s="465"/>
      <c r="AH45" s="465"/>
      <c r="AI45" s="465"/>
      <c r="AJ45" s="465"/>
      <c r="AK45" s="465"/>
      <c r="AL45" s="465"/>
      <c r="AM45" s="466"/>
      <c r="AN45" s="464"/>
      <c r="AO45" s="465"/>
      <c r="AP45" s="465"/>
      <c r="AQ45" s="465"/>
      <c r="AR45" s="465"/>
      <c r="AS45" s="465"/>
      <c r="AT45" s="465"/>
      <c r="AU45" s="465"/>
      <c r="AV45" s="465"/>
      <c r="AW45" s="466"/>
      <c r="AX45" s="477"/>
      <c r="AY45" s="476"/>
      <c r="AZ45" s="476"/>
      <c r="BA45" s="476"/>
      <c r="BB45" s="476"/>
      <c r="BC45" s="476"/>
      <c r="BD45" s="476"/>
      <c r="BE45" s="476"/>
      <c r="BF45" s="476"/>
      <c r="BG45" s="478"/>
      <c r="BH45" s="56"/>
      <c r="BI45" s="498"/>
      <c r="BJ45" s="499"/>
      <c r="BK45" s="499"/>
      <c r="BL45" s="499"/>
      <c r="BM45" s="499"/>
      <c r="BN45" s="500"/>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35">
      <c r="A46" s="56"/>
      <c r="B46" s="300"/>
      <c r="C46" s="300"/>
      <c r="D46" s="301"/>
      <c r="E46" s="522" t="s">
        <v>108</v>
      </c>
      <c r="F46" s="523"/>
      <c r="G46" s="523"/>
      <c r="H46" s="523"/>
      <c r="I46" s="523"/>
      <c r="J46" s="467" t="str">
        <f>IF(AND('Mapa final'!$K$7="Media",'Mapa final'!$O$7="Leve"),CONCATENATE("R",'Mapa final'!$A$7),"")</f>
        <v/>
      </c>
      <c r="K46" s="468"/>
      <c r="L46" s="468" t="str">
        <f>IF(AND('Mapa final'!$K$10="Media",'Mapa final'!$O$10="Leve"),CONCATENATE("R",'Mapa final'!$A$10),"")</f>
        <v/>
      </c>
      <c r="M46" s="468"/>
      <c r="N46" s="468" t="str">
        <f>IF(AND('Mapa final'!$K$13="Media",'Mapa final'!$O$13="Leve"),CONCATENATE("R",'Mapa final'!$A$13),"")</f>
        <v/>
      </c>
      <c r="O46" s="468"/>
      <c r="P46" s="468" t="e">
        <f>IF(AND('Mapa final'!#REF!="Media",'Mapa final'!#REF!="Leve"),CONCATENATE("R",'Mapa final'!#REF!),"")</f>
        <v>#REF!</v>
      </c>
      <c r="Q46" s="468"/>
      <c r="R46" s="468" t="str">
        <f>IF(AND('Mapa final'!$K$16="Media",'Mapa final'!$O$16="Leve"),CONCATENATE("R",'Mapa final'!$A$16),"")</f>
        <v/>
      </c>
      <c r="S46" s="469"/>
      <c r="T46" s="467" t="str">
        <f>IF(AND('Mapa final'!$K$7="Media",'Mapa final'!$O$7="Menor"),CONCATENATE("R",'Mapa final'!$A$7),"")</f>
        <v/>
      </c>
      <c r="U46" s="468"/>
      <c r="V46" s="468" t="str">
        <f>IF(AND('Mapa final'!$K$10="Media",'Mapa final'!$O$10="Menor"),CONCATENATE("R",'Mapa final'!$A$10),"")</f>
        <v/>
      </c>
      <c r="W46" s="468"/>
      <c r="X46" s="468" t="str">
        <f>IF(AND('Mapa final'!$K$13="Media",'Mapa final'!$O$13="Menor"),CONCATENATE("R",'Mapa final'!$A$13),"")</f>
        <v/>
      </c>
      <c r="Y46" s="468"/>
      <c r="Z46" s="468" t="e">
        <f>IF(AND('Mapa final'!#REF!="Media",'Mapa final'!#REF!="Menor"),CONCATENATE("R",'Mapa final'!#REF!),"")</f>
        <v>#REF!</v>
      </c>
      <c r="AA46" s="468"/>
      <c r="AB46" s="468" t="str">
        <f>IF(AND('Mapa final'!$K$16="Media",'Mapa final'!$O$16="Menor"),CONCATENATE("R",'Mapa final'!$A$16),"")</f>
        <v/>
      </c>
      <c r="AC46" s="469"/>
      <c r="AD46" s="467" t="str">
        <f>IF(AND('Mapa final'!$K$7="Media",'Mapa final'!$O$7="Moderado"),CONCATENATE("R",'Mapa final'!$A$7),"")</f>
        <v/>
      </c>
      <c r="AE46" s="468"/>
      <c r="AF46" s="468" t="str">
        <f>IF(AND('Mapa final'!$K$10="Media",'Mapa final'!$O$10="Moderado"),CONCATENATE("R",'Mapa final'!$A$10),"")</f>
        <v>R2</v>
      </c>
      <c r="AG46" s="468"/>
      <c r="AH46" s="468" t="str">
        <f>IF(AND('Mapa final'!$K$13="Media",'Mapa final'!$O$13="Moderado"),CONCATENATE("R",'Mapa final'!$A$13),"")</f>
        <v/>
      </c>
      <c r="AI46" s="468"/>
      <c r="AJ46" s="468" t="e">
        <f>IF(AND('Mapa final'!#REF!="Media",'Mapa final'!#REF!="Moderado"),CONCATENATE("R",'Mapa final'!#REF!),"")</f>
        <v>#REF!</v>
      </c>
      <c r="AK46" s="468"/>
      <c r="AL46" s="468" t="str">
        <f>IF(AND('Mapa final'!$K$16="Media",'Mapa final'!$O$16="Moderado"),CONCATENATE("R",'Mapa final'!$A$16),"")</f>
        <v>R4</v>
      </c>
      <c r="AM46" s="469"/>
      <c r="AN46" s="473" t="str">
        <f>IF(AND('Mapa final'!$K$7="Media",'Mapa final'!$O$7="Mayor"),CONCATENATE("R",'Mapa final'!$A$7),"")</f>
        <v/>
      </c>
      <c r="AO46" s="474"/>
      <c r="AP46" s="474" t="str">
        <f>IF(AND('Mapa final'!$K$10="Media",'Mapa final'!$O$10="Mayor"),CONCATENATE("R",'Mapa final'!$A$10),"")</f>
        <v/>
      </c>
      <c r="AQ46" s="474"/>
      <c r="AR46" s="474" t="str">
        <f>IF(AND('Mapa final'!$K$13="Media",'Mapa final'!$O$13="Mayor"),CONCATENATE("R",'Mapa final'!$A$13),"")</f>
        <v/>
      </c>
      <c r="AS46" s="474"/>
      <c r="AT46" s="474" t="e">
        <f>IF(AND('Mapa final'!#REF!="Media",'Mapa final'!#REF!="Mayor"),CONCATENATE("R",'Mapa final'!#REF!),"")</f>
        <v>#REF!</v>
      </c>
      <c r="AU46" s="474"/>
      <c r="AV46" s="474" t="str">
        <f>IF(AND('Mapa final'!$K$16="Media",'Mapa final'!$O$16="Mayor"),CONCATENATE("R",'Mapa final'!$A$16),"")</f>
        <v/>
      </c>
      <c r="AW46" s="475"/>
      <c r="AX46" s="480" t="str">
        <f>IF(AND('Mapa final'!$K$7="Media",'Mapa final'!$O$7="Catastrófico"),CONCATENATE("R",'Mapa final'!$A$7),"")</f>
        <v/>
      </c>
      <c r="AY46" s="479"/>
      <c r="AZ46" s="479" t="str">
        <f>IF(AND('Mapa final'!$K$10="Media",'Mapa final'!$O$10="Catastrófico"),CONCATENATE("R",'Mapa final'!$A$10),"")</f>
        <v/>
      </c>
      <c r="BA46" s="479"/>
      <c r="BB46" s="479" t="str">
        <f>IF(AND('Mapa final'!$K$13="Media",'Mapa final'!$O$13="Catastrófico"),CONCATENATE("R",'Mapa final'!$A$13),"")</f>
        <v/>
      </c>
      <c r="BC46" s="479"/>
      <c r="BD46" s="479" t="e">
        <f>IF(AND('Mapa final'!#REF!="Media",'Mapa final'!#REF!="Catastrófico"),CONCATENATE("R",'Mapa final'!#REF!),"")</f>
        <v>#REF!</v>
      </c>
      <c r="BE46" s="479"/>
      <c r="BF46" s="479" t="str">
        <f>IF(AND('Mapa final'!$K$16="Media",'Mapa final'!$O$16="Catastrófico"),CONCATENATE("R",'Mapa final'!$A$16),"")</f>
        <v/>
      </c>
      <c r="BG46" s="536"/>
      <c r="BH46" s="56"/>
      <c r="BI46" s="498"/>
      <c r="BJ46" s="499"/>
      <c r="BK46" s="499"/>
      <c r="BL46" s="499"/>
      <c r="BM46" s="499"/>
      <c r="BN46" s="500"/>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35">
      <c r="A47" s="56"/>
      <c r="B47" s="300"/>
      <c r="C47" s="300"/>
      <c r="D47" s="301"/>
      <c r="E47" s="524"/>
      <c r="F47" s="525"/>
      <c r="G47" s="525"/>
      <c r="H47" s="525"/>
      <c r="I47" s="526"/>
      <c r="J47" s="460"/>
      <c r="K47" s="458"/>
      <c r="L47" s="458"/>
      <c r="M47" s="458"/>
      <c r="N47" s="458"/>
      <c r="O47" s="458"/>
      <c r="P47" s="458"/>
      <c r="Q47" s="458"/>
      <c r="R47" s="458"/>
      <c r="S47" s="459"/>
      <c r="T47" s="460"/>
      <c r="U47" s="458"/>
      <c r="V47" s="458"/>
      <c r="W47" s="458"/>
      <c r="X47" s="458"/>
      <c r="Y47" s="458"/>
      <c r="Z47" s="458"/>
      <c r="AA47" s="458"/>
      <c r="AB47" s="458"/>
      <c r="AC47" s="459"/>
      <c r="AD47" s="460"/>
      <c r="AE47" s="458"/>
      <c r="AF47" s="458"/>
      <c r="AG47" s="458"/>
      <c r="AH47" s="458"/>
      <c r="AI47" s="458"/>
      <c r="AJ47" s="458"/>
      <c r="AK47" s="458"/>
      <c r="AL47" s="458"/>
      <c r="AM47" s="459"/>
      <c r="AN47" s="463"/>
      <c r="AO47" s="461"/>
      <c r="AP47" s="461"/>
      <c r="AQ47" s="461"/>
      <c r="AR47" s="461"/>
      <c r="AS47" s="461"/>
      <c r="AT47" s="461"/>
      <c r="AU47" s="461"/>
      <c r="AV47" s="461"/>
      <c r="AW47" s="462"/>
      <c r="AX47" s="457"/>
      <c r="AY47" s="455"/>
      <c r="AZ47" s="455"/>
      <c r="BA47" s="455"/>
      <c r="BB47" s="455"/>
      <c r="BC47" s="455"/>
      <c r="BD47" s="455"/>
      <c r="BE47" s="455"/>
      <c r="BF47" s="455"/>
      <c r="BG47" s="456"/>
      <c r="BH47" s="56"/>
      <c r="BI47" s="498"/>
      <c r="BJ47" s="499"/>
      <c r="BK47" s="499"/>
      <c r="BL47" s="499"/>
      <c r="BM47" s="499"/>
      <c r="BN47" s="500"/>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35">
      <c r="A48" s="56"/>
      <c r="B48" s="300"/>
      <c r="C48" s="300"/>
      <c r="D48" s="301"/>
      <c r="E48" s="524"/>
      <c r="F48" s="525"/>
      <c r="G48" s="525"/>
      <c r="H48" s="525"/>
      <c r="I48" s="526"/>
      <c r="J48" s="460" t="str">
        <f>IF(AND('Mapa final'!$K$19="Media",'Mapa final'!$O$19="Leve"),CONCATENATE("R",'Mapa final'!$A$19),"")</f>
        <v/>
      </c>
      <c r="K48" s="458"/>
      <c r="L48" s="458" t="str">
        <f>IF(AND('Mapa final'!$K$22="Media",'Mapa final'!$O$22="Leve"),CONCATENATE("R",'Mapa final'!$A$22),"")</f>
        <v/>
      </c>
      <c r="M48" s="458"/>
      <c r="N48" s="458" t="str">
        <f>IF(AND('Mapa final'!$K$25="Media",'Mapa final'!$O$25="Leve"),CONCATENATE("R",'Mapa final'!$A$25),"")</f>
        <v/>
      </c>
      <c r="O48" s="458"/>
      <c r="P48" s="458" t="str">
        <f>IF(AND('Mapa final'!$K$28="Media",'Mapa final'!$O$28="Leve"),CONCATENATE("R",'Mapa final'!$A$28),"")</f>
        <v/>
      </c>
      <c r="Q48" s="458"/>
      <c r="R48" s="458" t="str">
        <f>IF(AND('Mapa final'!$K$31="Media",'Mapa final'!$O$31="Leve"),CONCATENATE("R",'Mapa final'!$A$31),"")</f>
        <v/>
      </c>
      <c r="S48" s="459"/>
      <c r="T48" s="460" t="str">
        <f>IF(AND('Mapa final'!$K$19="Media",'Mapa final'!$O$19="Menor"),CONCATENATE("R",'Mapa final'!$A$19),"")</f>
        <v/>
      </c>
      <c r="U48" s="458"/>
      <c r="V48" s="458" t="str">
        <f>IF(AND('Mapa final'!$K$22="Media",'Mapa final'!$O$22="Menor"),CONCATENATE("R",'Mapa final'!$A$22),"")</f>
        <v/>
      </c>
      <c r="W48" s="458"/>
      <c r="X48" s="458" t="str">
        <f>IF(AND('Mapa final'!$K$25="Media",'Mapa final'!$O$25="Menor"),CONCATENATE("R",'Mapa final'!$A$25),"")</f>
        <v/>
      </c>
      <c r="Y48" s="458"/>
      <c r="Z48" s="458" t="str">
        <f>IF(AND('Mapa final'!$K$28="Media",'Mapa final'!$O$28="Menor"),CONCATENATE("R",'Mapa final'!$A$28),"")</f>
        <v/>
      </c>
      <c r="AA48" s="458"/>
      <c r="AB48" s="458" t="str">
        <f>IF(AND('Mapa final'!$K$31="Media",'Mapa final'!$O$31="Menor"),CONCATENATE("R",'Mapa final'!$A$31),"")</f>
        <v/>
      </c>
      <c r="AC48" s="459"/>
      <c r="AD48" s="460" t="str">
        <f>IF(AND('Mapa final'!$K$19="Media",'Mapa final'!$O$19="Moderado"),CONCATENATE("R",'Mapa final'!$A$19),"")</f>
        <v/>
      </c>
      <c r="AE48" s="458"/>
      <c r="AF48" s="458" t="str">
        <f>IF(AND('Mapa final'!$K$22="Media",'Mapa final'!$O$22="Moderado"),CONCATENATE("R",'Mapa final'!$A$22),"")</f>
        <v/>
      </c>
      <c r="AG48" s="458"/>
      <c r="AH48" s="458" t="str">
        <f>IF(AND('Mapa final'!$K$25="Media",'Mapa final'!$O$25="Moderado"),CONCATENATE("R",'Mapa final'!$A$25),"")</f>
        <v/>
      </c>
      <c r="AI48" s="458"/>
      <c r="AJ48" s="458" t="str">
        <f>IF(AND('Mapa final'!$K$28="Media",'Mapa final'!$O$28="Moderado"),CONCATENATE("R",'Mapa final'!$A$28),"")</f>
        <v/>
      </c>
      <c r="AK48" s="458"/>
      <c r="AL48" s="458" t="str">
        <f>IF(AND('Mapa final'!$K$31="Media",'Mapa final'!$O$31="Moderado"),CONCATENATE("R",'Mapa final'!$A$31),"")</f>
        <v/>
      </c>
      <c r="AM48" s="459"/>
      <c r="AN48" s="463" t="str">
        <f>IF(AND('Mapa final'!$K$19="Media",'Mapa final'!$O$19="Mayor"),CONCATENATE("R",'Mapa final'!$A$19),"")</f>
        <v/>
      </c>
      <c r="AO48" s="461"/>
      <c r="AP48" s="461" t="str">
        <f>IF(AND('Mapa final'!$K$22="Media",'Mapa final'!$O$22="Mayor"),CONCATENATE("R",'Mapa final'!$A$22),"")</f>
        <v/>
      </c>
      <c r="AQ48" s="461"/>
      <c r="AR48" s="461" t="str">
        <f>IF(AND('Mapa final'!$K$25="Media",'Mapa final'!$O$25="Mayor"),CONCATENATE("R",'Mapa final'!$A$25),"")</f>
        <v/>
      </c>
      <c r="AS48" s="461"/>
      <c r="AT48" s="461" t="str">
        <f>IF(AND('Mapa final'!$K$28="Media",'Mapa final'!$O$28="Mayor"),CONCATENATE("R",'Mapa final'!$A$28),"")</f>
        <v/>
      </c>
      <c r="AU48" s="461"/>
      <c r="AV48" s="461" t="str">
        <f>IF(AND('Mapa final'!$K$31="Media",'Mapa final'!$O$31="Mayor"),CONCATENATE("R",'Mapa final'!$A$31),"")</f>
        <v/>
      </c>
      <c r="AW48" s="462"/>
      <c r="AX48" s="457" t="str">
        <f>IF(AND('Mapa final'!$K$19="Media",'Mapa final'!$O$19="Catastrófico"),CONCATENATE("R",'Mapa final'!$A$19),"")</f>
        <v/>
      </c>
      <c r="AY48" s="455"/>
      <c r="AZ48" s="455" t="str">
        <f>IF(AND('Mapa final'!$K$22="Media",'Mapa final'!$O$22="Catastrófico"),CONCATENATE("R",'Mapa final'!$A$22),"")</f>
        <v/>
      </c>
      <c r="BA48" s="455"/>
      <c r="BB48" s="455" t="str">
        <f>IF(AND('Mapa final'!$K$25="Media",'Mapa final'!$O$25="Catastrófico"),CONCATENATE("R",'Mapa final'!$A$25),"")</f>
        <v/>
      </c>
      <c r="BC48" s="455"/>
      <c r="BD48" s="455" t="str">
        <f>IF(AND('Mapa final'!$K$28="Media",'Mapa final'!$O$28="Catastrófico"),CONCATENATE("R",'Mapa final'!$A$28),"")</f>
        <v/>
      </c>
      <c r="BE48" s="455"/>
      <c r="BF48" s="455" t="str">
        <f>IF(AND('Mapa final'!$K$31="Media",'Mapa final'!$O$31="Catastrófico"),CONCATENATE("R",'Mapa final'!$A$31),"")</f>
        <v/>
      </c>
      <c r="BG48" s="456"/>
      <c r="BH48" s="56"/>
      <c r="BI48" s="498"/>
      <c r="BJ48" s="499"/>
      <c r="BK48" s="499"/>
      <c r="BL48" s="499"/>
      <c r="BM48" s="499"/>
      <c r="BN48" s="500"/>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35">
      <c r="A49" s="56"/>
      <c r="B49" s="300"/>
      <c r="C49" s="300"/>
      <c r="D49" s="301"/>
      <c r="E49" s="524"/>
      <c r="F49" s="525"/>
      <c r="G49" s="525"/>
      <c r="H49" s="525"/>
      <c r="I49" s="526"/>
      <c r="J49" s="460"/>
      <c r="K49" s="458"/>
      <c r="L49" s="458"/>
      <c r="M49" s="458"/>
      <c r="N49" s="458"/>
      <c r="O49" s="458"/>
      <c r="P49" s="458"/>
      <c r="Q49" s="458"/>
      <c r="R49" s="458"/>
      <c r="S49" s="459"/>
      <c r="T49" s="460"/>
      <c r="U49" s="458"/>
      <c r="V49" s="458"/>
      <c r="W49" s="458"/>
      <c r="X49" s="458"/>
      <c r="Y49" s="458"/>
      <c r="Z49" s="458"/>
      <c r="AA49" s="458"/>
      <c r="AB49" s="458"/>
      <c r="AC49" s="459"/>
      <c r="AD49" s="460"/>
      <c r="AE49" s="458"/>
      <c r="AF49" s="458"/>
      <c r="AG49" s="458"/>
      <c r="AH49" s="458"/>
      <c r="AI49" s="458"/>
      <c r="AJ49" s="458"/>
      <c r="AK49" s="458"/>
      <c r="AL49" s="458"/>
      <c r="AM49" s="459"/>
      <c r="AN49" s="463"/>
      <c r="AO49" s="461"/>
      <c r="AP49" s="461"/>
      <c r="AQ49" s="461"/>
      <c r="AR49" s="461"/>
      <c r="AS49" s="461"/>
      <c r="AT49" s="461"/>
      <c r="AU49" s="461"/>
      <c r="AV49" s="461"/>
      <c r="AW49" s="462"/>
      <c r="AX49" s="457"/>
      <c r="AY49" s="455"/>
      <c r="AZ49" s="455"/>
      <c r="BA49" s="455"/>
      <c r="BB49" s="455"/>
      <c r="BC49" s="455"/>
      <c r="BD49" s="455"/>
      <c r="BE49" s="455"/>
      <c r="BF49" s="455"/>
      <c r="BG49" s="456"/>
      <c r="BH49" s="56"/>
      <c r="BI49" s="498"/>
      <c r="BJ49" s="499"/>
      <c r="BK49" s="499"/>
      <c r="BL49" s="499"/>
      <c r="BM49" s="499"/>
      <c r="BN49" s="500"/>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35">
      <c r="A50" s="56"/>
      <c r="B50" s="300"/>
      <c r="C50" s="300"/>
      <c r="D50" s="301"/>
      <c r="E50" s="524"/>
      <c r="F50" s="525"/>
      <c r="G50" s="525"/>
      <c r="H50" s="525"/>
      <c r="I50" s="526"/>
      <c r="J50" s="460" t="str">
        <f>IF(AND('Mapa final'!$K$34="Media",'Mapa final'!$O$34="Leve"),CONCATENATE("R",'Mapa final'!$A$34),"")</f>
        <v/>
      </c>
      <c r="K50" s="458"/>
      <c r="L50" s="458" t="str">
        <f>IF(AND('Mapa final'!$K$37="Media",'Mapa final'!$O$37="Leve"),CONCATENATE("R",'Mapa final'!$A$37),"")</f>
        <v/>
      </c>
      <c r="M50" s="458"/>
      <c r="N50" s="458" t="str">
        <f>IF(AND('Mapa final'!$K$40="Media",'Mapa final'!$O$40="Leve"),CONCATENATE("R",'Mapa final'!$A$40),"")</f>
        <v/>
      </c>
      <c r="O50" s="458"/>
      <c r="P50" s="458" t="str">
        <f>IF(AND('Mapa final'!$K$43="Media",'Mapa final'!$O$43="Leve"),CONCATENATE("R",'Mapa final'!$A$43),"")</f>
        <v/>
      </c>
      <c r="Q50" s="458"/>
      <c r="R50" s="458" t="str">
        <f>IF(AND('Mapa final'!$K$46="Media",'Mapa final'!$O$46="Leve"),CONCATENATE("R",'Mapa final'!$A$46),"")</f>
        <v/>
      </c>
      <c r="S50" s="459"/>
      <c r="T50" s="460" t="str">
        <f>IF(AND('Mapa final'!$K$34="Media",'Mapa final'!$O$34="Menor"),CONCATENATE("R",'Mapa final'!$A$34),"")</f>
        <v/>
      </c>
      <c r="U50" s="458"/>
      <c r="V50" s="458" t="str">
        <f>IF(AND('Mapa final'!$K$37="Media",'Mapa final'!$O$37="Menor"),CONCATENATE("R",'Mapa final'!$A$37),"")</f>
        <v/>
      </c>
      <c r="W50" s="458"/>
      <c r="X50" s="458" t="str">
        <f>IF(AND('Mapa final'!$K$40="Media",'Mapa final'!$O$40="Menor"),CONCATENATE("R",'Mapa final'!$A$40),"")</f>
        <v/>
      </c>
      <c r="Y50" s="458"/>
      <c r="Z50" s="458" t="str">
        <f>IF(AND('Mapa final'!$K$43="Media",'Mapa final'!$O$43="Menor"),CONCATENATE("R",'Mapa final'!$A$43),"")</f>
        <v/>
      </c>
      <c r="AA50" s="458"/>
      <c r="AB50" s="458" t="str">
        <f>IF(AND('Mapa final'!$K$46="Media",'Mapa final'!$O$46="Menor"),CONCATENATE("R",'Mapa final'!$A$46),"")</f>
        <v/>
      </c>
      <c r="AC50" s="459"/>
      <c r="AD50" s="460" t="str">
        <f>IF(AND('Mapa final'!$K$34="Media",'Mapa final'!$O$34="Moderado"),CONCATENATE("R",'Mapa final'!$A$34),"")</f>
        <v/>
      </c>
      <c r="AE50" s="458"/>
      <c r="AF50" s="458" t="str">
        <f>IF(AND('Mapa final'!$K$37="Media",'Mapa final'!$O$37="Moderado"),CONCATENATE("R",'Mapa final'!$A$37),"")</f>
        <v/>
      </c>
      <c r="AG50" s="458"/>
      <c r="AH50" s="458" t="str">
        <f>IF(AND('Mapa final'!$K$40="Media",'Mapa final'!$O$40="Moderado"),CONCATENATE("R",'Mapa final'!$A$40),"")</f>
        <v/>
      </c>
      <c r="AI50" s="458"/>
      <c r="AJ50" s="458" t="str">
        <f>IF(AND('Mapa final'!$K$43="Media",'Mapa final'!$O$43="Moderado"),CONCATENATE("R",'Mapa final'!$A$43),"")</f>
        <v/>
      </c>
      <c r="AK50" s="458"/>
      <c r="AL50" s="458" t="str">
        <f>IF(AND('Mapa final'!$K$46="Media",'Mapa final'!$O$46="Moderado"),CONCATENATE("R",'Mapa final'!$A$46),"")</f>
        <v/>
      </c>
      <c r="AM50" s="459"/>
      <c r="AN50" s="463" t="str">
        <f>IF(AND('Mapa final'!$K$34="Media",'Mapa final'!$O$34="Mayor"),CONCATENATE("R",'Mapa final'!$A$34),"")</f>
        <v/>
      </c>
      <c r="AO50" s="461"/>
      <c r="AP50" s="461" t="str">
        <f>IF(AND('Mapa final'!$K$37="Media",'Mapa final'!$O$37="Mayor"),CONCATENATE("R",'Mapa final'!$A$37),"")</f>
        <v/>
      </c>
      <c r="AQ50" s="461"/>
      <c r="AR50" s="461" t="str">
        <f>IF(AND('Mapa final'!$K$40="Media",'Mapa final'!$O$40="Mayor"),CONCATENATE("R",'Mapa final'!$A$40),"")</f>
        <v/>
      </c>
      <c r="AS50" s="461"/>
      <c r="AT50" s="461" t="str">
        <f>IF(AND('Mapa final'!$K$43="Media",'Mapa final'!$O$43="Mayor"),CONCATENATE("R",'Mapa final'!$A$43),"")</f>
        <v/>
      </c>
      <c r="AU50" s="461"/>
      <c r="AV50" s="461" t="str">
        <f>IF(AND('Mapa final'!$K$46="Media",'Mapa final'!$O$46="Mayor"),CONCATENATE("R",'Mapa final'!$A$46),"")</f>
        <v/>
      </c>
      <c r="AW50" s="462"/>
      <c r="AX50" s="457" t="str">
        <f>IF(AND('Mapa final'!$K$34="Media",'Mapa final'!$O$34="Catastrófico"),CONCATENATE("R",'Mapa final'!$A$34),"")</f>
        <v/>
      </c>
      <c r="AY50" s="455"/>
      <c r="AZ50" s="455" t="str">
        <f>IF(AND('Mapa final'!$K$37="Media",'Mapa final'!$O$37="Catastrófico"),CONCATENATE("R",'Mapa final'!$A$37),"")</f>
        <v/>
      </c>
      <c r="BA50" s="455"/>
      <c r="BB50" s="455" t="str">
        <f>IF(AND('Mapa final'!$K$40="Media",'Mapa final'!$O$40="Catastrófico"),CONCATENATE("R",'Mapa final'!$A$40),"")</f>
        <v/>
      </c>
      <c r="BC50" s="455"/>
      <c r="BD50" s="455" t="str">
        <f>IF(AND('Mapa final'!$K$43="Media",'Mapa final'!$O$43="Catastrófico"),CONCATENATE("R",'Mapa final'!$A$43),"")</f>
        <v/>
      </c>
      <c r="BE50" s="455"/>
      <c r="BF50" s="455" t="str">
        <f>IF(AND('Mapa final'!$K$46="Media",'Mapa final'!$O$46="Catastrófico"),CONCATENATE("R",'Mapa final'!$A$46),"")</f>
        <v/>
      </c>
      <c r="BG50" s="456"/>
      <c r="BH50" s="56"/>
      <c r="BI50" s="498"/>
      <c r="BJ50" s="499"/>
      <c r="BK50" s="499"/>
      <c r="BL50" s="499"/>
      <c r="BM50" s="499"/>
      <c r="BN50" s="500"/>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35">
      <c r="A51" s="56"/>
      <c r="B51" s="300"/>
      <c r="C51" s="300"/>
      <c r="D51" s="301"/>
      <c r="E51" s="524"/>
      <c r="F51" s="525"/>
      <c r="G51" s="525"/>
      <c r="H51" s="525"/>
      <c r="I51" s="526"/>
      <c r="J51" s="460"/>
      <c r="K51" s="458"/>
      <c r="L51" s="458"/>
      <c r="M51" s="458"/>
      <c r="N51" s="458"/>
      <c r="O51" s="458"/>
      <c r="P51" s="458"/>
      <c r="Q51" s="458"/>
      <c r="R51" s="458"/>
      <c r="S51" s="459"/>
      <c r="T51" s="460"/>
      <c r="U51" s="458"/>
      <c r="V51" s="458"/>
      <c r="W51" s="458"/>
      <c r="X51" s="458"/>
      <c r="Y51" s="458"/>
      <c r="Z51" s="458"/>
      <c r="AA51" s="458"/>
      <c r="AB51" s="458"/>
      <c r="AC51" s="459"/>
      <c r="AD51" s="460"/>
      <c r="AE51" s="458"/>
      <c r="AF51" s="458"/>
      <c r="AG51" s="458"/>
      <c r="AH51" s="458"/>
      <c r="AI51" s="458"/>
      <c r="AJ51" s="458"/>
      <c r="AK51" s="458"/>
      <c r="AL51" s="458"/>
      <c r="AM51" s="459"/>
      <c r="AN51" s="463"/>
      <c r="AO51" s="461"/>
      <c r="AP51" s="461"/>
      <c r="AQ51" s="461"/>
      <c r="AR51" s="461"/>
      <c r="AS51" s="461"/>
      <c r="AT51" s="461"/>
      <c r="AU51" s="461"/>
      <c r="AV51" s="461"/>
      <c r="AW51" s="462"/>
      <c r="AX51" s="457"/>
      <c r="AY51" s="455"/>
      <c r="AZ51" s="455"/>
      <c r="BA51" s="455"/>
      <c r="BB51" s="455"/>
      <c r="BC51" s="455"/>
      <c r="BD51" s="455"/>
      <c r="BE51" s="455"/>
      <c r="BF51" s="455"/>
      <c r="BG51" s="456"/>
      <c r="BH51" s="56"/>
      <c r="BI51" s="498"/>
      <c r="BJ51" s="499"/>
      <c r="BK51" s="499"/>
      <c r="BL51" s="499"/>
      <c r="BM51" s="499"/>
      <c r="BN51" s="500"/>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35">
      <c r="A52" s="56"/>
      <c r="B52" s="300"/>
      <c r="C52" s="300"/>
      <c r="D52" s="301"/>
      <c r="E52" s="524"/>
      <c r="F52" s="525"/>
      <c r="G52" s="525"/>
      <c r="H52" s="525"/>
      <c r="I52" s="526"/>
      <c r="J52" s="460" t="str">
        <f>IF(AND('Mapa final'!$K$49="Media",'Mapa final'!$O$49="Leve"),CONCATENATE("R",'Mapa final'!$A$49),"")</f>
        <v/>
      </c>
      <c r="K52" s="458"/>
      <c r="L52" s="458" t="str">
        <f>IF(AND('Mapa final'!$K$52="Media",'Mapa final'!$O$52="Leve"),CONCATENATE("R",'Mapa final'!$A$52),"")</f>
        <v/>
      </c>
      <c r="M52" s="458"/>
      <c r="N52" s="458" t="str">
        <f>IF(AND('Mapa final'!$K$55="Media",'Mapa final'!$O$55="Leve"),CONCATENATE("R",'Mapa final'!$A$55),"")</f>
        <v/>
      </c>
      <c r="O52" s="458"/>
      <c r="P52" s="458" t="str">
        <f>IF(AND('Mapa final'!$K$58="Media",'Mapa final'!$O$58="Leve"),CONCATENATE("R",'Mapa final'!$A$58),"")</f>
        <v/>
      </c>
      <c r="Q52" s="458"/>
      <c r="R52" s="458" t="str">
        <f>IF(AND('Mapa final'!$K$61="Media",'Mapa final'!$O$61="Leve"),CONCATENATE("R",'Mapa final'!$A$61),"")</f>
        <v/>
      </c>
      <c r="S52" s="459"/>
      <c r="T52" s="460" t="str">
        <f>IF(AND('Mapa final'!$K$49="Media",'Mapa final'!$O$49="Menor"),CONCATENATE("R",'Mapa final'!$A$49),"")</f>
        <v/>
      </c>
      <c r="U52" s="458"/>
      <c r="V52" s="458" t="str">
        <f>IF(AND('Mapa final'!$K$52="Media",'Mapa final'!$O$52="Menor"),CONCATENATE("R",'Mapa final'!$A$52),"")</f>
        <v/>
      </c>
      <c r="W52" s="458"/>
      <c r="X52" s="458" t="str">
        <f>IF(AND('Mapa final'!$K$55="Media",'Mapa final'!$O$55="Menor"),CONCATENATE("R",'Mapa final'!$A$55),"")</f>
        <v/>
      </c>
      <c r="Y52" s="458"/>
      <c r="Z52" s="458" t="str">
        <f>IF(AND('Mapa final'!$K$58="Media",'Mapa final'!$O$58="Menor"),CONCATENATE("R",'Mapa final'!$A$58),"")</f>
        <v/>
      </c>
      <c r="AA52" s="458"/>
      <c r="AB52" s="458" t="str">
        <f>IF(AND('Mapa final'!$K$61="Media",'Mapa final'!$O$61="Menor"),CONCATENATE("R",'Mapa final'!$A$61),"")</f>
        <v/>
      </c>
      <c r="AC52" s="459"/>
      <c r="AD52" s="460" t="str">
        <f>IF(AND('Mapa final'!$K$49="Media",'Mapa final'!$O$49="Moderado"),CONCATENATE("R",'Mapa final'!$A$49),"")</f>
        <v>R15</v>
      </c>
      <c r="AE52" s="458"/>
      <c r="AF52" s="458" t="str">
        <f>IF(AND('Mapa final'!$K$52="Media",'Mapa final'!$O$52="Moderado"),CONCATENATE("R",'Mapa final'!$A$52),"")</f>
        <v/>
      </c>
      <c r="AG52" s="458"/>
      <c r="AH52" s="458" t="str">
        <f>IF(AND('Mapa final'!$K$55="Media",'Mapa final'!$O$55="Moderado"),CONCATENATE("R",'Mapa final'!$A$55),"")</f>
        <v>R17</v>
      </c>
      <c r="AI52" s="458"/>
      <c r="AJ52" s="458" t="str">
        <f>IF(AND('Mapa final'!$K$58="Media",'Mapa final'!$O$58="Moderado"),CONCATENATE("R",'Mapa final'!$A$58),"")</f>
        <v>R18</v>
      </c>
      <c r="AK52" s="458"/>
      <c r="AL52" s="458" t="str">
        <f>IF(AND('Mapa final'!$K$61="Media",'Mapa final'!$O$61="Moderado"),CONCATENATE("R",'Mapa final'!$A$61),"")</f>
        <v/>
      </c>
      <c r="AM52" s="459"/>
      <c r="AN52" s="463" t="str">
        <f>IF(AND('Mapa final'!$K$49="Media",'Mapa final'!$O$49="Mayor"),CONCATENATE("R",'Mapa final'!$A$49),"")</f>
        <v/>
      </c>
      <c r="AO52" s="461"/>
      <c r="AP52" s="461" t="str">
        <f>IF(AND('Mapa final'!$K$52="Media",'Mapa final'!$O$52="Mayor"),CONCATENATE("R",'Mapa final'!$A$52),"")</f>
        <v/>
      </c>
      <c r="AQ52" s="461"/>
      <c r="AR52" s="461" t="str">
        <f>IF(AND('Mapa final'!$K$55="Media",'Mapa final'!$O$55="Mayor"),CONCATENATE("R",'Mapa final'!$A$55),"")</f>
        <v/>
      </c>
      <c r="AS52" s="461"/>
      <c r="AT52" s="461" t="str">
        <f>IF(AND('Mapa final'!$K$58="Media",'Mapa final'!$O$58="Mayor"),CONCATENATE("R",'Mapa final'!$A$58),"")</f>
        <v/>
      </c>
      <c r="AU52" s="461"/>
      <c r="AV52" s="461" t="str">
        <f>IF(AND('Mapa final'!$K$61="Media",'Mapa final'!$O$61="Mayor"),CONCATENATE("R",'Mapa final'!$A$61),"")</f>
        <v>R19</v>
      </c>
      <c r="AW52" s="462"/>
      <c r="AX52" s="457" t="str">
        <f>IF(AND('Mapa final'!$K$49="Media",'Mapa final'!$O$49="Catastrófico"),CONCATENATE("R",'Mapa final'!$A$49),"")</f>
        <v/>
      </c>
      <c r="AY52" s="455"/>
      <c r="AZ52" s="455" t="str">
        <f>IF(AND('Mapa final'!$K$52="Media",'Mapa final'!$O$52="Catastrófico"),CONCATENATE("R",'Mapa final'!$A$52),"")</f>
        <v/>
      </c>
      <c r="BA52" s="455"/>
      <c r="BB52" s="455" t="str">
        <f>IF(AND('Mapa final'!$K$55="Media",'Mapa final'!$O$55="Catastrófico"),CONCATENATE("R",'Mapa final'!$A$55),"")</f>
        <v/>
      </c>
      <c r="BC52" s="455"/>
      <c r="BD52" s="455" t="str">
        <f>IF(AND('Mapa final'!$K$58="Media",'Mapa final'!$O$58="Catastrófico"),CONCATENATE("R",'Mapa final'!$A$58),"")</f>
        <v/>
      </c>
      <c r="BE52" s="455"/>
      <c r="BF52" s="455" t="str">
        <f>IF(AND('Mapa final'!$K$61="Media",'Mapa final'!$O$61="Catastrófico"),CONCATENATE("R",'Mapa final'!$A$61),"")</f>
        <v/>
      </c>
      <c r="BG52" s="456"/>
      <c r="BH52" s="56"/>
      <c r="BI52" s="498"/>
      <c r="BJ52" s="499"/>
      <c r="BK52" s="499"/>
      <c r="BL52" s="499"/>
      <c r="BM52" s="499"/>
      <c r="BN52" s="500"/>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4">
      <c r="A53" s="56"/>
      <c r="B53" s="300"/>
      <c r="C53" s="300"/>
      <c r="D53" s="301"/>
      <c r="E53" s="524"/>
      <c r="F53" s="525"/>
      <c r="G53" s="525"/>
      <c r="H53" s="525"/>
      <c r="I53" s="526"/>
      <c r="J53" s="460"/>
      <c r="K53" s="458"/>
      <c r="L53" s="458"/>
      <c r="M53" s="458"/>
      <c r="N53" s="458"/>
      <c r="O53" s="458"/>
      <c r="P53" s="458"/>
      <c r="Q53" s="458"/>
      <c r="R53" s="458"/>
      <c r="S53" s="459"/>
      <c r="T53" s="460"/>
      <c r="U53" s="458"/>
      <c r="V53" s="458"/>
      <c r="W53" s="458"/>
      <c r="X53" s="458"/>
      <c r="Y53" s="458"/>
      <c r="Z53" s="458"/>
      <c r="AA53" s="458"/>
      <c r="AB53" s="458"/>
      <c r="AC53" s="459"/>
      <c r="AD53" s="460"/>
      <c r="AE53" s="458"/>
      <c r="AF53" s="458"/>
      <c r="AG53" s="458"/>
      <c r="AH53" s="458"/>
      <c r="AI53" s="458"/>
      <c r="AJ53" s="458"/>
      <c r="AK53" s="458"/>
      <c r="AL53" s="458"/>
      <c r="AM53" s="459"/>
      <c r="AN53" s="463"/>
      <c r="AO53" s="461"/>
      <c r="AP53" s="461"/>
      <c r="AQ53" s="461"/>
      <c r="AR53" s="461"/>
      <c r="AS53" s="461"/>
      <c r="AT53" s="461"/>
      <c r="AU53" s="461"/>
      <c r="AV53" s="461"/>
      <c r="AW53" s="462"/>
      <c r="AX53" s="457"/>
      <c r="AY53" s="455"/>
      <c r="AZ53" s="455"/>
      <c r="BA53" s="455"/>
      <c r="BB53" s="455"/>
      <c r="BC53" s="455"/>
      <c r="BD53" s="455"/>
      <c r="BE53" s="455"/>
      <c r="BF53" s="455"/>
      <c r="BG53" s="456"/>
      <c r="BH53" s="56"/>
      <c r="BI53" s="501"/>
      <c r="BJ53" s="502"/>
      <c r="BK53" s="502"/>
      <c r="BL53" s="502"/>
      <c r="BM53" s="502"/>
      <c r="BN53" s="503"/>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35">
      <c r="A54" s="56"/>
      <c r="B54" s="300"/>
      <c r="C54" s="300"/>
      <c r="D54" s="301"/>
      <c r="E54" s="524"/>
      <c r="F54" s="525"/>
      <c r="G54" s="525"/>
      <c r="H54" s="525"/>
      <c r="I54" s="526"/>
      <c r="J54" s="460" t="str">
        <f>IF(AND('Mapa final'!$K$64="Media",'Mapa final'!$O$64="Leve"),CONCATENATE("R",'Mapa final'!$A$64),"")</f>
        <v/>
      </c>
      <c r="K54" s="458"/>
      <c r="L54" s="458" t="str">
        <f>IF(AND('Mapa final'!$K$67="Media",'Mapa final'!$O$67="Leve"),CONCATENATE("R",'Mapa final'!$A$67),"")</f>
        <v/>
      </c>
      <c r="M54" s="458"/>
      <c r="N54" s="458" t="str">
        <f>IF(AND('Mapa final'!$K$73="Media",'Mapa final'!$O$73="Leve"),CONCATENATE("R",'Mapa final'!$A$73),"")</f>
        <v/>
      </c>
      <c r="O54" s="458"/>
      <c r="P54" s="458" t="str">
        <f>IF(AND('Mapa final'!$K$76="Media",'Mapa final'!$O$76="Leve"),CONCATENATE("R",'Mapa final'!$A$76),"")</f>
        <v/>
      </c>
      <c r="Q54" s="458"/>
      <c r="R54" s="458" t="str">
        <f>IF(AND('Mapa final'!$K$79="Media",'Mapa final'!$O$79="Leve"),CONCATENATE("R",'Mapa final'!$A$79),"")</f>
        <v/>
      </c>
      <c r="S54" s="459"/>
      <c r="T54" s="460" t="str">
        <f>IF(AND('Mapa final'!$K$64="Media",'Mapa final'!$O$64="Menor"),CONCATENATE("R",'Mapa final'!$A$64),"")</f>
        <v/>
      </c>
      <c r="U54" s="458"/>
      <c r="V54" s="458" t="str">
        <f>IF(AND('Mapa final'!$K$67="Media",'Mapa final'!$O$67="Menor"),CONCATENATE("R",'Mapa final'!$A$67),"")</f>
        <v/>
      </c>
      <c r="W54" s="458"/>
      <c r="X54" s="458" t="str">
        <f>IF(AND('Mapa final'!$K$73="Media",'Mapa final'!$O$73="Menor"),CONCATENATE("R",'Mapa final'!$A$73),"")</f>
        <v/>
      </c>
      <c r="Y54" s="458"/>
      <c r="Z54" s="458" t="str">
        <f>IF(AND('Mapa final'!$K$76="Media",'Mapa final'!$O$76="Menor"),CONCATENATE("R",'Mapa final'!$A$76),"")</f>
        <v/>
      </c>
      <c r="AA54" s="458"/>
      <c r="AB54" s="458" t="str">
        <f>IF(AND('Mapa final'!$K$79="Media",'Mapa final'!$O$79="Menor"),CONCATENATE("R",'Mapa final'!$A$79),"")</f>
        <v/>
      </c>
      <c r="AC54" s="459"/>
      <c r="AD54" s="460" t="str">
        <f>IF(AND('Mapa final'!$K$64="Media",'Mapa final'!$O$64="Moderado"),CONCATENATE("R",'Mapa final'!$A$64),"")</f>
        <v/>
      </c>
      <c r="AE54" s="458"/>
      <c r="AF54" s="458" t="str">
        <f>IF(AND('Mapa final'!$K$67="Media",'Mapa final'!$O$67="Moderado"),CONCATENATE("R",'Mapa final'!$A$67),"")</f>
        <v/>
      </c>
      <c r="AG54" s="458"/>
      <c r="AH54" s="458" t="str">
        <f>IF(AND('Mapa final'!$K$73="Media",'Mapa final'!$O$73="Moderado"),CONCATENATE("R",'Mapa final'!$A$73),"")</f>
        <v/>
      </c>
      <c r="AI54" s="458"/>
      <c r="AJ54" s="458" t="str">
        <f>IF(AND('Mapa final'!$K$76="Media",'Mapa final'!$O$76="Moderado"),CONCATENATE("R",'Mapa final'!$A$76),"")</f>
        <v/>
      </c>
      <c r="AK54" s="458"/>
      <c r="AL54" s="458" t="str">
        <f>IF(AND('Mapa final'!$K$79="Media",'Mapa final'!$O$79="Moderado"),CONCATENATE("R",'Mapa final'!$A$79),"")</f>
        <v/>
      </c>
      <c r="AM54" s="459"/>
      <c r="AN54" s="463" t="str">
        <f>IF(AND('Mapa final'!$K$64="Media",'Mapa final'!$O$64="Mayor"),CONCATENATE("R",'Mapa final'!$A$64),"")</f>
        <v/>
      </c>
      <c r="AO54" s="461"/>
      <c r="AP54" s="461" t="str">
        <f>IF(AND('Mapa final'!$K$67="Media",'Mapa final'!$O$67="Mayor"),CONCATENATE("R",'Mapa final'!$A$67),"")</f>
        <v/>
      </c>
      <c r="AQ54" s="461"/>
      <c r="AR54" s="461" t="str">
        <f>IF(AND('Mapa final'!$K$73="Media",'Mapa final'!$O$73="Mayor"),CONCATENATE("R",'Mapa final'!$A$73),"")</f>
        <v>R23</v>
      </c>
      <c r="AS54" s="461"/>
      <c r="AT54" s="461" t="str">
        <f>IF(AND('Mapa final'!$K$76="Media",'Mapa final'!$O$76="Mayor"),CONCATENATE("R",'Mapa final'!$A$76),"")</f>
        <v/>
      </c>
      <c r="AU54" s="461"/>
      <c r="AV54" s="461" t="str">
        <f>IF(AND('Mapa final'!$K$79="Media",'Mapa final'!$O$79="Mayor"),CONCATENATE("R",'Mapa final'!$A$79),"")</f>
        <v/>
      </c>
      <c r="AW54" s="462"/>
      <c r="AX54" s="457" t="str">
        <f>IF(AND('Mapa final'!$K$64="Media",'Mapa final'!$O$64="Catastrófico"),CONCATENATE("R",'Mapa final'!$A$64),"")</f>
        <v/>
      </c>
      <c r="AY54" s="455"/>
      <c r="AZ54" s="455" t="str">
        <f>IF(AND('Mapa final'!$K$67="Media",'Mapa final'!$O$67="Catastrófico"),CONCATENATE("R",'Mapa final'!$A$67),"")</f>
        <v/>
      </c>
      <c r="BA54" s="455"/>
      <c r="BB54" s="455" t="str">
        <f>IF(AND('Mapa final'!$K$73="Media",'Mapa final'!$O$73="Catastrófico"),CONCATENATE("R",'Mapa final'!$A$73),"")</f>
        <v/>
      </c>
      <c r="BC54" s="455"/>
      <c r="BD54" s="455" t="str">
        <f>IF(AND('Mapa final'!$K$76="Media",'Mapa final'!$O$76="Catastrófico"),CONCATENATE("R",'Mapa final'!$A$76),"")</f>
        <v/>
      </c>
      <c r="BE54" s="455"/>
      <c r="BF54" s="455" t="str">
        <f>IF(AND('Mapa final'!$K$79="Media",'Mapa final'!$O$79="Catastrófico"),CONCATENATE("R",'Mapa final'!$A$79),"")</f>
        <v/>
      </c>
      <c r="BG54" s="456"/>
      <c r="BH54" s="56"/>
      <c r="BI54" s="504" t="s">
        <v>75</v>
      </c>
      <c r="BJ54" s="505"/>
      <c r="BK54" s="505"/>
      <c r="BL54" s="505"/>
      <c r="BM54" s="505"/>
      <c r="BN54" s="50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35">
      <c r="A55" s="56"/>
      <c r="B55" s="300"/>
      <c r="C55" s="300"/>
      <c r="D55" s="301"/>
      <c r="E55" s="524"/>
      <c r="F55" s="525"/>
      <c r="G55" s="525"/>
      <c r="H55" s="525"/>
      <c r="I55" s="526"/>
      <c r="J55" s="460"/>
      <c r="K55" s="458"/>
      <c r="L55" s="458"/>
      <c r="M55" s="458"/>
      <c r="N55" s="458"/>
      <c r="O55" s="458"/>
      <c r="P55" s="458"/>
      <c r="Q55" s="458"/>
      <c r="R55" s="458"/>
      <c r="S55" s="459"/>
      <c r="T55" s="460"/>
      <c r="U55" s="458"/>
      <c r="V55" s="458"/>
      <c r="W55" s="458"/>
      <c r="X55" s="458"/>
      <c r="Y55" s="458"/>
      <c r="Z55" s="458"/>
      <c r="AA55" s="458"/>
      <c r="AB55" s="458"/>
      <c r="AC55" s="459"/>
      <c r="AD55" s="460"/>
      <c r="AE55" s="458"/>
      <c r="AF55" s="458"/>
      <c r="AG55" s="458"/>
      <c r="AH55" s="458"/>
      <c r="AI55" s="458"/>
      <c r="AJ55" s="458"/>
      <c r="AK55" s="458"/>
      <c r="AL55" s="458"/>
      <c r="AM55" s="459"/>
      <c r="AN55" s="463"/>
      <c r="AO55" s="461"/>
      <c r="AP55" s="461"/>
      <c r="AQ55" s="461"/>
      <c r="AR55" s="461"/>
      <c r="AS55" s="461"/>
      <c r="AT55" s="461"/>
      <c r="AU55" s="461"/>
      <c r="AV55" s="461"/>
      <c r="AW55" s="462"/>
      <c r="AX55" s="457"/>
      <c r="AY55" s="455"/>
      <c r="AZ55" s="455"/>
      <c r="BA55" s="455"/>
      <c r="BB55" s="455"/>
      <c r="BC55" s="455"/>
      <c r="BD55" s="455"/>
      <c r="BE55" s="455"/>
      <c r="BF55" s="455"/>
      <c r="BG55" s="456"/>
      <c r="BH55" s="56"/>
      <c r="BI55" s="507"/>
      <c r="BJ55" s="508"/>
      <c r="BK55" s="508"/>
      <c r="BL55" s="508"/>
      <c r="BM55" s="508"/>
      <c r="BN55" s="509"/>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35">
      <c r="A56" s="56"/>
      <c r="B56" s="300"/>
      <c r="C56" s="300"/>
      <c r="D56" s="301"/>
      <c r="E56" s="524"/>
      <c r="F56" s="525"/>
      <c r="G56" s="525"/>
      <c r="H56" s="525"/>
      <c r="I56" s="526"/>
      <c r="J56" s="460" t="str">
        <f>IF(AND('Mapa final'!$K$82="Media",'Mapa final'!$O$82="Leve"),CONCATENATE("R",'Mapa final'!$A$82),"")</f>
        <v/>
      </c>
      <c r="K56" s="458"/>
      <c r="L56" s="458" t="str">
        <f>IF(AND('Mapa final'!$K$85="Media",'Mapa final'!$O$85="Leve"),CONCATENATE("R",'Mapa final'!$A$85),"")</f>
        <v/>
      </c>
      <c r="M56" s="458"/>
      <c r="N56" s="458" t="str">
        <f>IF(AND('Mapa final'!$K$88="Media",'Mapa final'!$O$88="Leve"),CONCATENATE("R",'Mapa final'!$A$88),"")</f>
        <v/>
      </c>
      <c r="O56" s="458"/>
      <c r="P56" s="458" t="str">
        <f>IF(AND('Mapa final'!$K$91="Media",'Mapa final'!$O$91="Leve"),CONCATENATE("R",'Mapa final'!$A$91),"")</f>
        <v/>
      </c>
      <c r="Q56" s="458"/>
      <c r="R56" s="458" t="str">
        <f>IF(AND('Mapa final'!$K$94="Media",'Mapa final'!$O$94="Leve"),CONCATENATE("R",'Mapa final'!$A$94),"")</f>
        <v/>
      </c>
      <c r="S56" s="459"/>
      <c r="T56" s="460" t="str">
        <f>IF(AND('Mapa final'!$K$82="Media",'Mapa final'!$O$82="Menor"),CONCATENATE("R",'Mapa final'!$A$82),"")</f>
        <v/>
      </c>
      <c r="U56" s="458"/>
      <c r="V56" s="458" t="str">
        <f>IF(AND('Mapa final'!$K$85="Media",'Mapa final'!$O$85="Menor"),CONCATENATE("R",'Mapa final'!$A$85),"")</f>
        <v/>
      </c>
      <c r="W56" s="458"/>
      <c r="X56" s="458" t="str">
        <f>IF(AND('Mapa final'!$K$88="Media",'Mapa final'!$O$88="Menor"),CONCATENATE("R",'Mapa final'!$A$88),"")</f>
        <v/>
      </c>
      <c r="Y56" s="458"/>
      <c r="Z56" s="458" t="str">
        <f>IF(AND('Mapa final'!$K$91="Media",'Mapa final'!$O$91="Menor"),CONCATENATE("R",'Mapa final'!$A$91),"")</f>
        <v/>
      </c>
      <c r="AA56" s="458"/>
      <c r="AB56" s="458" t="str">
        <f>IF(AND('Mapa final'!$K$94="Media",'Mapa final'!$O$94="Menor"),CONCATENATE("R",'Mapa final'!$A$94),"")</f>
        <v/>
      </c>
      <c r="AC56" s="459"/>
      <c r="AD56" s="460" t="str">
        <f>IF(AND('Mapa final'!$K$82="Media",'Mapa final'!$O$82="Moderado"),CONCATENATE("R",'Mapa final'!$A$82),"")</f>
        <v/>
      </c>
      <c r="AE56" s="458"/>
      <c r="AF56" s="458" t="str">
        <f>IF(AND('Mapa final'!$K$85="Media",'Mapa final'!$O$85="Moderado"),CONCATENATE("R",'Mapa final'!$A$85),"")</f>
        <v/>
      </c>
      <c r="AG56" s="458"/>
      <c r="AH56" s="458" t="str">
        <f>IF(AND('Mapa final'!$K$88="Media",'Mapa final'!$O$88="Moderado"),CONCATENATE("R",'Mapa final'!$A$88),"")</f>
        <v/>
      </c>
      <c r="AI56" s="458"/>
      <c r="AJ56" s="458" t="str">
        <f>IF(AND('Mapa final'!$K$91="Media",'Mapa final'!$O$91="Moderado"),CONCATENATE("R",'Mapa final'!$A$91),"")</f>
        <v/>
      </c>
      <c r="AK56" s="458"/>
      <c r="AL56" s="458" t="str">
        <f>IF(AND('Mapa final'!$K$94="Media",'Mapa final'!$O$94="Moderado"),CONCATENATE("R",'Mapa final'!$A$94),"")</f>
        <v/>
      </c>
      <c r="AM56" s="459"/>
      <c r="AN56" s="463" t="str">
        <f>IF(AND('Mapa final'!$K$82="Media",'Mapa final'!$O$82="Mayor"),CONCATENATE("R",'Mapa final'!$A$82),"")</f>
        <v/>
      </c>
      <c r="AO56" s="461"/>
      <c r="AP56" s="461" t="str">
        <f>IF(AND('Mapa final'!$K$85="Media",'Mapa final'!$O$85="Mayor"),CONCATENATE("R",'Mapa final'!$A$85),"")</f>
        <v/>
      </c>
      <c r="AQ56" s="461"/>
      <c r="AR56" s="461" t="str">
        <f>IF(AND('Mapa final'!$K$88="Media",'Mapa final'!$O$88="Mayor"),CONCATENATE("R",'Mapa final'!$A$88),"")</f>
        <v>R28</v>
      </c>
      <c r="AS56" s="461"/>
      <c r="AT56" s="461" t="str">
        <f>IF(AND('Mapa final'!$K$91="Media",'Mapa final'!$O$91="Mayor"),CONCATENATE("R",'Mapa final'!$A$91),"")</f>
        <v>R29</v>
      </c>
      <c r="AU56" s="461"/>
      <c r="AV56" s="461" t="str">
        <f>IF(AND('Mapa final'!$K$94="Media",'Mapa final'!$O$94="Mayor"),CONCATENATE("R",'Mapa final'!$A$94),"")</f>
        <v/>
      </c>
      <c r="AW56" s="462"/>
      <c r="AX56" s="457" t="str">
        <f>IF(AND('Mapa final'!$K$82="Media",'Mapa final'!$O$82="Catastrófico"),CONCATENATE("R",'Mapa final'!$A$82),"")</f>
        <v/>
      </c>
      <c r="AY56" s="455"/>
      <c r="AZ56" s="455" t="str">
        <f>IF(AND('Mapa final'!$K$85="Media",'Mapa final'!$O$85="Catastrófico"),CONCATENATE("R",'Mapa final'!$A$85),"")</f>
        <v/>
      </c>
      <c r="BA56" s="455"/>
      <c r="BB56" s="455" t="str">
        <f>IF(AND('Mapa final'!$K$88="Media",'Mapa final'!$O$88="Catastrófico"),CONCATENATE("R",'Mapa final'!$A$88),"")</f>
        <v/>
      </c>
      <c r="BC56" s="455"/>
      <c r="BD56" s="455" t="str">
        <f>IF(AND('Mapa final'!$K$91="Media",'Mapa final'!$O$91="Catastrófico"),CONCATENATE("R",'Mapa final'!$A$91),"")</f>
        <v/>
      </c>
      <c r="BE56" s="455"/>
      <c r="BF56" s="455" t="str">
        <f>IF(AND('Mapa final'!$K$94="Media",'Mapa final'!$O$94="Catastrófico"),CONCATENATE("R",'Mapa final'!$A$94),"")</f>
        <v/>
      </c>
      <c r="BG56" s="456"/>
      <c r="BH56" s="56"/>
      <c r="BI56" s="507"/>
      <c r="BJ56" s="508"/>
      <c r="BK56" s="508"/>
      <c r="BL56" s="508"/>
      <c r="BM56" s="508"/>
      <c r="BN56" s="509"/>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35">
      <c r="A57" s="56"/>
      <c r="B57" s="300"/>
      <c r="C57" s="300"/>
      <c r="D57" s="301"/>
      <c r="E57" s="524"/>
      <c r="F57" s="525"/>
      <c r="G57" s="525"/>
      <c r="H57" s="525"/>
      <c r="I57" s="526"/>
      <c r="J57" s="460"/>
      <c r="K57" s="458"/>
      <c r="L57" s="458"/>
      <c r="M57" s="458"/>
      <c r="N57" s="458"/>
      <c r="O57" s="458"/>
      <c r="P57" s="458"/>
      <c r="Q57" s="458"/>
      <c r="R57" s="458"/>
      <c r="S57" s="459"/>
      <c r="T57" s="460"/>
      <c r="U57" s="458"/>
      <c r="V57" s="458"/>
      <c r="W57" s="458"/>
      <c r="X57" s="458"/>
      <c r="Y57" s="458"/>
      <c r="Z57" s="458"/>
      <c r="AA57" s="458"/>
      <c r="AB57" s="458"/>
      <c r="AC57" s="459"/>
      <c r="AD57" s="460"/>
      <c r="AE57" s="458"/>
      <c r="AF57" s="458"/>
      <c r="AG57" s="458"/>
      <c r="AH57" s="458"/>
      <c r="AI57" s="458"/>
      <c r="AJ57" s="458"/>
      <c r="AK57" s="458"/>
      <c r="AL57" s="458"/>
      <c r="AM57" s="459"/>
      <c r="AN57" s="463"/>
      <c r="AO57" s="461"/>
      <c r="AP57" s="461"/>
      <c r="AQ57" s="461"/>
      <c r="AR57" s="461"/>
      <c r="AS57" s="461"/>
      <c r="AT57" s="461"/>
      <c r="AU57" s="461"/>
      <c r="AV57" s="461"/>
      <c r="AW57" s="462"/>
      <c r="AX57" s="457"/>
      <c r="AY57" s="455"/>
      <c r="AZ57" s="455"/>
      <c r="BA57" s="455"/>
      <c r="BB57" s="455"/>
      <c r="BC57" s="455"/>
      <c r="BD57" s="455"/>
      <c r="BE57" s="455"/>
      <c r="BF57" s="455"/>
      <c r="BG57" s="456"/>
      <c r="BH57" s="56"/>
      <c r="BI57" s="507"/>
      <c r="BJ57" s="508"/>
      <c r="BK57" s="508"/>
      <c r="BL57" s="508"/>
      <c r="BM57" s="508"/>
      <c r="BN57" s="509"/>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35">
      <c r="A58" s="56"/>
      <c r="B58" s="300"/>
      <c r="C58" s="300"/>
      <c r="D58" s="301"/>
      <c r="E58" s="524"/>
      <c r="F58" s="525"/>
      <c r="G58" s="525"/>
      <c r="H58" s="525"/>
      <c r="I58" s="526"/>
      <c r="J58" s="460" t="str">
        <f>IF(AND('Mapa final'!$K$97="Media",'Mapa final'!$O$97="Leve"),CONCATENATE("R",'Mapa final'!$A$97),"")</f>
        <v/>
      </c>
      <c r="K58" s="458"/>
      <c r="L58" s="458" t="e">
        <f>IF(AND('Mapa final'!#REF!="Media",'Mapa final'!#REF!="Leve"),CONCATENATE("R",'Mapa final'!#REF!),"")</f>
        <v>#REF!</v>
      </c>
      <c r="M58" s="458"/>
      <c r="N58" s="458" t="str">
        <f>IF(AND('Mapa final'!$K$100="Media",'Mapa final'!$O$100="Leve"),CONCATENATE("R",'Mapa final'!$A$100),"")</f>
        <v/>
      </c>
      <c r="O58" s="458"/>
      <c r="P58" s="458" t="str">
        <f>IF(AND('Mapa final'!$K$103="Media",'Mapa final'!$O$103="Leve"),CONCATENATE("R",'Mapa final'!$A$103),"")</f>
        <v/>
      </c>
      <c r="Q58" s="458"/>
      <c r="R58" s="458" t="str">
        <f>IF(AND('Mapa final'!$K$106="Media",'Mapa final'!$O$106="Leve"),CONCATENATE("R",'Mapa final'!$A$106),"")</f>
        <v/>
      </c>
      <c r="S58" s="459"/>
      <c r="T58" s="460" t="str">
        <f>IF(AND('Mapa final'!$K$97="Media",'Mapa final'!$O$97="Menor"),CONCATENATE("R",'Mapa final'!$A$97),"")</f>
        <v/>
      </c>
      <c r="U58" s="458"/>
      <c r="V58" s="458" t="e">
        <f>IF(AND('Mapa final'!#REF!="Media",'Mapa final'!#REF!="Menor"),CONCATENATE("R",'Mapa final'!#REF!),"")</f>
        <v>#REF!</v>
      </c>
      <c r="W58" s="458"/>
      <c r="X58" s="458" t="str">
        <f>IF(AND('Mapa final'!$K$100="Media",'Mapa final'!$O$100="Menor"),CONCATENATE("R",'Mapa final'!$A$100),"")</f>
        <v/>
      </c>
      <c r="Y58" s="458"/>
      <c r="Z58" s="458" t="str">
        <f>IF(AND('Mapa final'!$K$103="Media",'Mapa final'!$O$103="Menor"),CONCATENATE("R",'Mapa final'!$A$103),"")</f>
        <v/>
      </c>
      <c r="AA58" s="458"/>
      <c r="AB58" s="458" t="str">
        <f>IF(AND('Mapa final'!$K$106="Media",'Mapa final'!$O$106="Menor"),CONCATENATE("R",'Mapa final'!$A$106),"")</f>
        <v/>
      </c>
      <c r="AC58" s="459"/>
      <c r="AD58" s="460" t="str">
        <f>IF(AND('Mapa final'!$K$97="Media",'Mapa final'!$O$97="Moderado"),CONCATENATE("R",'Mapa final'!$A$97),"")</f>
        <v/>
      </c>
      <c r="AE58" s="458"/>
      <c r="AF58" s="458" t="e">
        <f>IF(AND('Mapa final'!#REF!="Media",'Mapa final'!#REF!="Moderado"),CONCATENATE("R",'Mapa final'!#REF!),"")</f>
        <v>#REF!</v>
      </c>
      <c r="AG58" s="458"/>
      <c r="AH58" s="458" t="str">
        <f>IF(AND('Mapa final'!$K$100="Media",'Mapa final'!$O$100="Moderado"),CONCATENATE("R",'Mapa final'!$A$100),"")</f>
        <v/>
      </c>
      <c r="AI58" s="458"/>
      <c r="AJ58" s="458" t="str">
        <f>IF(AND('Mapa final'!$K$103="Media",'Mapa final'!$O$103="Moderado"),CONCATENATE("R",'Mapa final'!$A$103),"")</f>
        <v>R33</v>
      </c>
      <c r="AK58" s="458"/>
      <c r="AL58" s="458" t="str">
        <f>IF(AND('Mapa final'!$K$106="Media",'Mapa final'!$O$106="Moderado"),CONCATENATE("R",'Mapa final'!$A$106),"")</f>
        <v>R34</v>
      </c>
      <c r="AM58" s="459"/>
      <c r="AN58" s="463" t="str">
        <f>IF(AND('Mapa final'!$K$97="Media",'Mapa final'!$O$97="Mayor"),CONCATENATE("R",'Mapa final'!$A$97),"")</f>
        <v/>
      </c>
      <c r="AO58" s="461"/>
      <c r="AP58" s="461" t="e">
        <f>IF(AND('Mapa final'!#REF!="Media",'Mapa final'!#REF!="Mayor"),CONCATENATE("R",'Mapa final'!#REF!),"")</f>
        <v>#REF!</v>
      </c>
      <c r="AQ58" s="461"/>
      <c r="AR58" s="461" t="str">
        <f>IF(AND('Mapa final'!$K$100="Media",'Mapa final'!$O$100="Mayor"),CONCATENATE("R",'Mapa final'!$A$100),"")</f>
        <v/>
      </c>
      <c r="AS58" s="461"/>
      <c r="AT58" s="461" t="str">
        <f>IF(AND('Mapa final'!$K$103="Media",'Mapa final'!$O$103="Mayor"),CONCATENATE("R",'Mapa final'!$A$103),"")</f>
        <v/>
      </c>
      <c r="AU58" s="461"/>
      <c r="AV58" s="461" t="str">
        <f>IF(AND('Mapa final'!$K$106="Media",'Mapa final'!$O$106="Mayor"),CONCATENATE("R",'Mapa final'!$A$106),"")</f>
        <v/>
      </c>
      <c r="AW58" s="462"/>
      <c r="AX58" s="457" t="str">
        <f>IF(AND('Mapa final'!$K$97="Media",'Mapa final'!$O$97="Catastrófico"),CONCATENATE("R",'Mapa final'!$A$97),"")</f>
        <v/>
      </c>
      <c r="AY58" s="455"/>
      <c r="AZ58" s="455" t="e">
        <f>IF(AND('Mapa final'!#REF!="Media",'Mapa final'!#REF!="Catastrófico"),CONCATENATE("R",'Mapa final'!#REF!),"")</f>
        <v>#REF!</v>
      </c>
      <c r="BA58" s="455"/>
      <c r="BB58" s="455" t="str">
        <f>IF(AND('Mapa final'!$K$100="Media",'Mapa final'!$O$100="Catastrófico"),CONCATENATE("R",'Mapa final'!$A$100),"")</f>
        <v/>
      </c>
      <c r="BC58" s="455"/>
      <c r="BD58" s="455" t="str">
        <f>IF(AND('Mapa final'!$K$103="Media",'Mapa final'!$O$103="Catastrófico"),CONCATENATE("R",'Mapa final'!$A$103),"")</f>
        <v/>
      </c>
      <c r="BE58" s="455"/>
      <c r="BF58" s="455" t="str">
        <f>IF(AND('Mapa final'!$K$106="Media",'Mapa final'!$O$106="Catastrófico"),CONCATENATE("R",'Mapa final'!$A$106),"")</f>
        <v/>
      </c>
      <c r="BG58" s="456"/>
      <c r="BH58" s="56"/>
      <c r="BI58" s="507"/>
      <c r="BJ58" s="508"/>
      <c r="BK58" s="508"/>
      <c r="BL58" s="508"/>
      <c r="BM58" s="508"/>
      <c r="BN58" s="509"/>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35">
      <c r="A59" s="56"/>
      <c r="B59" s="300"/>
      <c r="C59" s="300"/>
      <c r="D59" s="301"/>
      <c r="E59" s="524"/>
      <c r="F59" s="525"/>
      <c r="G59" s="525"/>
      <c r="H59" s="525"/>
      <c r="I59" s="526"/>
      <c r="J59" s="460"/>
      <c r="K59" s="458"/>
      <c r="L59" s="458"/>
      <c r="M59" s="458"/>
      <c r="N59" s="458"/>
      <c r="O59" s="458"/>
      <c r="P59" s="458"/>
      <c r="Q59" s="458"/>
      <c r="R59" s="458"/>
      <c r="S59" s="459"/>
      <c r="T59" s="460"/>
      <c r="U59" s="458"/>
      <c r="V59" s="458"/>
      <c r="W59" s="458"/>
      <c r="X59" s="458"/>
      <c r="Y59" s="458"/>
      <c r="Z59" s="458"/>
      <c r="AA59" s="458"/>
      <c r="AB59" s="458"/>
      <c r="AC59" s="459"/>
      <c r="AD59" s="460"/>
      <c r="AE59" s="458"/>
      <c r="AF59" s="458"/>
      <c r="AG59" s="458"/>
      <c r="AH59" s="458"/>
      <c r="AI59" s="458"/>
      <c r="AJ59" s="458"/>
      <c r="AK59" s="458"/>
      <c r="AL59" s="458"/>
      <c r="AM59" s="459"/>
      <c r="AN59" s="463"/>
      <c r="AO59" s="461"/>
      <c r="AP59" s="461"/>
      <c r="AQ59" s="461"/>
      <c r="AR59" s="461"/>
      <c r="AS59" s="461"/>
      <c r="AT59" s="461"/>
      <c r="AU59" s="461"/>
      <c r="AV59" s="461"/>
      <c r="AW59" s="462"/>
      <c r="AX59" s="457"/>
      <c r="AY59" s="455"/>
      <c r="AZ59" s="455"/>
      <c r="BA59" s="455"/>
      <c r="BB59" s="455"/>
      <c r="BC59" s="455"/>
      <c r="BD59" s="455"/>
      <c r="BE59" s="455"/>
      <c r="BF59" s="455"/>
      <c r="BG59" s="456"/>
      <c r="BH59" s="56"/>
      <c r="BI59" s="507"/>
      <c r="BJ59" s="508"/>
      <c r="BK59" s="508"/>
      <c r="BL59" s="508"/>
      <c r="BM59" s="508"/>
      <c r="BN59" s="509"/>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35">
      <c r="A60" s="56"/>
      <c r="B60" s="300"/>
      <c r="C60" s="300"/>
      <c r="D60" s="301"/>
      <c r="E60" s="524"/>
      <c r="F60" s="525"/>
      <c r="G60" s="525"/>
      <c r="H60" s="525"/>
      <c r="I60" s="526"/>
      <c r="J60" s="460" t="str">
        <f>IF(AND('Mapa final'!$K$109="Media",'Mapa final'!$O$109="Leve"),CONCATENATE("R",'Mapa final'!$A$109),"")</f>
        <v/>
      </c>
      <c r="K60" s="458"/>
      <c r="L60" s="458" t="str">
        <f>IF(AND('Mapa final'!$K$112="Media",'Mapa final'!$O$112="Leve"),CONCATENATE("R",'Mapa final'!$A$112),"")</f>
        <v/>
      </c>
      <c r="M60" s="458"/>
      <c r="N60" s="458" t="str">
        <f>IF(AND('Mapa final'!$K$115="Media",'Mapa final'!$O$115="Leve"),CONCATENATE("R",'Mapa final'!$A$115),"")</f>
        <v/>
      </c>
      <c r="O60" s="458"/>
      <c r="P60" s="458" t="str">
        <f>IF(AND('Mapa final'!$K$118="Media",'Mapa final'!$O$118="Leve"),CONCATENATE("R",'Mapa final'!$A$118),"")</f>
        <v/>
      </c>
      <c r="Q60" s="458"/>
      <c r="R60" s="458" t="str">
        <f>IF(AND('Mapa final'!$K$121="Media",'Mapa final'!$O$121="Leve"),CONCATENATE("R",'Mapa final'!$A$121),"")</f>
        <v/>
      </c>
      <c r="S60" s="459"/>
      <c r="T60" s="460" t="str">
        <f>IF(AND('Mapa final'!$K$109="Media",'Mapa final'!$O$109="Menor"),CONCATENATE("R",'Mapa final'!$A$109),"")</f>
        <v/>
      </c>
      <c r="U60" s="458"/>
      <c r="V60" s="458" t="str">
        <f>IF(AND('Mapa final'!$K$112="Media",'Mapa final'!$O$112="Menor"),CONCATENATE("R",'Mapa final'!$A$112),"")</f>
        <v>R36</v>
      </c>
      <c r="W60" s="458"/>
      <c r="X60" s="458" t="str">
        <f>IF(AND('Mapa final'!$K$115="Media",'Mapa final'!$O$115="Menor"),CONCATENATE("R",'Mapa final'!$A$115),"")</f>
        <v/>
      </c>
      <c r="Y60" s="458"/>
      <c r="Z60" s="458" t="str">
        <f>IF(AND('Mapa final'!$K$118="Media",'Mapa final'!$O$118="Menor"),CONCATENATE("R",'Mapa final'!$A$118),"")</f>
        <v/>
      </c>
      <c r="AA60" s="458"/>
      <c r="AB60" s="458" t="str">
        <f>IF(AND('Mapa final'!$K$121="Media",'Mapa final'!$O$121="Menor"),CONCATENATE("R",'Mapa final'!$A$121),"")</f>
        <v/>
      </c>
      <c r="AC60" s="459"/>
      <c r="AD60" s="460" t="str">
        <f>IF(AND('Mapa final'!$K$109="Media",'Mapa final'!$O$109="Moderado"),CONCATENATE("R",'Mapa final'!$A$109),"")</f>
        <v/>
      </c>
      <c r="AE60" s="458"/>
      <c r="AF60" s="458" t="str">
        <f>IF(AND('Mapa final'!$K$112="Media",'Mapa final'!$O$112="Moderado"),CONCATENATE("R",'Mapa final'!$A$112),"")</f>
        <v/>
      </c>
      <c r="AG60" s="458"/>
      <c r="AH60" s="458" t="str">
        <f>IF(AND('Mapa final'!$K$115="Media",'Mapa final'!$O$115="Moderado"),CONCATENATE("R",'Mapa final'!$A$115),"")</f>
        <v/>
      </c>
      <c r="AI60" s="458"/>
      <c r="AJ60" s="458" t="str">
        <f>IF(AND('Mapa final'!$K$118="Media",'Mapa final'!$O$118="Moderado"),CONCATENATE("R",'Mapa final'!$A$118),"")</f>
        <v/>
      </c>
      <c r="AK60" s="458"/>
      <c r="AL60" s="458" t="str">
        <f>IF(AND('Mapa final'!$K$121="Media",'Mapa final'!$O$121="Moderado"),CONCATENATE("R",'Mapa final'!$A$121),"")</f>
        <v>R39</v>
      </c>
      <c r="AM60" s="459"/>
      <c r="AN60" s="463" t="str">
        <f>IF(AND('Mapa final'!$K$109="Media",'Mapa final'!$O$109="Mayor"),CONCATENATE("R",'Mapa final'!$A$109),"")</f>
        <v>R35</v>
      </c>
      <c r="AO60" s="461"/>
      <c r="AP60" s="461" t="str">
        <f>IF(AND('Mapa final'!$K$112="Media",'Mapa final'!$O$112="Mayor"),CONCATENATE("R",'Mapa final'!$A$112),"")</f>
        <v/>
      </c>
      <c r="AQ60" s="461"/>
      <c r="AR60" s="461" t="str">
        <f>IF(AND('Mapa final'!$K$115="Media",'Mapa final'!$O$115="Mayor"),CONCATENATE("R",'Mapa final'!$A$115),"")</f>
        <v/>
      </c>
      <c r="AS60" s="461"/>
      <c r="AT60" s="461" t="str">
        <f>IF(AND('Mapa final'!$K$118="Media",'Mapa final'!$O$118="Mayor"),CONCATENATE("R",'Mapa final'!$A$118),"")</f>
        <v/>
      </c>
      <c r="AU60" s="461"/>
      <c r="AV60" s="461" t="str">
        <f>IF(AND('Mapa final'!$K$121="Media",'Mapa final'!$O$121="Mayor"),CONCATENATE("R",'Mapa final'!$A$121),"")</f>
        <v/>
      </c>
      <c r="AW60" s="462"/>
      <c r="AX60" s="457" t="str">
        <f>IF(AND('Mapa final'!$K$109="Media",'Mapa final'!$O$109="Catastrófico"),CONCATENATE("R",'Mapa final'!$A$109),"")</f>
        <v/>
      </c>
      <c r="AY60" s="455"/>
      <c r="AZ60" s="455" t="str">
        <f>IF(AND('Mapa final'!$K$112="Media",'Mapa final'!$O$112="Catastrófico"),CONCATENATE("R",'Mapa final'!$A$112),"")</f>
        <v/>
      </c>
      <c r="BA60" s="455"/>
      <c r="BB60" s="455" t="str">
        <f>IF(AND('Mapa final'!$K$115="Media",'Mapa final'!$O$115="Catastrófico"),CONCATENATE("R",'Mapa final'!$A$115),"")</f>
        <v/>
      </c>
      <c r="BC60" s="455"/>
      <c r="BD60" s="455" t="str">
        <f>IF(AND('Mapa final'!$K$118="Media",'Mapa final'!$O$118="Catastrófico"),CONCATENATE("R",'Mapa final'!$A$118),"")</f>
        <v/>
      </c>
      <c r="BE60" s="455"/>
      <c r="BF60" s="455" t="str">
        <f>IF(AND('Mapa final'!$K$121="Media",'Mapa final'!$O$121="Catastrófico"),CONCATENATE("R",'Mapa final'!$A$121),"")</f>
        <v/>
      </c>
      <c r="BG60" s="456"/>
      <c r="BH60" s="56"/>
      <c r="BI60" s="507"/>
      <c r="BJ60" s="508"/>
      <c r="BK60" s="508"/>
      <c r="BL60" s="508"/>
      <c r="BM60" s="508"/>
      <c r="BN60" s="509"/>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35">
      <c r="A61" s="56"/>
      <c r="B61" s="300"/>
      <c r="C61" s="300"/>
      <c r="D61" s="301"/>
      <c r="E61" s="524"/>
      <c r="F61" s="525"/>
      <c r="G61" s="525"/>
      <c r="H61" s="525"/>
      <c r="I61" s="526"/>
      <c r="J61" s="460"/>
      <c r="K61" s="458"/>
      <c r="L61" s="458"/>
      <c r="M61" s="458"/>
      <c r="N61" s="458"/>
      <c r="O61" s="458"/>
      <c r="P61" s="458"/>
      <c r="Q61" s="458"/>
      <c r="R61" s="458"/>
      <c r="S61" s="459"/>
      <c r="T61" s="460"/>
      <c r="U61" s="458"/>
      <c r="V61" s="458"/>
      <c r="W61" s="458"/>
      <c r="X61" s="458"/>
      <c r="Y61" s="458"/>
      <c r="Z61" s="458"/>
      <c r="AA61" s="458"/>
      <c r="AB61" s="458"/>
      <c r="AC61" s="459"/>
      <c r="AD61" s="460"/>
      <c r="AE61" s="458"/>
      <c r="AF61" s="458"/>
      <c r="AG61" s="458"/>
      <c r="AH61" s="458"/>
      <c r="AI61" s="458"/>
      <c r="AJ61" s="458"/>
      <c r="AK61" s="458"/>
      <c r="AL61" s="458"/>
      <c r="AM61" s="459"/>
      <c r="AN61" s="463"/>
      <c r="AO61" s="461"/>
      <c r="AP61" s="461"/>
      <c r="AQ61" s="461"/>
      <c r="AR61" s="461"/>
      <c r="AS61" s="461"/>
      <c r="AT61" s="461"/>
      <c r="AU61" s="461"/>
      <c r="AV61" s="461"/>
      <c r="AW61" s="462"/>
      <c r="AX61" s="457"/>
      <c r="AY61" s="455"/>
      <c r="AZ61" s="455"/>
      <c r="BA61" s="455"/>
      <c r="BB61" s="455"/>
      <c r="BC61" s="455"/>
      <c r="BD61" s="455"/>
      <c r="BE61" s="455"/>
      <c r="BF61" s="455"/>
      <c r="BG61" s="456"/>
      <c r="BH61" s="56"/>
      <c r="BI61" s="507"/>
      <c r="BJ61" s="508"/>
      <c r="BK61" s="508"/>
      <c r="BL61" s="508"/>
      <c r="BM61" s="508"/>
      <c r="BN61" s="509"/>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35">
      <c r="A62" s="56"/>
      <c r="B62" s="300"/>
      <c r="C62" s="300"/>
      <c r="D62" s="301"/>
      <c r="E62" s="524"/>
      <c r="F62" s="525"/>
      <c r="G62" s="525"/>
      <c r="H62" s="525"/>
      <c r="I62" s="526"/>
      <c r="J62" s="460" t="str">
        <f>IF(AND('Mapa final'!$K$124="Media",'Mapa final'!$O$124="Leve"),CONCATENATE("R",'Mapa final'!$A$124),"")</f>
        <v/>
      </c>
      <c r="K62" s="458"/>
      <c r="L62" s="458" t="str">
        <f>IF(AND('Mapa final'!$K$127="Media",'Mapa final'!$O$127="Leve"),CONCATENATE("R",'Mapa final'!$A$127),"")</f>
        <v/>
      </c>
      <c r="M62" s="458"/>
      <c r="N62" s="458" t="str">
        <f>IF(AND('Mapa final'!$K$130="Media",'Mapa final'!$O$130="Leve"),CONCATENATE("R",'Mapa final'!$A$130),"")</f>
        <v/>
      </c>
      <c r="O62" s="458"/>
      <c r="P62" s="458" t="str">
        <f>IF(AND('Mapa final'!$K$133="Media",'Mapa final'!$O$133="Leve"),CONCATENATE("R",'Mapa final'!$A$133),"")</f>
        <v/>
      </c>
      <c r="Q62" s="458"/>
      <c r="R62" s="458" t="str">
        <f>IF(AND('Mapa final'!$K$136="Media",'Mapa final'!$O$136="Leve"),CONCATENATE("R",'Mapa final'!$A$136),"")</f>
        <v/>
      </c>
      <c r="S62" s="459"/>
      <c r="T62" s="460" t="str">
        <f>IF(AND('Mapa final'!$K$124="Media",'Mapa final'!$O$124="Menor"),CONCATENATE("R",'Mapa final'!$A$124),"")</f>
        <v/>
      </c>
      <c r="U62" s="458"/>
      <c r="V62" s="458" t="str">
        <f>IF(AND('Mapa final'!$K$127="Media",'Mapa final'!$O$127="Menor"),CONCATENATE("R",'Mapa final'!$A$127),"")</f>
        <v/>
      </c>
      <c r="W62" s="458"/>
      <c r="X62" s="458" t="str">
        <f>IF(AND('Mapa final'!$K$130="Media",'Mapa final'!$O$130="Menor"),CONCATENATE("R",'Mapa final'!$A$130),"")</f>
        <v/>
      </c>
      <c r="Y62" s="458"/>
      <c r="Z62" s="458" t="str">
        <f>IF(AND('Mapa final'!$K$133="Media",'Mapa final'!$O$133="Menor"),CONCATENATE("R",'Mapa final'!$A$133),"")</f>
        <v/>
      </c>
      <c r="AA62" s="458"/>
      <c r="AB62" s="458" t="str">
        <f>IF(AND('Mapa final'!$K$136="Media",'Mapa final'!$O$136="Menor"),CONCATENATE("R",'Mapa final'!$A$136),"")</f>
        <v/>
      </c>
      <c r="AC62" s="459"/>
      <c r="AD62" s="460" t="str">
        <f>IF(AND('Mapa final'!$K$124="Media",'Mapa final'!$O$124="Moderado"),CONCATENATE("R",'Mapa final'!$A$124),"")</f>
        <v>R40</v>
      </c>
      <c r="AE62" s="458"/>
      <c r="AF62" s="458" t="str">
        <f>IF(AND('Mapa final'!$K$127="Media",'Mapa final'!$O$127="Moderado"),CONCATENATE("R",'Mapa final'!$A$127),"")</f>
        <v/>
      </c>
      <c r="AG62" s="458"/>
      <c r="AH62" s="458" t="str">
        <f>IF(AND('Mapa final'!$K$130="Media",'Mapa final'!$O$130="Moderado"),CONCATENATE("R",'Mapa final'!$A$130),"")</f>
        <v/>
      </c>
      <c r="AI62" s="458"/>
      <c r="AJ62" s="458" t="str">
        <f>IF(AND('Mapa final'!$K$133="Media",'Mapa final'!$O$133="Moderado"),CONCATENATE("R",'Mapa final'!$A$133),"")</f>
        <v>R43</v>
      </c>
      <c r="AK62" s="458"/>
      <c r="AL62" s="458" t="str">
        <f>IF(AND('Mapa final'!$K$136="Media",'Mapa final'!$O$136="Moderado"),CONCATENATE("R",'Mapa final'!$A$136),"")</f>
        <v/>
      </c>
      <c r="AM62" s="459"/>
      <c r="AN62" s="463" t="str">
        <f>IF(AND('Mapa final'!$K$124="Media",'Mapa final'!$O$124="Mayor"),CONCATENATE("R",'Mapa final'!$A$124),"")</f>
        <v/>
      </c>
      <c r="AO62" s="461"/>
      <c r="AP62" s="461" t="str">
        <f>IF(AND('Mapa final'!$K$127="Media",'Mapa final'!$O$127="Mayor"),CONCATENATE("R",'Mapa final'!$A$127),"")</f>
        <v/>
      </c>
      <c r="AQ62" s="461"/>
      <c r="AR62" s="461" t="str">
        <f>IF(AND('Mapa final'!$K$130="Media",'Mapa final'!$O$130="Mayor"),CONCATENATE("R",'Mapa final'!$A$130),"")</f>
        <v>R42</v>
      </c>
      <c r="AS62" s="461"/>
      <c r="AT62" s="461" t="str">
        <f>IF(AND('Mapa final'!$K$133="Media",'Mapa final'!$O$133="Mayor"),CONCATENATE("R",'Mapa final'!$A$133),"")</f>
        <v/>
      </c>
      <c r="AU62" s="461"/>
      <c r="AV62" s="461" t="str">
        <f>IF(AND('Mapa final'!$K$136="Media",'Mapa final'!$O$136="Mayor"),CONCATENATE("R",'Mapa final'!$A$136),"")</f>
        <v>R44</v>
      </c>
      <c r="AW62" s="462"/>
      <c r="AX62" s="457" t="str">
        <f>IF(AND('Mapa final'!$K$124="Media",'Mapa final'!$O$124="Catastrófico"),CONCATENATE("R",'Mapa final'!$A$124),"")</f>
        <v/>
      </c>
      <c r="AY62" s="455"/>
      <c r="AZ62" s="455" t="str">
        <f>IF(AND('Mapa final'!$K$127="Media",'Mapa final'!$O$127="Catastrófico"),CONCATENATE("R",'Mapa final'!$A$127),"")</f>
        <v/>
      </c>
      <c r="BA62" s="455"/>
      <c r="BB62" s="455" t="str">
        <f>IF(AND('Mapa final'!$K$130="Media",'Mapa final'!$O$130="Catastrófico"),CONCATENATE("R",'Mapa final'!$A$130),"")</f>
        <v/>
      </c>
      <c r="BC62" s="455"/>
      <c r="BD62" s="455" t="str">
        <f>IF(AND('Mapa final'!$K$133="Media",'Mapa final'!$O$133="Catastrófico"),CONCATENATE("R",'Mapa final'!$A$133),"")</f>
        <v/>
      </c>
      <c r="BE62" s="455"/>
      <c r="BF62" s="455" t="str">
        <f>IF(AND('Mapa final'!$K$136="Media",'Mapa final'!$O$136="Catastrófico"),CONCATENATE("R",'Mapa final'!$A$136),"")</f>
        <v/>
      </c>
      <c r="BG62" s="456"/>
      <c r="BH62" s="56"/>
      <c r="BI62" s="507"/>
      <c r="BJ62" s="508"/>
      <c r="BK62" s="508"/>
      <c r="BL62" s="508"/>
      <c r="BM62" s="508"/>
      <c r="BN62" s="509"/>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35">
      <c r="A63" s="56"/>
      <c r="B63" s="300"/>
      <c r="C63" s="300"/>
      <c r="D63" s="301"/>
      <c r="E63" s="524"/>
      <c r="F63" s="525"/>
      <c r="G63" s="525"/>
      <c r="H63" s="525"/>
      <c r="I63" s="526"/>
      <c r="J63" s="460"/>
      <c r="K63" s="458"/>
      <c r="L63" s="458"/>
      <c r="M63" s="458"/>
      <c r="N63" s="458"/>
      <c r="O63" s="458"/>
      <c r="P63" s="458"/>
      <c r="Q63" s="458"/>
      <c r="R63" s="458"/>
      <c r="S63" s="459"/>
      <c r="T63" s="460"/>
      <c r="U63" s="458"/>
      <c r="V63" s="458"/>
      <c r="W63" s="458"/>
      <c r="X63" s="458"/>
      <c r="Y63" s="458"/>
      <c r="Z63" s="458"/>
      <c r="AA63" s="458"/>
      <c r="AB63" s="458"/>
      <c r="AC63" s="459"/>
      <c r="AD63" s="460"/>
      <c r="AE63" s="458"/>
      <c r="AF63" s="458"/>
      <c r="AG63" s="458"/>
      <c r="AH63" s="458"/>
      <c r="AI63" s="458"/>
      <c r="AJ63" s="458"/>
      <c r="AK63" s="458"/>
      <c r="AL63" s="458"/>
      <c r="AM63" s="459"/>
      <c r="AN63" s="463"/>
      <c r="AO63" s="461"/>
      <c r="AP63" s="461"/>
      <c r="AQ63" s="461"/>
      <c r="AR63" s="461"/>
      <c r="AS63" s="461"/>
      <c r="AT63" s="461"/>
      <c r="AU63" s="461"/>
      <c r="AV63" s="461"/>
      <c r="AW63" s="462"/>
      <c r="AX63" s="457"/>
      <c r="AY63" s="455"/>
      <c r="AZ63" s="455"/>
      <c r="BA63" s="455"/>
      <c r="BB63" s="455"/>
      <c r="BC63" s="455"/>
      <c r="BD63" s="455"/>
      <c r="BE63" s="455"/>
      <c r="BF63" s="455"/>
      <c r="BG63" s="456"/>
      <c r="BH63" s="56"/>
      <c r="BI63" s="507"/>
      <c r="BJ63" s="508"/>
      <c r="BK63" s="508"/>
      <c r="BL63" s="508"/>
      <c r="BM63" s="508"/>
      <c r="BN63" s="509"/>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35">
      <c r="A64" s="56"/>
      <c r="B64" s="300"/>
      <c r="C64" s="300"/>
      <c r="D64" s="301"/>
      <c r="E64" s="524"/>
      <c r="F64" s="525"/>
      <c r="G64" s="525"/>
      <c r="H64" s="525"/>
      <c r="I64" s="526"/>
      <c r="J64" s="460" t="str">
        <f>IF(AND('Mapa final'!$K$139="Media",'Mapa final'!$O$139="Leve"),CONCATENATE("R",'Mapa final'!$A$139),"")</f>
        <v/>
      </c>
      <c r="K64" s="458"/>
      <c r="L64" s="458" t="str">
        <f>IF(AND('Mapa final'!$K$142="Media",'Mapa final'!$O$142="Leve"),CONCATENATE("R",'Mapa final'!$A$142),"")</f>
        <v/>
      </c>
      <c r="M64" s="458"/>
      <c r="N64" s="458" t="str">
        <f>IF(AND('Mapa final'!$K$145="Media",'Mapa final'!$O$145="Leve"),CONCATENATE("R",'Mapa final'!$A$145),"")</f>
        <v/>
      </c>
      <c r="O64" s="458"/>
      <c r="P64" s="458" t="str">
        <f>IF(AND('Mapa final'!$K$148="Media",'Mapa final'!$O$148="Leve"),CONCATENATE("R",'Mapa final'!$A$148),"")</f>
        <v/>
      </c>
      <c r="Q64" s="458"/>
      <c r="R64" s="458" t="str">
        <f>IF(AND('Mapa final'!$K$151="Media",'Mapa final'!$O$151="Leve"),CONCATENATE("R",'Mapa final'!$A$151),"")</f>
        <v/>
      </c>
      <c r="S64" s="459"/>
      <c r="T64" s="460" t="str">
        <f>IF(AND('Mapa final'!$K$139="Media",'Mapa final'!$O$139="Menor"),CONCATENATE("R",'Mapa final'!$A$139),"")</f>
        <v/>
      </c>
      <c r="U64" s="458"/>
      <c r="V64" s="458" t="str">
        <f>IF(AND('Mapa final'!$K$142="Media",'Mapa final'!$O$142="Menor"),CONCATENATE("R",'Mapa final'!$A$142),"")</f>
        <v/>
      </c>
      <c r="W64" s="458"/>
      <c r="X64" s="458" t="str">
        <f>IF(AND('Mapa final'!$K$145="Media",'Mapa final'!$O$145="Menor"),CONCATENATE("R",'Mapa final'!$A$145),"")</f>
        <v/>
      </c>
      <c r="Y64" s="458"/>
      <c r="Z64" s="458" t="str">
        <f>IF(AND('Mapa final'!$K$148="Media",'Mapa final'!$O$148="Menor"),CONCATENATE("R",'Mapa final'!$A$148),"")</f>
        <v/>
      </c>
      <c r="AA64" s="458"/>
      <c r="AB64" s="458" t="str">
        <f>IF(AND('Mapa final'!$K$151="Media",'Mapa final'!$O$151="Menor"),CONCATENATE("R",'Mapa final'!$A$151),"")</f>
        <v/>
      </c>
      <c r="AC64" s="459"/>
      <c r="AD64" s="460" t="str">
        <f>IF(AND('Mapa final'!$K$139="Media",'Mapa final'!$O$139="Moderado"),CONCATENATE("R",'Mapa final'!$A$139),"")</f>
        <v/>
      </c>
      <c r="AE64" s="458"/>
      <c r="AF64" s="458" t="str">
        <f>IF(AND('Mapa final'!$K$142="Media",'Mapa final'!$O$142="Moderado"),CONCATENATE("R",'Mapa final'!$A$142),"")</f>
        <v/>
      </c>
      <c r="AG64" s="458"/>
      <c r="AH64" s="458" t="str">
        <f>IF(AND('Mapa final'!$K$145="Media",'Mapa final'!$O$145="Moderado"),CONCATENATE("R",'Mapa final'!$A$145),"")</f>
        <v/>
      </c>
      <c r="AI64" s="458"/>
      <c r="AJ64" s="458" t="str">
        <f>IF(AND('Mapa final'!$K$148="Media",'Mapa final'!$O$148="Moderado"),CONCATENATE("R",'Mapa final'!$A$148),"")</f>
        <v/>
      </c>
      <c r="AK64" s="458"/>
      <c r="AL64" s="458" t="str">
        <f>IF(AND('Mapa final'!$K$151="Media",'Mapa final'!$O$151="Moderado"),CONCATENATE("R",'Mapa final'!$A$151),"")</f>
        <v/>
      </c>
      <c r="AM64" s="459"/>
      <c r="AN64" s="463" t="str">
        <f>IF(AND('Mapa final'!$K$139="Media",'Mapa final'!$O$139="Mayor"),CONCATENATE("R",'Mapa final'!$A$139),"")</f>
        <v/>
      </c>
      <c r="AO64" s="461"/>
      <c r="AP64" s="461" t="str">
        <f>IF(AND('Mapa final'!$K$142="Media",'Mapa final'!$O$142="Mayor"),CONCATENATE("R",'Mapa final'!$A$142),"")</f>
        <v/>
      </c>
      <c r="AQ64" s="461"/>
      <c r="AR64" s="461" t="str">
        <f>IF(AND('Mapa final'!$K$145="Media",'Mapa final'!$O$145="Mayor"),CONCATENATE("R",'Mapa final'!$A$145),"")</f>
        <v/>
      </c>
      <c r="AS64" s="461"/>
      <c r="AT64" s="461" t="str">
        <f>IF(AND('Mapa final'!$K$148="Media",'Mapa final'!$O$148="Mayor"),CONCATENATE("R",'Mapa final'!$A$148),"")</f>
        <v/>
      </c>
      <c r="AU64" s="461"/>
      <c r="AV64" s="461" t="str">
        <f>IF(AND('Mapa final'!$K$151="Media",'Mapa final'!$O$151="Mayor"),CONCATENATE("R",'Mapa final'!$A$151),"")</f>
        <v/>
      </c>
      <c r="AW64" s="462"/>
      <c r="AX64" s="457" t="str">
        <f>IF(AND('Mapa final'!$K$139="Media",'Mapa final'!$O$139="Catastrófico"),CONCATENATE("R",'Mapa final'!$A$139),"")</f>
        <v/>
      </c>
      <c r="AY64" s="455"/>
      <c r="AZ64" s="455" t="str">
        <f>IF(AND('Mapa final'!$K$142="Media",'Mapa final'!$O$142="Catastrófico"),CONCATENATE("R",'Mapa final'!$A$142),"")</f>
        <v/>
      </c>
      <c r="BA64" s="455"/>
      <c r="BB64" s="455" t="str">
        <f>IF(AND('Mapa final'!$K$145="Media",'Mapa final'!$O$145="Catastrófico"),CONCATENATE("R",'Mapa final'!$A$145),"")</f>
        <v/>
      </c>
      <c r="BC64" s="455"/>
      <c r="BD64" s="455" t="str">
        <f>IF(AND('Mapa final'!$K$148="Media",'Mapa final'!$O$148="Catastrófico"),CONCATENATE("R",'Mapa final'!$A$148),"")</f>
        <v/>
      </c>
      <c r="BE64" s="455"/>
      <c r="BF64" s="455" t="str">
        <f>IF(AND('Mapa final'!$K$151="Media",'Mapa final'!$O$151="Catastrófico"),CONCATENATE("R",'Mapa final'!$A$151),"")</f>
        <v/>
      </c>
      <c r="BG64" s="456"/>
      <c r="BH64" s="56"/>
      <c r="BI64" s="507"/>
      <c r="BJ64" s="508"/>
      <c r="BK64" s="508"/>
      <c r="BL64" s="508"/>
      <c r="BM64" s="508"/>
      <c r="BN64" s="509"/>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4">
      <c r="A65" s="56"/>
      <c r="B65" s="300"/>
      <c r="C65" s="300"/>
      <c r="D65" s="301"/>
      <c r="E65" s="527"/>
      <c r="F65" s="528"/>
      <c r="G65" s="528"/>
      <c r="H65" s="528"/>
      <c r="I65" s="528"/>
      <c r="J65" s="470"/>
      <c r="K65" s="471"/>
      <c r="L65" s="471"/>
      <c r="M65" s="471"/>
      <c r="N65" s="471"/>
      <c r="O65" s="471"/>
      <c r="P65" s="471"/>
      <c r="Q65" s="471"/>
      <c r="R65" s="471"/>
      <c r="S65" s="472"/>
      <c r="T65" s="470"/>
      <c r="U65" s="471"/>
      <c r="V65" s="471"/>
      <c r="W65" s="471"/>
      <c r="X65" s="471"/>
      <c r="Y65" s="471"/>
      <c r="Z65" s="471"/>
      <c r="AA65" s="471"/>
      <c r="AB65" s="471"/>
      <c r="AC65" s="472"/>
      <c r="AD65" s="470"/>
      <c r="AE65" s="471"/>
      <c r="AF65" s="471"/>
      <c r="AG65" s="471"/>
      <c r="AH65" s="471"/>
      <c r="AI65" s="471"/>
      <c r="AJ65" s="471"/>
      <c r="AK65" s="471"/>
      <c r="AL65" s="471"/>
      <c r="AM65" s="472"/>
      <c r="AN65" s="464"/>
      <c r="AO65" s="465"/>
      <c r="AP65" s="465"/>
      <c r="AQ65" s="465"/>
      <c r="AR65" s="465"/>
      <c r="AS65" s="465"/>
      <c r="AT65" s="465"/>
      <c r="AU65" s="465"/>
      <c r="AV65" s="465"/>
      <c r="AW65" s="466"/>
      <c r="AX65" s="477"/>
      <c r="AY65" s="476"/>
      <c r="AZ65" s="476"/>
      <c r="BA65" s="476"/>
      <c r="BB65" s="476"/>
      <c r="BC65" s="476"/>
      <c r="BD65" s="476"/>
      <c r="BE65" s="476"/>
      <c r="BF65" s="476"/>
      <c r="BG65" s="478"/>
      <c r="BH65" s="56"/>
      <c r="BI65" s="507"/>
      <c r="BJ65" s="508"/>
      <c r="BK65" s="508"/>
      <c r="BL65" s="508"/>
      <c r="BM65" s="508"/>
      <c r="BN65" s="509"/>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35">
      <c r="A66" s="56"/>
      <c r="B66" s="300"/>
      <c r="C66" s="300"/>
      <c r="D66" s="301"/>
      <c r="E66" s="522" t="s">
        <v>105</v>
      </c>
      <c r="F66" s="523"/>
      <c r="G66" s="523"/>
      <c r="H66" s="523"/>
      <c r="I66" s="523"/>
      <c r="J66" s="537" t="str">
        <f>IF(AND('Mapa final'!$K$7="Baja",'Mapa final'!$O$7="Leve"),CONCATENATE("R",'Mapa final'!$A$7),"")</f>
        <v/>
      </c>
      <c r="K66" s="483"/>
      <c r="L66" s="483" t="str">
        <f>IF(AND('Mapa final'!$K$10="Baja",'Mapa final'!$O$10="Leve"),CONCATENATE("R",'Mapa final'!$A$10),"")</f>
        <v/>
      </c>
      <c r="M66" s="483"/>
      <c r="N66" s="483" t="str">
        <f>IF(AND('Mapa final'!$K$13="Baja",'Mapa final'!$O$13="Leve"),CONCATENATE("R",'Mapa final'!$A$13),"")</f>
        <v/>
      </c>
      <c r="O66" s="483"/>
      <c r="P66" s="483" t="e">
        <f>IF(AND('Mapa final'!#REF!="Baja",'Mapa final'!#REF!="Leve"),CONCATENATE("R",'Mapa final'!#REF!),"")</f>
        <v>#REF!</v>
      </c>
      <c r="Q66" s="483"/>
      <c r="R66" s="483" t="str">
        <f>IF(AND('Mapa final'!$K$16="Baja",'Mapa final'!$O$16="Leve"),CONCATENATE("R",'Mapa final'!$A$16),"")</f>
        <v/>
      </c>
      <c r="S66" s="485"/>
      <c r="T66" s="467" t="str">
        <f>IF(AND('Mapa final'!$K$7="Baja",'Mapa final'!$O$7="Menor"),CONCATENATE("R",'Mapa final'!$A$7),"")</f>
        <v/>
      </c>
      <c r="U66" s="468"/>
      <c r="V66" s="468" t="str">
        <f>IF(AND('Mapa final'!$K$10="Baja",'Mapa final'!$O$10="Menor"),CONCATENATE("R",'Mapa final'!$A$10),"")</f>
        <v/>
      </c>
      <c r="W66" s="468"/>
      <c r="X66" s="468" t="str">
        <f>IF(AND('Mapa final'!$K$13="Baja",'Mapa final'!$O$13="Menor"),CONCATENATE("R",'Mapa final'!$A$13),"")</f>
        <v/>
      </c>
      <c r="Y66" s="468"/>
      <c r="Z66" s="468" t="e">
        <f>IF(AND('Mapa final'!#REF!="Baja",'Mapa final'!#REF!="Menor"),CONCATENATE("R",'Mapa final'!#REF!),"")</f>
        <v>#REF!</v>
      </c>
      <c r="AA66" s="468"/>
      <c r="AB66" s="468" t="str">
        <f>IF(AND('Mapa final'!$K$16="Baja",'Mapa final'!$O$16="Menor"),CONCATENATE("R",'Mapa final'!$A$16),"")</f>
        <v/>
      </c>
      <c r="AC66" s="469"/>
      <c r="AD66" s="467" t="str">
        <f>IF(AND('Mapa final'!$K$7="Baja",'Mapa final'!$O$7="Moderado"),CONCATENATE("R",'Mapa final'!$A$7),"")</f>
        <v>R1</v>
      </c>
      <c r="AE66" s="468"/>
      <c r="AF66" s="468" t="str">
        <f>IF(AND('Mapa final'!$K$10="Baja",'Mapa final'!$O$10="Moderado"),CONCATENATE("R",'Mapa final'!$A$10),"")</f>
        <v/>
      </c>
      <c r="AG66" s="468"/>
      <c r="AH66" s="468" t="str">
        <f>IF(AND('Mapa final'!$K$13="Baja",'Mapa final'!$O$13="Moderado"),CONCATENATE("R",'Mapa final'!$A$13),"")</f>
        <v/>
      </c>
      <c r="AI66" s="468"/>
      <c r="AJ66" s="468" t="e">
        <f>IF(AND('Mapa final'!#REF!="Baja",'Mapa final'!#REF!="Moderado"),CONCATENATE("R",'Mapa final'!#REF!),"")</f>
        <v>#REF!</v>
      </c>
      <c r="AK66" s="468"/>
      <c r="AL66" s="468" t="str">
        <f>IF(AND('Mapa final'!$K$16="Baja",'Mapa final'!$O$16="Moderado"),CONCATENATE("R",'Mapa final'!$A$16),"")</f>
        <v/>
      </c>
      <c r="AM66" s="469"/>
      <c r="AN66" s="473" t="str">
        <f>IF(AND('Mapa final'!$K$7="Baja",'Mapa final'!$O$7="Mayor"),CONCATENATE("R",'Mapa final'!$A$7),"")</f>
        <v/>
      </c>
      <c r="AO66" s="474"/>
      <c r="AP66" s="474" t="str">
        <f>IF(AND('Mapa final'!$K$10="Baja",'Mapa final'!$O$10="Mayor"),CONCATENATE("R",'Mapa final'!$A$10),"")</f>
        <v/>
      </c>
      <c r="AQ66" s="474"/>
      <c r="AR66" s="474" t="str">
        <f>IF(AND('Mapa final'!$K$13="Baja",'Mapa final'!$O$13="Mayor"),CONCATENATE("R",'Mapa final'!$A$13),"")</f>
        <v/>
      </c>
      <c r="AS66" s="474"/>
      <c r="AT66" s="474" t="e">
        <f>IF(AND('Mapa final'!#REF!="Baja",'Mapa final'!#REF!="Mayor"),CONCATENATE("R",'Mapa final'!#REF!),"")</f>
        <v>#REF!</v>
      </c>
      <c r="AU66" s="474"/>
      <c r="AV66" s="474" t="str">
        <f>IF(AND('Mapa final'!$K$16="Baja",'Mapa final'!$O$16="Mayor"),CONCATENATE("R",'Mapa final'!$A$16),"")</f>
        <v/>
      </c>
      <c r="AW66" s="475"/>
      <c r="AX66" s="480" t="str">
        <f>IF(AND('Mapa final'!$K$7="Baja",'Mapa final'!$O$7="Catastrófico"),CONCATENATE("R",'Mapa final'!$A$7),"")</f>
        <v/>
      </c>
      <c r="AY66" s="479"/>
      <c r="AZ66" s="479" t="str">
        <f>IF(AND('Mapa final'!$K$10="Baja",'Mapa final'!$O$10="Catastrófico"),CONCATENATE("R",'Mapa final'!$A$10),"")</f>
        <v/>
      </c>
      <c r="BA66" s="479"/>
      <c r="BB66" s="479" t="str">
        <f>IF(AND('Mapa final'!$K$13="Baja",'Mapa final'!$O$13="Catastrófico"),CONCATENATE("R",'Mapa final'!$A$13),"")</f>
        <v/>
      </c>
      <c r="BC66" s="479"/>
      <c r="BD66" s="479" t="e">
        <f>IF(AND('Mapa final'!#REF!="Baja",'Mapa final'!#REF!="Catastrófico"),CONCATENATE("R",'Mapa final'!#REF!),"")</f>
        <v>#REF!</v>
      </c>
      <c r="BE66" s="479"/>
      <c r="BF66" s="479" t="str">
        <f>IF(AND('Mapa final'!$K$16="Baja",'Mapa final'!$O$16="Catastrófico"),CONCATENATE("R",'Mapa final'!$A$16),"")</f>
        <v/>
      </c>
      <c r="BG66" s="536"/>
      <c r="BH66" s="56"/>
      <c r="BI66" s="507"/>
      <c r="BJ66" s="508"/>
      <c r="BK66" s="508"/>
      <c r="BL66" s="508"/>
      <c r="BM66" s="508"/>
      <c r="BN66" s="509"/>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35">
      <c r="A67" s="56"/>
      <c r="B67" s="300"/>
      <c r="C67" s="300"/>
      <c r="D67" s="301"/>
      <c r="E67" s="524"/>
      <c r="F67" s="525"/>
      <c r="G67" s="525"/>
      <c r="H67" s="525"/>
      <c r="I67" s="526"/>
      <c r="J67" s="452"/>
      <c r="K67" s="453"/>
      <c r="L67" s="453"/>
      <c r="M67" s="453"/>
      <c r="N67" s="453"/>
      <c r="O67" s="453"/>
      <c r="P67" s="453"/>
      <c r="Q67" s="453"/>
      <c r="R67" s="453"/>
      <c r="S67" s="454"/>
      <c r="T67" s="460"/>
      <c r="U67" s="458"/>
      <c r="V67" s="458"/>
      <c r="W67" s="458"/>
      <c r="X67" s="458"/>
      <c r="Y67" s="458"/>
      <c r="Z67" s="458"/>
      <c r="AA67" s="458"/>
      <c r="AB67" s="458"/>
      <c r="AC67" s="459"/>
      <c r="AD67" s="460"/>
      <c r="AE67" s="458"/>
      <c r="AF67" s="458"/>
      <c r="AG67" s="458"/>
      <c r="AH67" s="458"/>
      <c r="AI67" s="458"/>
      <c r="AJ67" s="458"/>
      <c r="AK67" s="458"/>
      <c r="AL67" s="458"/>
      <c r="AM67" s="459"/>
      <c r="AN67" s="463"/>
      <c r="AO67" s="461"/>
      <c r="AP67" s="461"/>
      <c r="AQ67" s="461"/>
      <c r="AR67" s="461"/>
      <c r="AS67" s="461"/>
      <c r="AT67" s="461"/>
      <c r="AU67" s="461"/>
      <c r="AV67" s="461"/>
      <c r="AW67" s="462"/>
      <c r="AX67" s="457"/>
      <c r="AY67" s="455"/>
      <c r="AZ67" s="455"/>
      <c r="BA67" s="455"/>
      <c r="BB67" s="455"/>
      <c r="BC67" s="455"/>
      <c r="BD67" s="455"/>
      <c r="BE67" s="455"/>
      <c r="BF67" s="455"/>
      <c r="BG67" s="456"/>
      <c r="BH67" s="56"/>
      <c r="BI67" s="507"/>
      <c r="BJ67" s="508"/>
      <c r="BK67" s="508"/>
      <c r="BL67" s="508"/>
      <c r="BM67" s="508"/>
      <c r="BN67" s="509"/>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35">
      <c r="A68" s="56"/>
      <c r="B68" s="300"/>
      <c r="C68" s="300"/>
      <c r="D68" s="301"/>
      <c r="E68" s="524"/>
      <c r="F68" s="525"/>
      <c r="G68" s="525"/>
      <c r="H68" s="525"/>
      <c r="I68" s="526"/>
      <c r="J68" s="452" t="str">
        <f>IF(AND('Mapa final'!$K$19="Baja",'Mapa final'!$O$19="Leve"),CONCATENATE("R",'Mapa final'!$A$19),"")</f>
        <v/>
      </c>
      <c r="K68" s="453"/>
      <c r="L68" s="453" t="str">
        <f>IF(AND('Mapa final'!$K$22="Baja",'Mapa final'!$O$22="Leve"),CONCATENATE("R",'Mapa final'!$A$22),"")</f>
        <v/>
      </c>
      <c r="M68" s="453"/>
      <c r="N68" s="453" t="str">
        <f>IF(AND('Mapa final'!$K$25="Baja",'Mapa final'!$O$25="Leve"),CONCATENATE("R",'Mapa final'!$A$25),"")</f>
        <v/>
      </c>
      <c r="O68" s="453"/>
      <c r="P68" s="453" t="str">
        <f>IF(AND('Mapa final'!$K$28="Baja",'Mapa final'!$O$28="Leve"),CONCATENATE("R",'Mapa final'!$A$28),"")</f>
        <v/>
      </c>
      <c r="Q68" s="453"/>
      <c r="R68" s="453" t="str">
        <f>IF(AND('Mapa final'!$K$31="Baja",'Mapa final'!$O$31="Leve"),CONCATENATE("R",'Mapa final'!$A$31),"")</f>
        <v/>
      </c>
      <c r="S68" s="454"/>
      <c r="T68" s="460" t="str">
        <f>IF(AND('Mapa final'!$K$19="Baja",'Mapa final'!$O$19="Menor"),CONCATENATE("R",'Mapa final'!$A$19),"")</f>
        <v/>
      </c>
      <c r="U68" s="458"/>
      <c r="V68" s="458" t="str">
        <f>IF(AND('Mapa final'!$K$22="Baja",'Mapa final'!$O$22="Menor"),CONCATENATE("R",'Mapa final'!$A$22),"")</f>
        <v/>
      </c>
      <c r="W68" s="458"/>
      <c r="X68" s="458" t="str">
        <f>IF(AND('Mapa final'!$K$25="Baja",'Mapa final'!$O$25="Menor"),CONCATENATE("R",'Mapa final'!$A$25),"")</f>
        <v/>
      </c>
      <c r="Y68" s="458"/>
      <c r="Z68" s="458" t="str">
        <f>IF(AND('Mapa final'!$K$28="Baja",'Mapa final'!$O$28="Menor"),CONCATENATE("R",'Mapa final'!$A$28),"")</f>
        <v/>
      </c>
      <c r="AA68" s="458"/>
      <c r="AB68" s="458" t="str">
        <f>IF(AND('Mapa final'!$K$31="Baja",'Mapa final'!$O$31="Menor"),CONCATENATE("R",'Mapa final'!$A$31),"")</f>
        <v/>
      </c>
      <c r="AC68" s="459"/>
      <c r="AD68" s="460" t="str">
        <f>IF(AND('Mapa final'!$K$19="Baja",'Mapa final'!$O$19="Moderado"),CONCATENATE("R",'Mapa final'!$A$19),"")</f>
        <v/>
      </c>
      <c r="AE68" s="458"/>
      <c r="AF68" s="458" t="str">
        <f>IF(AND('Mapa final'!$K$22="Baja",'Mapa final'!$O$22="Moderado"),CONCATENATE("R",'Mapa final'!$A$22),"")</f>
        <v/>
      </c>
      <c r="AG68" s="458"/>
      <c r="AH68" s="458" t="str">
        <f>IF(AND('Mapa final'!$K$25="Baja",'Mapa final'!$O$25="Moderado"),CONCATENATE("R",'Mapa final'!$A$25),"")</f>
        <v/>
      </c>
      <c r="AI68" s="458"/>
      <c r="AJ68" s="458" t="str">
        <f>IF(AND('Mapa final'!$K$28="Baja",'Mapa final'!$O$28="Moderado"),CONCATENATE("R",'Mapa final'!$A$28),"")</f>
        <v/>
      </c>
      <c r="AK68" s="458"/>
      <c r="AL68" s="458" t="str">
        <f>IF(AND('Mapa final'!$K$31="Baja",'Mapa final'!$O$31="Moderado"),CONCATENATE("R",'Mapa final'!$A$31),"")</f>
        <v/>
      </c>
      <c r="AM68" s="459"/>
      <c r="AN68" s="463" t="str">
        <f>IF(AND('Mapa final'!$K$19="Baja",'Mapa final'!$O$19="Mayor"),CONCATENATE("R",'Mapa final'!$A$19),"")</f>
        <v/>
      </c>
      <c r="AO68" s="461"/>
      <c r="AP68" s="461" t="str">
        <f>IF(AND('Mapa final'!$K$22="Baja",'Mapa final'!$O$22="Mayor"),CONCATENATE("R",'Mapa final'!$A$22),"")</f>
        <v/>
      </c>
      <c r="AQ68" s="461"/>
      <c r="AR68" s="461" t="str">
        <f>IF(AND('Mapa final'!$K$25="Baja",'Mapa final'!$O$25="Mayor"),CONCATENATE("R",'Mapa final'!$A$25),"")</f>
        <v/>
      </c>
      <c r="AS68" s="461"/>
      <c r="AT68" s="461" t="str">
        <f>IF(AND('Mapa final'!$K$28="Baja",'Mapa final'!$O$28="Mayor"),CONCATENATE("R",'Mapa final'!$A$28),"")</f>
        <v/>
      </c>
      <c r="AU68" s="461"/>
      <c r="AV68" s="461" t="str">
        <f>IF(AND('Mapa final'!$K$31="Baja",'Mapa final'!$O$31="Mayor"),CONCATENATE("R",'Mapa final'!$A$31),"")</f>
        <v/>
      </c>
      <c r="AW68" s="462"/>
      <c r="AX68" s="457" t="str">
        <f>IF(AND('Mapa final'!$K$19="Baja",'Mapa final'!$O$19="Catastrófico"),CONCATENATE("R",'Mapa final'!$A$19),"")</f>
        <v/>
      </c>
      <c r="AY68" s="455"/>
      <c r="AZ68" s="455" t="str">
        <f>IF(AND('Mapa final'!$K$22="Baja",'Mapa final'!$O$22="Catastrófico"),CONCATENATE("R",'Mapa final'!$A$22),"")</f>
        <v/>
      </c>
      <c r="BA68" s="455"/>
      <c r="BB68" s="455" t="str">
        <f>IF(AND('Mapa final'!$K$25="Baja",'Mapa final'!$O$25="Catastrófico"),CONCATENATE("R",'Mapa final'!$A$25),"")</f>
        <v/>
      </c>
      <c r="BC68" s="455"/>
      <c r="BD68" s="455" t="str">
        <f>IF(AND('Mapa final'!$K$28="Baja",'Mapa final'!$O$28="Catastrófico"),CONCATENATE("R",'Mapa final'!$A$28),"")</f>
        <v/>
      </c>
      <c r="BE68" s="455"/>
      <c r="BF68" s="455" t="str">
        <f>IF(AND('Mapa final'!$K$31="Baja",'Mapa final'!$O$31="Catastrófico"),CONCATENATE("R",'Mapa final'!$A$31),"")</f>
        <v/>
      </c>
      <c r="BG68" s="456"/>
      <c r="BH68" s="56"/>
      <c r="BI68" s="507"/>
      <c r="BJ68" s="508"/>
      <c r="BK68" s="508"/>
      <c r="BL68" s="508"/>
      <c r="BM68" s="508"/>
      <c r="BN68" s="509"/>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35">
      <c r="A69" s="56"/>
      <c r="B69" s="300"/>
      <c r="C69" s="300"/>
      <c r="D69" s="301"/>
      <c r="E69" s="524"/>
      <c r="F69" s="525"/>
      <c r="G69" s="525"/>
      <c r="H69" s="525"/>
      <c r="I69" s="526"/>
      <c r="J69" s="452"/>
      <c r="K69" s="453"/>
      <c r="L69" s="453"/>
      <c r="M69" s="453"/>
      <c r="N69" s="453"/>
      <c r="O69" s="453"/>
      <c r="P69" s="453"/>
      <c r="Q69" s="453"/>
      <c r="R69" s="453"/>
      <c r="S69" s="454"/>
      <c r="T69" s="460"/>
      <c r="U69" s="458"/>
      <c r="V69" s="458"/>
      <c r="W69" s="458"/>
      <c r="X69" s="458"/>
      <c r="Y69" s="458"/>
      <c r="Z69" s="458"/>
      <c r="AA69" s="458"/>
      <c r="AB69" s="458"/>
      <c r="AC69" s="459"/>
      <c r="AD69" s="460"/>
      <c r="AE69" s="458"/>
      <c r="AF69" s="458"/>
      <c r="AG69" s="458"/>
      <c r="AH69" s="458"/>
      <c r="AI69" s="458"/>
      <c r="AJ69" s="458"/>
      <c r="AK69" s="458"/>
      <c r="AL69" s="458"/>
      <c r="AM69" s="459"/>
      <c r="AN69" s="463"/>
      <c r="AO69" s="461"/>
      <c r="AP69" s="461"/>
      <c r="AQ69" s="461"/>
      <c r="AR69" s="461"/>
      <c r="AS69" s="461"/>
      <c r="AT69" s="461"/>
      <c r="AU69" s="461"/>
      <c r="AV69" s="461"/>
      <c r="AW69" s="462"/>
      <c r="AX69" s="457"/>
      <c r="AY69" s="455"/>
      <c r="AZ69" s="455"/>
      <c r="BA69" s="455"/>
      <c r="BB69" s="455"/>
      <c r="BC69" s="455"/>
      <c r="BD69" s="455"/>
      <c r="BE69" s="455"/>
      <c r="BF69" s="455"/>
      <c r="BG69" s="456"/>
      <c r="BH69" s="56"/>
      <c r="BI69" s="507"/>
      <c r="BJ69" s="508"/>
      <c r="BK69" s="508"/>
      <c r="BL69" s="508"/>
      <c r="BM69" s="508"/>
      <c r="BN69" s="509"/>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35">
      <c r="A70" s="56"/>
      <c r="B70" s="300"/>
      <c r="C70" s="300"/>
      <c r="D70" s="301"/>
      <c r="E70" s="524"/>
      <c r="F70" s="525"/>
      <c r="G70" s="525"/>
      <c r="H70" s="525"/>
      <c r="I70" s="526"/>
      <c r="J70" s="452" t="str">
        <f>IF(AND('Mapa final'!$K$34="Baja",'Mapa final'!$O$34="Leve"),CONCATENATE("R",'Mapa final'!$A$34),"")</f>
        <v/>
      </c>
      <c r="K70" s="453"/>
      <c r="L70" s="453" t="str">
        <f>IF(AND('Mapa final'!$K$37="Baja",'Mapa final'!$O$37="Leve"),CONCATENATE("R",'Mapa final'!$A$37),"")</f>
        <v/>
      </c>
      <c r="M70" s="453"/>
      <c r="N70" s="453" t="str">
        <f>IF(AND('Mapa final'!$K$40="Baja",'Mapa final'!$O$40="Leve"),CONCATENATE("R",'Mapa final'!$A$40),"")</f>
        <v/>
      </c>
      <c r="O70" s="453"/>
      <c r="P70" s="453" t="str">
        <f>IF(AND('Mapa final'!$K$43="Baja",'Mapa final'!$O$43="Leve"),CONCATENATE("R",'Mapa final'!$A$43),"")</f>
        <v/>
      </c>
      <c r="Q70" s="453"/>
      <c r="R70" s="453" t="str">
        <f>IF(AND('Mapa final'!$K$46="Baja",'Mapa final'!$O$46="Leve"),CONCATENATE("R",'Mapa final'!$A$46),"")</f>
        <v/>
      </c>
      <c r="S70" s="454"/>
      <c r="T70" s="460" t="str">
        <f>IF(AND('Mapa final'!$K$34="Baja",'Mapa final'!$O$34="Menor"),CONCATENATE("R",'Mapa final'!$A$34),"")</f>
        <v/>
      </c>
      <c r="U70" s="458"/>
      <c r="V70" s="458" t="str">
        <f>IF(AND('Mapa final'!$K$37="Baja",'Mapa final'!$O$37="Menor"),CONCATENATE("R",'Mapa final'!$A$37),"")</f>
        <v/>
      </c>
      <c r="W70" s="458"/>
      <c r="X70" s="458" t="str">
        <f>IF(AND('Mapa final'!$K$40="Baja",'Mapa final'!$O$40="Menor"),CONCATENATE("R",'Mapa final'!$A$40),"")</f>
        <v/>
      </c>
      <c r="Y70" s="458"/>
      <c r="Z70" s="458" t="str">
        <f>IF(AND('Mapa final'!$K$43="Baja",'Mapa final'!$O$43="Menor"),CONCATENATE("R",'Mapa final'!$A$43),"")</f>
        <v/>
      </c>
      <c r="AA70" s="458"/>
      <c r="AB70" s="458" t="str">
        <f>IF(AND('Mapa final'!$K$46="Baja",'Mapa final'!$O$46="Menor"),CONCATENATE("R",'Mapa final'!$A$46),"")</f>
        <v/>
      </c>
      <c r="AC70" s="459"/>
      <c r="AD70" s="460" t="str">
        <f>IF(AND('Mapa final'!$K$34="Baja",'Mapa final'!$O$34="Moderado"),CONCATENATE("R",'Mapa final'!$A$34),"")</f>
        <v/>
      </c>
      <c r="AE70" s="458"/>
      <c r="AF70" s="458" t="str">
        <f>IF(AND('Mapa final'!$K$37="Baja",'Mapa final'!$O$37="Moderado"),CONCATENATE("R",'Mapa final'!$A$37),"")</f>
        <v>R11</v>
      </c>
      <c r="AG70" s="458"/>
      <c r="AH70" s="458" t="str">
        <f>IF(AND('Mapa final'!$K$40="Baja",'Mapa final'!$O$40="Moderado"),CONCATENATE("R",'Mapa final'!$A$40),"")</f>
        <v/>
      </c>
      <c r="AI70" s="458"/>
      <c r="AJ70" s="458" t="str">
        <f>IF(AND('Mapa final'!$K$43="Baja",'Mapa final'!$O$43="Moderado"),CONCATENATE("R",'Mapa final'!$A$43),"")</f>
        <v>R13</v>
      </c>
      <c r="AK70" s="458"/>
      <c r="AL70" s="458" t="str">
        <f>IF(AND('Mapa final'!$K$46="Baja",'Mapa final'!$O$46="Moderado"),CONCATENATE("R",'Mapa final'!$A$46),"")</f>
        <v/>
      </c>
      <c r="AM70" s="459"/>
      <c r="AN70" s="463" t="str">
        <f>IF(AND('Mapa final'!$K$34="Baja",'Mapa final'!$O$34="Mayor"),CONCATENATE("R",'Mapa final'!$A$34),"")</f>
        <v>R10</v>
      </c>
      <c r="AO70" s="461"/>
      <c r="AP70" s="461" t="str">
        <f>IF(AND('Mapa final'!$K$37="Baja",'Mapa final'!$O$37="Mayor"),CONCATENATE("R",'Mapa final'!$A$37),"")</f>
        <v/>
      </c>
      <c r="AQ70" s="461"/>
      <c r="AR70" s="461" t="str">
        <f>IF(AND('Mapa final'!$K$40="Baja",'Mapa final'!$O$40="Mayor"),CONCATENATE("R",'Mapa final'!$A$40),"")</f>
        <v/>
      </c>
      <c r="AS70" s="461"/>
      <c r="AT70" s="461" t="str">
        <f>IF(AND('Mapa final'!$K$43="Baja",'Mapa final'!$O$43="Mayor"),CONCATENATE("R",'Mapa final'!$A$43),"")</f>
        <v/>
      </c>
      <c r="AU70" s="461"/>
      <c r="AV70" s="461" t="str">
        <f>IF(AND('Mapa final'!$K$46="Baja",'Mapa final'!$O$46="Mayor"),CONCATENATE("R",'Mapa final'!$A$46),"")</f>
        <v/>
      </c>
      <c r="AW70" s="462"/>
      <c r="AX70" s="457" t="str">
        <f>IF(AND('Mapa final'!$K$34="Baja",'Mapa final'!$O$34="Catastrófico"),CONCATENATE("R",'Mapa final'!$A$34),"")</f>
        <v/>
      </c>
      <c r="AY70" s="455"/>
      <c r="AZ70" s="455" t="str">
        <f>IF(AND('Mapa final'!$K$37="Baja",'Mapa final'!$O$37="Catastrófico"),CONCATENATE("R",'Mapa final'!$A$37),"")</f>
        <v/>
      </c>
      <c r="BA70" s="455"/>
      <c r="BB70" s="455" t="str">
        <f>IF(AND('Mapa final'!$K$40="Baja",'Mapa final'!$O$40="Catastrófico"),CONCATENATE("R",'Mapa final'!$A$40),"")</f>
        <v/>
      </c>
      <c r="BC70" s="455"/>
      <c r="BD70" s="455" t="str">
        <f>IF(AND('Mapa final'!$K$43="Baja",'Mapa final'!$O$43="Catastrófico"),CONCATENATE("R",'Mapa final'!$A$43),"")</f>
        <v/>
      </c>
      <c r="BE70" s="455"/>
      <c r="BF70" s="455" t="str">
        <f>IF(AND('Mapa final'!$K$46="Baja",'Mapa final'!$O$46="Catastrófico"),CONCATENATE("R",'Mapa final'!$A$46),"")</f>
        <v/>
      </c>
      <c r="BG70" s="456"/>
      <c r="BH70" s="56"/>
      <c r="BI70" s="507"/>
      <c r="BJ70" s="508"/>
      <c r="BK70" s="508"/>
      <c r="BL70" s="508"/>
      <c r="BM70" s="508"/>
      <c r="BN70" s="509"/>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35">
      <c r="A71" s="56"/>
      <c r="B71" s="300"/>
      <c r="C71" s="300"/>
      <c r="D71" s="301"/>
      <c r="E71" s="524"/>
      <c r="F71" s="525"/>
      <c r="G71" s="525"/>
      <c r="H71" s="525"/>
      <c r="I71" s="526"/>
      <c r="J71" s="452"/>
      <c r="K71" s="453"/>
      <c r="L71" s="453"/>
      <c r="M71" s="453"/>
      <c r="N71" s="453"/>
      <c r="O71" s="453"/>
      <c r="P71" s="453"/>
      <c r="Q71" s="453"/>
      <c r="R71" s="453"/>
      <c r="S71" s="454"/>
      <c r="T71" s="460"/>
      <c r="U71" s="458"/>
      <c r="V71" s="458"/>
      <c r="W71" s="458"/>
      <c r="X71" s="458"/>
      <c r="Y71" s="458"/>
      <c r="Z71" s="458"/>
      <c r="AA71" s="458"/>
      <c r="AB71" s="458"/>
      <c r="AC71" s="459"/>
      <c r="AD71" s="460"/>
      <c r="AE71" s="458"/>
      <c r="AF71" s="458"/>
      <c r="AG71" s="458"/>
      <c r="AH71" s="458"/>
      <c r="AI71" s="458"/>
      <c r="AJ71" s="458"/>
      <c r="AK71" s="458"/>
      <c r="AL71" s="458"/>
      <c r="AM71" s="459"/>
      <c r="AN71" s="463"/>
      <c r="AO71" s="461"/>
      <c r="AP71" s="461"/>
      <c r="AQ71" s="461"/>
      <c r="AR71" s="461"/>
      <c r="AS71" s="461"/>
      <c r="AT71" s="461"/>
      <c r="AU71" s="461"/>
      <c r="AV71" s="461"/>
      <c r="AW71" s="462"/>
      <c r="AX71" s="457"/>
      <c r="AY71" s="455"/>
      <c r="AZ71" s="455"/>
      <c r="BA71" s="455"/>
      <c r="BB71" s="455"/>
      <c r="BC71" s="455"/>
      <c r="BD71" s="455"/>
      <c r="BE71" s="455"/>
      <c r="BF71" s="455"/>
      <c r="BG71" s="456"/>
      <c r="BH71" s="56"/>
      <c r="BI71" s="507"/>
      <c r="BJ71" s="508"/>
      <c r="BK71" s="508"/>
      <c r="BL71" s="508"/>
      <c r="BM71" s="508"/>
      <c r="BN71" s="509"/>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35">
      <c r="A72" s="56"/>
      <c r="B72" s="300"/>
      <c r="C72" s="300"/>
      <c r="D72" s="301"/>
      <c r="E72" s="524"/>
      <c r="F72" s="525"/>
      <c r="G72" s="525"/>
      <c r="H72" s="525"/>
      <c r="I72" s="526"/>
      <c r="J72" s="452" t="str">
        <f>IF(AND('Mapa final'!$K$49="Baja",'Mapa final'!$O$49="Leve"),CONCATENATE("R",'Mapa final'!$A$49),"")</f>
        <v/>
      </c>
      <c r="K72" s="453"/>
      <c r="L72" s="453" t="str">
        <f>IF(AND('Mapa final'!$K$52="Baja",'Mapa final'!$O$52="Leve"),CONCATENATE("R",'Mapa final'!$A$52),"")</f>
        <v/>
      </c>
      <c r="M72" s="453"/>
      <c r="N72" s="453" t="str">
        <f>IF(AND('Mapa final'!$K$55="Baja",'Mapa final'!$O$55="Leve"),CONCATENATE("R",'Mapa final'!$A$55),"")</f>
        <v/>
      </c>
      <c r="O72" s="453"/>
      <c r="P72" s="453" t="str">
        <f>IF(AND('Mapa final'!$K$58="Baja",'Mapa final'!$O$58="Leve"),CONCATENATE("R",'Mapa final'!$A$58),"")</f>
        <v/>
      </c>
      <c r="Q72" s="453"/>
      <c r="R72" s="453" t="str">
        <f>IF(AND('Mapa final'!$K$61="Baja",'Mapa final'!$O$61="Leve"),CONCATENATE("R",'Mapa final'!$A$61),"")</f>
        <v/>
      </c>
      <c r="S72" s="454"/>
      <c r="T72" s="460" t="str">
        <f>IF(AND('Mapa final'!$K$49="Baja",'Mapa final'!$O$49="Menor"),CONCATENATE("R",'Mapa final'!$A$49),"")</f>
        <v/>
      </c>
      <c r="U72" s="458"/>
      <c r="V72" s="458" t="str">
        <f>IF(AND('Mapa final'!$K$52="Baja",'Mapa final'!$O$52="Menor"),CONCATENATE("R",'Mapa final'!$A$52),"")</f>
        <v/>
      </c>
      <c r="W72" s="458"/>
      <c r="X72" s="458" t="str">
        <f>IF(AND('Mapa final'!$K$55="Baja",'Mapa final'!$O$55="Menor"),CONCATENATE("R",'Mapa final'!$A$55),"")</f>
        <v/>
      </c>
      <c r="Y72" s="458"/>
      <c r="Z72" s="458" t="str">
        <f>IF(AND('Mapa final'!$K$58="Baja",'Mapa final'!$O$58="Menor"),CONCATENATE("R",'Mapa final'!$A$58),"")</f>
        <v/>
      </c>
      <c r="AA72" s="458"/>
      <c r="AB72" s="458" t="str">
        <f>IF(AND('Mapa final'!$K$61="Baja",'Mapa final'!$O$61="Menor"),CONCATENATE("R",'Mapa final'!$A$61),"")</f>
        <v/>
      </c>
      <c r="AC72" s="459"/>
      <c r="AD72" s="460" t="str">
        <f>IF(AND('Mapa final'!$K$49="Baja",'Mapa final'!$O$49="Moderado"),CONCATENATE("R",'Mapa final'!$A$49),"")</f>
        <v/>
      </c>
      <c r="AE72" s="458"/>
      <c r="AF72" s="458" t="str">
        <f>IF(AND('Mapa final'!$K$52="Baja",'Mapa final'!$O$52="Moderado"),CONCATENATE("R",'Mapa final'!$A$52),"")</f>
        <v/>
      </c>
      <c r="AG72" s="458"/>
      <c r="AH72" s="458" t="str">
        <f>IF(AND('Mapa final'!$K$55="Baja",'Mapa final'!$O$55="Moderado"),CONCATENATE("R",'Mapa final'!$A$55),"")</f>
        <v/>
      </c>
      <c r="AI72" s="458"/>
      <c r="AJ72" s="458" t="str">
        <f>IF(AND('Mapa final'!$K$58="Baja",'Mapa final'!$O$58="Moderado"),CONCATENATE("R",'Mapa final'!$A$58),"")</f>
        <v/>
      </c>
      <c r="AK72" s="458"/>
      <c r="AL72" s="458" t="str">
        <f>IF(AND('Mapa final'!$K$61="Baja",'Mapa final'!$O$61="Moderado"),CONCATENATE("R",'Mapa final'!$A$61),"")</f>
        <v/>
      </c>
      <c r="AM72" s="459"/>
      <c r="AN72" s="463" t="str">
        <f>IF(AND('Mapa final'!$K$49="Baja",'Mapa final'!$O$49="Mayor"),CONCATENATE("R",'Mapa final'!$A$49),"")</f>
        <v/>
      </c>
      <c r="AO72" s="461"/>
      <c r="AP72" s="461" t="str">
        <f>IF(AND('Mapa final'!$K$52="Baja",'Mapa final'!$O$52="Mayor"),CONCATENATE("R",'Mapa final'!$A$52),"")</f>
        <v/>
      </c>
      <c r="AQ72" s="461"/>
      <c r="AR72" s="461" t="str">
        <f>IF(AND('Mapa final'!$K$55="Baja",'Mapa final'!$O$55="Mayor"),CONCATENATE("R",'Mapa final'!$A$55),"")</f>
        <v/>
      </c>
      <c r="AS72" s="461"/>
      <c r="AT72" s="461" t="str">
        <f>IF(AND('Mapa final'!$K$58="Baja",'Mapa final'!$O$58="Mayor"),CONCATENATE("R",'Mapa final'!$A$58),"")</f>
        <v/>
      </c>
      <c r="AU72" s="461"/>
      <c r="AV72" s="461" t="str">
        <f>IF(AND('Mapa final'!$K$61="Baja",'Mapa final'!$O$61="Mayor"),CONCATENATE("R",'Mapa final'!$A$61),"")</f>
        <v/>
      </c>
      <c r="AW72" s="462"/>
      <c r="AX72" s="457" t="str">
        <f>IF(AND('Mapa final'!$K$49="Baja",'Mapa final'!$O$49="Catastrófico"),CONCATENATE("R",'Mapa final'!$A$49),"")</f>
        <v/>
      </c>
      <c r="AY72" s="455"/>
      <c r="AZ72" s="455" t="str">
        <f>IF(AND('Mapa final'!$K$52="Baja",'Mapa final'!$O$52="Catastrófico"),CONCATENATE("R",'Mapa final'!$A$52),"")</f>
        <v/>
      </c>
      <c r="BA72" s="455"/>
      <c r="BB72" s="455" t="str">
        <f>IF(AND('Mapa final'!$K$55="Baja",'Mapa final'!$O$55="Catastrófico"),CONCATENATE("R",'Mapa final'!$A$55),"")</f>
        <v/>
      </c>
      <c r="BC72" s="455"/>
      <c r="BD72" s="455" t="str">
        <f>IF(AND('Mapa final'!$K$58="Baja",'Mapa final'!$O$58="Catastrófico"),CONCATENATE("R",'Mapa final'!$A$58),"")</f>
        <v/>
      </c>
      <c r="BE72" s="455"/>
      <c r="BF72" s="455" t="str">
        <f>IF(AND('Mapa final'!$K$61="Baja",'Mapa final'!$O$61="Catastrófico"),CONCATENATE("R",'Mapa final'!$A$61),"")</f>
        <v/>
      </c>
      <c r="BG72" s="456"/>
      <c r="BH72" s="56"/>
      <c r="BI72" s="507"/>
      <c r="BJ72" s="508"/>
      <c r="BK72" s="508"/>
      <c r="BL72" s="508"/>
      <c r="BM72" s="508"/>
      <c r="BN72" s="509"/>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4">
      <c r="A73" s="56"/>
      <c r="B73" s="300"/>
      <c r="C73" s="300"/>
      <c r="D73" s="301"/>
      <c r="E73" s="524"/>
      <c r="F73" s="525"/>
      <c r="G73" s="525"/>
      <c r="H73" s="525"/>
      <c r="I73" s="526"/>
      <c r="J73" s="452"/>
      <c r="K73" s="453"/>
      <c r="L73" s="453"/>
      <c r="M73" s="453"/>
      <c r="N73" s="453"/>
      <c r="O73" s="453"/>
      <c r="P73" s="453"/>
      <c r="Q73" s="453"/>
      <c r="R73" s="453"/>
      <c r="S73" s="454"/>
      <c r="T73" s="460"/>
      <c r="U73" s="458"/>
      <c r="V73" s="458"/>
      <c r="W73" s="458"/>
      <c r="X73" s="458"/>
      <c r="Y73" s="458"/>
      <c r="Z73" s="458"/>
      <c r="AA73" s="458"/>
      <c r="AB73" s="458"/>
      <c r="AC73" s="459"/>
      <c r="AD73" s="460"/>
      <c r="AE73" s="458"/>
      <c r="AF73" s="458"/>
      <c r="AG73" s="458"/>
      <c r="AH73" s="458"/>
      <c r="AI73" s="458"/>
      <c r="AJ73" s="458"/>
      <c r="AK73" s="458"/>
      <c r="AL73" s="458"/>
      <c r="AM73" s="459"/>
      <c r="AN73" s="463"/>
      <c r="AO73" s="461"/>
      <c r="AP73" s="461"/>
      <c r="AQ73" s="461"/>
      <c r="AR73" s="461"/>
      <c r="AS73" s="461"/>
      <c r="AT73" s="461"/>
      <c r="AU73" s="461"/>
      <c r="AV73" s="461"/>
      <c r="AW73" s="462"/>
      <c r="AX73" s="457"/>
      <c r="AY73" s="455"/>
      <c r="AZ73" s="455"/>
      <c r="BA73" s="455"/>
      <c r="BB73" s="455"/>
      <c r="BC73" s="455"/>
      <c r="BD73" s="455"/>
      <c r="BE73" s="455"/>
      <c r="BF73" s="455"/>
      <c r="BG73" s="456"/>
      <c r="BH73" s="56"/>
      <c r="BI73" s="510"/>
      <c r="BJ73" s="511"/>
      <c r="BK73" s="511"/>
      <c r="BL73" s="511"/>
      <c r="BM73" s="511"/>
      <c r="BN73" s="512"/>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35">
      <c r="A74" s="56"/>
      <c r="B74" s="300"/>
      <c r="C74" s="300"/>
      <c r="D74" s="301"/>
      <c r="E74" s="524"/>
      <c r="F74" s="525"/>
      <c r="G74" s="525"/>
      <c r="H74" s="525"/>
      <c r="I74" s="526"/>
      <c r="J74" s="452" t="str">
        <f>IF(AND('Mapa final'!$K$64="Baja",'Mapa final'!$O$64="Leve"),CONCATENATE("R",'Mapa final'!$A$64),"")</f>
        <v>R20</v>
      </c>
      <c r="K74" s="453"/>
      <c r="L74" s="453" t="str">
        <f>IF(AND('Mapa final'!$K$67="Baja",'Mapa final'!$O$67="Leve"),CONCATENATE("R",'Mapa final'!$A$67),"")</f>
        <v/>
      </c>
      <c r="M74" s="453"/>
      <c r="N74" s="453" t="str">
        <f>IF(AND('Mapa final'!$K$73="Baja",'Mapa final'!$O$73="Leve"),CONCATENATE("R",'Mapa final'!$A$73),"")</f>
        <v/>
      </c>
      <c r="O74" s="453"/>
      <c r="P74" s="453" t="str">
        <f>IF(AND('Mapa final'!$K$76="Baja",'Mapa final'!$O$76="Leve"),CONCATENATE("R",'Mapa final'!$A$76),"")</f>
        <v/>
      </c>
      <c r="Q74" s="453"/>
      <c r="R74" s="453" t="str">
        <f>IF(AND('Mapa final'!$K$79="Baja",'Mapa final'!$O$79="Leve"),CONCATENATE("R",'Mapa final'!$A$79),"")</f>
        <v/>
      </c>
      <c r="S74" s="454"/>
      <c r="T74" s="460" t="str">
        <f>IF(AND('Mapa final'!$K$64="Baja",'Mapa final'!$O$64="Menor"),CONCATENATE("R",'Mapa final'!$A$64),"")</f>
        <v/>
      </c>
      <c r="U74" s="458"/>
      <c r="V74" s="458" t="str">
        <f>IF(AND('Mapa final'!$K$67="Baja",'Mapa final'!$O$67="Menor"),CONCATENATE("R",'Mapa final'!$A$67),"")</f>
        <v>R21</v>
      </c>
      <c r="W74" s="458"/>
      <c r="X74" s="458" t="str">
        <f>IF(AND('Mapa final'!$K$73="Baja",'Mapa final'!$O$73="Menor"),CONCATENATE("R",'Mapa final'!$A$73),"")</f>
        <v/>
      </c>
      <c r="Y74" s="458"/>
      <c r="Z74" s="458" t="str">
        <f>IF(AND('Mapa final'!$K$76="Baja",'Mapa final'!$O$76="Menor"),CONCATENATE("R",'Mapa final'!$A$76),"")</f>
        <v/>
      </c>
      <c r="AA74" s="458"/>
      <c r="AB74" s="458" t="str">
        <f>IF(AND('Mapa final'!$K$79="Baja",'Mapa final'!$O$79="Menor"),CONCATENATE("R",'Mapa final'!$A$79),"")</f>
        <v/>
      </c>
      <c r="AC74" s="459"/>
      <c r="AD74" s="460" t="str">
        <f>IF(AND('Mapa final'!$K$64="Baja",'Mapa final'!$O$64="Moderado"),CONCATENATE("R",'Mapa final'!$A$64),"")</f>
        <v/>
      </c>
      <c r="AE74" s="458"/>
      <c r="AF74" s="458" t="str">
        <f>IF(AND('Mapa final'!$K$67="Baja",'Mapa final'!$O$67="Moderado"),CONCATENATE("R",'Mapa final'!$A$67),"")</f>
        <v/>
      </c>
      <c r="AG74" s="458"/>
      <c r="AH74" s="458" t="str">
        <f>IF(AND('Mapa final'!$K$73="Baja",'Mapa final'!$O$73="Moderado"),CONCATENATE("R",'Mapa final'!$A$73),"")</f>
        <v/>
      </c>
      <c r="AI74" s="458"/>
      <c r="AJ74" s="458" t="str">
        <f>IF(AND('Mapa final'!$K$76="Baja",'Mapa final'!$O$76="Moderado"),CONCATENATE("R",'Mapa final'!$A$76),"")</f>
        <v>R24</v>
      </c>
      <c r="AK74" s="458"/>
      <c r="AL74" s="458" t="str">
        <f>IF(AND('Mapa final'!$K$79="Baja",'Mapa final'!$O$79="Moderado"),CONCATENATE("R",'Mapa final'!$A$79),"")</f>
        <v>R25</v>
      </c>
      <c r="AM74" s="459"/>
      <c r="AN74" s="463" t="str">
        <f>IF(AND('Mapa final'!$K$64="Baja",'Mapa final'!$O$64="Mayor"),CONCATENATE("R",'Mapa final'!$A$64),"")</f>
        <v/>
      </c>
      <c r="AO74" s="461"/>
      <c r="AP74" s="461" t="str">
        <f>IF(AND('Mapa final'!$K$67="Baja",'Mapa final'!$O$67="Mayor"),CONCATENATE("R",'Mapa final'!$A$67),"")</f>
        <v/>
      </c>
      <c r="AQ74" s="461"/>
      <c r="AR74" s="461" t="str">
        <f>IF(AND('Mapa final'!$K$73="Baja",'Mapa final'!$O$73="Mayor"),CONCATENATE("R",'Mapa final'!$A$73),"")</f>
        <v/>
      </c>
      <c r="AS74" s="461"/>
      <c r="AT74" s="461" t="str">
        <f>IF(AND('Mapa final'!$K$76="Baja",'Mapa final'!$O$76="Mayor"),CONCATENATE("R",'Mapa final'!$A$76),"")</f>
        <v/>
      </c>
      <c r="AU74" s="461"/>
      <c r="AV74" s="461" t="str">
        <f>IF(AND('Mapa final'!$K$79="Baja",'Mapa final'!$O$79="Mayor"),CONCATENATE("R",'Mapa final'!$A$79),"")</f>
        <v/>
      </c>
      <c r="AW74" s="462"/>
      <c r="AX74" s="457" t="str">
        <f>IF(AND('Mapa final'!$K$64="Baja",'Mapa final'!$O$64="Catastrófico"),CONCATENATE("R",'Mapa final'!$A$64),"")</f>
        <v/>
      </c>
      <c r="AY74" s="455"/>
      <c r="AZ74" s="455" t="str">
        <f>IF(AND('Mapa final'!$K$67="Baja",'Mapa final'!$O$67="Catastrófico"),CONCATENATE("R",'Mapa final'!$A$67),"")</f>
        <v/>
      </c>
      <c r="BA74" s="455"/>
      <c r="BB74" s="455" t="str">
        <f>IF(AND('Mapa final'!$K$73="Baja",'Mapa final'!$O$73="Catastrófico"),CONCATENATE("R",'Mapa final'!$A$73),"")</f>
        <v/>
      </c>
      <c r="BC74" s="455"/>
      <c r="BD74" s="455" t="str">
        <f>IF(AND('Mapa final'!$K$76="Baja",'Mapa final'!$O$76="Catastrófico"),CONCATENATE("R",'Mapa final'!$A$76),"")</f>
        <v/>
      </c>
      <c r="BE74" s="455"/>
      <c r="BF74" s="455" t="str">
        <f>IF(AND('Mapa final'!$K$79="Baja",'Mapa final'!$O$79="Catastrófico"),CONCATENATE("R",'Mapa final'!$A$79),"")</f>
        <v/>
      </c>
      <c r="BG74" s="456"/>
      <c r="BH74" s="56"/>
      <c r="BI74" s="513" t="s">
        <v>76</v>
      </c>
      <c r="BJ74" s="514"/>
      <c r="BK74" s="514"/>
      <c r="BL74" s="514"/>
      <c r="BM74" s="514"/>
      <c r="BN74" s="515"/>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35">
      <c r="A75" s="56"/>
      <c r="B75" s="300"/>
      <c r="C75" s="300"/>
      <c r="D75" s="301"/>
      <c r="E75" s="524"/>
      <c r="F75" s="525"/>
      <c r="G75" s="525"/>
      <c r="H75" s="525"/>
      <c r="I75" s="526"/>
      <c r="J75" s="452"/>
      <c r="K75" s="453"/>
      <c r="L75" s="453"/>
      <c r="M75" s="453"/>
      <c r="N75" s="453"/>
      <c r="O75" s="453"/>
      <c r="P75" s="453"/>
      <c r="Q75" s="453"/>
      <c r="R75" s="453"/>
      <c r="S75" s="454"/>
      <c r="T75" s="460"/>
      <c r="U75" s="458"/>
      <c r="V75" s="458"/>
      <c r="W75" s="458"/>
      <c r="X75" s="458"/>
      <c r="Y75" s="458"/>
      <c r="Z75" s="458"/>
      <c r="AA75" s="458"/>
      <c r="AB75" s="458"/>
      <c r="AC75" s="459"/>
      <c r="AD75" s="460"/>
      <c r="AE75" s="458"/>
      <c r="AF75" s="458"/>
      <c r="AG75" s="458"/>
      <c r="AH75" s="458"/>
      <c r="AI75" s="458"/>
      <c r="AJ75" s="458"/>
      <c r="AK75" s="458"/>
      <c r="AL75" s="458"/>
      <c r="AM75" s="459"/>
      <c r="AN75" s="463"/>
      <c r="AO75" s="461"/>
      <c r="AP75" s="461"/>
      <c r="AQ75" s="461"/>
      <c r="AR75" s="461"/>
      <c r="AS75" s="461"/>
      <c r="AT75" s="461"/>
      <c r="AU75" s="461"/>
      <c r="AV75" s="461"/>
      <c r="AW75" s="462"/>
      <c r="AX75" s="457"/>
      <c r="AY75" s="455"/>
      <c r="AZ75" s="455"/>
      <c r="BA75" s="455"/>
      <c r="BB75" s="455"/>
      <c r="BC75" s="455"/>
      <c r="BD75" s="455"/>
      <c r="BE75" s="455"/>
      <c r="BF75" s="455"/>
      <c r="BG75" s="456"/>
      <c r="BH75" s="56"/>
      <c r="BI75" s="516"/>
      <c r="BJ75" s="517"/>
      <c r="BK75" s="517"/>
      <c r="BL75" s="517"/>
      <c r="BM75" s="517"/>
      <c r="BN75" s="518"/>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35">
      <c r="A76" s="56"/>
      <c r="B76" s="300"/>
      <c r="C76" s="300"/>
      <c r="D76" s="301"/>
      <c r="E76" s="524"/>
      <c r="F76" s="525"/>
      <c r="G76" s="525"/>
      <c r="H76" s="525"/>
      <c r="I76" s="526"/>
      <c r="J76" s="452" t="str">
        <f>IF(AND('Mapa final'!$K$82="Baja",'Mapa final'!$O$82="Leve"),CONCATENATE("R",'Mapa final'!$A$82),"")</f>
        <v/>
      </c>
      <c r="K76" s="453"/>
      <c r="L76" s="453" t="str">
        <f>IF(AND('Mapa final'!$K$85="Baja",'Mapa final'!$O$85="Leve"),CONCATENATE("R",'Mapa final'!$A$85),"")</f>
        <v/>
      </c>
      <c r="M76" s="453"/>
      <c r="N76" s="453" t="str">
        <f>IF(AND('Mapa final'!$K$88="Baja",'Mapa final'!$O$88="Leve"),CONCATENATE("R",'Mapa final'!$A$88),"")</f>
        <v/>
      </c>
      <c r="O76" s="453"/>
      <c r="P76" s="453" t="str">
        <f>IF(AND('Mapa final'!$K$91="Baja",'Mapa final'!$O$91="Leve"),CONCATENATE("R",'Mapa final'!$A$91),"")</f>
        <v/>
      </c>
      <c r="Q76" s="453"/>
      <c r="R76" s="453" t="str">
        <f>IF(AND('Mapa final'!$K$94="Baja",'Mapa final'!$O$94="Leve"),CONCATENATE("R",'Mapa final'!$A$94),"")</f>
        <v/>
      </c>
      <c r="S76" s="454"/>
      <c r="T76" s="460" t="str">
        <f>IF(AND('Mapa final'!$K$82="Baja",'Mapa final'!$O$82="Menor"),CONCATENATE("R",'Mapa final'!$A$82),"")</f>
        <v/>
      </c>
      <c r="U76" s="458"/>
      <c r="V76" s="458" t="str">
        <f>IF(AND('Mapa final'!$K$85="Baja",'Mapa final'!$O$85="Menor"),CONCATENATE("R",'Mapa final'!$A$85),"")</f>
        <v/>
      </c>
      <c r="W76" s="458"/>
      <c r="X76" s="458" t="str">
        <f>IF(AND('Mapa final'!$K$88="Baja",'Mapa final'!$O$88="Menor"),CONCATENATE("R",'Mapa final'!$A$88),"")</f>
        <v/>
      </c>
      <c r="Y76" s="458"/>
      <c r="Z76" s="458" t="str">
        <f>IF(AND('Mapa final'!$K$91="Baja",'Mapa final'!$O$91="Menor"),CONCATENATE("R",'Mapa final'!$A$91),"")</f>
        <v/>
      </c>
      <c r="AA76" s="458"/>
      <c r="AB76" s="458" t="str">
        <f>IF(AND('Mapa final'!$K$94="Baja",'Mapa final'!$O$94="Menor"),CONCATENATE("R",'Mapa final'!$A$94),"")</f>
        <v/>
      </c>
      <c r="AC76" s="459"/>
      <c r="AD76" s="460" t="str">
        <f>IF(AND('Mapa final'!$K$82="Baja",'Mapa final'!$O$82="Moderado"),CONCATENATE("R",'Mapa final'!$A$82),"")</f>
        <v/>
      </c>
      <c r="AE76" s="458"/>
      <c r="AF76" s="458" t="str">
        <f>IF(AND('Mapa final'!$K$85="Baja",'Mapa final'!$O$85="Moderado"),CONCATENATE("R",'Mapa final'!$A$85),"")</f>
        <v>R27</v>
      </c>
      <c r="AG76" s="458"/>
      <c r="AH76" s="458" t="str">
        <f>IF(AND('Mapa final'!$K$88="Baja",'Mapa final'!$O$88="Moderado"),CONCATENATE("R",'Mapa final'!$A$88),"")</f>
        <v/>
      </c>
      <c r="AI76" s="458"/>
      <c r="AJ76" s="458" t="str">
        <f>IF(AND('Mapa final'!$K$91="Baja",'Mapa final'!$O$91="Moderado"),CONCATENATE("R",'Mapa final'!$A$91),"")</f>
        <v/>
      </c>
      <c r="AK76" s="458"/>
      <c r="AL76" s="458" t="str">
        <f>IF(AND('Mapa final'!$K$94="Baja",'Mapa final'!$O$94="Moderado"),CONCATENATE("R",'Mapa final'!$A$94),"")</f>
        <v/>
      </c>
      <c r="AM76" s="459"/>
      <c r="AN76" s="463" t="str">
        <f>IF(AND('Mapa final'!$K$82="Baja",'Mapa final'!$O$82="Mayor"),CONCATENATE("R",'Mapa final'!$A$82),"")</f>
        <v/>
      </c>
      <c r="AO76" s="461"/>
      <c r="AP76" s="461" t="str">
        <f>IF(AND('Mapa final'!$K$85="Baja",'Mapa final'!$O$85="Mayor"),CONCATENATE("R",'Mapa final'!$A$85),"")</f>
        <v/>
      </c>
      <c r="AQ76" s="461"/>
      <c r="AR76" s="461" t="str">
        <f>IF(AND('Mapa final'!$K$88="Baja",'Mapa final'!$O$88="Mayor"),CONCATENATE("R",'Mapa final'!$A$88),"")</f>
        <v/>
      </c>
      <c r="AS76" s="461"/>
      <c r="AT76" s="461" t="str">
        <f>IF(AND('Mapa final'!$K$91="Baja",'Mapa final'!$O$91="Mayor"),CONCATENATE("R",'Mapa final'!$A$91),"")</f>
        <v/>
      </c>
      <c r="AU76" s="461"/>
      <c r="AV76" s="461" t="str">
        <f>IF(AND('Mapa final'!$K$94="Baja",'Mapa final'!$O$94="Mayor"),CONCATENATE("R",'Mapa final'!$A$94),"")</f>
        <v/>
      </c>
      <c r="AW76" s="462"/>
      <c r="AX76" s="457" t="str">
        <f>IF(AND('Mapa final'!$K$82="Baja",'Mapa final'!$O$82="Catastrófico"),CONCATENATE("R",'Mapa final'!$A$82),"")</f>
        <v/>
      </c>
      <c r="AY76" s="455"/>
      <c r="AZ76" s="455" t="str">
        <f>IF(AND('Mapa final'!$K$85="Baja",'Mapa final'!$O$85="Catastrófico"),CONCATENATE("R",'Mapa final'!$A$85),"")</f>
        <v/>
      </c>
      <c r="BA76" s="455"/>
      <c r="BB76" s="455" t="str">
        <f>IF(AND('Mapa final'!$K$88="Baja",'Mapa final'!$O$88="Catastrófico"),CONCATENATE("R",'Mapa final'!$A$88),"")</f>
        <v/>
      </c>
      <c r="BC76" s="455"/>
      <c r="BD76" s="455" t="str">
        <f>IF(AND('Mapa final'!$K$91="Baja",'Mapa final'!$O$91="Catastrófico"),CONCATENATE("R",'Mapa final'!$A$91),"")</f>
        <v/>
      </c>
      <c r="BE76" s="455"/>
      <c r="BF76" s="455" t="str">
        <f>IF(AND('Mapa final'!$K$94="Baja",'Mapa final'!$O$94="Catastrófico"),CONCATENATE("R",'Mapa final'!$A$94),"")</f>
        <v/>
      </c>
      <c r="BG76" s="456"/>
      <c r="BH76" s="56"/>
      <c r="BI76" s="516"/>
      <c r="BJ76" s="517"/>
      <c r="BK76" s="517"/>
      <c r="BL76" s="517"/>
      <c r="BM76" s="517"/>
      <c r="BN76" s="518"/>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35">
      <c r="A77" s="56"/>
      <c r="B77" s="300"/>
      <c r="C77" s="300"/>
      <c r="D77" s="301"/>
      <c r="E77" s="524"/>
      <c r="F77" s="525"/>
      <c r="G77" s="525"/>
      <c r="H77" s="525"/>
      <c r="I77" s="526"/>
      <c r="J77" s="452"/>
      <c r="K77" s="453"/>
      <c r="L77" s="453"/>
      <c r="M77" s="453"/>
      <c r="N77" s="453"/>
      <c r="O77" s="453"/>
      <c r="P77" s="453"/>
      <c r="Q77" s="453"/>
      <c r="R77" s="453"/>
      <c r="S77" s="454"/>
      <c r="T77" s="460"/>
      <c r="U77" s="458"/>
      <c r="V77" s="458"/>
      <c r="W77" s="458"/>
      <c r="X77" s="458"/>
      <c r="Y77" s="458"/>
      <c r="Z77" s="458"/>
      <c r="AA77" s="458"/>
      <c r="AB77" s="458"/>
      <c r="AC77" s="459"/>
      <c r="AD77" s="460"/>
      <c r="AE77" s="458"/>
      <c r="AF77" s="458"/>
      <c r="AG77" s="458"/>
      <c r="AH77" s="458"/>
      <c r="AI77" s="458"/>
      <c r="AJ77" s="458"/>
      <c r="AK77" s="458"/>
      <c r="AL77" s="458"/>
      <c r="AM77" s="459"/>
      <c r="AN77" s="463"/>
      <c r="AO77" s="461"/>
      <c r="AP77" s="461"/>
      <c r="AQ77" s="461"/>
      <c r="AR77" s="461"/>
      <c r="AS77" s="461"/>
      <c r="AT77" s="461"/>
      <c r="AU77" s="461"/>
      <c r="AV77" s="461"/>
      <c r="AW77" s="462"/>
      <c r="AX77" s="457"/>
      <c r="AY77" s="455"/>
      <c r="AZ77" s="455"/>
      <c r="BA77" s="455"/>
      <c r="BB77" s="455"/>
      <c r="BC77" s="455"/>
      <c r="BD77" s="455"/>
      <c r="BE77" s="455"/>
      <c r="BF77" s="455"/>
      <c r="BG77" s="456"/>
      <c r="BH77" s="56"/>
      <c r="BI77" s="516"/>
      <c r="BJ77" s="517"/>
      <c r="BK77" s="517"/>
      <c r="BL77" s="517"/>
      <c r="BM77" s="517"/>
      <c r="BN77" s="518"/>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35">
      <c r="A78" s="56"/>
      <c r="B78" s="300"/>
      <c r="C78" s="300"/>
      <c r="D78" s="301"/>
      <c r="E78" s="524"/>
      <c r="F78" s="525"/>
      <c r="G78" s="525"/>
      <c r="H78" s="525"/>
      <c r="I78" s="526"/>
      <c r="J78" s="452" t="str">
        <f>IF(AND('Mapa final'!$K$97="Baja",'Mapa final'!$O$97="Leve"),CONCATENATE("R",'Mapa final'!$A$97),"")</f>
        <v/>
      </c>
      <c r="K78" s="453"/>
      <c r="L78" s="453" t="e">
        <f>IF(AND('Mapa final'!#REF!="Baja",'Mapa final'!#REF!="Leve"),CONCATENATE("R",'Mapa final'!#REF!),"")</f>
        <v>#REF!</v>
      </c>
      <c r="M78" s="453"/>
      <c r="N78" s="453" t="str">
        <f>IF(AND('Mapa final'!$K$100="Baja",'Mapa final'!$O$100="Leve"),CONCATENATE("R",'Mapa final'!$A$100),"")</f>
        <v/>
      </c>
      <c r="O78" s="453"/>
      <c r="P78" s="453" t="str">
        <f>IF(AND('Mapa final'!$K$103="Baja",'Mapa final'!$O$103="Leve"),CONCATENATE("R",'Mapa final'!$A$103),"")</f>
        <v/>
      </c>
      <c r="Q78" s="453"/>
      <c r="R78" s="453" t="str">
        <f>IF(AND('Mapa final'!$K$106="Baja",'Mapa final'!$O$106="Leve"),CONCATENATE("R",'Mapa final'!$A$106),"")</f>
        <v/>
      </c>
      <c r="S78" s="454"/>
      <c r="T78" s="460" t="str">
        <f>IF(AND('Mapa final'!$K$97="Baja",'Mapa final'!$O$97="Menor"),CONCATENATE("R",'Mapa final'!$A$97),"")</f>
        <v/>
      </c>
      <c r="U78" s="458"/>
      <c r="V78" s="458" t="e">
        <f>IF(AND('Mapa final'!#REF!="Baja",'Mapa final'!#REF!="Menor"),CONCATENATE("R",'Mapa final'!#REF!),"")</f>
        <v>#REF!</v>
      </c>
      <c r="W78" s="458"/>
      <c r="X78" s="458" t="str">
        <f>IF(AND('Mapa final'!$K$100="Baja",'Mapa final'!$O$100="Menor"),CONCATENATE("R",'Mapa final'!$A$100),"")</f>
        <v/>
      </c>
      <c r="Y78" s="458"/>
      <c r="Z78" s="458" t="str">
        <f>IF(AND('Mapa final'!$K$103="Baja",'Mapa final'!$O$103="Menor"),CONCATENATE("R",'Mapa final'!$A$103),"")</f>
        <v/>
      </c>
      <c r="AA78" s="458"/>
      <c r="AB78" s="458" t="str">
        <f>IF(AND('Mapa final'!$K$106="Baja",'Mapa final'!$O$106="Menor"),CONCATENATE("R",'Mapa final'!$A$106),"")</f>
        <v/>
      </c>
      <c r="AC78" s="459"/>
      <c r="AD78" s="460" t="str">
        <f>IF(AND('Mapa final'!$K$97="Baja",'Mapa final'!$O$97="Moderado"),CONCATENATE("R",'Mapa final'!$A$97),"")</f>
        <v>R31</v>
      </c>
      <c r="AE78" s="458"/>
      <c r="AF78" s="458" t="e">
        <f>IF(AND('Mapa final'!#REF!="Baja",'Mapa final'!#REF!="Moderado"),CONCATENATE("R",'Mapa final'!#REF!),"")</f>
        <v>#REF!</v>
      </c>
      <c r="AG78" s="458"/>
      <c r="AH78" s="458" t="str">
        <f>IF(AND('Mapa final'!$K$100="Baja",'Mapa final'!$O$100="Moderado"),CONCATENATE("R",'Mapa final'!$A$100),"")</f>
        <v/>
      </c>
      <c r="AI78" s="458"/>
      <c r="AJ78" s="458" t="str">
        <f>IF(AND('Mapa final'!$K$103="Baja",'Mapa final'!$O$103="Moderado"),CONCATENATE("R",'Mapa final'!$A$103),"")</f>
        <v/>
      </c>
      <c r="AK78" s="458"/>
      <c r="AL78" s="458" t="str">
        <f>IF(AND('Mapa final'!$K$106="Baja",'Mapa final'!$O$106="Moderado"),CONCATENATE("R",'Mapa final'!$A$106),"")</f>
        <v/>
      </c>
      <c r="AM78" s="459"/>
      <c r="AN78" s="463" t="str">
        <f>IF(AND('Mapa final'!$K$97="Baja",'Mapa final'!$O$97="Mayor"),CONCATENATE("R",'Mapa final'!$A$97),"")</f>
        <v/>
      </c>
      <c r="AO78" s="461"/>
      <c r="AP78" s="461" t="e">
        <f>IF(AND('Mapa final'!#REF!="Baja",'Mapa final'!#REF!="Mayor"),CONCATENATE("R",'Mapa final'!#REF!),"")</f>
        <v>#REF!</v>
      </c>
      <c r="AQ78" s="461"/>
      <c r="AR78" s="461" t="str">
        <f>IF(AND('Mapa final'!$K$100="Baja",'Mapa final'!$O$100="Mayor"),CONCATENATE("R",'Mapa final'!$A$100),"")</f>
        <v/>
      </c>
      <c r="AS78" s="461"/>
      <c r="AT78" s="461" t="str">
        <f>IF(AND('Mapa final'!$K$103="Baja",'Mapa final'!$O$103="Mayor"),CONCATENATE("R",'Mapa final'!$A$103),"")</f>
        <v/>
      </c>
      <c r="AU78" s="461"/>
      <c r="AV78" s="461" t="str">
        <f>IF(AND('Mapa final'!$K$106="Baja",'Mapa final'!$O$106="Mayor"),CONCATENATE("R",'Mapa final'!$A$106),"")</f>
        <v/>
      </c>
      <c r="AW78" s="462"/>
      <c r="AX78" s="457" t="str">
        <f>IF(AND('Mapa final'!$K$97="Baja",'Mapa final'!$O$97="Catastrófico"),CONCATENATE("R",'Mapa final'!$A$97),"")</f>
        <v/>
      </c>
      <c r="AY78" s="455"/>
      <c r="AZ78" s="455" t="e">
        <f>IF(AND('Mapa final'!#REF!="Baja",'Mapa final'!#REF!="Catastrófico"),CONCATENATE("R",'Mapa final'!#REF!),"")</f>
        <v>#REF!</v>
      </c>
      <c r="BA78" s="455"/>
      <c r="BB78" s="455" t="str">
        <f>IF(AND('Mapa final'!$K$100="Baja",'Mapa final'!$O$100="Catastrófico"),CONCATENATE("R",'Mapa final'!$A$100),"")</f>
        <v/>
      </c>
      <c r="BC78" s="455"/>
      <c r="BD78" s="455" t="str">
        <f>IF(AND('Mapa final'!$K$103="Baja",'Mapa final'!$O$103="Catastrófico"),CONCATENATE("R",'Mapa final'!$A$103),"")</f>
        <v/>
      </c>
      <c r="BE78" s="455"/>
      <c r="BF78" s="455" t="str">
        <f>IF(AND('Mapa final'!$K$106="Baja",'Mapa final'!$O$106="Catastrófico"),CONCATENATE("R",'Mapa final'!$A$106),"")</f>
        <v/>
      </c>
      <c r="BG78" s="456"/>
      <c r="BH78" s="56"/>
      <c r="BI78" s="516"/>
      <c r="BJ78" s="517"/>
      <c r="BK78" s="517"/>
      <c r="BL78" s="517"/>
      <c r="BM78" s="517"/>
      <c r="BN78" s="518"/>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35">
      <c r="A79" s="56"/>
      <c r="B79" s="300"/>
      <c r="C79" s="300"/>
      <c r="D79" s="301"/>
      <c r="E79" s="524"/>
      <c r="F79" s="525"/>
      <c r="G79" s="525"/>
      <c r="H79" s="525"/>
      <c r="I79" s="526"/>
      <c r="J79" s="452"/>
      <c r="K79" s="453"/>
      <c r="L79" s="453"/>
      <c r="M79" s="453"/>
      <c r="N79" s="453"/>
      <c r="O79" s="453"/>
      <c r="P79" s="453"/>
      <c r="Q79" s="453"/>
      <c r="R79" s="453"/>
      <c r="S79" s="454"/>
      <c r="T79" s="460"/>
      <c r="U79" s="458"/>
      <c r="V79" s="458"/>
      <c r="W79" s="458"/>
      <c r="X79" s="458"/>
      <c r="Y79" s="458"/>
      <c r="Z79" s="458"/>
      <c r="AA79" s="458"/>
      <c r="AB79" s="458"/>
      <c r="AC79" s="459"/>
      <c r="AD79" s="460"/>
      <c r="AE79" s="458"/>
      <c r="AF79" s="458"/>
      <c r="AG79" s="458"/>
      <c r="AH79" s="458"/>
      <c r="AI79" s="458"/>
      <c r="AJ79" s="458"/>
      <c r="AK79" s="458"/>
      <c r="AL79" s="458"/>
      <c r="AM79" s="459"/>
      <c r="AN79" s="463"/>
      <c r="AO79" s="461"/>
      <c r="AP79" s="461"/>
      <c r="AQ79" s="461"/>
      <c r="AR79" s="461"/>
      <c r="AS79" s="461"/>
      <c r="AT79" s="461"/>
      <c r="AU79" s="461"/>
      <c r="AV79" s="461"/>
      <c r="AW79" s="462"/>
      <c r="AX79" s="457"/>
      <c r="AY79" s="455"/>
      <c r="AZ79" s="455"/>
      <c r="BA79" s="455"/>
      <c r="BB79" s="455"/>
      <c r="BC79" s="455"/>
      <c r="BD79" s="455"/>
      <c r="BE79" s="455"/>
      <c r="BF79" s="455"/>
      <c r="BG79" s="456"/>
      <c r="BH79" s="56"/>
      <c r="BI79" s="516"/>
      <c r="BJ79" s="517"/>
      <c r="BK79" s="517"/>
      <c r="BL79" s="517"/>
      <c r="BM79" s="517"/>
      <c r="BN79" s="518"/>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35">
      <c r="A80" s="56"/>
      <c r="B80" s="300"/>
      <c r="C80" s="300"/>
      <c r="D80" s="301"/>
      <c r="E80" s="524"/>
      <c r="F80" s="525"/>
      <c r="G80" s="525"/>
      <c r="H80" s="525"/>
      <c r="I80" s="526"/>
      <c r="J80" s="452" t="str">
        <f>IF(AND('Mapa final'!$K$109="Baja",'Mapa final'!$O$109="Leve"),CONCATENATE("R",'Mapa final'!$A$109),"")</f>
        <v/>
      </c>
      <c r="K80" s="453"/>
      <c r="L80" s="453" t="str">
        <f>IF(AND('Mapa final'!$K$112="Baja",'Mapa final'!$O$112="Leve"),CONCATENATE("R",'Mapa final'!$A$112),"")</f>
        <v/>
      </c>
      <c r="M80" s="453"/>
      <c r="N80" s="453" t="str">
        <f>IF(AND('Mapa final'!$K$115="Baja",'Mapa final'!$O$115="Leve"),CONCATENATE("R",'Mapa final'!$A$115),"")</f>
        <v/>
      </c>
      <c r="O80" s="453"/>
      <c r="P80" s="453" t="str">
        <f>IF(AND('Mapa final'!$K$118="Baja",'Mapa final'!$O$118="Leve"),CONCATENATE("R",'Mapa final'!$A$118),"")</f>
        <v/>
      </c>
      <c r="Q80" s="453"/>
      <c r="R80" s="453" t="str">
        <f>IF(AND('Mapa final'!$K$121="Baja",'Mapa final'!$O$121="Leve"),CONCATENATE("R",'Mapa final'!$A$121),"")</f>
        <v/>
      </c>
      <c r="S80" s="454"/>
      <c r="T80" s="460" t="str">
        <f>IF(AND('Mapa final'!$K$109="Baja",'Mapa final'!$O$109="Menor"),CONCATENATE("R",'Mapa final'!$A$109),"")</f>
        <v/>
      </c>
      <c r="U80" s="458"/>
      <c r="V80" s="458" t="str">
        <f>IF(AND('Mapa final'!$K$112="Baja",'Mapa final'!$O$112="Menor"),CONCATENATE("R",'Mapa final'!$A$112),"")</f>
        <v/>
      </c>
      <c r="W80" s="458"/>
      <c r="X80" s="458" t="str">
        <f>IF(AND('Mapa final'!$K$115="Baja",'Mapa final'!$O$115="Menor"),CONCATENATE("R",'Mapa final'!$A$115),"")</f>
        <v>R37</v>
      </c>
      <c r="Y80" s="458"/>
      <c r="Z80" s="458" t="str">
        <f>IF(AND('Mapa final'!$K$118="Baja",'Mapa final'!$O$118="Menor"),CONCATENATE("R",'Mapa final'!$A$118),"")</f>
        <v/>
      </c>
      <c r="AA80" s="458"/>
      <c r="AB80" s="458" t="str">
        <f>IF(AND('Mapa final'!$K$121="Baja",'Mapa final'!$O$121="Menor"),CONCATENATE("R",'Mapa final'!$A$121),"")</f>
        <v/>
      </c>
      <c r="AC80" s="459"/>
      <c r="AD80" s="460" t="str">
        <f>IF(AND('Mapa final'!$K$109="Baja",'Mapa final'!$O$109="Moderado"),CONCATENATE("R",'Mapa final'!$A$109),"")</f>
        <v/>
      </c>
      <c r="AE80" s="458"/>
      <c r="AF80" s="458" t="str">
        <f>IF(AND('Mapa final'!$K$112="Baja",'Mapa final'!$O$112="Moderado"),CONCATENATE("R",'Mapa final'!$A$112),"")</f>
        <v/>
      </c>
      <c r="AG80" s="458"/>
      <c r="AH80" s="458" t="str">
        <f>IF(AND('Mapa final'!$K$115="Baja",'Mapa final'!$O$115="Moderado"),CONCATENATE("R",'Mapa final'!$A$115),"")</f>
        <v/>
      </c>
      <c r="AI80" s="458"/>
      <c r="AJ80" s="458" t="str">
        <f>IF(AND('Mapa final'!$K$118="Baja",'Mapa final'!$O$118="Moderado"),CONCATENATE("R",'Mapa final'!$A$118),"")</f>
        <v/>
      </c>
      <c r="AK80" s="458"/>
      <c r="AL80" s="458" t="str">
        <f>IF(AND('Mapa final'!$K$121="Baja",'Mapa final'!$O$121="Moderado"),CONCATENATE("R",'Mapa final'!$A$121),"")</f>
        <v/>
      </c>
      <c r="AM80" s="459"/>
      <c r="AN80" s="463" t="str">
        <f>IF(AND('Mapa final'!$K$109="Baja",'Mapa final'!$O$109="Mayor"),CONCATENATE("R",'Mapa final'!$A$109),"")</f>
        <v/>
      </c>
      <c r="AO80" s="461"/>
      <c r="AP80" s="461" t="str">
        <f>IF(AND('Mapa final'!$K$112="Baja",'Mapa final'!$O$112="Mayor"),CONCATENATE("R",'Mapa final'!$A$112),"")</f>
        <v/>
      </c>
      <c r="AQ80" s="461"/>
      <c r="AR80" s="461" t="str">
        <f>IF(AND('Mapa final'!$K$115="Baja",'Mapa final'!$O$115="Mayor"),CONCATENATE("R",'Mapa final'!$A$115),"")</f>
        <v/>
      </c>
      <c r="AS80" s="461"/>
      <c r="AT80" s="461" t="str">
        <f>IF(AND('Mapa final'!$K$118="Baja",'Mapa final'!$O$118="Mayor"),CONCATENATE("R",'Mapa final'!$A$118),"")</f>
        <v/>
      </c>
      <c r="AU80" s="461"/>
      <c r="AV80" s="461" t="str">
        <f>IF(AND('Mapa final'!$K$121="Baja",'Mapa final'!$O$121="Mayor"),CONCATENATE("R",'Mapa final'!$A$121),"")</f>
        <v/>
      </c>
      <c r="AW80" s="462"/>
      <c r="AX80" s="457" t="str">
        <f>IF(AND('Mapa final'!$K$109="Baja",'Mapa final'!$O$109="Catastrófico"),CONCATENATE("R",'Mapa final'!$A$109),"")</f>
        <v/>
      </c>
      <c r="AY80" s="455"/>
      <c r="AZ80" s="455" t="str">
        <f>IF(AND('Mapa final'!$K$112="Baja",'Mapa final'!$O$112="Catastrófico"),CONCATENATE("R",'Mapa final'!$A$112),"")</f>
        <v/>
      </c>
      <c r="BA80" s="455"/>
      <c r="BB80" s="455" t="str">
        <f>IF(AND('Mapa final'!$K$115="Baja",'Mapa final'!$O$115="Catastrófico"),CONCATENATE("R",'Mapa final'!$A$115),"")</f>
        <v/>
      </c>
      <c r="BC80" s="455"/>
      <c r="BD80" s="455" t="str">
        <f>IF(AND('Mapa final'!$K$118="Baja",'Mapa final'!$O$118="Catastrófico"),CONCATENATE("R",'Mapa final'!$A$118),"")</f>
        <v/>
      </c>
      <c r="BE80" s="455"/>
      <c r="BF80" s="455" t="str">
        <f>IF(AND('Mapa final'!$K$121="Baja",'Mapa final'!$O$121="Catastrófico"),CONCATENATE("R",'Mapa final'!$A$121),"")</f>
        <v/>
      </c>
      <c r="BG80" s="456"/>
      <c r="BH80" s="56"/>
      <c r="BI80" s="516"/>
      <c r="BJ80" s="517"/>
      <c r="BK80" s="517"/>
      <c r="BL80" s="517"/>
      <c r="BM80" s="517"/>
      <c r="BN80" s="518"/>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35">
      <c r="A81" s="56"/>
      <c r="B81" s="300"/>
      <c r="C81" s="300"/>
      <c r="D81" s="301"/>
      <c r="E81" s="524"/>
      <c r="F81" s="525"/>
      <c r="G81" s="525"/>
      <c r="H81" s="525"/>
      <c r="I81" s="526"/>
      <c r="J81" s="452"/>
      <c r="K81" s="453"/>
      <c r="L81" s="453"/>
      <c r="M81" s="453"/>
      <c r="N81" s="453"/>
      <c r="O81" s="453"/>
      <c r="P81" s="453"/>
      <c r="Q81" s="453"/>
      <c r="R81" s="453"/>
      <c r="S81" s="454"/>
      <c r="T81" s="460"/>
      <c r="U81" s="458"/>
      <c r="V81" s="458"/>
      <c r="W81" s="458"/>
      <c r="X81" s="458"/>
      <c r="Y81" s="458"/>
      <c r="Z81" s="458"/>
      <c r="AA81" s="458"/>
      <c r="AB81" s="458"/>
      <c r="AC81" s="459"/>
      <c r="AD81" s="460"/>
      <c r="AE81" s="458"/>
      <c r="AF81" s="458"/>
      <c r="AG81" s="458"/>
      <c r="AH81" s="458"/>
      <c r="AI81" s="458"/>
      <c r="AJ81" s="458"/>
      <c r="AK81" s="458"/>
      <c r="AL81" s="458"/>
      <c r="AM81" s="459"/>
      <c r="AN81" s="463"/>
      <c r="AO81" s="461"/>
      <c r="AP81" s="461"/>
      <c r="AQ81" s="461"/>
      <c r="AR81" s="461"/>
      <c r="AS81" s="461"/>
      <c r="AT81" s="461"/>
      <c r="AU81" s="461"/>
      <c r="AV81" s="461"/>
      <c r="AW81" s="462"/>
      <c r="AX81" s="457"/>
      <c r="AY81" s="455"/>
      <c r="AZ81" s="455"/>
      <c r="BA81" s="455"/>
      <c r="BB81" s="455"/>
      <c r="BC81" s="455"/>
      <c r="BD81" s="455"/>
      <c r="BE81" s="455"/>
      <c r="BF81" s="455"/>
      <c r="BG81" s="456"/>
      <c r="BH81" s="56"/>
      <c r="BI81" s="516"/>
      <c r="BJ81" s="517"/>
      <c r="BK81" s="517"/>
      <c r="BL81" s="517"/>
      <c r="BM81" s="517"/>
      <c r="BN81" s="518"/>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35">
      <c r="A82" s="56"/>
      <c r="B82" s="300"/>
      <c r="C82" s="300"/>
      <c r="D82" s="301"/>
      <c r="E82" s="524"/>
      <c r="F82" s="525"/>
      <c r="G82" s="525"/>
      <c r="H82" s="525"/>
      <c r="I82" s="526"/>
      <c r="J82" s="452" t="str">
        <f>IF(AND('Mapa final'!$K$124="Baja",'Mapa final'!$O$124="Leve"),CONCATENATE("R",'Mapa final'!$A$124),"")</f>
        <v/>
      </c>
      <c r="K82" s="453"/>
      <c r="L82" s="453" t="str">
        <f>IF(AND('Mapa final'!$K$127="Baja",'Mapa final'!$O$127="Leve"),CONCATENATE("R",'Mapa final'!$A$127),"")</f>
        <v/>
      </c>
      <c r="M82" s="453"/>
      <c r="N82" s="453" t="str">
        <f>IF(AND('Mapa final'!$K$130="Baja",'Mapa final'!$O$130="Leve"),CONCATENATE("R",'Mapa final'!$A$130),"")</f>
        <v/>
      </c>
      <c r="O82" s="453"/>
      <c r="P82" s="453" t="str">
        <f>IF(AND('Mapa final'!$K$133="Baja",'Mapa final'!$O$133="Leve"),CONCATENATE("R",'Mapa final'!$A$133),"")</f>
        <v/>
      </c>
      <c r="Q82" s="453"/>
      <c r="R82" s="453" t="str">
        <f>IF(AND('Mapa final'!$K$136="Baja",'Mapa final'!$O$136="Leve"),CONCATENATE("R",'Mapa final'!$A$136),"")</f>
        <v/>
      </c>
      <c r="S82" s="454"/>
      <c r="T82" s="460" t="str">
        <f>IF(AND('Mapa final'!$K$124="Baja",'Mapa final'!$O$124="Menor"),CONCATENATE("R",'Mapa final'!$A$124),"")</f>
        <v/>
      </c>
      <c r="U82" s="458"/>
      <c r="V82" s="458" t="str">
        <f>IF(AND('Mapa final'!$K$127="Baja",'Mapa final'!$O$127="Menor"),CONCATENATE("R",'Mapa final'!$A$127),"")</f>
        <v/>
      </c>
      <c r="W82" s="458"/>
      <c r="X82" s="458" t="str">
        <f>IF(AND('Mapa final'!$K$130="Baja",'Mapa final'!$O$130="Menor"),CONCATENATE("R",'Mapa final'!$A$130),"")</f>
        <v/>
      </c>
      <c r="Y82" s="458"/>
      <c r="Z82" s="458" t="str">
        <f>IF(AND('Mapa final'!$K$133="Baja",'Mapa final'!$O$133="Menor"),CONCATENATE("R",'Mapa final'!$A$133),"")</f>
        <v/>
      </c>
      <c r="AA82" s="458"/>
      <c r="AB82" s="458" t="str">
        <f>IF(AND('Mapa final'!$K$136="Baja",'Mapa final'!$O$136="Menor"),CONCATENATE("R",'Mapa final'!$A$136),"")</f>
        <v/>
      </c>
      <c r="AC82" s="459"/>
      <c r="AD82" s="460" t="str">
        <f>IF(AND('Mapa final'!$K$124="Baja",'Mapa final'!$O$124="Moderado"),CONCATENATE("R",'Mapa final'!$A$124),"")</f>
        <v/>
      </c>
      <c r="AE82" s="458"/>
      <c r="AF82" s="458" t="str">
        <f>IF(AND('Mapa final'!$K$127="Baja",'Mapa final'!$O$127="Moderado"),CONCATENATE("R",'Mapa final'!$A$127),"")</f>
        <v>R41</v>
      </c>
      <c r="AG82" s="458"/>
      <c r="AH82" s="458" t="str">
        <f>IF(AND('Mapa final'!$K$130="Baja",'Mapa final'!$O$130="Moderado"),CONCATENATE("R",'Mapa final'!$A$130),"")</f>
        <v/>
      </c>
      <c r="AI82" s="458"/>
      <c r="AJ82" s="458" t="str">
        <f>IF(AND('Mapa final'!$K$133="Baja",'Mapa final'!$O$133="Moderado"),CONCATENATE("R",'Mapa final'!$A$133),"")</f>
        <v/>
      </c>
      <c r="AK82" s="458"/>
      <c r="AL82" s="458" t="str">
        <f>IF(AND('Mapa final'!$K$136="Baja",'Mapa final'!$O$136="Moderado"),CONCATENATE("R",'Mapa final'!$A$136),"")</f>
        <v/>
      </c>
      <c r="AM82" s="459"/>
      <c r="AN82" s="463" t="str">
        <f>IF(AND('Mapa final'!$K$124="Baja",'Mapa final'!$O$124="Mayor"),CONCATENATE("R",'Mapa final'!$A$124),"")</f>
        <v/>
      </c>
      <c r="AO82" s="461"/>
      <c r="AP82" s="461" t="str">
        <f>IF(AND('Mapa final'!$K$127="Baja",'Mapa final'!$O$127="Mayor"),CONCATENATE("R",'Mapa final'!$A$127),"")</f>
        <v/>
      </c>
      <c r="AQ82" s="461"/>
      <c r="AR82" s="461" t="str">
        <f>IF(AND('Mapa final'!$K$130="Baja",'Mapa final'!$O$130="Mayor"),CONCATENATE("R",'Mapa final'!$A$130),"")</f>
        <v/>
      </c>
      <c r="AS82" s="461"/>
      <c r="AT82" s="461" t="str">
        <f>IF(AND('Mapa final'!$K$133="Baja",'Mapa final'!$O$133="Mayor"),CONCATENATE("R",'Mapa final'!$A$133),"")</f>
        <v/>
      </c>
      <c r="AU82" s="461"/>
      <c r="AV82" s="461" t="str">
        <f>IF(AND('Mapa final'!$K$136="Baja",'Mapa final'!$O$136="Mayor"),CONCATENATE("R",'Mapa final'!$A$136),"")</f>
        <v/>
      </c>
      <c r="AW82" s="462"/>
      <c r="AX82" s="457" t="str">
        <f>IF(AND('Mapa final'!$K$124="Baja",'Mapa final'!$O$124="Catastrófico"),CONCATENATE("R",'Mapa final'!$A$124),"")</f>
        <v/>
      </c>
      <c r="AY82" s="455"/>
      <c r="AZ82" s="455" t="str">
        <f>IF(AND('Mapa final'!$K$127="Baja",'Mapa final'!$O$127="Catastrófico"),CONCATENATE("R",'Mapa final'!$A$127),"")</f>
        <v/>
      </c>
      <c r="BA82" s="455"/>
      <c r="BB82" s="455" t="str">
        <f>IF(AND('Mapa final'!$K$130="Baja",'Mapa final'!$O$130="Catastrófico"),CONCATENATE("R",'Mapa final'!$A$130),"")</f>
        <v/>
      </c>
      <c r="BC82" s="455"/>
      <c r="BD82" s="455" t="str">
        <f>IF(AND('Mapa final'!$K$133="Baja",'Mapa final'!$O$133="Catastrófico"),CONCATENATE("R",'Mapa final'!$A$133),"")</f>
        <v/>
      </c>
      <c r="BE82" s="455"/>
      <c r="BF82" s="455" t="str">
        <f>IF(AND('Mapa final'!$K$136="Baja",'Mapa final'!$O$136="Catastrófico"),CONCATENATE("R",'Mapa final'!$A$136),"")</f>
        <v/>
      </c>
      <c r="BG82" s="456"/>
      <c r="BH82" s="56"/>
      <c r="BI82" s="516"/>
      <c r="BJ82" s="517"/>
      <c r="BK82" s="517"/>
      <c r="BL82" s="517"/>
      <c r="BM82" s="517"/>
      <c r="BN82" s="518"/>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35">
      <c r="A83" s="56"/>
      <c r="B83" s="300"/>
      <c r="C83" s="300"/>
      <c r="D83" s="301"/>
      <c r="E83" s="524"/>
      <c r="F83" s="525"/>
      <c r="G83" s="525"/>
      <c r="H83" s="525"/>
      <c r="I83" s="526"/>
      <c r="J83" s="452"/>
      <c r="K83" s="453"/>
      <c r="L83" s="453"/>
      <c r="M83" s="453"/>
      <c r="N83" s="453"/>
      <c r="O83" s="453"/>
      <c r="P83" s="453"/>
      <c r="Q83" s="453"/>
      <c r="R83" s="453"/>
      <c r="S83" s="454"/>
      <c r="T83" s="460"/>
      <c r="U83" s="458"/>
      <c r="V83" s="458"/>
      <c r="W83" s="458"/>
      <c r="X83" s="458"/>
      <c r="Y83" s="458"/>
      <c r="Z83" s="458"/>
      <c r="AA83" s="458"/>
      <c r="AB83" s="458"/>
      <c r="AC83" s="459"/>
      <c r="AD83" s="460"/>
      <c r="AE83" s="458"/>
      <c r="AF83" s="458"/>
      <c r="AG83" s="458"/>
      <c r="AH83" s="458"/>
      <c r="AI83" s="458"/>
      <c r="AJ83" s="458"/>
      <c r="AK83" s="458"/>
      <c r="AL83" s="458"/>
      <c r="AM83" s="459"/>
      <c r="AN83" s="463"/>
      <c r="AO83" s="461"/>
      <c r="AP83" s="461"/>
      <c r="AQ83" s="461"/>
      <c r="AR83" s="461"/>
      <c r="AS83" s="461"/>
      <c r="AT83" s="461"/>
      <c r="AU83" s="461"/>
      <c r="AV83" s="461"/>
      <c r="AW83" s="462"/>
      <c r="AX83" s="457"/>
      <c r="AY83" s="455"/>
      <c r="AZ83" s="455"/>
      <c r="BA83" s="455"/>
      <c r="BB83" s="455"/>
      <c r="BC83" s="455"/>
      <c r="BD83" s="455"/>
      <c r="BE83" s="455"/>
      <c r="BF83" s="455"/>
      <c r="BG83" s="456"/>
      <c r="BH83" s="56"/>
      <c r="BI83" s="516"/>
      <c r="BJ83" s="517"/>
      <c r="BK83" s="517"/>
      <c r="BL83" s="517"/>
      <c r="BM83" s="517"/>
      <c r="BN83" s="518"/>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35">
      <c r="A84" s="56"/>
      <c r="B84" s="300"/>
      <c r="C84" s="300"/>
      <c r="D84" s="301"/>
      <c r="E84" s="524"/>
      <c r="F84" s="525"/>
      <c r="G84" s="525"/>
      <c r="H84" s="525"/>
      <c r="I84" s="526"/>
      <c r="J84" s="452" t="str">
        <f>IF(AND('Mapa final'!$K$139="Baja",'Mapa final'!$O$139="Leve"),CONCATENATE("R",'Mapa final'!$A$139),"")</f>
        <v/>
      </c>
      <c r="K84" s="453"/>
      <c r="L84" s="453" t="str">
        <f>IF(AND('Mapa final'!$K$142="Baja",'Mapa final'!$O$142="Leve"),CONCATENATE("R",'Mapa final'!$A$142),"")</f>
        <v/>
      </c>
      <c r="M84" s="453"/>
      <c r="N84" s="453" t="str">
        <f>IF(AND('Mapa final'!$K$145="Baja",'Mapa final'!$O$145="Leve"),CONCATENATE("R",'Mapa final'!$A$145),"")</f>
        <v/>
      </c>
      <c r="O84" s="453"/>
      <c r="P84" s="453" t="str">
        <f>IF(AND('Mapa final'!$K$148="Baja",'Mapa final'!$O$148="Leve"),CONCATENATE("R",'Mapa final'!$A$148),"")</f>
        <v/>
      </c>
      <c r="Q84" s="453"/>
      <c r="R84" s="453" t="str">
        <f>IF(AND('Mapa final'!$K$151="Baja",'Mapa final'!$O$151="Leve"),CONCATENATE("R",'Mapa final'!$A$151),"")</f>
        <v/>
      </c>
      <c r="S84" s="454"/>
      <c r="T84" s="460" t="str">
        <f>IF(AND('Mapa final'!$K$139="Baja",'Mapa final'!$O$139="Menor"),CONCATENATE("R",'Mapa final'!$A$139),"")</f>
        <v/>
      </c>
      <c r="U84" s="458"/>
      <c r="V84" s="458" t="str">
        <f>IF(AND('Mapa final'!$K$142="Baja",'Mapa final'!$O$142="Menor"),CONCATENATE("R",'Mapa final'!$A$142),"")</f>
        <v/>
      </c>
      <c r="W84" s="458"/>
      <c r="X84" s="458" t="str">
        <f>IF(AND('Mapa final'!$K$145="Baja",'Mapa final'!$O$145="Menor"),CONCATENATE("R",'Mapa final'!$A$145),"")</f>
        <v/>
      </c>
      <c r="Y84" s="458"/>
      <c r="Z84" s="458" t="str">
        <f>IF(AND('Mapa final'!$K$148="Baja",'Mapa final'!$O$148="Menor"),CONCATENATE("R",'Mapa final'!$A$148),"")</f>
        <v/>
      </c>
      <c r="AA84" s="458"/>
      <c r="AB84" s="458" t="str">
        <f>IF(AND('Mapa final'!$K$151="Baja",'Mapa final'!$O$151="Menor"),CONCATENATE("R",'Mapa final'!$A$151),"")</f>
        <v/>
      </c>
      <c r="AC84" s="459"/>
      <c r="AD84" s="460" t="str">
        <f>IF(AND('Mapa final'!$K$139="Baja",'Mapa final'!$O$139="Moderado"),CONCATENATE("R",'Mapa final'!$A$139),"")</f>
        <v/>
      </c>
      <c r="AE84" s="458"/>
      <c r="AF84" s="458" t="str">
        <f>IF(AND('Mapa final'!$K$142="Baja",'Mapa final'!$O$142="Moderado"),CONCATENATE("R",'Mapa final'!$A$142),"")</f>
        <v>R46</v>
      </c>
      <c r="AG84" s="458"/>
      <c r="AH84" s="458" t="str">
        <f>IF(AND('Mapa final'!$K$145="Baja",'Mapa final'!$O$145="Moderado"),CONCATENATE("R",'Mapa final'!$A$145),"")</f>
        <v/>
      </c>
      <c r="AI84" s="458"/>
      <c r="AJ84" s="458" t="str">
        <f>IF(AND('Mapa final'!$K$148="Baja",'Mapa final'!$O$148="Moderado"),CONCATENATE("R",'Mapa final'!$A$148),"")</f>
        <v/>
      </c>
      <c r="AK84" s="458"/>
      <c r="AL84" s="458" t="str">
        <f>IF(AND('Mapa final'!$K$151="Baja",'Mapa final'!$O$151="Moderado"),CONCATENATE("R",'Mapa final'!$A$151),"")</f>
        <v/>
      </c>
      <c r="AM84" s="459"/>
      <c r="AN84" s="463" t="str">
        <f>IF(AND('Mapa final'!$K$139="Baja",'Mapa final'!$O$139="Mayor"),CONCATENATE("R",'Mapa final'!$A$139),"")</f>
        <v>R45</v>
      </c>
      <c r="AO84" s="461"/>
      <c r="AP84" s="461" t="str">
        <f>IF(AND('Mapa final'!$K$142="Baja",'Mapa final'!$O$142="Mayor"),CONCATENATE("R",'Mapa final'!$A$142),"")</f>
        <v/>
      </c>
      <c r="AQ84" s="461"/>
      <c r="AR84" s="461" t="str">
        <f>IF(AND('Mapa final'!$K$145="Baja",'Mapa final'!$O$145="Mayor"),CONCATENATE("R",'Mapa final'!$A$145),"")</f>
        <v/>
      </c>
      <c r="AS84" s="461"/>
      <c r="AT84" s="461" t="str">
        <f>IF(AND('Mapa final'!$K$148="Baja",'Mapa final'!$O$148="Mayor"),CONCATENATE("R",'Mapa final'!$A$148),"")</f>
        <v/>
      </c>
      <c r="AU84" s="461"/>
      <c r="AV84" s="461" t="str">
        <f>IF(AND('Mapa final'!$K$151="Baja",'Mapa final'!$O$151="Mayor"),CONCATENATE("R",'Mapa final'!$A$151),"")</f>
        <v/>
      </c>
      <c r="AW84" s="462"/>
      <c r="AX84" s="457" t="str">
        <f>IF(AND('Mapa final'!$K$139="Baja",'Mapa final'!$O$139="Catastrófico"),CONCATENATE("R",'Mapa final'!$A$139),"")</f>
        <v/>
      </c>
      <c r="AY84" s="455"/>
      <c r="AZ84" s="455" t="str">
        <f>IF(AND('Mapa final'!$K$142="Baja",'Mapa final'!$O$142="Catastrófico"),CONCATENATE("R",'Mapa final'!$A$142),"")</f>
        <v/>
      </c>
      <c r="BA84" s="455"/>
      <c r="BB84" s="455" t="str">
        <f>IF(AND('Mapa final'!$K$145="Baja",'Mapa final'!$O$145="Catastrófico"),CONCATENATE("R",'Mapa final'!$A$145),"")</f>
        <v/>
      </c>
      <c r="BC84" s="455"/>
      <c r="BD84" s="455" t="str">
        <f>IF(AND('Mapa final'!$K$148="Baja",'Mapa final'!$O$148="Catastrófico"),CONCATENATE("R",'Mapa final'!$A$148),"")</f>
        <v/>
      </c>
      <c r="BE84" s="455"/>
      <c r="BF84" s="455" t="str">
        <f>IF(AND('Mapa final'!$K$151="Baja",'Mapa final'!$O$151="Catastrófico"),CONCATENATE("R",'Mapa final'!$A$151),"")</f>
        <v/>
      </c>
      <c r="BG84" s="456"/>
      <c r="BH84" s="56"/>
      <c r="BI84" s="516"/>
      <c r="BJ84" s="517"/>
      <c r="BK84" s="517"/>
      <c r="BL84" s="517"/>
      <c r="BM84" s="517"/>
      <c r="BN84" s="518"/>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4">
      <c r="A85" s="56"/>
      <c r="B85" s="300"/>
      <c r="C85" s="300"/>
      <c r="D85" s="301"/>
      <c r="E85" s="527"/>
      <c r="F85" s="528"/>
      <c r="G85" s="528"/>
      <c r="H85" s="528"/>
      <c r="I85" s="528"/>
      <c r="J85" s="481"/>
      <c r="K85" s="482"/>
      <c r="L85" s="482"/>
      <c r="M85" s="482"/>
      <c r="N85" s="482"/>
      <c r="O85" s="482"/>
      <c r="P85" s="482"/>
      <c r="Q85" s="482"/>
      <c r="R85" s="482"/>
      <c r="S85" s="484"/>
      <c r="T85" s="470"/>
      <c r="U85" s="471"/>
      <c r="V85" s="471"/>
      <c r="W85" s="471"/>
      <c r="X85" s="471"/>
      <c r="Y85" s="471"/>
      <c r="Z85" s="471"/>
      <c r="AA85" s="471"/>
      <c r="AB85" s="471"/>
      <c r="AC85" s="472"/>
      <c r="AD85" s="470"/>
      <c r="AE85" s="471"/>
      <c r="AF85" s="471"/>
      <c r="AG85" s="471"/>
      <c r="AH85" s="471"/>
      <c r="AI85" s="471"/>
      <c r="AJ85" s="471"/>
      <c r="AK85" s="471"/>
      <c r="AL85" s="471"/>
      <c r="AM85" s="472"/>
      <c r="AN85" s="464"/>
      <c r="AO85" s="465"/>
      <c r="AP85" s="465"/>
      <c r="AQ85" s="465"/>
      <c r="AR85" s="465"/>
      <c r="AS85" s="465"/>
      <c r="AT85" s="465"/>
      <c r="AU85" s="465"/>
      <c r="AV85" s="465"/>
      <c r="AW85" s="466"/>
      <c r="AX85" s="477"/>
      <c r="AY85" s="476"/>
      <c r="AZ85" s="476"/>
      <c r="BA85" s="476"/>
      <c r="BB85" s="476"/>
      <c r="BC85" s="476"/>
      <c r="BD85" s="476"/>
      <c r="BE85" s="476"/>
      <c r="BF85" s="476"/>
      <c r="BG85" s="478"/>
      <c r="BH85" s="56"/>
      <c r="BI85" s="516"/>
      <c r="BJ85" s="517"/>
      <c r="BK85" s="517"/>
      <c r="BL85" s="517"/>
      <c r="BM85" s="517"/>
      <c r="BN85" s="518"/>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35">
      <c r="A86" s="56"/>
      <c r="B86" s="300"/>
      <c r="C86" s="300"/>
      <c r="D86" s="301"/>
      <c r="E86" s="522" t="s">
        <v>104</v>
      </c>
      <c r="F86" s="523"/>
      <c r="G86" s="523"/>
      <c r="H86" s="523"/>
      <c r="I86" s="529"/>
      <c r="J86" s="537" t="str">
        <f>IF(AND('Mapa final'!$K$7="Muy Baja",'Mapa final'!$O$7="Leve"),CONCATENATE("R",'Mapa final'!$A$7),"")</f>
        <v/>
      </c>
      <c r="K86" s="483"/>
      <c r="L86" s="483" t="str">
        <f>IF(AND('Mapa final'!$K$10="Muy Baja",'Mapa final'!$O$10="Leve"),CONCATENATE("R",'Mapa final'!$A$10),"")</f>
        <v/>
      </c>
      <c r="M86" s="483"/>
      <c r="N86" s="483" t="str">
        <f>IF(AND('Mapa final'!$K$13="Muy Baja",'Mapa final'!$O$13="Leve"),CONCATENATE("R",'Mapa final'!$A$13),"")</f>
        <v/>
      </c>
      <c r="O86" s="483"/>
      <c r="P86" s="483" t="e">
        <f>IF(AND('Mapa final'!#REF!="Muy Baja",'Mapa final'!#REF!="Leve"),CONCATENATE("R",'Mapa final'!#REF!),"")</f>
        <v>#REF!</v>
      </c>
      <c r="Q86" s="483"/>
      <c r="R86" s="483" t="str">
        <f>IF(AND('Mapa final'!$K$16="Muy Baja",'Mapa final'!$O$16="Leve"),CONCATENATE("R",'Mapa final'!$A$16),"")</f>
        <v/>
      </c>
      <c r="S86" s="485"/>
      <c r="T86" s="537" t="str">
        <f>IF(AND('Mapa final'!$K$7="Muy Baja",'Mapa final'!$O$7="Menor"),CONCATENATE("R",'Mapa final'!$A$7),"")</f>
        <v/>
      </c>
      <c r="U86" s="483"/>
      <c r="V86" s="483" t="str">
        <f>IF(AND('Mapa final'!$K$10="Muy Baja",'Mapa final'!$O$10="Menor"),CONCATENATE("R",'Mapa final'!$A$10),"")</f>
        <v/>
      </c>
      <c r="W86" s="483"/>
      <c r="X86" s="483" t="str">
        <f>IF(AND('Mapa final'!$K$13="Muy Baja",'Mapa final'!$O$13="Menor"),CONCATENATE("R",'Mapa final'!$A$13),"")</f>
        <v/>
      </c>
      <c r="Y86" s="483"/>
      <c r="Z86" s="483" t="e">
        <f>IF(AND('Mapa final'!#REF!="Muy Baja",'Mapa final'!#REF!="Menor"),CONCATENATE("R",'Mapa final'!#REF!),"")</f>
        <v>#REF!</v>
      </c>
      <c r="AA86" s="483"/>
      <c r="AB86" s="483" t="str">
        <f>IF(AND('Mapa final'!$K$16="Muy Baja",'Mapa final'!$O$16="Menor"),CONCATENATE("R",'Mapa final'!$A$16),"")</f>
        <v/>
      </c>
      <c r="AC86" s="485"/>
      <c r="AD86" s="467" t="str">
        <f>IF(AND('Mapa final'!$K$7="Muy Baja",'Mapa final'!$O$7="Moderado"),CONCATENATE("R",'Mapa final'!$A$7),"")</f>
        <v/>
      </c>
      <c r="AE86" s="468"/>
      <c r="AF86" s="468" t="str">
        <f>IF(AND('Mapa final'!$K$10="Muy Baja",'Mapa final'!$O$10="Moderado"),CONCATENATE("R",'Mapa final'!$A$10),"")</f>
        <v/>
      </c>
      <c r="AG86" s="468"/>
      <c r="AH86" s="468" t="str">
        <f>IF(AND('Mapa final'!$K$13="Muy Baja",'Mapa final'!$O$13="Moderado"),CONCATENATE("R",'Mapa final'!$A$13),"")</f>
        <v/>
      </c>
      <c r="AI86" s="468"/>
      <c r="AJ86" s="468" t="e">
        <f>IF(AND('Mapa final'!#REF!="Muy Baja",'Mapa final'!#REF!="Moderado"),CONCATENATE("R",'Mapa final'!#REF!),"")</f>
        <v>#REF!</v>
      </c>
      <c r="AK86" s="468"/>
      <c r="AL86" s="468" t="str">
        <f>IF(AND('Mapa final'!$K$16="Muy Baja",'Mapa final'!$O$16="Moderado"),CONCATENATE("R",'Mapa final'!$A$16),"")</f>
        <v/>
      </c>
      <c r="AM86" s="469"/>
      <c r="AN86" s="473" t="str">
        <f>IF(AND('Mapa final'!$K$7="Muy Baja",'Mapa final'!$O$7="Mayor"),CONCATENATE("R",'Mapa final'!$A$7),"")</f>
        <v/>
      </c>
      <c r="AO86" s="474"/>
      <c r="AP86" s="474" t="str">
        <f>IF(AND('Mapa final'!$K$10="Muy Baja",'Mapa final'!$O$10="Mayor"),CONCATENATE("R",'Mapa final'!$A$10),"")</f>
        <v/>
      </c>
      <c r="AQ86" s="474"/>
      <c r="AR86" s="474" t="str">
        <f>IF(AND('Mapa final'!$K$13="Muy Baja",'Mapa final'!$O$13="Mayor"),CONCATENATE("R",'Mapa final'!$A$13),"")</f>
        <v/>
      </c>
      <c r="AS86" s="474"/>
      <c r="AT86" s="474" t="e">
        <f>IF(AND('Mapa final'!#REF!="Muy Baja",'Mapa final'!#REF!="Mayor"),CONCATENATE("R",'Mapa final'!#REF!),"")</f>
        <v>#REF!</v>
      </c>
      <c r="AU86" s="474"/>
      <c r="AV86" s="474" t="str">
        <f>IF(AND('Mapa final'!$K$16="Muy Baja",'Mapa final'!$O$16="Mayor"),CONCATENATE("R",'Mapa final'!$A$16),"")</f>
        <v/>
      </c>
      <c r="AW86" s="475"/>
      <c r="AX86" s="480" t="str">
        <f>IF(AND('Mapa final'!$K$7="Muy Baja",'Mapa final'!$O$7="Catastrófico"),CONCATENATE("R",'Mapa final'!$A$7),"")</f>
        <v/>
      </c>
      <c r="AY86" s="479"/>
      <c r="AZ86" s="479" t="str">
        <f>IF(AND('Mapa final'!$K$10="Muy Baja",'Mapa final'!$O$10="Catastrófico"),CONCATENATE("R",'Mapa final'!$A$10),"")</f>
        <v/>
      </c>
      <c r="BA86" s="479"/>
      <c r="BB86" s="479" t="str">
        <f>IF(AND('Mapa final'!$K$13="Muy Baja",'Mapa final'!$O$13="Catastrófico"),CONCATENATE("R",'Mapa final'!$A$13),"")</f>
        <v/>
      </c>
      <c r="BC86" s="479"/>
      <c r="BD86" s="479" t="e">
        <f>IF(AND('Mapa final'!#REF!="Muy Baja",'Mapa final'!#REF!="Catastrófico"),CONCATENATE("R",'Mapa final'!#REF!),"")</f>
        <v>#REF!</v>
      </c>
      <c r="BE86" s="479"/>
      <c r="BF86" s="479" t="str">
        <f>IF(AND('Mapa final'!$K$16="Muy Baja",'Mapa final'!$O$16="Catastrófico"),CONCATENATE("R",'Mapa final'!$A$16),"")</f>
        <v/>
      </c>
      <c r="BG86" s="536"/>
      <c r="BH86" s="56"/>
      <c r="BI86" s="516"/>
      <c r="BJ86" s="517"/>
      <c r="BK86" s="517"/>
      <c r="BL86" s="517"/>
      <c r="BM86" s="517"/>
      <c r="BN86" s="518"/>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35">
      <c r="A87" s="56"/>
      <c r="B87" s="300"/>
      <c r="C87" s="300"/>
      <c r="D87" s="301"/>
      <c r="E87" s="524"/>
      <c r="F87" s="525"/>
      <c r="G87" s="525"/>
      <c r="H87" s="525"/>
      <c r="I87" s="530"/>
      <c r="J87" s="452"/>
      <c r="K87" s="453"/>
      <c r="L87" s="453"/>
      <c r="M87" s="453"/>
      <c r="N87" s="453"/>
      <c r="O87" s="453"/>
      <c r="P87" s="453"/>
      <c r="Q87" s="453"/>
      <c r="R87" s="453"/>
      <c r="S87" s="454"/>
      <c r="T87" s="452"/>
      <c r="U87" s="453"/>
      <c r="V87" s="453"/>
      <c r="W87" s="453"/>
      <c r="X87" s="453"/>
      <c r="Y87" s="453"/>
      <c r="Z87" s="453"/>
      <c r="AA87" s="453"/>
      <c r="AB87" s="453"/>
      <c r="AC87" s="454"/>
      <c r="AD87" s="460"/>
      <c r="AE87" s="458"/>
      <c r="AF87" s="458"/>
      <c r="AG87" s="458"/>
      <c r="AH87" s="458"/>
      <c r="AI87" s="458"/>
      <c r="AJ87" s="458"/>
      <c r="AK87" s="458"/>
      <c r="AL87" s="458"/>
      <c r="AM87" s="459"/>
      <c r="AN87" s="463"/>
      <c r="AO87" s="461"/>
      <c r="AP87" s="461"/>
      <c r="AQ87" s="461"/>
      <c r="AR87" s="461"/>
      <c r="AS87" s="461"/>
      <c r="AT87" s="461"/>
      <c r="AU87" s="461"/>
      <c r="AV87" s="461"/>
      <c r="AW87" s="462"/>
      <c r="AX87" s="457"/>
      <c r="AY87" s="455"/>
      <c r="AZ87" s="455"/>
      <c r="BA87" s="455"/>
      <c r="BB87" s="455"/>
      <c r="BC87" s="455"/>
      <c r="BD87" s="455"/>
      <c r="BE87" s="455"/>
      <c r="BF87" s="455"/>
      <c r="BG87" s="456"/>
      <c r="BH87" s="56"/>
      <c r="BI87" s="516"/>
      <c r="BJ87" s="517"/>
      <c r="BK87" s="517"/>
      <c r="BL87" s="517"/>
      <c r="BM87" s="517"/>
      <c r="BN87" s="518"/>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35">
      <c r="A88" s="56"/>
      <c r="B88" s="300"/>
      <c r="C88" s="300"/>
      <c r="D88" s="301"/>
      <c r="E88" s="524"/>
      <c r="F88" s="525"/>
      <c r="G88" s="525"/>
      <c r="H88" s="525"/>
      <c r="I88" s="530"/>
      <c r="J88" s="452" t="str">
        <f>IF(AND('Mapa final'!$K$19="Muy Baja",'Mapa final'!$O$19="Leve"),CONCATENATE("R",'Mapa final'!$A$19),"")</f>
        <v/>
      </c>
      <c r="K88" s="453"/>
      <c r="L88" s="453" t="str">
        <f>IF(AND('Mapa final'!$K$22="Muy Baja",'Mapa final'!$O$22="Leve"),CONCATENATE("R",'Mapa final'!$A$22),"")</f>
        <v/>
      </c>
      <c r="M88" s="453"/>
      <c r="N88" s="453" t="str">
        <f>IF(AND('Mapa final'!$K$25="Muy Baja",'Mapa final'!$O$25="Leve"),CONCATENATE("R",'Mapa final'!$A$25),"")</f>
        <v/>
      </c>
      <c r="O88" s="453"/>
      <c r="P88" s="453" t="str">
        <f>IF(AND('Mapa final'!$K$28="Muy Baja",'Mapa final'!$O$28="Leve"),CONCATENATE("R",'Mapa final'!$A$28),"")</f>
        <v/>
      </c>
      <c r="Q88" s="453"/>
      <c r="R88" s="453" t="str">
        <f>IF(AND('Mapa final'!$K$31="Muy Baja",'Mapa final'!$O$31="Leve"),CONCATENATE("R",'Mapa final'!$A$31),"")</f>
        <v/>
      </c>
      <c r="S88" s="454"/>
      <c r="T88" s="452" t="str">
        <f>IF(AND('Mapa final'!$K$19="Muy Baja",'Mapa final'!$O$19="Menor"),CONCATENATE("R",'Mapa final'!$A$19),"")</f>
        <v/>
      </c>
      <c r="U88" s="453"/>
      <c r="V88" s="453" t="str">
        <f>IF(AND('Mapa final'!$K$22="Muy Baja",'Mapa final'!$O$22="Menor"),CONCATENATE("R",'Mapa final'!$A$22),"")</f>
        <v/>
      </c>
      <c r="W88" s="453"/>
      <c r="X88" s="453" t="str">
        <f>IF(AND('Mapa final'!$K$25="Muy Baja",'Mapa final'!$O$25="Menor"),CONCATENATE("R",'Mapa final'!$A$25),"")</f>
        <v/>
      </c>
      <c r="Y88" s="453"/>
      <c r="Z88" s="453" t="str">
        <f>IF(AND('Mapa final'!$K$28="Muy Baja",'Mapa final'!$O$28="Menor"),CONCATENATE("R",'Mapa final'!$A$28),"")</f>
        <v/>
      </c>
      <c r="AA88" s="453"/>
      <c r="AB88" s="453" t="str">
        <f>IF(AND('Mapa final'!$K$31="Muy Baja",'Mapa final'!$O$31="Menor"),CONCATENATE("R",'Mapa final'!$A$31),"")</f>
        <v/>
      </c>
      <c r="AC88" s="454"/>
      <c r="AD88" s="460" t="str">
        <f>IF(AND('Mapa final'!$K$19="Muy Baja",'Mapa final'!$O$19="Moderado"),CONCATENATE("R",'Mapa final'!$A$19),"")</f>
        <v>R5</v>
      </c>
      <c r="AE88" s="458"/>
      <c r="AF88" s="458" t="str">
        <f>IF(AND('Mapa final'!$K$22="Muy Baja",'Mapa final'!$O$22="Moderado"),CONCATENATE("R",'Mapa final'!$A$22),"")</f>
        <v>R6</v>
      </c>
      <c r="AG88" s="458"/>
      <c r="AH88" s="458" t="str">
        <f>IF(AND('Mapa final'!$K$25="Muy Baja",'Mapa final'!$O$25="Moderado"),CONCATENATE("R",'Mapa final'!$A$25),"")</f>
        <v/>
      </c>
      <c r="AI88" s="458"/>
      <c r="AJ88" s="458" t="str">
        <f>IF(AND('Mapa final'!$K$28="Muy Baja",'Mapa final'!$O$28="Moderado"),CONCATENATE("R",'Mapa final'!$A$28),"")</f>
        <v/>
      </c>
      <c r="AK88" s="458"/>
      <c r="AL88" s="458" t="str">
        <f>IF(AND('Mapa final'!$K$31="Muy Baja",'Mapa final'!$O$31="Moderado"),CONCATENATE("R",'Mapa final'!$A$31),"")</f>
        <v/>
      </c>
      <c r="AM88" s="459"/>
      <c r="AN88" s="463" t="str">
        <f>IF(AND('Mapa final'!$K$19="Muy Baja",'Mapa final'!$O$19="Mayor"),CONCATENATE("R",'Mapa final'!$A$19),"")</f>
        <v/>
      </c>
      <c r="AO88" s="461"/>
      <c r="AP88" s="461" t="str">
        <f>IF(AND('Mapa final'!$K$22="Muy Baja",'Mapa final'!$O$22="Mayor"),CONCATENATE("R",'Mapa final'!$A$22),"")</f>
        <v/>
      </c>
      <c r="AQ88" s="461"/>
      <c r="AR88" s="461" t="str">
        <f>IF(AND('Mapa final'!$K$25="Muy Baja",'Mapa final'!$O$25="Mayor"),CONCATENATE("R",'Mapa final'!$A$25),"")</f>
        <v/>
      </c>
      <c r="AS88" s="461"/>
      <c r="AT88" s="461" t="str">
        <f>IF(AND('Mapa final'!$K$28="Muy Baja",'Mapa final'!$O$28="Mayor"),CONCATENATE("R",'Mapa final'!$A$28),"")</f>
        <v/>
      </c>
      <c r="AU88" s="461"/>
      <c r="AV88" s="461" t="str">
        <f>IF(AND('Mapa final'!$K$31="Muy Baja",'Mapa final'!$O$31="Mayor"),CONCATENATE("R",'Mapa final'!$A$31),"")</f>
        <v/>
      </c>
      <c r="AW88" s="462"/>
      <c r="AX88" s="457" t="str">
        <f>IF(AND('Mapa final'!$K$19="Muy Baja",'Mapa final'!$O$19="Catastrófico"),CONCATENATE("R",'Mapa final'!$A$19),"")</f>
        <v/>
      </c>
      <c r="AY88" s="455"/>
      <c r="AZ88" s="455" t="str">
        <f>IF(AND('Mapa final'!$K$22="Muy Baja",'Mapa final'!$O$22="Catastrófico"),CONCATENATE("R",'Mapa final'!$A$22),"")</f>
        <v/>
      </c>
      <c r="BA88" s="455"/>
      <c r="BB88" s="455" t="str">
        <f>IF(AND('Mapa final'!$K$25="Muy Baja",'Mapa final'!$O$25="Catastrófico"),CONCATENATE("R",'Mapa final'!$A$25),"")</f>
        <v/>
      </c>
      <c r="BC88" s="455"/>
      <c r="BD88" s="455" t="str">
        <f>IF(AND('Mapa final'!$K$28="Muy Baja",'Mapa final'!$O$28="Catastrófico"),CONCATENATE("R",'Mapa final'!$A$28),"")</f>
        <v/>
      </c>
      <c r="BE88" s="455"/>
      <c r="BF88" s="455" t="str">
        <f>IF(AND('Mapa final'!$K$31="Muy Baja",'Mapa final'!$O$31="Catastrófico"),CONCATENATE("R",'Mapa final'!$A$31),"")</f>
        <v/>
      </c>
      <c r="BG88" s="456"/>
      <c r="BH88" s="56"/>
      <c r="BI88" s="516"/>
      <c r="BJ88" s="517"/>
      <c r="BK88" s="517"/>
      <c r="BL88" s="517"/>
      <c r="BM88" s="517"/>
      <c r="BN88" s="518"/>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35">
      <c r="A89" s="56"/>
      <c r="B89" s="300"/>
      <c r="C89" s="300"/>
      <c r="D89" s="301"/>
      <c r="E89" s="524"/>
      <c r="F89" s="525"/>
      <c r="G89" s="525"/>
      <c r="H89" s="525"/>
      <c r="I89" s="530"/>
      <c r="J89" s="452"/>
      <c r="K89" s="453"/>
      <c r="L89" s="453"/>
      <c r="M89" s="453"/>
      <c r="N89" s="453"/>
      <c r="O89" s="453"/>
      <c r="P89" s="453"/>
      <c r="Q89" s="453"/>
      <c r="R89" s="453"/>
      <c r="S89" s="454"/>
      <c r="T89" s="452"/>
      <c r="U89" s="453"/>
      <c r="V89" s="453"/>
      <c r="W89" s="453"/>
      <c r="X89" s="453"/>
      <c r="Y89" s="453"/>
      <c r="Z89" s="453"/>
      <c r="AA89" s="453"/>
      <c r="AB89" s="453"/>
      <c r="AC89" s="454"/>
      <c r="AD89" s="460"/>
      <c r="AE89" s="458"/>
      <c r="AF89" s="458"/>
      <c r="AG89" s="458"/>
      <c r="AH89" s="458"/>
      <c r="AI89" s="458"/>
      <c r="AJ89" s="458"/>
      <c r="AK89" s="458"/>
      <c r="AL89" s="458"/>
      <c r="AM89" s="459"/>
      <c r="AN89" s="463"/>
      <c r="AO89" s="461"/>
      <c r="AP89" s="461"/>
      <c r="AQ89" s="461"/>
      <c r="AR89" s="461"/>
      <c r="AS89" s="461"/>
      <c r="AT89" s="461"/>
      <c r="AU89" s="461"/>
      <c r="AV89" s="461"/>
      <c r="AW89" s="462"/>
      <c r="AX89" s="457"/>
      <c r="AY89" s="455"/>
      <c r="AZ89" s="455"/>
      <c r="BA89" s="455"/>
      <c r="BB89" s="455"/>
      <c r="BC89" s="455"/>
      <c r="BD89" s="455"/>
      <c r="BE89" s="455"/>
      <c r="BF89" s="455"/>
      <c r="BG89" s="456"/>
      <c r="BH89" s="56"/>
      <c r="BI89" s="516"/>
      <c r="BJ89" s="517"/>
      <c r="BK89" s="517"/>
      <c r="BL89" s="517"/>
      <c r="BM89" s="517"/>
      <c r="BN89" s="518"/>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35">
      <c r="A90" s="56"/>
      <c r="B90" s="300"/>
      <c r="C90" s="300"/>
      <c r="D90" s="301"/>
      <c r="E90" s="524"/>
      <c r="F90" s="525"/>
      <c r="G90" s="525"/>
      <c r="H90" s="525"/>
      <c r="I90" s="530"/>
      <c r="J90" s="452" t="str">
        <f>IF(AND('Mapa final'!$K$34="Muy Baja",'Mapa final'!$O$34="Leve"),CONCATENATE("R",'Mapa final'!$A$34),"")</f>
        <v/>
      </c>
      <c r="K90" s="453"/>
      <c r="L90" s="453" t="str">
        <f>IF(AND('Mapa final'!$K$37="Muy Baja",'Mapa final'!$O$37="Leve"),CONCATENATE("R",'Mapa final'!$A$37),"")</f>
        <v/>
      </c>
      <c r="M90" s="453"/>
      <c r="N90" s="453" t="str">
        <f>IF(AND('Mapa final'!$K$40="Muy Baja",'Mapa final'!$O$40="Leve"),CONCATENATE("R",'Mapa final'!$A$40),"")</f>
        <v/>
      </c>
      <c r="O90" s="453"/>
      <c r="P90" s="453" t="str">
        <f>IF(AND('Mapa final'!$K$43="Muy Baja",'Mapa final'!$O$43="Leve"),CONCATENATE("R",'Mapa final'!$A$43),"")</f>
        <v/>
      </c>
      <c r="Q90" s="453"/>
      <c r="R90" s="453" t="str">
        <f>IF(AND('Mapa final'!$K$46="Muy Baja",'Mapa final'!$O$46="Leve"),CONCATENATE("R",'Mapa final'!$A$46),"")</f>
        <v/>
      </c>
      <c r="S90" s="454"/>
      <c r="T90" s="452" t="str">
        <f>IF(AND('Mapa final'!$K$34="Muy Baja",'Mapa final'!$O$34="Menor"),CONCATENATE("R",'Mapa final'!$A$34),"")</f>
        <v/>
      </c>
      <c r="U90" s="453"/>
      <c r="V90" s="453" t="str">
        <f>IF(AND('Mapa final'!$K$37="Muy Baja",'Mapa final'!$O$37="Menor"),CONCATENATE("R",'Mapa final'!$A$37),"")</f>
        <v/>
      </c>
      <c r="W90" s="453"/>
      <c r="X90" s="453" t="str">
        <f>IF(AND('Mapa final'!$K$40="Muy Baja",'Mapa final'!$O$40="Menor"),CONCATENATE("R",'Mapa final'!$A$40),"")</f>
        <v/>
      </c>
      <c r="Y90" s="453"/>
      <c r="Z90" s="453" t="str">
        <f>IF(AND('Mapa final'!$K$43="Muy Baja",'Mapa final'!$O$43="Menor"),CONCATENATE("R",'Mapa final'!$A$43),"")</f>
        <v/>
      </c>
      <c r="AA90" s="453"/>
      <c r="AB90" s="453" t="str">
        <f>IF(AND('Mapa final'!$K$46="Muy Baja",'Mapa final'!$O$46="Menor"),CONCATENATE("R",'Mapa final'!$A$46),"")</f>
        <v/>
      </c>
      <c r="AC90" s="454"/>
      <c r="AD90" s="460" t="str">
        <f>IF(AND('Mapa final'!$K$34="Muy Baja",'Mapa final'!$O$34="Moderado"),CONCATENATE("R",'Mapa final'!$A$34),"")</f>
        <v/>
      </c>
      <c r="AE90" s="458"/>
      <c r="AF90" s="458" t="str">
        <f>IF(AND('Mapa final'!$K$37="Muy Baja",'Mapa final'!$O$37="Moderado"),CONCATENATE("R",'Mapa final'!$A$37),"")</f>
        <v/>
      </c>
      <c r="AG90" s="458"/>
      <c r="AH90" s="458" t="str">
        <f>IF(AND('Mapa final'!$K$40="Muy Baja",'Mapa final'!$O$40="Moderado"),CONCATENATE("R",'Mapa final'!$A$40),"")</f>
        <v>R12</v>
      </c>
      <c r="AI90" s="458"/>
      <c r="AJ90" s="458" t="str">
        <f>IF(AND('Mapa final'!$K$43="Muy Baja",'Mapa final'!$O$43="Moderado"),CONCATENATE("R",'Mapa final'!$A$43),"")</f>
        <v/>
      </c>
      <c r="AK90" s="458"/>
      <c r="AL90" s="458" t="str">
        <f>IF(AND('Mapa final'!$K$46="Muy Baja",'Mapa final'!$O$46="Moderado"),CONCATENATE("R",'Mapa final'!$A$46),"")</f>
        <v/>
      </c>
      <c r="AM90" s="459"/>
      <c r="AN90" s="463" t="str">
        <f>IF(AND('Mapa final'!$K$34="Muy Baja",'Mapa final'!$O$34="Mayor"),CONCATENATE("R",'Mapa final'!$A$34),"")</f>
        <v/>
      </c>
      <c r="AO90" s="461"/>
      <c r="AP90" s="461" t="str">
        <f>IF(AND('Mapa final'!$K$37="Muy Baja",'Mapa final'!$O$37="Mayor"),CONCATENATE("R",'Mapa final'!$A$37),"")</f>
        <v/>
      </c>
      <c r="AQ90" s="461"/>
      <c r="AR90" s="461" t="str">
        <f>IF(AND('Mapa final'!$K$40="Muy Baja",'Mapa final'!$O$40="Mayor"),CONCATENATE("R",'Mapa final'!$A$40),"")</f>
        <v/>
      </c>
      <c r="AS90" s="461"/>
      <c r="AT90" s="461" t="str">
        <f>IF(AND('Mapa final'!$K$43="Muy Baja",'Mapa final'!$O$43="Mayor"),CONCATENATE("R",'Mapa final'!$A$43),"")</f>
        <v/>
      </c>
      <c r="AU90" s="461"/>
      <c r="AV90" s="461" t="str">
        <f>IF(AND('Mapa final'!$K$46="Muy Baja",'Mapa final'!$O$46="Mayor"),CONCATENATE("R",'Mapa final'!$A$46),"")</f>
        <v/>
      </c>
      <c r="AW90" s="462"/>
      <c r="AX90" s="457" t="str">
        <f>IF(AND('Mapa final'!$K$34="Muy Baja",'Mapa final'!$O$34="Catastrófico"),CONCATENATE("R",'Mapa final'!$A$34),"")</f>
        <v/>
      </c>
      <c r="AY90" s="455"/>
      <c r="AZ90" s="455" t="str">
        <f>IF(AND('Mapa final'!$K$37="Muy Baja",'Mapa final'!$O$37="Catastrófico"),CONCATENATE("R",'Mapa final'!$A$37),"")</f>
        <v/>
      </c>
      <c r="BA90" s="455"/>
      <c r="BB90" s="455" t="str">
        <f>IF(AND('Mapa final'!$K$40="Muy Baja",'Mapa final'!$O$40="Catastrófico"),CONCATENATE("R",'Mapa final'!$A$40),"")</f>
        <v/>
      </c>
      <c r="BC90" s="455"/>
      <c r="BD90" s="455" t="str">
        <f>IF(AND('Mapa final'!$K$43="Muy Baja",'Mapa final'!$O$43="Catastrófico"),CONCATENATE("R",'Mapa final'!$A$43),"")</f>
        <v/>
      </c>
      <c r="BE90" s="455"/>
      <c r="BF90" s="455" t="str">
        <f>IF(AND('Mapa final'!$K$46="Muy Baja",'Mapa final'!$O$46="Catastrófico"),CONCATENATE("R",'Mapa final'!$A$46),"")</f>
        <v/>
      </c>
      <c r="BG90" s="456"/>
      <c r="BH90" s="56"/>
      <c r="BI90" s="516"/>
      <c r="BJ90" s="517"/>
      <c r="BK90" s="517"/>
      <c r="BL90" s="517"/>
      <c r="BM90" s="517"/>
      <c r="BN90" s="518"/>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35">
      <c r="A91" s="56"/>
      <c r="B91" s="300"/>
      <c r="C91" s="300"/>
      <c r="D91" s="301"/>
      <c r="E91" s="524"/>
      <c r="F91" s="525"/>
      <c r="G91" s="525"/>
      <c r="H91" s="525"/>
      <c r="I91" s="530"/>
      <c r="J91" s="452"/>
      <c r="K91" s="453"/>
      <c r="L91" s="453"/>
      <c r="M91" s="453"/>
      <c r="N91" s="453"/>
      <c r="O91" s="453"/>
      <c r="P91" s="453"/>
      <c r="Q91" s="453"/>
      <c r="R91" s="453"/>
      <c r="S91" s="454"/>
      <c r="T91" s="452"/>
      <c r="U91" s="453"/>
      <c r="V91" s="453"/>
      <c r="W91" s="453"/>
      <c r="X91" s="453"/>
      <c r="Y91" s="453"/>
      <c r="Z91" s="453"/>
      <c r="AA91" s="453"/>
      <c r="AB91" s="453"/>
      <c r="AC91" s="454"/>
      <c r="AD91" s="460"/>
      <c r="AE91" s="458"/>
      <c r="AF91" s="458"/>
      <c r="AG91" s="458"/>
      <c r="AH91" s="458"/>
      <c r="AI91" s="458"/>
      <c r="AJ91" s="458"/>
      <c r="AK91" s="458"/>
      <c r="AL91" s="458"/>
      <c r="AM91" s="459"/>
      <c r="AN91" s="463"/>
      <c r="AO91" s="461"/>
      <c r="AP91" s="461"/>
      <c r="AQ91" s="461"/>
      <c r="AR91" s="461"/>
      <c r="AS91" s="461"/>
      <c r="AT91" s="461"/>
      <c r="AU91" s="461"/>
      <c r="AV91" s="461"/>
      <c r="AW91" s="462"/>
      <c r="AX91" s="457"/>
      <c r="AY91" s="455"/>
      <c r="AZ91" s="455"/>
      <c r="BA91" s="455"/>
      <c r="BB91" s="455"/>
      <c r="BC91" s="455"/>
      <c r="BD91" s="455"/>
      <c r="BE91" s="455"/>
      <c r="BF91" s="455"/>
      <c r="BG91" s="456"/>
      <c r="BH91" s="56"/>
      <c r="BI91" s="516"/>
      <c r="BJ91" s="517"/>
      <c r="BK91" s="517"/>
      <c r="BL91" s="517"/>
      <c r="BM91" s="517"/>
      <c r="BN91" s="518"/>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35">
      <c r="A92" s="56"/>
      <c r="B92" s="300"/>
      <c r="C92" s="300"/>
      <c r="D92" s="301"/>
      <c r="E92" s="524"/>
      <c r="F92" s="525"/>
      <c r="G92" s="525"/>
      <c r="H92" s="525"/>
      <c r="I92" s="530"/>
      <c r="J92" s="452" t="str">
        <f>IF(AND('Mapa final'!$K$49="Muy Baja",'Mapa final'!$O$49="Leve"),CONCATENATE("R",'Mapa final'!$A$49),"")</f>
        <v/>
      </c>
      <c r="K92" s="453"/>
      <c r="L92" s="453" t="str">
        <f>IF(AND('Mapa final'!$K$52="Muy Baja",'Mapa final'!$O$52="Leve"),CONCATENATE("R",'Mapa final'!$A$52),"")</f>
        <v/>
      </c>
      <c r="M92" s="453"/>
      <c r="N92" s="453" t="str">
        <f>IF(AND('Mapa final'!$K$55="Muy Baja",'Mapa final'!$O$55="Leve"),CONCATENATE("R",'Mapa final'!$A$55),"")</f>
        <v/>
      </c>
      <c r="O92" s="453"/>
      <c r="P92" s="453" t="str">
        <f>IF(AND('Mapa final'!$K$58="Muy Baja",'Mapa final'!$O$58="Leve"),CONCATENATE("R",'Mapa final'!$A$58),"")</f>
        <v/>
      </c>
      <c r="Q92" s="453"/>
      <c r="R92" s="453" t="str">
        <f>IF(AND('Mapa final'!$K$61="Muy Baja",'Mapa final'!$O$61="Leve"),CONCATENATE("R",'Mapa final'!$A$61),"")</f>
        <v/>
      </c>
      <c r="S92" s="454"/>
      <c r="T92" s="452" t="str">
        <f>IF(AND('Mapa final'!$K$49="Muy Baja",'Mapa final'!$O$49="Menor"),CONCATENATE("R",'Mapa final'!$A$49),"")</f>
        <v/>
      </c>
      <c r="U92" s="453"/>
      <c r="V92" s="453" t="str">
        <f>IF(AND('Mapa final'!$K$52="Muy Baja",'Mapa final'!$O$52="Menor"),CONCATENATE("R",'Mapa final'!$A$52),"")</f>
        <v/>
      </c>
      <c r="W92" s="453"/>
      <c r="X92" s="453" t="str">
        <f>IF(AND('Mapa final'!$K$55="Muy Baja",'Mapa final'!$O$55="Menor"),CONCATENATE("R",'Mapa final'!$A$55),"")</f>
        <v/>
      </c>
      <c r="Y92" s="453"/>
      <c r="Z92" s="453" t="str">
        <f>IF(AND('Mapa final'!$K$58="Muy Baja",'Mapa final'!$O$58="Menor"),CONCATENATE("R",'Mapa final'!$A$58),"")</f>
        <v/>
      </c>
      <c r="AA92" s="453"/>
      <c r="AB92" s="453" t="str">
        <f>IF(AND('Mapa final'!$K$61="Muy Baja",'Mapa final'!$O$61="Menor"),CONCATENATE("R",'Mapa final'!$A$61),"")</f>
        <v/>
      </c>
      <c r="AC92" s="454"/>
      <c r="AD92" s="460" t="str">
        <f>IF(AND('Mapa final'!$K$49="Muy Baja",'Mapa final'!$O$49="Moderado"),CONCATENATE("R",'Mapa final'!$A$49),"")</f>
        <v/>
      </c>
      <c r="AE92" s="458"/>
      <c r="AF92" s="458" t="str">
        <f>IF(AND('Mapa final'!$K$52="Muy Baja",'Mapa final'!$O$52="Moderado"),CONCATENATE("R",'Mapa final'!$A$52),"")</f>
        <v/>
      </c>
      <c r="AG92" s="458"/>
      <c r="AH92" s="458" t="str">
        <f>IF(AND('Mapa final'!$K$55="Muy Baja",'Mapa final'!$O$55="Moderado"),CONCATENATE("R",'Mapa final'!$A$55),"")</f>
        <v/>
      </c>
      <c r="AI92" s="458"/>
      <c r="AJ92" s="458" t="str">
        <f>IF(AND('Mapa final'!$K$58="Muy Baja",'Mapa final'!$O$58="Moderado"),CONCATENATE("R",'Mapa final'!$A$58),"")</f>
        <v/>
      </c>
      <c r="AK92" s="458"/>
      <c r="AL92" s="458" t="str">
        <f>IF(AND('Mapa final'!$K$61="Muy Baja",'Mapa final'!$O$61="Moderado"),CONCATENATE("R",'Mapa final'!$A$61),"")</f>
        <v/>
      </c>
      <c r="AM92" s="459"/>
      <c r="AN92" s="463" t="str">
        <f>IF(AND('Mapa final'!$K$49="Muy Baja",'Mapa final'!$O$49="Mayor"),CONCATENATE("R",'Mapa final'!$A$49),"")</f>
        <v/>
      </c>
      <c r="AO92" s="461"/>
      <c r="AP92" s="461" t="str">
        <f>IF(AND('Mapa final'!$K$52="Muy Baja",'Mapa final'!$O$52="Mayor"),CONCATENATE("R",'Mapa final'!$A$52),"")</f>
        <v/>
      </c>
      <c r="AQ92" s="461"/>
      <c r="AR92" s="461" t="str">
        <f>IF(AND('Mapa final'!$K$55="Muy Baja",'Mapa final'!$O$55="Mayor"),CONCATENATE("R",'Mapa final'!$A$55),"")</f>
        <v/>
      </c>
      <c r="AS92" s="461"/>
      <c r="AT92" s="461" t="str">
        <f>IF(AND('Mapa final'!$K$58="Muy Baja",'Mapa final'!$O$58="Mayor"),CONCATENATE("R",'Mapa final'!$A$58),"")</f>
        <v/>
      </c>
      <c r="AU92" s="461"/>
      <c r="AV92" s="461" t="str">
        <f>IF(AND('Mapa final'!$K$61="Muy Baja",'Mapa final'!$O$61="Mayor"),CONCATENATE("R",'Mapa final'!$A$61),"")</f>
        <v/>
      </c>
      <c r="AW92" s="462"/>
      <c r="AX92" s="457" t="str">
        <f>IF(AND('Mapa final'!$K$49="Muy Baja",'Mapa final'!$O$49="Catastrófico"),CONCATENATE("R",'Mapa final'!$A$49),"")</f>
        <v/>
      </c>
      <c r="AY92" s="455"/>
      <c r="AZ92" s="455" t="str">
        <f>IF(AND('Mapa final'!$K$52="Muy Baja",'Mapa final'!$O$52="Catastrófico"),CONCATENATE("R",'Mapa final'!$A$52),"")</f>
        <v/>
      </c>
      <c r="BA92" s="455"/>
      <c r="BB92" s="455" t="str">
        <f>IF(AND('Mapa final'!$K$55="Muy Baja",'Mapa final'!$O$55="Catastrófico"),CONCATENATE("R",'Mapa final'!$A$55),"")</f>
        <v/>
      </c>
      <c r="BC92" s="455"/>
      <c r="BD92" s="455" t="str">
        <f>IF(AND('Mapa final'!$K$58="Muy Baja",'Mapa final'!$O$58="Catastrófico"),CONCATENATE("R",'Mapa final'!$A$58),"")</f>
        <v/>
      </c>
      <c r="BE92" s="455"/>
      <c r="BF92" s="455" t="str">
        <f>IF(AND('Mapa final'!$K$61="Muy Baja",'Mapa final'!$O$61="Catastrófico"),CONCATENATE("R",'Mapa final'!$A$61),"")</f>
        <v/>
      </c>
      <c r="BG92" s="456"/>
      <c r="BH92" s="56"/>
      <c r="BI92" s="516"/>
      <c r="BJ92" s="517"/>
      <c r="BK92" s="517"/>
      <c r="BL92" s="517"/>
      <c r="BM92" s="517"/>
      <c r="BN92" s="518"/>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35">
      <c r="A93" s="56"/>
      <c r="B93" s="300"/>
      <c r="C93" s="300"/>
      <c r="D93" s="301"/>
      <c r="E93" s="524"/>
      <c r="F93" s="525"/>
      <c r="G93" s="525"/>
      <c r="H93" s="525"/>
      <c r="I93" s="530"/>
      <c r="J93" s="452"/>
      <c r="K93" s="453"/>
      <c r="L93" s="453"/>
      <c r="M93" s="453"/>
      <c r="N93" s="453"/>
      <c r="O93" s="453"/>
      <c r="P93" s="453"/>
      <c r="Q93" s="453"/>
      <c r="R93" s="453"/>
      <c r="S93" s="454"/>
      <c r="T93" s="452"/>
      <c r="U93" s="453"/>
      <c r="V93" s="453"/>
      <c r="W93" s="453"/>
      <c r="X93" s="453"/>
      <c r="Y93" s="453"/>
      <c r="Z93" s="453"/>
      <c r="AA93" s="453"/>
      <c r="AB93" s="453"/>
      <c r="AC93" s="454"/>
      <c r="AD93" s="460"/>
      <c r="AE93" s="458"/>
      <c r="AF93" s="458"/>
      <c r="AG93" s="458"/>
      <c r="AH93" s="458"/>
      <c r="AI93" s="458"/>
      <c r="AJ93" s="458"/>
      <c r="AK93" s="458"/>
      <c r="AL93" s="458"/>
      <c r="AM93" s="459"/>
      <c r="AN93" s="463"/>
      <c r="AO93" s="461"/>
      <c r="AP93" s="461"/>
      <c r="AQ93" s="461"/>
      <c r="AR93" s="461"/>
      <c r="AS93" s="461"/>
      <c r="AT93" s="461"/>
      <c r="AU93" s="461"/>
      <c r="AV93" s="461"/>
      <c r="AW93" s="462"/>
      <c r="AX93" s="457"/>
      <c r="AY93" s="455"/>
      <c r="AZ93" s="455"/>
      <c r="BA93" s="455"/>
      <c r="BB93" s="455"/>
      <c r="BC93" s="455"/>
      <c r="BD93" s="455"/>
      <c r="BE93" s="455"/>
      <c r="BF93" s="455"/>
      <c r="BG93" s="456"/>
      <c r="BH93" s="56"/>
      <c r="BI93" s="516"/>
      <c r="BJ93" s="517"/>
      <c r="BK93" s="517"/>
      <c r="BL93" s="517"/>
      <c r="BM93" s="517"/>
      <c r="BN93" s="518"/>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35">
      <c r="A94" s="56"/>
      <c r="B94" s="300"/>
      <c r="C94" s="300"/>
      <c r="D94" s="301"/>
      <c r="E94" s="524"/>
      <c r="F94" s="525"/>
      <c r="G94" s="525"/>
      <c r="H94" s="525"/>
      <c r="I94" s="530"/>
      <c r="J94" s="452" t="str">
        <f>IF(AND('Mapa final'!$K$64="Muy Baja",'Mapa final'!$O$64="Leve"),CONCATENATE("R",'Mapa final'!$A$64),"")</f>
        <v/>
      </c>
      <c r="K94" s="453"/>
      <c r="L94" s="453" t="str">
        <f>IF(AND('Mapa final'!$K$67="Muy Baja",'Mapa final'!$O$67="Leve"),CONCATENATE("R",'Mapa final'!$A$67),"")</f>
        <v/>
      </c>
      <c r="M94" s="453"/>
      <c r="N94" s="453" t="str">
        <f>IF(AND('Mapa final'!$K$73="Muy Baja",'Mapa final'!$O$73="Leve"),CONCATENATE("R",'Mapa final'!$A$73),"")</f>
        <v/>
      </c>
      <c r="O94" s="453"/>
      <c r="P94" s="453" t="str">
        <f>IF(AND('Mapa final'!$K$76="Muy Baja",'Mapa final'!$O$76="Leve"),CONCATENATE("R",'Mapa final'!$A$76),"")</f>
        <v/>
      </c>
      <c r="Q94" s="453"/>
      <c r="R94" s="453" t="str">
        <f>IF(AND('Mapa final'!$K$79="Muy Baja",'Mapa final'!$O$79="Leve"),CONCATENATE("R",'Mapa final'!$A$79),"")</f>
        <v/>
      </c>
      <c r="S94" s="454"/>
      <c r="T94" s="452" t="str">
        <f>IF(AND('Mapa final'!$K$64="Muy Baja",'Mapa final'!$O$64="Menor"),CONCATENATE("R",'Mapa final'!$A$64),"")</f>
        <v/>
      </c>
      <c r="U94" s="453"/>
      <c r="V94" s="453" t="str">
        <f>IF(AND('Mapa final'!$K$67="Muy Baja",'Mapa final'!$O$67="Menor"),CONCATENATE("R",'Mapa final'!$A$67),"")</f>
        <v/>
      </c>
      <c r="W94" s="453"/>
      <c r="X94" s="453" t="str">
        <f>IF(AND('Mapa final'!$K$73="Muy Baja",'Mapa final'!$O$73="Menor"),CONCATENATE("R",'Mapa final'!$A$73),"")</f>
        <v/>
      </c>
      <c r="Y94" s="453"/>
      <c r="Z94" s="453" t="str">
        <f>IF(AND('Mapa final'!$K$76="Muy Baja",'Mapa final'!$O$76="Menor"),CONCATENATE("R",'Mapa final'!$A$76),"")</f>
        <v/>
      </c>
      <c r="AA94" s="453"/>
      <c r="AB94" s="453" t="str">
        <f>IF(AND('Mapa final'!$K$79="Muy Baja",'Mapa final'!$O$79="Menor"),CONCATENATE("R",'Mapa final'!$A$79),"")</f>
        <v/>
      </c>
      <c r="AC94" s="454"/>
      <c r="AD94" s="460" t="str">
        <f>IF(AND('Mapa final'!$K$64="Muy Baja",'Mapa final'!$O$64="Moderado"),CONCATENATE("R",'Mapa final'!$A$64),"")</f>
        <v/>
      </c>
      <c r="AE94" s="458"/>
      <c r="AF94" s="458" t="str">
        <f>IF(AND('Mapa final'!$K$67="Muy Baja",'Mapa final'!$O$67="Moderado"),CONCATENATE("R",'Mapa final'!$A$67),"")</f>
        <v/>
      </c>
      <c r="AG94" s="458"/>
      <c r="AH94" s="458" t="str">
        <f>IF(AND('Mapa final'!$K$73="Muy Baja",'Mapa final'!$O$73="Moderado"),CONCATENATE("R",'Mapa final'!$A$73),"")</f>
        <v/>
      </c>
      <c r="AI94" s="458"/>
      <c r="AJ94" s="458" t="str">
        <f>IF(AND('Mapa final'!$K$76="Muy Baja",'Mapa final'!$O$76="Moderado"),CONCATENATE("R",'Mapa final'!$A$76),"")</f>
        <v/>
      </c>
      <c r="AK94" s="458"/>
      <c r="AL94" s="458" t="str">
        <f>IF(AND('Mapa final'!$K$79="Muy Baja",'Mapa final'!$O$79="Moderado"),CONCATENATE("R",'Mapa final'!$A$79),"")</f>
        <v/>
      </c>
      <c r="AM94" s="459"/>
      <c r="AN94" s="463" t="str">
        <f>IF(AND('Mapa final'!$K$64="Muy Baja",'Mapa final'!$O$64="Mayor"),CONCATENATE("R",'Mapa final'!$A$64),"")</f>
        <v/>
      </c>
      <c r="AO94" s="461"/>
      <c r="AP94" s="461" t="str">
        <f>IF(AND('Mapa final'!$K$67="Muy Baja",'Mapa final'!$O$67="Mayor"),CONCATENATE("R",'Mapa final'!$A$67),"")</f>
        <v/>
      </c>
      <c r="AQ94" s="461"/>
      <c r="AR94" s="461" t="str">
        <f>IF(AND('Mapa final'!$K$73="Muy Baja",'Mapa final'!$O$73="Mayor"),CONCATENATE("R",'Mapa final'!$A$73),"")</f>
        <v/>
      </c>
      <c r="AS94" s="461"/>
      <c r="AT94" s="461" t="str">
        <f>IF(AND('Mapa final'!$K$76="Muy Baja",'Mapa final'!$O$76="Mayor"),CONCATENATE("R",'Mapa final'!$A$76),"")</f>
        <v/>
      </c>
      <c r="AU94" s="461"/>
      <c r="AV94" s="461" t="str">
        <f>IF(AND('Mapa final'!$K$79="Muy Baja",'Mapa final'!$O$79="Mayor"),CONCATENATE("R",'Mapa final'!$A$79),"")</f>
        <v/>
      </c>
      <c r="AW94" s="462"/>
      <c r="AX94" s="457" t="str">
        <f>IF(AND('Mapa final'!$K$64="Muy Baja",'Mapa final'!$O$64="Catastrófico"),CONCATENATE("R",'Mapa final'!$A$64),"")</f>
        <v/>
      </c>
      <c r="AY94" s="455"/>
      <c r="AZ94" s="455" t="str">
        <f>IF(AND('Mapa final'!$K$67="Muy Baja",'Mapa final'!$O$67="Catastrófico"),CONCATENATE("R",'Mapa final'!$A$67),"")</f>
        <v/>
      </c>
      <c r="BA94" s="455"/>
      <c r="BB94" s="455" t="str">
        <f>IF(AND('Mapa final'!$K$73="Muy Baja",'Mapa final'!$O$73="Catastrófico"),CONCATENATE("R",'Mapa final'!$A$73),"")</f>
        <v/>
      </c>
      <c r="BC94" s="455"/>
      <c r="BD94" s="455" t="str">
        <f>IF(AND('Mapa final'!$K$76="Muy Baja",'Mapa final'!$O$76="Catastrófico"),CONCATENATE("R",'Mapa final'!$A$76),"")</f>
        <v/>
      </c>
      <c r="BE94" s="455"/>
      <c r="BF94" s="455" t="str">
        <f>IF(AND('Mapa final'!$K$79="Muy Baja",'Mapa final'!$O$79="Catastrófico"),CONCATENATE("R",'Mapa final'!$A$79),"")</f>
        <v/>
      </c>
      <c r="BG94" s="456"/>
      <c r="BH94" s="56"/>
      <c r="BI94" s="516"/>
      <c r="BJ94" s="517"/>
      <c r="BK94" s="517"/>
      <c r="BL94" s="517"/>
      <c r="BM94" s="517"/>
      <c r="BN94" s="518"/>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35">
      <c r="A95" s="56"/>
      <c r="B95" s="300"/>
      <c r="C95" s="300"/>
      <c r="D95" s="301"/>
      <c r="E95" s="524"/>
      <c r="F95" s="525"/>
      <c r="G95" s="525"/>
      <c r="H95" s="525"/>
      <c r="I95" s="530"/>
      <c r="J95" s="452"/>
      <c r="K95" s="453"/>
      <c r="L95" s="453"/>
      <c r="M95" s="453"/>
      <c r="N95" s="453"/>
      <c r="O95" s="453"/>
      <c r="P95" s="453"/>
      <c r="Q95" s="453"/>
      <c r="R95" s="453"/>
      <c r="S95" s="454"/>
      <c r="T95" s="452"/>
      <c r="U95" s="453"/>
      <c r="V95" s="453"/>
      <c r="W95" s="453"/>
      <c r="X95" s="453"/>
      <c r="Y95" s="453"/>
      <c r="Z95" s="453"/>
      <c r="AA95" s="453"/>
      <c r="AB95" s="453"/>
      <c r="AC95" s="454"/>
      <c r="AD95" s="460"/>
      <c r="AE95" s="458"/>
      <c r="AF95" s="458"/>
      <c r="AG95" s="458"/>
      <c r="AH95" s="458"/>
      <c r="AI95" s="458"/>
      <c r="AJ95" s="458"/>
      <c r="AK95" s="458"/>
      <c r="AL95" s="458"/>
      <c r="AM95" s="459"/>
      <c r="AN95" s="463"/>
      <c r="AO95" s="461"/>
      <c r="AP95" s="461"/>
      <c r="AQ95" s="461"/>
      <c r="AR95" s="461"/>
      <c r="AS95" s="461"/>
      <c r="AT95" s="461"/>
      <c r="AU95" s="461"/>
      <c r="AV95" s="461"/>
      <c r="AW95" s="462"/>
      <c r="AX95" s="457"/>
      <c r="AY95" s="455"/>
      <c r="AZ95" s="455"/>
      <c r="BA95" s="455"/>
      <c r="BB95" s="455"/>
      <c r="BC95" s="455"/>
      <c r="BD95" s="455"/>
      <c r="BE95" s="455"/>
      <c r="BF95" s="455"/>
      <c r="BG95" s="456"/>
      <c r="BH95" s="56"/>
      <c r="BI95" s="516"/>
      <c r="BJ95" s="517"/>
      <c r="BK95" s="517"/>
      <c r="BL95" s="517"/>
      <c r="BM95" s="517"/>
      <c r="BN95" s="518"/>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35">
      <c r="A96" s="56"/>
      <c r="B96" s="300"/>
      <c r="C96" s="300"/>
      <c r="D96" s="301"/>
      <c r="E96" s="524"/>
      <c r="F96" s="525"/>
      <c r="G96" s="525"/>
      <c r="H96" s="525"/>
      <c r="I96" s="530"/>
      <c r="J96" s="452" t="str">
        <f>IF(AND('Mapa final'!$K$82="Muy Baja",'Mapa final'!$O$82="Leve"),CONCATENATE("R",'Mapa final'!$A$82),"")</f>
        <v/>
      </c>
      <c r="K96" s="453"/>
      <c r="L96" s="453" t="str">
        <f>IF(AND('Mapa final'!$K$85="Muy Baja",'Mapa final'!$O$85="Leve"),CONCATENATE("R",'Mapa final'!$A$85),"")</f>
        <v/>
      </c>
      <c r="M96" s="453"/>
      <c r="N96" s="453" t="str">
        <f>IF(AND('Mapa final'!$K$88="Muy Baja",'Mapa final'!$O$88="Leve"),CONCATENATE("R",'Mapa final'!$A$88),"")</f>
        <v/>
      </c>
      <c r="O96" s="453"/>
      <c r="P96" s="453" t="str">
        <f>IF(AND('Mapa final'!$K$91="Muy Baja",'Mapa final'!$O$91="Leve"),CONCATENATE("R",'Mapa final'!$A$91),"")</f>
        <v/>
      </c>
      <c r="Q96" s="453"/>
      <c r="R96" s="453" t="str">
        <f>IF(AND('Mapa final'!$K$94="Muy Baja",'Mapa final'!$O$94="Leve"),CONCATENATE("R",'Mapa final'!$A$94),"")</f>
        <v/>
      </c>
      <c r="S96" s="454"/>
      <c r="T96" s="452" t="str">
        <f>IF(AND('Mapa final'!$K$82="Muy Baja",'Mapa final'!$O$82="Menor"),CONCATENATE("R",'Mapa final'!$A$82),"")</f>
        <v/>
      </c>
      <c r="U96" s="453"/>
      <c r="V96" s="453" t="str">
        <f>IF(AND('Mapa final'!$K$85="Muy Baja",'Mapa final'!$O$85="Menor"),CONCATENATE("R",'Mapa final'!$A$85),"")</f>
        <v/>
      </c>
      <c r="W96" s="453"/>
      <c r="X96" s="453" t="str">
        <f>IF(AND('Mapa final'!$K$88="Muy Baja",'Mapa final'!$O$88="Menor"),CONCATENATE("R",'Mapa final'!$A$88),"")</f>
        <v/>
      </c>
      <c r="Y96" s="453"/>
      <c r="Z96" s="453" t="str">
        <f>IF(AND('Mapa final'!$K$91="Muy Baja",'Mapa final'!$O$91="Menor"),CONCATENATE("R",'Mapa final'!$A$91),"")</f>
        <v/>
      </c>
      <c r="AA96" s="453"/>
      <c r="AB96" s="453" t="str">
        <f>IF(AND('Mapa final'!$K$94="Muy Baja",'Mapa final'!$O$94="Menor"),CONCATENATE("R",'Mapa final'!$A$94),"")</f>
        <v/>
      </c>
      <c r="AC96" s="454"/>
      <c r="AD96" s="460" t="str">
        <f>IF(AND('Mapa final'!$K$82="Muy Baja",'Mapa final'!$O$82="Moderado"),CONCATENATE("R",'Mapa final'!$A$82),"")</f>
        <v>R26</v>
      </c>
      <c r="AE96" s="458"/>
      <c r="AF96" s="458" t="str">
        <f>IF(AND('Mapa final'!$K$85="Muy Baja",'Mapa final'!$O$85="Moderado"),CONCATENATE("R",'Mapa final'!$A$85),"")</f>
        <v/>
      </c>
      <c r="AG96" s="458"/>
      <c r="AH96" s="458" t="str">
        <f>IF(AND('Mapa final'!$K$88="Muy Baja",'Mapa final'!$O$88="Moderado"),CONCATENATE("R",'Mapa final'!$A$88),"")</f>
        <v/>
      </c>
      <c r="AI96" s="458"/>
      <c r="AJ96" s="458" t="str">
        <f>IF(AND('Mapa final'!$K$91="Muy Baja",'Mapa final'!$O$91="Moderado"),CONCATENATE("R",'Mapa final'!$A$91),"")</f>
        <v/>
      </c>
      <c r="AK96" s="458"/>
      <c r="AL96" s="458" t="str">
        <f>IF(AND('Mapa final'!$K$94="Muy Baja",'Mapa final'!$O$94="Moderado"),CONCATENATE("R",'Mapa final'!$A$94),"")</f>
        <v/>
      </c>
      <c r="AM96" s="459"/>
      <c r="AN96" s="463" t="str">
        <f>IF(AND('Mapa final'!$K$82="Muy Baja",'Mapa final'!$O$82="Mayor"),CONCATENATE("R",'Mapa final'!$A$82),"")</f>
        <v/>
      </c>
      <c r="AO96" s="461"/>
      <c r="AP96" s="461" t="str">
        <f>IF(AND('Mapa final'!$K$85="Muy Baja",'Mapa final'!$O$85="Mayor"),CONCATENATE("R",'Mapa final'!$A$85),"")</f>
        <v/>
      </c>
      <c r="AQ96" s="461"/>
      <c r="AR96" s="461" t="str">
        <f>IF(AND('Mapa final'!$K$88="Muy Baja",'Mapa final'!$O$88="Mayor"),CONCATENATE("R",'Mapa final'!$A$88),"")</f>
        <v/>
      </c>
      <c r="AS96" s="461"/>
      <c r="AT96" s="461" t="str">
        <f>IF(AND('Mapa final'!$K$91="Muy Baja",'Mapa final'!$O$91="Mayor"),CONCATENATE("R",'Mapa final'!$A$91),"")</f>
        <v/>
      </c>
      <c r="AU96" s="461"/>
      <c r="AV96" s="461" t="str">
        <f>IF(AND('Mapa final'!$K$94="Muy Baja",'Mapa final'!$O$94="Mayor"),CONCATENATE("R",'Mapa final'!$A$94),"")</f>
        <v/>
      </c>
      <c r="AW96" s="462"/>
      <c r="AX96" s="457" t="str">
        <f>IF(AND('Mapa final'!$K$82="Muy Baja",'Mapa final'!$O$82="Catastrófico"),CONCATENATE("R",'Mapa final'!$A$82),"")</f>
        <v/>
      </c>
      <c r="AY96" s="455"/>
      <c r="AZ96" s="455" t="str">
        <f>IF(AND('Mapa final'!$K$85="Muy Baja",'Mapa final'!$O$85="Catastrófico"),CONCATENATE("R",'Mapa final'!$A$85),"")</f>
        <v/>
      </c>
      <c r="BA96" s="455"/>
      <c r="BB96" s="455" t="str">
        <f>IF(AND('Mapa final'!$K$88="Muy Baja",'Mapa final'!$O$88="Catastrófico"),CONCATENATE("R",'Mapa final'!$A$88),"")</f>
        <v/>
      </c>
      <c r="BC96" s="455"/>
      <c r="BD96" s="455" t="str">
        <f>IF(AND('Mapa final'!$K$91="Muy Baja",'Mapa final'!$O$91="Catastrófico"),CONCATENATE("R",'Mapa final'!$A$91),"")</f>
        <v/>
      </c>
      <c r="BE96" s="455"/>
      <c r="BF96" s="455" t="str">
        <f>IF(AND('Mapa final'!$K$94="Muy Baja",'Mapa final'!$O$94="Catastrófico"),CONCATENATE("R",'Mapa final'!$A$94),"")</f>
        <v/>
      </c>
      <c r="BG96" s="456"/>
      <c r="BH96" s="56"/>
      <c r="BI96" s="516"/>
      <c r="BJ96" s="517"/>
      <c r="BK96" s="517"/>
      <c r="BL96" s="517"/>
      <c r="BM96" s="517"/>
      <c r="BN96" s="518"/>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4">
      <c r="A97" s="56"/>
      <c r="B97" s="300"/>
      <c r="C97" s="300"/>
      <c r="D97" s="301"/>
      <c r="E97" s="524"/>
      <c r="F97" s="525"/>
      <c r="G97" s="525"/>
      <c r="H97" s="525"/>
      <c r="I97" s="530"/>
      <c r="J97" s="452"/>
      <c r="K97" s="453"/>
      <c r="L97" s="453"/>
      <c r="M97" s="453"/>
      <c r="N97" s="453"/>
      <c r="O97" s="453"/>
      <c r="P97" s="453"/>
      <c r="Q97" s="453"/>
      <c r="R97" s="453"/>
      <c r="S97" s="454"/>
      <c r="T97" s="452"/>
      <c r="U97" s="453"/>
      <c r="V97" s="453"/>
      <c r="W97" s="453"/>
      <c r="X97" s="453"/>
      <c r="Y97" s="453"/>
      <c r="Z97" s="453"/>
      <c r="AA97" s="453"/>
      <c r="AB97" s="453"/>
      <c r="AC97" s="454"/>
      <c r="AD97" s="460"/>
      <c r="AE97" s="458"/>
      <c r="AF97" s="458"/>
      <c r="AG97" s="458"/>
      <c r="AH97" s="458"/>
      <c r="AI97" s="458"/>
      <c r="AJ97" s="458"/>
      <c r="AK97" s="458"/>
      <c r="AL97" s="458"/>
      <c r="AM97" s="459"/>
      <c r="AN97" s="463"/>
      <c r="AO97" s="461"/>
      <c r="AP97" s="461"/>
      <c r="AQ97" s="461"/>
      <c r="AR97" s="461"/>
      <c r="AS97" s="461"/>
      <c r="AT97" s="461"/>
      <c r="AU97" s="461"/>
      <c r="AV97" s="461"/>
      <c r="AW97" s="462"/>
      <c r="AX97" s="457"/>
      <c r="AY97" s="455"/>
      <c r="AZ97" s="455"/>
      <c r="BA97" s="455"/>
      <c r="BB97" s="455"/>
      <c r="BC97" s="455"/>
      <c r="BD97" s="455"/>
      <c r="BE97" s="455"/>
      <c r="BF97" s="455"/>
      <c r="BG97" s="456"/>
      <c r="BH97" s="56"/>
      <c r="BI97" s="519"/>
      <c r="BJ97" s="520"/>
      <c r="BK97" s="520"/>
      <c r="BL97" s="520"/>
      <c r="BM97" s="520"/>
      <c r="BN97" s="521"/>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35">
      <c r="A98" s="56"/>
      <c r="B98" s="300"/>
      <c r="C98" s="300"/>
      <c r="D98" s="301"/>
      <c r="E98" s="524"/>
      <c r="F98" s="525"/>
      <c r="G98" s="525"/>
      <c r="H98" s="525"/>
      <c r="I98" s="530"/>
      <c r="J98" s="452" t="str">
        <f>IF(AND('Mapa final'!$K$97="Muy Baja",'Mapa final'!$O$97="Leve"),CONCATENATE("R",'Mapa final'!$A$97),"")</f>
        <v/>
      </c>
      <c r="K98" s="453"/>
      <c r="L98" s="453" t="e">
        <f>IF(AND('Mapa final'!#REF!="Muy Baja",'Mapa final'!#REF!="Leve"),CONCATENATE("R",'Mapa final'!#REF!),"")</f>
        <v>#REF!</v>
      </c>
      <c r="M98" s="453"/>
      <c r="N98" s="453" t="str">
        <f>IF(AND('Mapa final'!$K$100="Muy Baja",'Mapa final'!$O$100="Leve"),CONCATENATE("R",'Mapa final'!$A$100),"")</f>
        <v/>
      </c>
      <c r="O98" s="453"/>
      <c r="P98" s="453" t="str">
        <f>IF(AND('Mapa final'!$K$103="Muy Baja",'Mapa final'!$O$103="Leve"),CONCATENATE("R",'Mapa final'!$A$103),"")</f>
        <v/>
      </c>
      <c r="Q98" s="453"/>
      <c r="R98" s="453" t="str">
        <f>IF(AND('Mapa final'!$K$106="Muy Baja",'Mapa final'!$O$106="Leve"),CONCATENATE("R",'Mapa final'!$A$106),"")</f>
        <v/>
      </c>
      <c r="S98" s="454"/>
      <c r="T98" s="452" t="str">
        <f>IF(AND('Mapa final'!$K$97="Muy Baja",'Mapa final'!$O$97="Menor"),CONCATENATE("R",'Mapa final'!$A$97),"")</f>
        <v/>
      </c>
      <c r="U98" s="453"/>
      <c r="V98" s="453" t="e">
        <f>IF(AND('Mapa final'!#REF!="Muy Baja",'Mapa final'!#REF!="Menor"),CONCATENATE("R",'Mapa final'!#REF!),"")</f>
        <v>#REF!</v>
      </c>
      <c r="W98" s="453"/>
      <c r="X98" s="453" t="str">
        <f>IF(AND('Mapa final'!$K$100="Muy Baja",'Mapa final'!$O$100="Menor"),CONCATENATE("R",'Mapa final'!$A$100),"")</f>
        <v/>
      </c>
      <c r="Y98" s="453"/>
      <c r="Z98" s="453" t="str">
        <f>IF(AND('Mapa final'!$K$103="Muy Baja",'Mapa final'!$O$103="Menor"),CONCATENATE("R",'Mapa final'!$A$103),"")</f>
        <v/>
      </c>
      <c r="AA98" s="453"/>
      <c r="AB98" s="453" t="str">
        <f>IF(AND('Mapa final'!$K$106="Muy Baja",'Mapa final'!$O$106="Menor"),CONCATENATE("R",'Mapa final'!$A$106),"")</f>
        <v/>
      </c>
      <c r="AC98" s="454"/>
      <c r="AD98" s="460" t="str">
        <f>IF(AND('Mapa final'!$K$97="Muy Baja",'Mapa final'!$O$97="Moderado"),CONCATENATE("R",'Mapa final'!$A$97),"")</f>
        <v/>
      </c>
      <c r="AE98" s="458"/>
      <c r="AF98" s="458" t="e">
        <f>IF(AND('Mapa final'!#REF!="Muy Baja",'Mapa final'!#REF!="Moderado"),CONCATENATE("R",'Mapa final'!#REF!),"")</f>
        <v>#REF!</v>
      </c>
      <c r="AG98" s="458"/>
      <c r="AH98" s="458" t="str">
        <f>IF(AND('Mapa final'!$K$100="Muy Baja",'Mapa final'!$O$100="Moderado"),CONCATENATE("R",'Mapa final'!$A$100),"")</f>
        <v/>
      </c>
      <c r="AI98" s="458"/>
      <c r="AJ98" s="458" t="str">
        <f>IF(AND('Mapa final'!$K$103="Muy Baja",'Mapa final'!$O$103="Moderado"),CONCATENATE("R",'Mapa final'!$A$103),"")</f>
        <v/>
      </c>
      <c r="AK98" s="458"/>
      <c r="AL98" s="458" t="str">
        <f>IF(AND('Mapa final'!$K$106="Muy Baja",'Mapa final'!$O$106="Moderado"),CONCATENATE("R",'Mapa final'!$A$106),"")</f>
        <v/>
      </c>
      <c r="AM98" s="459"/>
      <c r="AN98" s="463" t="str">
        <f>IF(AND('Mapa final'!$K$97="Muy Baja",'Mapa final'!$O$97="Mayor"),CONCATENATE("R",'Mapa final'!$A$97),"")</f>
        <v/>
      </c>
      <c r="AO98" s="461"/>
      <c r="AP98" s="461" t="e">
        <f>IF(AND('Mapa final'!#REF!="Muy Baja",'Mapa final'!#REF!="Mayor"),CONCATENATE("R",'Mapa final'!#REF!),"")</f>
        <v>#REF!</v>
      </c>
      <c r="AQ98" s="461"/>
      <c r="AR98" s="461" t="str">
        <f>IF(AND('Mapa final'!$K$100="Muy Baja",'Mapa final'!$O$100="Mayor"),CONCATENATE("R",'Mapa final'!$A$100),"")</f>
        <v/>
      </c>
      <c r="AS98" s="461"/>
      <c r="AT98" s="461" t="str">
        <f>IF(AND('Mapa final'!$K$103="Muy Baja",'Mapa final'!$O$103="Mayor"),CONCATENATE("R",'Mapa final'!$A$103),"")</f>
        <v/>
      </c>
      <c r="AU98" s="461"/>
      <c r="AV98" s="461" t="str">
        <f>IF(AND('Mapa final'!$K$106="Muy Baja",'Mapa final'!$O$106="Mayor"),CONCATENATE("R",'Mapa final'!$A$106),"")</f>
        <v/>
      </c>
      <c r="AW98" s="462"/>
      <c r="AX98" s="457" t="str">
        <f>IF(AND('Mapa final'!$K$97="Muy Baja",'Mapa final'!$O$97="Catastrófico"),CONCATENATE("R",'Mapa final'!$A$97),"")</f>
        <v/>
      </c>
      <c r="AY98" s="455"/>
      <c r="AZ98" s="455" t="e">
        <f>IF(AND('Mapa final'!#REF!="Muy Baja",'Mapa final'!#REF!="Catastrófico"),CONCATENATE("R",'Mapa final'!#REF!),"")</f>
        <v>#REF!</v>
      </c>
      <c r="BA98" s="455"/>
      <c r="BB98" s="455" t="str">
        <f>IF(AND('Mapa final'!$K$100="Muy Baja",'Mapa final'!$O$100="Catastrófico"),CONCATENATE("R",'Mapa final'!$A$100),"")</f>
        <v/>
      </c>
      <c r="BC98" s="455"/>
      <c r="BD98" s="455" t="str">
        <f>IF(AND('Mapa final'!$K$103="Muy Baja",'Mapa final'!$O$103="Catastrófico"),CONCATENATE("R",'Mapa final'!$A$103),"")</f>
        <v/>
      </c>
      <c r="BE98" s="455"/>
      <c r="BF98" s="455" t="str">
        <f>IF(AND('Mapa final'!$K$106="Muy Baja",'Mapa final'!$O$106="Catastrófico"),CONCATENATE("R",'Mapa final'!$A$106),"")</f>
        <v/>
      </c>
      <c r="BG98" s="4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35">
      <c r="A99" s="56"/>
      <c r="B99" s="300"/>
      <c r="C99" s="300"/>
      <c r="D99" s="301"/>
      <c r="E99" s="524"/>
      <c r="F99" s="525"/>
      <c r="G99" s="525"/>
      <c r="H99" s="525"/>
      <c r="I99" s="530"/>
      <c r="J99" s="452"/>
      <c r="K99" s="453"/>
      <c r="L99" s="453"/>
      <c r="M99" s="453"/>
      <c r="N99" s="453"/>
      <c r="O99" s="453"/>
      <c r="P99" s="453"/>
      <c r="Q99" s="453"/>
      <c r="R99" s="453"/>
      <c r="S99" s="454"/>
      <c r="T99" s="452"/>
      <c r="U99" s="453"/>
      <c r="V99" s="453"/>
      <c r="W99" s="453"/>
      <c r="X99" s="453"/>
      <c r="Y99" s="453"/>
      <c r="Z99" s="453"/>
      <c r="AA99" s="453"/>
      <c r="AB99" s="453"/>
      <c r="AC99" s="454"/>
      <c r="AD99" s="460"/>
      <c r="AE99" s="458"/>
      <c r="AF99" s="458"/>
      <c r="AG99" s="458"/>
      <c r="AH99" s="458"/>
      <c r="AI99" s="458"/>
      <c r="AJ99" s="458"/>
      <c r="AK99" s="458"/>
      <c r="AL99" s="458"/>
      <c r="AM99" s="459"/>
      <c r="AN99" s="463"/>
      <c r="AO99" s="461"/>
      <c r="AP99" s="461"/>
      <c r="AQ99" s="461"/>
      <c r="AR99" s="461"/>
      <c r="AS99" s="461"/>
      <c r="AT99" s="461"/>
      <c r="AU99" s="461"/>
      <c r="AV99" s="461"/>
      <c r="AW99" s="462"/>
      <c r="AX99" s="457"/>
      <c r="AY99" s="455"/>
      <c r="AZ99" s="455"/>
      <c r="BA99" s="455"/>
      <c r="BB99" s="455"/>
      <c r="BC99" s="455"/>
      <c r="BD99" s="455"/>
      <c r="BE99" s="455"/>
      <c r="BF99" s="455"/>
      <c r="BG99" s="4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35">
      <c r="A100" s="56"/>
      <c r="B100" s="300"/>
      <c r="C100" s="300"/>
      <c r="D100" s="301"/>
      <c r="E100" s="524"/>
      <c r="F100" s="525"/>
      <c r="G100" s="525"/>
      <c r="H100" s="525"/>
      <c r="I100" s="530"/>
      <c r="J100" s="452" t="str">
        <f>IF(AND('Mapa final'!$K$109="Muy Baja",'Mapa final'!$O$109="Leve"),CONCATENATE("R",'Mapa final'!$A$109),"")</f>
        <v/>
      </c>
      <c r="K100" s="453"/>
      <c r="L100" s="453" t="str">
        <f>IF(AND('Mapa final'!$K$112="Muy Baja",'Mapa final'!$O$112="Leve"),CONCATENATE("R",'Mapa final'!$A$112),"")</f>
        <v/>
      </c>
      <c r="M100" s="453"/>
      <c r="N100" s="453" t="str">
        <f>IF(AND('Mapa final'!$K$115="Muy Baja",'Mapa final'!$O$115="Leve"),CONCATENATE("R",'Mapa final'!$A$115),"")</f>
        <v/>
      </c>
      <c r="O100" s="453"/>
      <c r="P100" s="453" t="str">
        <f>IF(AND('Mapa final'!$K$118="Muy Baja",'Mapa final'!$O$118="Leve"),CONCATENATE("R",'Mapa final'!$A$118),"")</f>
        <v/>
      </c>
      <c r="Q100" s="453"/>
      <c r="R100" s="453" t="str">
        <f>IF(AND('Mapa final'!$K$121="Muy Baja",'Mapa final'!$O$121="Leve"),CONCATENATE("R",'Mapa final'!$A$121),"")</f>
        <v/>
      </c>
      <c r="S100" s="454"/>
      <c r="T100" s="452" t="str">
        <f>IF(AND('Mapa final'!$K$109="Muy Baja",'Mapa final'!$O$109="Menor"),CONCATENATE("R",'Mapa final'!$A$109),"")</f>
        <v/>
      </c>
      <c r="U100" s="453"/>
      <c r="V100" s="453" t="str">
        <f>IF(AND('Mapa final'!$K$112="Muy Baja",'Mapa final'!$O$112="Menor"),CONCATENATE("R",'Mapa final'!$A$112),"")</f>
        <v/>
      </c>
      <c r="W100" s="453"/>
      <c r="X100" s="453" t="str">
        <f>IF(AND('Mapa final'!$K$115="Muy Baja",'Mapa final'!$O$115="Menor"),CONCATENATE("R",'Mapa final'!$A$115),"")</f>
        <v/>
      </c>
      <c r="Y100" s="453"/>
      <c r="Z100" s="453" t="str">
        <f>IF(AND('Mapa final'!$K$118="Muy Baja",'Mapa final'!$O$118="Menor"),CONCATENATE("R",'Mapa final'!$A$118),"")</f>
        <v/>
      </c>
      <c r="AA100" s="453"/>
      <c r="AB100" s="453" t="str">
        <f>IF(AND('Mapa final'!$K$121="Muy Baja",'Mapa final'!$O$121="Menor"),CONCATENATE("R",'Mapa final'!$A$121),"")</f>
        <v/>
      </c>
      <c r="AC100" s="454"/>
      <c r="AD100" s="460" t="str">
        <f>IF(AND('Mapa final'!$K$109="Muy Baja",'Mapa final'!$O$109="Moderado"),CONCATENATE("R",'Mapa final'!$A$109),"")</f>
        <v/>
      </c>
      <c r="AE100" s="458"/>
      <c r="AF100" s="458" t="str">
        <f>IF(AND('Mapa final'!$K$112="Muy Baja",'Mapa final'!$O$112="Moderado"),CONCATENATE("R",'Mapa final'!$A$112),"")</f>
        <v/>
      </c>
      <c r="AG100" s="458"/>
      <c r="AH100" s="458" t="str">
        <f>IF(AND('Mapa final'!$K$115="Muy Baja",'Mapa final'!$O$115="Moderado"),CONCATENATE("R",'Mapa final'!$A$115),"")</f>
        <v/>
      </c>
      <c r="AI100" s="458"/>
      <c r="AJ100" s="458" t="str">
        <f>IF(AND('Mapa final'!$K$118="Muy Baja",'Mapa final'!$O$118="Moderado"),CONCATENATE("R",'Mapa final'!$A$118),"")</f>
        <v/>
      </c>
      <c r="AK100" s="458"/>
      <c r="AL100" s="458" t="str">
        <f>IF(AND('Mapa final'!$K$121="Muy Baja",'Mapa final'!$O$121="Moderado"),CONCATENATE("R",'Mapa final'!$A$121),"")</f>
        <v/>
      </c>
      <c r="AM100" s="459"/>
      <c r="AN100" s="463" t="str">
        <f>IF(AND('Mapa final'!$K$109="Muy Baja",'Mapa final'!$O$109="Mayor"),CONCATENATE("R",'Mapa final'!$A$109),"")</f>
        <v/>
      </c>
      <c r="AO100" s="461"/>
      <c r="AP100" s="461" t="str">
        <f>IF(AND('Mapa final'!$K$112="Muy Baja",'Mapa final'!$O$112="Mayor"),CONCATENATE("R",'Mapa final'!$A$112),"")</f>
        <v/>
      </c>
      <c r="AQ100" s="461"/>
      <c r="AR100" s="461" t="str">
        <f>IF(AND('Mapa final'!$K$115="Muy Baja",'Mapa final'!$O$115="Mayor"),CONCATENATE("R",'Mapa final'!$A$115),"")</f>
        <v/>
      </c>
      <c r="AS100" s="461"/>
      <c r="AT100" s="461" t="str">
        <f>IF(AND('Mapa final'!$K$118="Muy Baja",'Mapa final'!$O$118="Mayor"),CONCATENATE("R",'Mapa final'!$A$118),"")</f>
        <v/>
      </c>
      <c r="AU100" s="461"/>
      <c r="AV100" s="461" t="str">
        <f>IF(AND('Mapa final'!$K$121="Muy Baja",'Mapa final'!$O$121="Mayor"),CONCATENATE("R",'Mapa final'!$A$121),"")</f>
        <v/>
      </c>
      <c r="AW100" s="462"/>
      <c r="AX100" s="457" t="str">
        <f>IF(AND('Mapa final'!$K$109="Muy Baja",'Mapa final'!$O$109="Catastrófico"),CONCATENATE("R",'Mapa final'!$A$109),"")</f>
        <v/>
      </c>
      <c r="AY100" s="455"/>
      <c r="AZ100" s="455" t="str">
        <f>IF(AND('Mapa final'!$K$112="Muy Baja",'Mapa final'!$O$112="Catastrófico"),CONCATENATE("R",'Mapa final'!$A$112),"")</f>
        <v/>
      </c>
      <c r="BA100" s="455"/>
      <c r="BB100" s="455" t="str">
        <f>IF(AND('Mapa final'!$K$115="Muy Baja",'Mapa final'!$O$115="Catastrófico"),CONCATENATE("R",'Mapa final'!$A$115),"")</f>
        <v/>
      </c>
      <c r="BC100" s="455"/>
      <c r="BD100" s="455" t="str">
        <f>IF(AND('Mapa final'!$K$118="Muy Baja",'Mapa final'!$O$118="Catastrófico"),CONCATENATE("R",'Mapa final'!$A$118),"")</f>
        <v/>
      </c>
      <c r="BE100" s="455"/>
      <c r="BF100" s="455" t="str">
        <f>IF(AND('Mapa final'!$K$121="Muy Baja",'Mapa final'!$O$121="Catastrófico"),CONCATENATE("R",'Mapa final'!$A$121),"")</f>
        <v/>
      </c>
      <c r="BG100" s="4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35">
      <c r="A101" s="56"/>
      <c r="B101" s="300"/>
      <c r="C101" s="300"/>
      <c r="D101" s="301"/>
      <c r="E101" s="524"/>
      <c r="F101" s="525"/>
      <c r="G101" s="525"/>
      <c r="H101" s="525"/>
      <c r="I101" s="530"/>
      <c r="J101" s="452"/>
      <c r="K101" s="453"/>
      <c r="L101" s="453"/>
      <c r="M101" s="453"/>
      <c r="N101" s="453"/>
      <c r="O101" s="453"/>
      <c r="P101" s="453"/>
      <c r="Q101" s="453"/>
      <c r="R101" s="453"/>
      <c r="S101" s="454"/>
      <c r="T101" s="452"/>
      <c r="U101" s="453"/>
      <c r="V101" s="453"/>
      <c r="W101" s="453"/>
      <c r="X101" s="453"/>
      <c r="Y101" s="453"/>
      <c r="Z101" s="453"/>
      <c r="AA101" s="453"/>
      <c r="AB101" s="453"/>
      <c r="AC101" s="454"/>
      <c r="AD101" s="460"/>
      <c r="AE101" s="458"/>
      <c r="AF101" s="458"/>
      <c r="AG101" s="458"/>
      <c r="AH101" s="458"/>
      <c r="AI101" s="458"/>
      <c r="AJ101" s="458"/>
      <c r="AK101" s="458"/>
      <c r="AL101" s="458"/>
      <c r="AM101" s="459"/>
      <c r="AN101" s="463"/>
      <c r="AO101" s="461"/>
      <c r="AP101" s="461"/>
      <c r="AQ101" s="461"/>
      <c r="AR101" s="461"/>
      <c r="AS101" s="461"/>
      <c r="AT101" s="461"/>
      <c r="AU101" s="461"/>
      <c r="AV101" s="461"/>
      <c r="AW101" s="462"/>
      <c r="AX101" s="457"/>
      <c r="AY101" s="455"/>
      <c r="AZ101" s="455"/>
      <c r="BA101" s="455"/>
      <c r="BB101" s="455"/>
      <c r="BC101" s="455"/>
      <c r="BD101" s="455"/>
      <c r="BE101" s="455"/>
      <c r="BF101" s="455"/>
      <c r="BG101" s="4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35">
      <c r="A102" s="56"/>
      <c r="B102" s="300"/>
      <c r="C102" s="300"/>
      <c r="D102" s="301"/>
      <c r="E102" s="524"/>
      <c r="F102" s="525"/>
      <c r="G102" s="525"/>
      <c r="H102" s="525"/>
      <c r="I102" s="530"/>
      <c r="J102" s="452" t="str">
        <f>IF(AND('Mapa final'!$K$124="Muy Baja",'Mapa final'!$O$124="Leve"),CONCATENATE("R",'Mapa final'!$A$124),"")</f>
        <v/>
      </c>
      <c r="K102" s="453"/>
      <c r="L102" s="453" t="str">
        <f>IF(AND('Mapa final'!$K$127="Muy Baja",'Mapa final'!$O$127="Leve"),CONCATENATE("R",'Mapa final'!$A$127),"")</f>
        <v/>
      </c>
      <c r="M102" s="453"/>
      <c r="N102" s="453" t="str">
        <f>IF(AND('Mapa final'!$K$130="Muy Baja",'Mapa final'!$O$130="Leve"),CONCATENATE("R",'Mapa final'!$A$130),"")</f>
        <v/>
      </c>
      <c r="O102" s="453"/>
      <c r="P102" s="453" t="str">
        <f>IF(AND('Mapa final'!$K$133="Muy Baja",'Mapa final'!$O$133="Leve"),CONCATENATE("R",'Mapa final'!$A$133),"")</f>
        <v/>
      </c>
      <c r="Q102" s="453"/>
      <c r="R102" s="453" t="str">
        <f>IF(AND('Mapa final'!$K$136="Muy Baja",'Mapa final'!$O$136="Leve"),CONCATENATE("R",'Mapa final'!$A$136),"")</f>
        <v/>
      </c>
      <c r="S102" s="454"/>
      <c r="T102" s="452" t="str">
        <f>IF(AND('Mapa final'!$K$124="Muy Baja",'Mapa final'!$O$124="Menor"),CONCATENATE("R",'Mapa final'!$A$124),"")</f>
        <v/>
      </c>
      <c r="U102" s="453"/>
      <c r="V102" s="453" t="str">
        <f>IF(AND('Mapa final'!$K$127="Muy Baja",'Mapa final'!$O$127="Menor"),CONCATENATE("R",'Mapa final'!$A$127),"")</f>
        <v/>
      </c>
      <c r="W102" s="453"/>
      <c r="X102" s="453" t="str">
        <f>IF(AND('Mapa final'!$K$130="Muy Baja",'Mapa final'!$O$130="Menor"),CONCATENATE("R",'Mapa final'!$A$130),"")</f>
        <v/>
      </c>
      <c r="Y102" s="453"/>
      <c r="Z102" s="453" t="str">
        <f>IF(AND('Mapa final'!$K$133="Muy Baja",'Mapa final'!$O$133="Menor"),CONCATENATE("R",'Mapa final'!$A$133),"")</f>
        <v/>
      </c>
      <c r="AA102" s="453"/>
      <c r="AB102" s="453" t="str">
        <f>IF(AND('Mapa final'!$K$136="Muy Baja",'Mapa final'!$O$136="Menor"),CONCATENATE("R",'Mapa final'!$A$136),"")</f>
        <v/>
      </c>
      <c r="AC102" s="454"/>
      <c r="AD102" s="460" t="str">
        <f>IF(AND('Mapa final'!$K$124="Muy Baja",'Mapa final'!$O$124="Moderado"),CONCATENATE("R",'Mapa final'!$A$124),"")</f>
        <v/>
      </c>
      <c r="AE102" s="458"/>
      <c r="AF102" s="458" t="str">
        <f>IF(AND('Mapa final'!$K$127="Muy Baja",'Mapa final'!$O$127="Moderado"),CONCATENATE("R",'Mapa final'!$A$127),"")</f>
        <v/>
      </c>
      <c r="AG102" s="458"/>
      <c r="AH102" s="458" t="str">
        <f>IF(AND('Mapa final'!$K$130="Muy Baja",'Mapa final'!$O$130="Moderado"),CONCATENATE("R",'Mapa final'!$A$130),"")</f>
        <v/>
      </c>
      <c r="AI102" s="458"/>
      <c r="AJ102" s="458" t="str">
        <f>IF(AND('Mapa final'!$K$133="Muy Baja",'Mapa final'!$O$133="Moderado"),CONCATENATE("R",'Mapa final'!$A$133),"")</f>
        <v/>
      </c>
      <c r="AK102" s="458"/>
      <c r="AL102" s="458" t="str">
        <f>IF(AND('Mapa final'!$K$136="Muy Baja",'Mapa final'!$O$136="Moderado"),CONCATENATE("R",'Mapa final'!$A$136),"")</f>
        <v/>
      </c>
      <c r="AM102" s="459"/>
      <c r="AN102" s="463" t="str">
        <f>IF(AND('Mapa final'!$K$124="Muy Baja",'Mapa final'!$O$124="Mayor"),CONCATENATE("R",'Mapa final'!$A$124),"")</f>
        <v/>
      </c>
      <c r="AO102" s="461"/>
      <c r="AP102" s="461" t="str">
        <f>IF(AND('Mapa final'!$K$127="Muy Baja",'Mapa final'!$O$127="Mayor"),CONCATENATE("R",'Mapa final'!$A$127),"")</f>
        <v/>
      </c>
      <c r="AQ102" s="461"/>
      <c r="AR102" s="461" t="str">
        <f>IF(AND('Mapa final'!$K$130="Muy Baja",'Mapa final'!$O$130="Mayor"),CONCATENATE("R",'Mapa final'!$A$130),"")</f>
        <v/>
      </c>
      <c r="AS102" s="461"/>
      <c r="AT102" s="461" t="str">
        <f>IF(AND('Mapa final'!$K$133="Muy Baja",'Mapa final'!$O$133="Mayor"),CONCATENATE("R",'Mapa final'!$A$133),"")</f>
        <v/>
      </c>
      <c r="AU102" s="461"/>
      <c r="AV102" s="461" t="str">
        <f>IF(AND('Mapa final'!$K$136="Muy Baja",'Mapa final'!$O$136="Mayor"),CONCATENATE("R",'Mapa final'!$A$136),"")</f>
        <v/>
      </c>
      <c r="AW102" s="462"/>
      <c r="AX102" s="457" t="str">
        <f>IF(AND('Mapa final'!$K$124="Muy Baja",'Mapa final'!$O$124="Catastrófico"),CONCATENATE("R",'Mapa final'!$A$124),"")</f>
        <v/>
      </c>
      <c r="AY102" s="455"/>
      <c r="AZ102" s="455" t="str">
        <f>IF(AND('Mapa final'!$K$127="Muy Baja",'Mapa final'!$O$127="Catastrófico"),CONCATENATE("R",'Mapa final'!$A$127),"")</f>
        <v/>
      </c>
      <c r="BA102" s="455"/>
      <c r="BB102" s="455" t="str">
        <f>IF(AND('Mapa final'!$K$130="Muy Baja",'Mapa final'!$O$130="Catastrófico"),CONCATENATE("R",'Mapa final'!$A$130),"")</f>
        <v/>
      </c>
      <c r="BC102" s="455"/>
      <c r="BD102" s="455" t="str">
        <f>IF(AND('Mapa final'!$K$133="Muy Baja",'Mapa final'!$O$133="Catastrófico"),CONCATENATE("R",'Mapa final'!$A$133),"")</f>
        <v/>
      </c>
      <c r="BE102" s="455"/>
      <c r="BF102" s="455" t="str">
        <f>IF(AND('Mapa final'!$K$136="Muy Baja",'Mapa final'!$O$136="Catastrófico"),CONCATENATE("R",'Mapa final'!$A$136),"")</f>
        <v/>
      </c>
      <c r="BG102" s="4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35">
      <c r="A103" s="56"/>
      <c r="B103" s="300"/>
      <c r="C103" s="300"/>
      <c r="D103" s="301"/>
      <c r="E103" s="524"/>
      <c r="F103" s="525"/>
      <c r="G103" s="525"/>
      <c r="H103" s="525"/>
      <c r="I103" s="530"/>
      <c r="J103" s="452"/>
      <c r="K103" s="453"/>
      <c r="L103" s="453"/>
      <c r="M103" s="453"/>
      <c r="N103" s="453"/>
      <c r="O103" s="453"/>
      <c r="P103" s="453"/>
      <c r="Q103" s="453"/>
      <c r="R103" s="453"/>
      <c r="S103" s="454"/>
      <c r="T103" s="452"/>
      <c r="U103" s="453"/>
      <c r="V103" s="453"/>
      <c r="W103" s="453"/>
      <c r="X103" s="453"/>
      <c r="Y103" s="453"/>
      <c r="Z103" s="453"/>
      <c r="AA103" s="453"/>
      <c r="AB103" s="453"/>
      <c r="AC103" s="454"/>
      <c r="AD103" s="460"/>
      <c r="AE103" s="458"/>
      <c r="AF103" s="458"/>
      <c r="AG103" s="458"/>
      <c r="AH103" s="458"/>
      <c r="AI103" s="458"/>
      <c r="AJ103" s="458"/>
      <c r="AK103" s="458"/>
      <c r="AL103" s="458"/>
      <c r="AM103" s="459"/>
      <c r="AN103" s="463"/>
      <c r="AO103" s="461"/>
      <c r="AP103" s="461"/>
      <c r="AQ103" s="461"/>
      <c r="AR103" s="461"/>
      <c r="AS103" s="461"/>
      <c r="AT103" s="461"/>
      <c r="AU103" s="461"/>
      <c r="AV103" s="461"/>
      <c r="AW103" s="462"/>
      <c r="AX103" s="457"/>
      <c r="AY103" s="455"/>
      <c r="AZ103" s="455"/>
      <c r="BA103" s="455"/>
      <c r="BB103" s="455"/>
      <c r="BC103" s="455"/>
      <c r="BD103" s="455"/>
      <c r="BE103" s="455"/>
      <c r="BF103" s="455"/>
      <c r="BG103" s="4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35">
      <c r="A104" s="56"/>
      <c r="B104" s="300"/>
      <c r="C104" s="300"/>
      <c r="D104" s="301"/>
      <c r="E104" s="524"/>
      <c r="F104" s="525"/>
      <c r="G104" s="525"/>
      <c r="H104" s="525"/>
      <c r="I104" s="530"/>
      <c r="J104" s="452" t="str">
        <f>IF(AND('Mapa final'!$K$139="Muy Baja",'Mapa final'!$O$139="Leve"),CONCATENATE("R",'Mapa final'!$A$139),"")</f>
        <v/>
      </c>
      <c r="K104" s="453"/>
      <c r="L104" s="453" t="str">
        <f>IF(AND('Mapa final'!$K$142="Muy Baja",'Mapa final'!$O$142="Leve"),CONCATENATE("R",'Mapa final'!$A$142),"")</f>
        <v/>
      </c>
      <c r="M104" s="453"/>
      <c r="N104" s="453" t="str">
        <f>IF(AND('Mapa final'!$K$145="Muy Baja",'Mapa final'!$O$145="Leve"),CONCATENATE("R",'Mapa final'!$A$145),"")</f>
        <v/>
      </c>
      <c r="O104" s="453"/>
      <c r="P104" s="453" t="str">
        <f>IF(AND('Mapa final'!$K$148="Muy Baja",'Mapa final'!$O$148="Leve"),CONCATENATE("R",'Mapa final'!$A$148),"")</f>
        <v/>
      </c>
      <c r="Q104" s="453"/>
      <c r="R104" s="453" t="str">
        <f>IF(AND('Mapa final'!$K$151="Muy Baja",'Mapa final'!$O$151="Leve"),CONCATENATE("R",'Mapa final'!$A$151),"")</f>
        <v/>
      </c>
      <c r="S104" s="454"/>
      <c r="T104" s="452" t="str">
        <f>IF(AND('Mapa final'!$K$139="Muy Baja",'Mapa final'!$O$139="Menor"),CONCATENATE("R",'Mapa final'!$A$139),"")</f>
        <v/>
      </c>
      <c r="U104" s="453"/>
      <c r="V104" s="453" t="str">
        <f>IF(AND('Mapa final'!$K$142="Muy Baja",'Mapa final'!$O$142="Menor"),CONCATENATE("R",'Mapa final'!$A$142),"")</f>
        <v/>
      </c>
      <c r="W104" s="453"/>
      <c r="X104" s="453" t="str">
        <f>IF(AND('Mapa final'!$K$145="Muy Baja",'Mapa final'!$O$145="Menor"),CONCATENATE("R",'Mapa final'!$A$145),"")</f>
        <v/>
      </c>
      <c r="Y104" s="453"/>
      <c r="Z104" s="453" t="str">
        <f>IF(AND('Mapa final'!$K$148="Muy Baja",'Mapa final'!$O$148="Menor"),CONCATENATE("R",'Mapa final'!$A$148),"")</f>
        <v/>
      </c>
      <c r="AA104" s="453"/>
      <c r="AB104" s="453" t="str">
        <f>IF(AND('Mapa final'!$K$151="Muy Baja",'Mapa final'!$O$151="Menor"),CONCATENATE("R",'Mapa final'!$A$151),"")</f>
        <v/>
      </c>
      <c r="AC104" s="454"/>
      <c r="AD104" s="460" t="str">
        <f>IF(AND('Mapa final'!$K$139="Muy Baja",'Mapa final'!$O$139="Moderado"),CONCATENATE("R",'Mapa final'!$A$139),"")</f>
        <v/>
      </c>
      <c r="AE104" s="458"/>
      <c r="AF104" s="458" t="str">
        <f>IF(AND('Mapa final'!$K$142="Muy Baja",'Mapa final'!$O$142="Moderado"),CONCATENATE("R",'Mapa final'!$A$142),"")</f>
        <v/>
      </c>
      <c r="AG104" s="458"/>
      <c r="AH104" s="458" t="str">
        <f>IF(AND('Mapa final'!$K$145="Muy Baja",'Mapa final'!$O$145="Moderado"),CONCATENATE("R",'Mapa final'!$A$145),"")</f>
        <v/>
      </c>
      <c r="AI104" s="458"/>
      <c r="AJ104" s="458" t="str">
        <f>IF(AND('Mapa final'!$K$148="Muy Baja",'Mapa final'!$O$148="Moderado"),CONCATENATE("R",'Mapa final'!$A$148),"")</f>
        <v/>
      </c>
      <c r="AK104" s="458"/>
      <c r="AL104" s="458" t="str">
        <f>IF(AND('Mapa final'!$K$151="Muy Baja",'Mapa final'!$O$151="Moderado"),CONCATENATE("R",'Mapa final'!$A$151),"")</f>
        <v/>
      </c>
      <c r="AM104" s="459"/>
      <c r="AN104" s="463" t="str">
        <f>IF(AND('Mapa final'!$K$139="Muy Baja",'Mapa final'!$O$139="Mayor"),CONCATENATE("R",'Mapa final'!$A$139),"")</f>
        <v/>
      </c>
      <c r="AO104" s="461"/>
      <c r="AP104" s="461" t="str">
        <f>IF(AND('Mapa final'!$K$142="Muy Baja",'Mapa final'!$O$142="Mayor"),CONCATENATE("R",'Mapa final'!$A$142),"")</f>
        <v/>
      </c>
      <c r="AQ104" s="461"/>
      <c r="AR104" s="461" t="str">
        <f>IF(AND('Mapa final'!$K$145="Muy Baja",'Mapa final'!$O$145="Mayor"),CONCATENATE("R",'Mapa final'!$A$145),"")</f>
        <v/>
      </c>
      <c r="AS104" s="461"/>
      <c r="AT104" s="461" t="str">
        <f>IF(AND('Mapa final'!$K$148="Muy Baja",'Mapa final'!$O$148="Mayor"),CONCATENATE("R",'Mapa final'!$A$148),"")</f>
        <v/>
      </c>
      <c r="AU104" s="461"/>
      <c r="AV104" s="461" t="str">
        <f>IF(AND('Mapa final'!$K$151="Muy Baja",'Mapa final'!$O$151="Mayor"),CONCATENATE("R",'Mapa final'!$A$151),"")</f>
        <v/>
      </c>
      <c r="AW104" s="462"/>
      <c r="AX104" s="457" t="str">
        <f>IF(AND('Mapa final'!$K$139="Muy Baja",'Mapa final'!$O$139="Catastrófico"),CONCATENATE("R",'Mapa final'!$A$139),"")</f>
        <v/>
      </c>
      <c r="AY104" s="455"/>
      <c r="AZ104" s="455" t="str">
        <f>IF(AND('Mapa final'!$K$142="Muy Baja",'Mapa final'!$O$142="Catastrófico"),CONCATENATE("R",'Mapa final'!$A$142),"")</f>
        <v/>
      </c>
      <c r="BA104" s="455"/>
      <c r="BB104" s="455" t="str">
        <f>IF(AND('Mapa final'!$K$145="Muy Baja",'Mapa final'!$O$145="Catastrófico"),CONCATENATE("R",'Mapa final'!$A$145),"")</f>
        <v/>
      </c>
      <c r="BC104" s="455"/>
      <c r="BD104" s="455" t="str">
        <f>IF(AND('Mapa final'!$K$148="Muy Baja",'Mapa final'!$O$148="Catastrófico"),CONCATENATE("R",'Mapa final'!$A$148),"")</f>
        <v/>
      </c>
      <c r="BE104" s="455"/>
      <c r="BF104" s="455" t="str">
        <f>IF(AND('Mapa final'!$K$151="Muy Baja",'Mapa final'!$O$151="Catastrófico"),CONCATENATE("R",'Mapa final'!$A$151),"")</f>
        <v/>
      </c>
      <c r="BG104" s="4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4">
      <c r="A105" s="56"/>
      <c r="B105" s="300"/>
      <c r="C105" s="300"/>
      <c r="D105" s="301"/>
      <c r="E105" s="527"/>
      <c r="F105" s="528"/>
      <c r="G105" s="528"/>
      <c r="H105" s="528"/>
      <c r="I105" s="531"/>
      <c r="J105" s="481"/>
      <c r="K105" s="482"/>
      <c r="L105" s="482"/>
      <c r="M105" s="482"/>
      <c r="N105" s="482"/>
      <c r="O105" s="482"/>
      <c r="P105" s="482"/>
      <c r="Q105" s="482"/>
      <c r="R105" s="482"/>
      <c r="S105" s="484"/>
      <c r="T105" s="481"/>
      <c r="U105" s="482"/>
      <c r="V105" s="482"/>
      <c r="W105" s="482"/>
      <c r="X105" s="482"/>
      <c r="Y105" s="482"/>
      <c r="Z105" s="482"/>
      <c r="AA105" s="482"/>
      <c r="AB105" s="482"/>
      <c r="AC105" s="484"/>
      <c r="AD105" s="470"/>
      <c r="AE105" s="471"/>
      <c r="AF105" s="471"/>
      <c r="AG105" s="471"/>
      <c r="AH105" s="471"/>
      <c r="AI105" s="471"/>
      <c r="AJ105" s="471"/>
      <c r="AK105" s="471"/>
      <c r="AL105" s="471"/>
      <c r="AM105" s="472"/>
      <c r="AN105" s="464"/>
      <c r="AO105" s="465"/>
      <c r="AP105" s="465"/>
      <c r="AQ105" s="465"/>
      <c r="AR105" s="465"/>
      <c r="AS105" s="465"/>
      <c r="AT105" s="465"/>
      <c r="AU105" s="465"/>
      <c r="AV105" s="465"/>
      <c r="AW105" s="466"/>
      <c r="AX105" s="477"/>
      <c r="AY105" s="476"/>
      <c r="AZ105" s="476"/>
      <c r="BA105" s="476"/>
      <c r="BB105" s="476"/>
      <c r="BC105" s="476"/>
      <c r="BD105" s="476"/>
      <c r="BE105" s="476"/>
      <c r="BF105" s="476"/>
      <c r="BG105" s="478"/>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35">
      <c r="A106" s="56"/>
      <c r="B106" s="56"/>
      <c r="C106" s="56"/>
      <c r="D106" s="56"/>
      <c r="E106" s="56"/>
      <c r="F106" s="56"/>
      <c r="G106" s="56"/>
      <c r="H106" s="56"/>
      <c r="I106" s="56"/>
      <c r="J106" s="532" t="s">
        <v>103</v>
      </c>
      <c r="K106" s="526"/>
      <c r="L106" s="526"/>
      <c r="M106" s="526"/>
      <c r="N106" s="526"/>
      <c r="O106" s="526"/>
      <c r="P106" s="526"/>
      <c r="Q106" s="526"/>
      <c r="R106" s="526"/>
      <c r="S106" s="530"/>
      <c r="T106" s="532" t="s">
        <v>102</v>
      </c>
      <c r="U106" s="526"/>
      <c r="V106" s="526"/>
      <c r="W106" s="526"/>
      <c r="X106" s="526"/>
      <c r="Y106" s="526"/>
      <c r="Z106" s="526"/>
      <c r="AA106" s="526"/>
      <c r="AB106" s="526"/>
      <c r="AC106" s="530"/>
      <c r="AD106" s="532" t="s">
        <v>101</v>
      </c>
      <c r="AE106" s="526"/>
      <c r="AF106" s="526"/>
      <c r="AG106" s="526"/>
      <c r="AH106" s="526"/>
      <c r="AI106" s="526"/>
      <c r="AJ106" s="526"/>
      <c r="AK106" s="526"/>
      <c r="AL106" s="526"/>
      <c r="AM106" s="530"/>
      <c r="AN106" s="532" t="s">
        <v>100</v>
      </c>
      <c r="AO106" s="534"/>
      <c r="AP106" s="534"/>
      <c r="AQ106" s="534"/>
      <c r="AR106" s="534"/>
      <c r="AS106" s="534"/>
      <c r="AT106" s="526"/>
      <c r="AU106" s="526"/>
      <c r="AV106" s="526"/>
      <c r="AW106" s="530"/>
      <c r="AX106" s="532" t="s">
        <v>99</v>
      </c>
      <c r="AY106" s="526"/>
      <c r="AZ106" s="526"/>
      <c r="BA106" s="526"/>
      <c r="BB106" s="526"/>
      <c r="BC106" s="526"/>
      <c r="BD106" s="526"/>
      <c r="BE106" s="526"/>
      <c r="BF106" s="526"/>
      <c r="BG106" s="530"/>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35">
      <c r="A107" s="56"/>
      <c r="B107" s="56"/>
      <c r="C107" s="56"/>
      <c r="D107" s="56"/>
      <c r="E107" s="56"/>
      <c r="F107" s="56"/>
      <c r="G107" s="56"/>
      <c r="H107" s="56"/>
      <c r="I107" s="56"/>
      <c r="J107" s="524"/>
      <c r="K107" s="525"/>
      <c r="L107" s="525"/>
      <c r="M107" s="525"/>
      <c r="N107" s="525"/>
      <c r="O107" s="525"/>
      <c r="P107" s="525"/>
      <c r="Q107" s="525"/>
      <c r="R107" s="525"/>
      <c r="S107" s="530"/>
      <c r="T107" s="524"/>
      <c r="U107" s="525"/>
      <c r="V107" s="525"/>
      <c r="W107" s="525"/>
      <c r="X107" s="525"/>
      <c r="Y107" s="525"/>
      <c r="Z107" s="525"/>
      <c r="AA107" s="525"/>
      <c r="AB107" s="525"/>
      <c r="AC107" s="530"/>
      <c r="AD107" s="524"/>
      <c r="AE107" s="525"/>
      <c r="AF107" s="525"/>
      <c r="AG107" s="525"/>
      <c r="AH107" s="525"/>
      <c r="AI107" s="525"/>
      <c r="AJ107" s="525"/>
      <c r="AK107" s="525"/>
      <c r="AL107" s="525"/>
      <c r="AM107" s="530"/>
      <c r="AN107" s="524"/>
      <c r="AO107" s="525"/>
      <c r="AP107" s="525"/>
      <c r="AQ107" s="525"/>
      <c r="AR107" s="525"/>
      <c r="AS107" s="525"/>
      <c r="AT107" s="525"/>
      <c r="AU107" s="525"/>
      <c r="AV107" s="525"/>
      <c r="AW107" s="530"/>
      <c r="AX107" s="524"/>
      <c r="AY107" s="525"/>
      <c r="AZ107" s="525"/>
      <c r="BA107" s="525"/>
      <c r="BB107" s="525"/>
      <c r="BC107" s="525"/>
      <c r="BD107" s="525"/>
      <c r="BE107" s="525"/>
      <c r="BF107" s="525"/>
      <c r="BG107" s="530"/>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35">
      <c r="A108" s="56"/>
      <c r="B108" s="56"/>
      <c r="C108" s="56"/>
      <c r="D108" s="56"/>
      <c r="E108" s="56"/>
      <c r="F108" s="56"/>
      <c r="G108" s="56"/>
      <c r="H108" s="56"/>
      <c r="I108" s="56"/>
      <c r="J108" s="524"/>
      <c r="K108" s="525"/>
      <c r="L108" s="525"/>
      <c r="M108" s="525"/>
      <c r="N108" s="525"/>
      <c r="O108" s="525"/>
      <c r="P108" s="525"/>
      <c r="Q108" s="525"/>
      <c r="R108" s="525"/>
      <c r="S108" s="530"/>
      <c r="T108" s="524"/>
      <c r="U108" s="525"/>
      <c r="V108" s="525"/>
      <c r="W108" s="525"/>
      <c r="X108" s="525"/>
      <c r="Y108" s="525"/>
      <c r="Z108" s="525"/>
      <c r="AA108" s="525"/>
      <c r="AB108" s="525"/>
      <c r="AC108" s="530"/>
      <c r="AD108" s="524"/>
      <c r="AE108" s="525"/>
      <c r="AF108" s="525"/>
      <c r="AG108" s="525"/>
      <c r="AH108" s="525"/>
      <c r="AI108" s="525"/>
      <c r="AJ108" s="525"/>
      <c r="AK108" s="525"/>
      <c r="AL108" s="525"/>
      <c r="AM108" s="530"/>
      <c r="AN108" s="524"/>
      <c r="AO108" s="525"/>
      <c r="AP108" s="525"/>
      <c r="AQ108" s="525"/>
      <c r="AR108" s="525"/>
      <c r="AS108" s="525"/>
      <c r="AT108" s="525"/>
      <c r="AU108" s="525"/>
      <c r="AV108" s="525"/>
      <c r="AW108" s="530"/>
      <c r="AX108" s="524"/>
      <c r="AY108" s="525"/>
      <c r="AZ108" s="525"/>
      <c r="BA108" s="525"/>
      <c r="BB108" s="525"/>
      <c r="BC108" s="525"/>
      <c r="BD108" s="525"/>
      <c r="BE108" s="525"/>
      <c r="BF108" s="525"/>
      <c r="BG108" s="530"/>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35">
      <c r="A109" s="56"/>
      <c r="B109" s="56"/>
      <c r="C109" s="56"/>
      <c r="D109" s="56"/>
      <c r="E109" s="56"/>
      <c r="F109" s="56"/>
      <c r="G109" s="56"/>
      <c r="H109" s="56"/>
      <c r="I109" s="56"/>
      <c r="J109" s="524"/>
      <c r="K109" s="525"/>
      <c r="L109" s="525"/>
      <c r="M109" s="525"/>
      <c r="N109" s="525"/>
      <c r="O109" s="525"/>
      <c r="P109" s="525"/>
      <c r="Q109" s="525"/>
      <c r="R109" s="525"/>
      <c r="S109" s="530"/>
      <c r="T109" s="524"/>
      <c r="U109" s="525"/>
      <c r="V109" s="525"/>
      <c r="W109" s="525"/>
      <c r="X109" s="525"/>
      <c r="Y109" s="525"/>
      <c r="Z109" s="525"/>
      <c r="AA109" s="525"/>
      <c r="AB109" s="525"/>
      <c r="AC109" s="530"/>
      <c r="AD109" s="524"/>
      <c r="AE109" s="525"/>
      <c r="AF109" s="525"/>
      <c r="AG109" s="525"/>
      <c r="AH109" s="525"/>
      <c r="AI109" s="525"/>
      <c r="AJ109" s="525"/>
      <c r="AK109" s="525"/>
      <c r="AL109" s="525"/>
      <c r="AM109" s="530"/>
      <c r="AN109" s="524"/>
      <c r="AO109" s="525"/>
      <c r="AP109" s="525"/>
      <c r="AQ109" s="525"/>
      <c r="AR109" s="525"/>
      <c r="AS109" s="525"/>
      <c r="AT109" s="525"/>
      <c r="AU109" s="525"/>
      <c r="AV109" s="525"/>
      <c r="AW109" s="530"/>
      <c r="AX109" s="524"/>
      <c r="AY109" s="525"/>
      <c r="AZ109" s="525"/>
      <c r="BA109" s="525"/>
      <c r="BB109" s="525"/>
      <c r="BC109" s="525"/>
      <c r="BD109" s="525"/>
      <c r="BE109" s="525"/>
      <c r="BF109" s="525"/>
      <c r="BG109" s="530"/>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35">
      <c r="A110" s="56"/>
      <c r="B110" s="56"/>
      <c r="C110" s="56"/>
      <c r="D110" s="56"/>
      <c r="E110" s="56"/>
      <c r="F110" s="56"/>
      <c r="G110" s="56"/>
      <c r="H110" s="56"/>
      <c r="I110" s="56"/>
      <c r="J110" s="524"/>
      <c r="K110" s="525"/>
      <c r="L110" s="525"/>
      <c r="M110" s="525"/>
      <c r="N110" s="525"/>
      <c r="O110" s="525"/>
      <c r="P110" s="525"/>
      <c r="Q110" s="525"/>
      <c r="R110" s="525"/>
      <c r="S110" s="530"/>
      <c r="T110" s="524"/>
      <c r="U110" s="525"/>
      <c r="V110" s="525"/>
      <c r="W110" s="525"/>
      <c r="X110" s="525"/>
      <c r="Y110" s="525"/>
      <c r="Z110" s="525"/>
      <c r="AA110" s="525"/>
      <c r="AB110" s="525"/>
      <c r="AC110" s="530"/>
      <c r="AD110" s="524"/>
      <c r="AE110" s="525"/>
      <c r="AF110" s="525"/>
      <c r="AG110" s="525"/>
      <c r="AH110" s="525"/>
      <c r="AI110" s="525"/>
      <c r="AJ110" s="525"/>
      <c r="AK110" s="525"/>
      <c r="AL110" s="525"/>
      <c r="AM110" s="530"/>
      <c r="AN110" s="524"/>
      <c r="AO110" s="525"/>
      <c r="AP110" s="525"/>
      <c r="AQ110" s="525"/>
      <c r="AR110" s="525"/>
      <c r="AS110" s="525"/>
      <c r="AT110" s="525"/>
      <c r="AU110" s="525"/>
      <c r="AV110" s="525"/>
      <c r="AW110" s="530"/>
      <c r="AX110" s="524"/>
      <c r="AY110" s="525"/>
      <c r="AZ110" s="525"/>
      <c r="BA110" s="525"/>
      <c r="BB110" s="525"/>
      <c r="BC110" s="525"/>
      <c r="BD110" s="525"/>
      <c r="BE110" s="525"/>
      <c r="BF110" s="525"/>
      <c r="BG110" s="530"/>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 thickBot="1" x14ac:dyDescent="0.4">
      <c r="A111" s="56"/>
      <c r="B111" s="56"/>
      <c r="C111" s="56"/>
      <c r="D111" s="56"/>
      <c r="E111" s="56"/>
      <c r="F111" s="56"/>
      <c r="G111" s="56"/>
      <c r="H111" s="56"/>
      <c r="I111" s="56"/>
      <c r="J111" s="527"/>
      <c r="K111" s="528"/>
      <c r="L111" s="528"/>
      <c r="M111" s="528"/>
      <c r="N111" s="528"/>
      <c r="O111" s="528"/>
      <c r="P111" s="528"/>
      <c r="Q111" s="528"/>
      <c r="R111" s="528"/>
      <c r="S111" s="531"/>
      <c r="T111" s="527"/>
      <c r="U111" s="528"/>
      <c r="V111" s="528"/>
      <c r="W111" s="528"/>
      <c r="X111" s="528"/>
      <c r="Y111" s="528"/>
      <c r="Z111" s="528"/>
      <c r="AA111" s="528"/>
      <c r="AB111" s="528"/>
      <c r="AC111" s="531"/>
      <c r="AD111" s="527"/>
      <c r="AE111" s="528"/>
      <c r="AF111" s="528"/>
      <c r="AG111" s="528"/>
      <c r="AH111" s="528"/>
      <c r="AI111" s="528"/>
      <c r="AJ111" s="528"/>
      <c r="AK111" s="528"/>
      <c r="AL111" s="528"/>
      <c r="AM111" s="531"/>
      <c r="AN111" s="527"/>
      <c r="AO111" s="528"/>
      <c r="AP111" s="528"/>
      <c r="AQ111" s="528"/>
      <c r="AR111" s="528"/>
      <c r="AS111" s="528"/>
      <c r="AT111" s="528"/>
      <c r="AU111" s="528"/>
      <c r="AV111" s="528"/>
      <c r="AW111" s="531"/>
      <c r="AX111" s="527"/>
      <c r="AY111" s="528"/>
      <c r="AZ111" s="528"/>
      <c r="BA111" s="528"/>
      <c r="BB111" s="528"/>
      <c r="BC111" s="528"/>
      <c r="BD111" s="528"/>
      <c r="BE111" s="528"/>
      <c r="BF111" s="528"/>
      <c r="BG111" s="531"/>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3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3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3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3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3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3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3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3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3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3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3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3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3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3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3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3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3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3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3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3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3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3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3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3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3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3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3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3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3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3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3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3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3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3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3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3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3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3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3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3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3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3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3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3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3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3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3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3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3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3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3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3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3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3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3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3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3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3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3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3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3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3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3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3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3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3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3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3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3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3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3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3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3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3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3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3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3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3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3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3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3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3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3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3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3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35">
      <c r="B197" s="56"/>
      <c r="C197" s="56"/>
      <c r="D197" s="56"/>
      <c r="E197" s="56"/>
      <c r="F197" s="56"/>
      <c r="G197" s="56"/>
      <c r="H197" s="56"/>
      <c r="I197" s="56"/>
      <c r="BI197" s="56"/>
      <c r="BJ197" s="56"/>
      <c r="BK197" s="56"/>
      <c r="BL197" s="56"/>
      <c r="BM197" s="56"/>
      <c r="BN197" s="56"/>
    </row>
    <row r="198" spans="2:83" x14ac:dyDescent="0.35">
      <c r="B198" s="56"/>
      <c r="C198" s="56"/>
      <c r="D198" s="56"/>
      <c r="E198" s="56"/>
      <c r="F198" s="56"/>
      <c r="G198" s="56"/>
      <c r="H198" s="56"/>
      <c r="I198" s="56"/>
      <c r="BI198" s="56"/>
      <c r="BJ198" s="56"/>
      <c r="BK198" s="56"/>
      <c r="BL198" s="56"/>
      <c r="BM198" s="56"/>
      <c r="BN198" s="56"/>
    </row>
    <row r="199" spans="2:83" x14ac:dyDescent="0.35">
      <c r="B199" s="56"/>
      <c r="C199" s="56"/>
      <c r="D199" s="56"/>
      <c r="E199" s="56"/>
      <c r="F199" s="56"/>
      <c r="G199" s="56"/>
      <c r="H199" s="56"/>
      <c r="I199" s="56"/>
      <c r="BI199" s="56"/>
      <c r="BJ199" s="56"/>
      <c r="BK199" s="56"/>
      <c r="BL199" s="56"/>
      <c r="BM199" s="56"/>
      <c r="BN199" s="56"/>
    </row>
    <row r="200" spans="2:83" x14ac:dyDescent="0.35">
      <c r="B200" s="56"/>
      <c r="C200" s="56"/>
      <c r="D200" s="56"/>
      <c r="E200" s="56"/>
      <c r="F200" s="56"/>
      <c r="G200" s="56"/>
      <c r="H200" s="56"/>
      <c r="I200" s="56"/>
      <c r="BI200" s="56"/>
      <c r="BJ200" s="56"/>
      <c r="BK200" s="56"/>
      <c r="BL200" s="56"/>
      <c r="BM200" s="56"/>
      <c r="BN200" s="56"/>
    </row>
    <row r="201" spans="2:83" x14ac:dyDescent="0.35">
      <c r="BI201" s="56"/>
      <c r="BJ201" s="56"/>
      <c r="BK201" s="56"/>
      <c r="BL201" s="56"/>
      <c r="BM201" s="56"/>
      <c r="BN201" s="56"/>
    </row>
    <row r="202" spans="2:83" x14ac:dyDescent="0.35">
      <c r="BI202" s="56"/>
      <c r="BJ202" s="56"/>
      <c r="BK202" s="56"/>
      <c r="BL202" s="56"/>
      <c r="BM202" s="56"/>
      <c r="BN202" s="56"/>
    </row>
    <row r="203" spans="2:83" x14ac:dyDescent="0.35">
      <c r="BI203" s="56"/>
      <c r="BJ203" s="56"/>
      <c r="BK203" s="56"/>
      <c r="BL203" s="56"/>
      <c r="BM203" s="56"/>
      <c r="BN203" s="56"/>
    </row>
    <row r="204" spans="2:83" x14ac:dyDescent="0.35">
      <c r="BI204" s="56"/>
      <c r="BJ204" s="56"/>
      <c r="BK204" s="56"/>
      <c r="BL204" s="56"/>
      <c r="BM204" s="56"/>
      <c r="BN204" s="56"/>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56"/>
      <c r="B1" s="540" t="s">
        <v>49</v>
      </c>
      <c r="C1" s="540"/>
      <c r="D1" s="540"/>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3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 x14ac:dyDescent="0.3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0" x14ac:dyDescent="0.3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0" x14ac:dyDescent="0.3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0" x14ac:dyDescent="0.3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5" x14ac:dyDescent="0.3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0" x14ac:dyDescent="0.3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3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x14ac:dyDescent="0.3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3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3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3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3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3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3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3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3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3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3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3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3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3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3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3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3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3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3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3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3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3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3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35">
      <c r="A35" s="56"/>
    </row>
    <row r="36" spans="1:31" x14ac:dyDescent="0.35">
      <c r="A36" s="56"/>
    </row>
    <row r="37" spans="1:31" x14ac:dyDescent="0.35">
      <c r="A37" s="56"/>
    </row>
    <row r="38" spans="1:31" x14ac:dyDescent="0.35">
      <c r="A38" s="56"/>
    </row>
    <row r="39" spans="1:31" x14ac:dyDescent="0.35">
      <c r="A39" s="56"/>
    </row>
    <row r="40" spans="1:31" x14ac:dyDescent="0.35">
      <c r="A40" s="56"/>
    </row>
    <row r="41" spans="1:31" x14ac:dyDescent="0.35">
      <c r="A41" s="56"/>
    </row>
    <row r="42" spans="1:31" x14ac:dyDescent="0.35">
      <c r="A42" s="56"/>
    </row>
    <row r="43" spans="1:31" x14ac:dyDescent="0.35">
      <c r="A43" s="56"/>
    </row>
    <row r="44" spans="1:31" x14ac:dyDescent="0.35">
      <c r="A44" s="56"/>
    </row>
    <row r="45" spans="1:31" x14ac:dyDescent="0.35">
      <c r="A45" s="56"/>
    </row>
    <row r="46" spans="1:31" x14ac:dyDescent="0.35">
      <c r="A46" s="56"/>
    </row>
    <row r="47" spans="1:31" x14ac:dyDescent="0.35">
      <c r="A47" s="56"/>
    </row>
    <row r="48" spans="1:31" x14ac:dyDescent="0.35">
      <c r="A48" s="56"/>
    </row>
    <row r="49" spans="1:1" x14ac:dyDescent="0.35">
      <c r="A49" s="56"/>
    </row>
    <row r="50" spans="1:1" x14ac:dyDescent="0.35">
      <c r="A50" s="56"/>
    </row>
    <row r="51" spans="1:1" x14ac:dyDescent="0.35">
      <c r="A51" s="56"/>
    </row>
    <row r="52" spans="1:1" x14ac:dyDescent="0.35">
      <c r="A52" s="56"/>
    </row>
    <row r="53" spans="1:1" x14ac:dyDescent="0.35">
      <c r="A53" s="56"/>
    </row>
    <row r="54" spans="1:1" x14ac:dyDescent="0.35">
      <c r="A54" s="56"/>
    </row>
    <row r="55" spans="1:1" x14ac:dyDescent="0.3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56"/>
      <c r="B1" s="541" t="s">
        <v>57</v>
      </c>
      <c r="C1" s="541"/>
      <c r="D1" s="541"/>
      <c r="E1" s="56"/>
      <c r="F1" s="56"/>
      <c r="G1" s="56"/>
      <c r="H1" s="56"/>
      <c r="I1" s="56"/>
      <c r="J1" s="56"/>
      <c r="K1" s="56"/>
      <c r="L1" s="56"/>
      <c r="M1" s="56"/>
      <c r="N1" s="56"/>
      <c r="O1" s="56"/>
      <c r="P1" s="56"/>
      <c r="Q1" s="56"/>
      <c r="R1" s="56"/>
      <c r="S1" s="56"/>
      <c r="T1" s="56"/>
      <c r="U1" s="56"/>
    </row>
    <row r="2" spans="1:21" x14ac:dyDescent="0.35">
      <c r="A2" s="56"/>
      <c r="B2" s="56"/>
      <c r="C2" s="56"/>
      <c r="D2" s="56"/>
      <c r="E2" s="56"/>
      <c r="F2" s="56"/>
      <c r="G2" s="56"/>
      <c r="H2" s="56"/>
      <c r="I2" s="56"/>
      <c r="J2" s="56"/>
      <c r="K2" s="56"/>
      <c r="L2" s="56"/>
      <c r="M2" s="56"/>
      <c r="N2" s="56"/>
      <c r="O2" s="56"/>
      <c r="P2" s="56"/>
      <c r="Q2" s="56"/>
      <c r="R2" s="56"/>
      <c r="S2" s="56"/>
      <c r="T2" s="56"/>
      <c r="U2" s="56"/>
    </row>
    <row r="3" spans="1:21" ht="30.5" x14ac:dyDescent="0.35">
      <c r="A3" s="56"/>
      <c r="B3" s="77"/>
      <c r="C3" s="30" t="s">
        <v>50</v>
      </c>
      <c r="D3" s="30" t="s">
        <v>51</v>
      </c>
      <c r="E3" s="56"/>
      <c r="F3" s="56"/>
      <c r="G3" s="56"/>
      <c r="H3" s="56"/>
      <c r="I3" s="56"/>
      <c r="J3" s="56"/>
      <c r="K3" s="56"/>
      <c r="L3" s="56"/>
      <c r="M3" s="56"/>
      <c r="N3" s="56"/>
      <c r="O3" s="56"/>
      <c r="P3" s="56"/>
      <c r="Q3" s="56"/>
      <c r="R3" s="56"/>
      <c r="S3" s="56"/>
      <c r="T3" s="56"/>
      <c r="U3" s="56"/>
    </row>
    <row r="4" spans="1:21" ht="32.5" x14ac:dyDescent="0.35">
      <c r="A4" s="76" t="s">
        <v>77</v>
      </c>
      <c r="B4" s="33" t="s">
        <v>92</v>
      </c>
      <c r="C4" s="38" t="s">
        <v>132</v>
      </c>
      <c r="D4" s="31" t="s">
        <v>90</v>
      </c>
      <c r="E4" s="56"/>
      <c r="F4" s="56"/>
      <c r="G4" s="56"/>
      <c r="H4" s="56"/>
      <c r="I4" s="56"/>
      <c r="J4" s="56"/>
      <c r="K4" s="56"/>
      <c r="L4" s="56"/>
      <c r="M4" s="56"/>
      <c r="N4" s="56"/>
      <c r="O4" s="56"/>
      <c r="P4" s="56"/>
      <c r="Q4" s="56"/>
      <c r="R4" s="56"/>
      <c r="S4" s="56"/>
      <c r="T4" s="56"/>
      <c r="U4" s="56"/>
    </row>
    <row r="5" spans="1:21" ht="65" x14ac:dyDescent="0.35">
      <c r="A5" s="76" t="s">
        <v>78</v>
      </c>
      <c r="B5" s="34" t="s">
        <v>53</v>
      </c>
      <c r="C5" s="39" t="s">
        <v>86</v>
      </c>
      <c r="D5" s="32" t="s">
        <v>491</v>
      </c>
      <c r="E5" s="56"/>
      <c r="F5" s="56"/>
      <c r="G5" s="56"/>
      <c r="H5" s="56"/>
      <c r="I5" s="56"/>
      <c r="J5" s="56"/>
      <c r="K5" s="56"/>
      <c r="L5" s="56"/>
      <c r="M5" s="56"/>
      <c r="N5" s="56"/>
      <c r="O5" s="56"/>
      <c r="P5" s="56"/>
      <c r="Q5" s="56"/>
      <c r="R5" s="56"/>
      <c r="S5" s="56"/>
      <c r="T5" s="56"/>
      <c r="U5" s="56"/>
    </row>
    <row r="6" spans="1:21" ht="65" x14ac:dyDescent="0.35">
      <c r="A6" s="76" t="s">
        <v>75</v>
      </c>
      <c r="B6" s="35" t="s">
        <v>54</v>
      </c>
      <c r="C6" s="39" t="s">
        <v>87</v>
      </c>
      <c r="D6" s="32" t="s">
        <v>91</v>
      </c>
      <c r="E6" s="56"/>
      <c r="F6" s="56"/>
      <c r="G6" s="56"/>
      <c r="H6" s="56"/>
      <c r="I6" s="56"/>
      <c r="J6" s="56"/>
      <c r="K6" s="56"/>
      <c r="L6" s="56"/>
      <c r="M6" s="56"/>
      <c r="N6" s="56"/>
      <c r="O6" s="56"/>
      <c r="P6" s="56"/>
      <c r="Q6" s="56"/>
      <c r="R6" s="56"/>
      <c r="S6" s="56"/>
      <c r="T6" s="56"/>
      <c r="U6" s="56"/>
    </row>
    <row r="7" spans="1:21" ht="65" x14ac:dyDescent="0.35">
      <c r="A7" s="76" t="s">
        <v>7</v>
      </c>
      <c r="B7" s="36" t="s">
        <v>55</v>
      </c>
      <c r="C7" s="39" t="s">
        <v>88</v>
      </c>
      <c r="D7" s="32" t="s">
        <v>493</v>
      </c>
      <c r="E7" s="56"/>
      <c r="F7" s="56"/>
      <c r="G7" s="56"/>
      <c r="H7" s="56"/>
      <c r="I7" s="56"/>
      <c r="J7" s="56"/>
      <c r="K7" s="56"/>
      <c r="L7" s="56"/>
      <c r="M7" s="56"/>
      <c r="N7" s="56"/>
      <c r="O7" s="56"/>
      <c r="P7" s="56"/>
      <c r="Q7" s="56"/>
      <c r="R7" s="56"/>
      <c r="S7" s="56"/>
      <c r="T7" s="56"/>
      <c r="U7" s="56"/>
    </row>
    <row r="8" spans="1:21" ht="65" x14ac:dyDescent="0.35">
      <c r="A8" s="76" t="s">
        <v>79</v>
      </c>
      <c r="B8" s="37" t="s">
        <v>56</v>
      </c>
      <c r="C8" s="39" t="s">
        <v>89</v>
      </c>
      <c r="D8" s="32" t="s">
        <v>109</v>
      </c>
      <c r="E8" s="56"/>
      <c r="F8" s="56"/>
      <c r="G8" s="56"/>
      <c r="H8" s="56"/>
      <c r="I8" s="56"/>
      <c r="J8" s="56"/>
      <c r="K8" s="56"/>
      <c r="L8" s="56"/>
      <c r="M8" s="56"/>
      <c r="N8" s="56"/>
      <c r="O8" s="56"/>
      <c r="P8" s="56"/>
      <c r="Q8" s="56"/>
      <c r="R8" s="56"/>
      <c r="S8" s="56"/>
      <c r="T8" s="56"/>
      <c r="U8" s="56"/>
    </row>
    <row r="9" spans="1:21" ht="20" x14ac:dyDescent="0.35">
      <c r="A9" s="76"/>
      <c r="B9" s="76"/>
      <c r="C9" s="78"/>
      <c r="D9" s="78"/>
      <c r="E9" s="56"/>
      <c r="F9" s="56"/>
      <c r="G9" s="56"/>
      <c r="H9" s="56"/>
      <c r="I9" s="56"/>
      <c r="J9" s="56"/>
      <c r="K9" s="56"/>
      <c r="L9" s="56"/>
      <c r="M9" s="56"/>
      <c r="N9" s="56"/>
      <c r="O9" s="56"/>
      <c r="P9" s="56"/>
      <c r="Q9" s="56"/>
      <c r="R9" s="56"/>
      <c r="S9" s="56"/>
      <c r="T9" s="56"/>
      <c r="U9" s="56"/>
    </row>
    <row r="10" spans="1:21" x14ac:dyDescent="0.35">
      <c r="A10" s="76"/>
      <c r="B10" s="79"/>
      <c r="C10" s="79"/>
      <c r="D10" s="79"/>
      <c r="E10" s="56"/>
      <c r="F10" s="56"/>
      <c r="G10" s="56"/>
      <c r="H10" s="56"/>
      <c r="I10" s="56"/>
      <c r="J10" s="56"/>
      <c r="K10" s="56"/>
      <c r="L10" s="56"/>
      <c r="M10" s="56"/>
      <c r="N10" s="56"/>
      <c r="O10" s="56"/>
      <c r="P10" s="56"/>
      <c r="Q10" s="56"/>
      <c r="R10" s="56"/>
      <c r="S10" s="56"/>
      <c r="T10" s="56"/>
      <c r="U10" s="56"/>
    </row>
    <row r="11" spans="1:21" x14ac:dyDescent="0.35">
      <c r="A11" s="76"/>
      <c r="B11" s="76" t="s">
        <v>84</v>
      </c>
      <c r="C11" s="76" t="s">
        <v>483</v>
      </c>
      <c r="D11" s="76" t="s">
        <v>484</v>
      </c>
      <c r="E11" s="56"/>
      <c r="F11" s="56"/>
      <c r="G11" s="56"/>
      <c r="H11" s="56"/>
      <c r="I11" s="56"/>
      <c r="J11" s="56"/>
      <c r="K11" s="56"/>
      <c r="L11" s="56"/>
      <c r="M11" s="56"/>
      <c r="N11" s="56"/>
      <c r="O11" s="56"/>
      <c r="P11" s="56"/>
      <c r="Q11" s="56"/>
      <c r="R11" s="56"/>
      <c r="S11" s="56"/>
      <c r="T11" s="56"/>
      <c r="U11" s="56"/>
    </row>
    <row r="12" spans="1:21" x14ac:dyDescent="0.35">
      <c r="A12" s="76"/>
      <c r="B12" s="76" t="s">
        <v>82</v>
      </c>
      <c r="C12" s="76" t="s">
        <v>485</v>
      </c>
      <c r="D12" s="76" t="s">
        <v>492</v>
      </c>
      <c r="E12" s="56"/>
      <c r="F12" s="56"/>
      <c r="G12" s="56"/>
      <c r="H12" s="56"/>
      <c r="I12" s="56"/>
      <c r="J12" s="56"/>
      <c r="K12" s="56"/>
      <c r="L12" s="56"/>
      <c r="M12" s="56"/>
      <c r="N12" s="56"/>
      <c r="O12" s="56"/>
      <c r="P12" s="56"/>
      <c r="Q12" s="56"/>
      <c r="R12" s="56"/>
      <c r="S12" s="56"/>
      <c r="T12" s="56"/>
      <c r="U12" s="56"/>
    </row>
    <row r="13" spans="1:21" x14ac:dyDescent="0.35">
      <c r="A13" s="76"/>
      <c r="B13" s="76"/>
      <c r="C13" s="76" t="s">
        <v>486</v>
      </c>
      <c r="D13" s="76" t="s">
        <v>487</v>
      </c>
      <c r="E13" s="56"/>
      <c r="F13" s="56"/>
      <c r="G13" s="56"/>
      <c r="H13" s="56"/>
      <c r="I13" s="56"/>
      <c r="J13" s="56"/>
      <c r="K13" s="56"/>
      <c r="L13" s="56"/>
      <c r="M13" s="56"/>
      <c r="N13" s="56"/>
      <c r="O13" s="56"/>
      <c r="P13" s="56"/>
      <c r="Q13" s="56"/>
      <c r="R13" s="56"/>
      <c r="S13" s="56"/>
      <c r="T13" s="56"/>
      <c r="U13" s="56"/>
    </row>
    <row r="14" spans="1:21" x14ac:dyDescent="0.35">
      <c r="A14" s="76"/>
      <c r="B14" s="76"/>
      <c r="C14" s="76" t="s">
        <v>488</v>
      </c>
      <c r="D14" s="76" t="s">
        <v>494</v>
      </c>
      <c r="E14" s="56"/>
      <c r="F14" s="56"/>
      <c r="G14" s="56"/>
      <c r="H14" s="56"/>
      <c r="I14" s="56"/>
      <c r="J14" s="56"/>
      <c r="K14" s="56"/>
      <c r="L14" s="56"/>
      <c r="M14" s="56"/>
      <c r="N14" s="56"/>
      <c r="O14" s="56"/>
      <c r="P14" s="56"/>
      <c r="Q14" s="56"/>
      <c r="R14" s="56"/>
      <c r="S14" s="56"/>
      <c r="T14" s="56"/>
      <c r="U14" s="56"/>
    </row>
    <row r="15" spans="1:21" x14ac:dyDescent="0.35">
      <c r="A15" s="76"/>
      <c r="B15" s="76"/>
      <c r="C15" s="76" t="s">
        <v>489</v>
      </c>
      <c r="D15" s="76" t="s">
        <v>490</v>
      </c>
      <c r="E15" s="56"/>
      <c r="F15" s="56"/>
      <c r="G15" s="56"/>
      <c r="H15" s="56"/>
      <c r="I15" s="56"/>
      <c r="J15" s="56"/>
      <c r="K15" s="56"/>
      <c r="L15" s="56"/>
      <c r="M15" s="56"/>
      <c r="N15" s="56"/>
      <c r="O15" s="56"/>
      <c r="P15" s="56"/>
      <c r="Q15" s="56"/>
      <c r="R15" s="56"/>
      <c r="S15" s="56"/>
      <c r="T15" s="56"/>
      <c r="U15" s="56"/>
    </row>
    <row r="16" spans="1:21" x14ac:dyDescent="0.35">
      <c r="A16" s="76"/>
      <c r="B16" s="76"/>
      <c r="C16" s="76"/>
      <c r="D16" s="76"/>
      <c r="E16" s="56"/>
      <c r="F16" s="56"/>
      <c r="G16" s="56"/>
      <c r="H16" s="56"/>
      <c r="I16" s="56"/>
      <c r="J16" s="56"/>
      <c r="K16" s="56"/>
      <c r="L16" s="56"/>
      <c r="M16" s="56"/>
      <c r="N16" s="56"/>
      <c r="O16" s="56"/>
    </row>
    <row r="17" spans="1:15" x14ac:dyDescent="0.35">
      <c r="A17" s="76"/>
      <c r="B17" s="76"/>
      <c r="C17" s="76"/>
      <c r="D17" s="76"/>
      <c r="E17" s="56"/>
      <c r="F17" s="56"/>
      <c r="G17" s="56"/>
      <c r="H17" s="56"/>
      <c r="I17" s="56"/>
      <c r="J17" s="56"/>
      <c r="K17" s="56"/>
      <c r="L17" s="56"/>
      <c r="M17" s="56"/>
      <c r="N17" s="56"/>
      <c r="O17" s="56"/>
    </row>
    <row r="18" spans="1:15" x14ac:dyDescent="0.35">
      <c r="A18" s="76"/>
      <c r="B18" s="80"/>
      <c r="C18" s="80"/>
      <c r="D18" s="80"/>
      <c r="E18" s="56"/>
      <c r="F18" s="56"/>
      <c r="G18" s="56"/>
      <c r="H18" s="56"/>
      <c r="I18" s="56"/>
      <c r="J18" s="56"/>
      <c r="K18" s="56"/>
      <c r="L18" s="56"/>
      <c r="M18" s="56"/>
      <c r="N18" s="56"/>
      <c r="O18" s="56"/>
    </row>
    <row r="19" spans="1:15" x14ac:dyDescent="0.35">
      <c r="A19" s="76"/>
      <c r="B19" s="80"/>
      <c r="C19" s="80"/>
      <c r="D19" s="80"/>
      <c r="E19" s="56"/>
      <c r="F19" s="56"/>
      <c r="G19" s="56"/>
      <c r="H19" s="56"/>
      <c r="I19" s="56"/>
      <c r="J19" s="56"/>
      <c r="K19" s="56"/>
      <c r="L19" s="56"/>
      <c r="M19" s="56"/>
      <c r="N19" s="56"/>
      <c r="O19" s="56"/>
    </row>
    <row r="20" spans="1:15" x14ac:dyDescent="0.35">
      <c r="A20" s="76"/>
      <c r="B20" s="80"/>
      <c r="C20" s="80"/>
      <c r="D20" s="80"/>
      <c r="E20" s="56"/>
      <c r="F20" s="56"/>
      <c r="G20" s="56"/>
      <c r="H20" s="56"/>
      <c r="I20" s="56"/>
      <c r="J20" s="56"/>
      <c r="K20" s="56"/>
      <c r="L20" s="56"/>
      <c r="M20" s="56"/>
      <c r="N20" s="56"/>
      <c r="O20" s="56"/>
    </row>
    <row r="21" spans="1:15" x14ac:dyDescent="0.35">
      <c r="A21" s="76"/>
      <c r="B21" s="80"/>
      <c r="C21" s="80"/>
      <c r="D21" s="80"/>
      <c r="E21" s="56"/>
      <c r="F21" s="56"/>
      <c r="G21" s="56"/>
      <c r="H21" s="56"/>
      <c r="I21" s="56"/>
      <c r="J21" s="56"/>
      <c r="K21" s="56"/>
      <c r="L21" s="56"/>
      <c r="M21" s="56"/>
      <c r="N21" s="56"/>
      <c r="O21" s="56"/>
    </row>
    <row r="22" spans="1:15" ht="20" x14ac:dyDescent="0.35">
      <c r="A22" s="76"/>
      <c r="B22" s="76"/>
      <c r="C22" s="78"/>
      <c r="D22" s="78"/>
      <c r="E22" s="56"/>
      <c r="F22" s="56"/>
      <c r="G22" s="56"/>
      <c r="H22" s="56"/>
      <c r="I22" s="56"/>
      <c r="J22" s="56"/>
      <c r="K22" s="56"/>
      <c r="L22" s="56"/>
      <c r="M22" s="56"/>
      <c r="N22" s="56"/>
      <c r="O22" s="56"/>
    </row>
    <row r="23" spans="1:15" ht="20" x14ac:dyDescent="0.35">
      <c r="A23" s="76"/>
      <c r="B23" s="76"/>
      <c r="C23" s="78"/>
      <c r="D23" s="78"/>
      <c r="E23" s="56"/>
      <c r="F23" s="56"/>
      <c r="G23" s="56"/>
      <c r="H23" s="56"/>
      <c r="I23" s="56"/>
      <c r="J23" s="56"/>
      <c r="K23" s="56"/>
      <c r="L23" s="56"/>
      <c r="M23" s="56"/>
      <c r="N23" s="56"/>
      <c r="O23" s="56"/>
    </row>
    <row r="24" spans="1:15" ht="20" x14ac:dyDescent="0.35">
      <c r="A24" s="76"/>
      <c r="B24" s="76"/>
      <c r="C24" s="78"/>
      <c r="D24" s="78"/>
      <c r="E24" s="56"/>
      <c r="F24" s="56"/>
      <c r="G24" s="56"/>
      <c r="H24" s="56"/>
      <c r="I24" s="56"/>
      <c r="J24" s="56"/>
      <c r="K24" s="56"/>
      <c r="L24" s="56"/>
      <c r="M24" s="56"/>
      <c r="N24" s="56"/>
      <c r="O24" s="56"/>
    </row>
    <row r="25" spans="1:15" ht="20" x14ac:dyDescent="0.35">
      <c r="A25" s="76"/>
      <c r="B25" s="76"/>
      <c r="C25" s="78"/>
      <c r="D25" s="78"/>
      <c r="E25" s="56"/>
      <c r="F25" s="56"/>
      <c r="G25" s="56"/>
      <c r="H25" s="56"/>
      <c r="I25" s="56"/>
      <c r="J25" s="56"/>
      <c r="K25" s="56"/>
      <c r="L25" s="56"/>
      <c r="M25" s="56"/>
      <c r="N25" s="56"/>
      <c r="O25" s="56"/>
    </row>
    <row r="26" spans="1:15" ht="20" x14ac:dyDescent="0.35">
      <c r="A26" s="76"/>
      <c r="B26" s="76"/>
      <c r="C26" s="78"/>
      <c r="D26" s="78"/>
      <c r="E26" s="56"/>
      <c r="F26" s="56"/>
      <c r="G26" s="56"/>
      <c r="H26" s="56"/>
      <c r="I26" s="56"/>
      <c r="J26" s="56"/>
      <c r="K26" s="56"/>
      <c r="L26" s="56"/>
      <c r="M26" s="56"/>
      <c r="N26" s="56"/>
      <c r="O26" s="56"/>
    </row>
    <row r="27" spans="1:15" ht="20" x14ac:dyDescent="0.35">
      <c r="A27" s="76"/>
      <c r="B27" s="76"/>
      <c r="C27" s="78"/>
      <c r="D27" s="78"/>
      <c r="E27" s="56"/>
      <c r="F27" s="56"/>
      <c r="G27" s="56"/>
      <c r="H27" s="56"/>
      <c r="I27" s="56"/>
      <c r="J27" s="56"/>
      <c r="K27" s="56"/>
      <c r="L27" s="56"/>
      <c r="M27" s="56"/>
      <c r="N27" s="56"/>
      <c r="O27" s="56"/>
    </row>
    <row r="28" spans="1:15" ht="20" x14ac:dyDescent="0.35">
      <c r="A28" s="76"/>
      <c r="B28" s="76"/>
      <c r="C28" s="78"/>
      <c r="D28" s="78"/>
      <c r="E28" s="56"/>
      <c r="F28" s="56"/>
      <c r="G28" s="56"/>
      <c r="H28" s="56"/>
      <c r="I28" s="56"/>
      <c r="J28" s="56"/>
      <c r="K28" s="56"/>
      <c r="L28" s="56"/>
      <c r="M28" s="56"/>
      <c r="N28" s="56"/>
      <c r="O28" s="56"/>
    </row>
    <row r="29" spans="1:15" ht="20" x14ac:dyDescent="0.35">
      <c r="A29" s="76"/>
      <c r="B29" s="76"/>
      <c r="C29" s="78"/>
      <c r="D29" s="78"/>
      <c r="E29" s="56"/>
      <c r="F29" s="56"/>
      <c r="G29" s="56"/>
      <c r="H29" s="56"/>
      <c r="I29" s="56"/>
      <c r="J29" s="56"/>
      <c r="K29" s="56"/>
      <c r="L29" s="56"/>
      <c r="M29" s="56"/>
      <c r="N29" s="56"/>
      <c r="O29" s="56"/>
    </row>
    <row r="30" spans="1:15" ht="20" x14ac:dyDescent="0.35">
      <c r="A30" s="76"/>
      <c r="B30" s="76"/>
      <c r="C30" s="78"/>
      <c r="D30" s="78"/>
      <c r="E30" s="56"/>
      <c r="F30" s="56"/>
      <c r="G30" s="56"/>
      <c r="H30" s="56"/>
      <c r="I30" s="56"/>
      <c r="J30" s="56"/>
      <c r="K30" s="56"/>
      <c r="L30" s="56"/>
      <c r="M30" s="56"/>
      <c r="N30" s="56"/>
      <c r="O30" s="56"/>
    </row>
    <row r="31" spans="1:15" ht="20" x14ac:dyDescent="0.35">
      <c r="A31" s="76"/>
      <c r="B31" s="76"/>
      <c r="C31" s="78"/>
      <c r="D31" s="78"/>
      <c r="E31" s="56"/>
      <c r="F31" s="56"/>
      <c r="G31" s="56"/>
      <c r="H31" s="56"/>
      <c r="I31" s="56"/>
      <c r="J31" s="56"/>
      <c r="K31" s="56"/>
      <c r="L31" s="56"/>
      <c r="M31" s="56"/>
      <c r="N31" s="56"/>
      <c r="O31" s="56"/>
    </row>
    <row r="32" spans="1:15" ht="20" x14ac:dyDescent="0.35">
      <c r="A32" s="76"/>
      <c r="B32" s="76"/>
      <c r="C32" s="78"/>
      <c r="D32" s="78"/>
      <c r="E32" s="56"/>
      <c r="F32" s="56"/>
      <c r="G32" s="56"/>
      <c r="H32" s="56"/>
      <c r="I32" s="56"/>
      <c r="J32" s="56"/>
      <c r="K32" s="56"/>
      <c r="L32" s="56"/>
      <c r="M32" s="56"/>
      <c r="N32" s="56"/>
      <c r="O32" s="56"/>
    </row>
    <row r="33" spans="1:15" ht="20" x14ac:dyDescent="0.35">
      <c r="A33" s="76"/>
      <c r="B33" s="76"/>
      <c r="C33" s="78"/>
      <c r="D33" s="78"/>
      <c r="E33" s="56"/>
      <c r="F33" s="56"/>
      <c r="G33" s="56"/>
      <c r="H33" s="56"/>
      <c r="I33" s="56"/>
      <c r="J33" s="56"/>
      <c r="K33" s="56"/>
      <c r="L33" s="56"/>
      <c r="M33" s="56"/>
      <c r="N33" s="56"/>
      <c r="O33" s="56"/>
    </row>
    <row r="34" spans="1:15" ht="20" x14ac:dyDescent="0.35">
      <c r="A34" s="76"/>
      <c r="B34" s="76"/>
      <c r="C34" s="78"/>
      <c r="D34" s="78"/>
      <c r="E34" s="56"/>
      <c r="F34" s="56"/>
      <c r="G34" s="56"/>
      <c r="H34" s="56"/>
      <c r="I34" s="56"/>
      <c r="J34" s="56"/>
      <c r="K34" s="56"/>
      <c r="L34" s="56"/>
      <c r="M34" s="56"/>
      <c r="N34" s="56"/>
      <c r="O34" s="56"/>
    </row>
    <row r="35" spans="1:15" ht="20" x14ac:dyDescent="0.35">
      <c r="A35" s="76"/>
      <c r="B35" s="76"/>
      <c r="C35" s="78"/>
      <c r="D35" s="78"/>
      <c r="E35" s="56"/>
      <c r="F35" s="56"/>
      <c r="G35" s="56"/>
      <c r="H35" s="56"/>
      <c r="I35" s="56"/>
      <c r="J35" s="56"/>
      <c r="K35" s="56"/>
      <c r="L35" s="56"/>
      <c r="M35" s="56"/>
      <c r="N35" s="56"/>
      <c r="O35" s="56"/>
    </row>
    <row r="36" spans="1:15" ht="20" x14ac:dyDescent="0.35">
      <c r="A36" s="76"/>
      <c r="B36" s="76"/>
      <c r="C36" s="78"/>
      <c r="D36" s="78"/>
      <c r="E36" s="56"/>
      <c r="F36" s="56"/>
      <c r="G36" s="56"/>
      <c r="H36" s="56"/>
      <c r="I36" s="56"/>
      <c r="J36" s="56"/>
      <c r="K36" s="56"/>
      <c r="L36" s="56"/>
      <c r="M36" s="56"/>
      <c r="N36" s="56"/>
      <c r="O36" s="56"/>
    </row>
    <row r="37" spans="1:15" ht="20" x14ac:dyDescent="0.35">
      <c r="A37" s="76"/>
      <c r="B37" s="76"/>
      <c r="C37" s="78"/>
      <c r="D37" s="78"/>
      <c r="E37" s="56"/>
      <c r="F37" s="56"/>
      <c r="G37" s="56"/>
      <c r="H37" s="56"/>
      <c r="I37" s="56"/>
      <c r="J37" s="56"/>
      <c r="K37" s="56"/>
      <c r="L37" s="56"/>
      <c r="M37" s="56"/>
      <c r="N37" s="56"/>
      <c r="O37" s="56"/>
    </row>
    <row r="38" spans="1:15" ht="20" x14ac:dyDescent="0.35">
      <c r="A38" s="76"/>
      <c r="B38" s="76"/>
      <c r="C38" s="78"/>
      <c r="D38" s="78"/>
      <c r="E38" s="56"/>
      <c r="F38" s="56"/>
      <c r="G38" s="56"/>
      <c r="H38" s="56"/>
      <c r="I38" s="56"/>
      <c r="J38" s="56"/>
      <c r="K38" s="56"/>
      <c r="L38" s="56"/>
      <c r="M38" s="56"/>
      <c r="N38" s="56"/>
      <c r="O38" s="56"/>
    </row>
    <row r="39" spans="1:15" ht="20" x14ac:dyDescent="0.35">
      <c r="A39" s="76"/>
      <c r="B39" s="76"/>
      <c r="C39" s="78"/>
      <c r="D39" s="78"/>
      <c r="E39" s="56"/>
      <c r="F39" s="56"/>
      <c r="G39" s="56"/>
      <c r="H39" s="56"/>
      <c r="I39" s="56"/>
      <c r="J39" s="56"/>
      <c r="K39" s="56"/>
      <c r="L39" s="56"/>
      <c r="M39" s="56"/>
      <c r="N39" s="56"/>
      <c r="O39" s="56"/>
    </row>
    <row r="40" spans="1:15" ht="20" x14ac:dyDescent="0.35">
      <c r="A40" s="76"/>
      <c r="B40" s="76"/>
      <c r="C40" s="78"/>
      <c r="D40" s="78"/>
      <c r="E40" s="56"/>
      <c r="F40" s="56"/>
      <c r="G40" s="56"/>
      <c r="H40" s="56"/>
      <c r="I40" s="56"/>
      <c r="J40" s="56"/>
      <c r="K40" s="56"/>
      <c r="L40" s="56"/>
      <c r="M40" s="56"/>
      <c r="N40" s="56"/>
      <c r="O40" s="56"/>
    </row>
    <row r="41" spans="1:15" ht="20" x14ac:dyDescent="0.35">
      <c r="A41" s="76"/>
      <c r="B41" s="76"/>
      <c r="C41" s="78"/>
      <c r="D41" s="78"/>
      <c r="E41" s="56"/>
      <c r="F41" s="56"/>
      <c r="G41" s="56"/>
      <c r="H41" s="56"/>
      <c r="I41" s="56"/>
      <c r="J41" s="56"/>
      <c r="K41" s="56"/>
      <c r="L41" s="56"/>
      <c r="M41" s="56"/>
      <c r="N41" s="56"/>
      <c r="O41" s="56"/>
    </row>
    <row r="42" spans="1:15" ht="20" x14ac:dyDescent="0.35">
      <c r="A42" s="76"/>
      <c r="B42" s="76"/>
      <c r="C42" s="78"/>
      <c r="D42" s="78"/>
      <c r="E42" s="56"/>
      <c r="F42" s="56"/>
      <c r="G42" s="56"/>
      <c r="H42" s="56"/>
      <c r="I42" s="56"/>
      <c r="J42" s="56"/>
      <c r="K42" s="56"/>
      <c r="L42" s="56"/>
      <c r="M42" s="56"/>
      <c r="N42" s="56"/>
      <c r="O42" s="56"/>
    </row>
    <row r="43" spans="1:15" ht="20" x14ac:dyDescent="0.35">
      <c r="A43" s="76"/>
      <c r="B43" s="76"/>
      <c r="C43" s="78"/>
      <c r="D43" s="78"/>
      <c r="E43" s="56"/>
      <c r="F43" s="56"/>
      <c r="G43" s="56"/>
      <c r="H43" s="56"/>
      <c r="I43" s="56"/>
      <c r="J43" s="56"/>
      <c r="K43" s="56"/>
      <c r="L43" s="56"/>
      <c r="M43" s="56"/>
      <c r="N43" s="56"/>
      <c r="O43" s="56"/>
    </row>
    <row r="44" spans="1:15" ht="20" x14ac:dyDescent="0.35">
      <c r="A44" s="76"/>
      <c r="B44" s="76"/>
      <c r="C44" s="78"/>
      <c r="D44" s="78"/>
      <c r="E44" s="56"/>
      <c r="F44" s="56"/>
      <c r="G44" s="56"/>
      <c r="H44" s="56"/>
      <c r="I44" s="56"/>
      <c r="J44" s="56"/>
      <c r="K44" s="56"/>
      <c r="L44" s="56"/>
      <c r="M44" s="56"/>
      <c r="N44" s="56"/>
      <c r="O44" s="56"/>
    </row>
    <row r="45" spans="1:15" ht="20" x14ac:dyDescent="0.35">
      <c r="A45" s="76"/>
      <c r="B45" s="76"/>
      <c r="C45" s="78"/>
      <c r="D45" s="78"/>
      <c r="E45" s="56"/>
      <c r="F45" s="56"/>
      <c r="G45" s="56"/>
      <c r="H45" s="56"/>
      <c r="I45" s="56"/>
      <c r="J45" s="56"/>
      <c r="K45" s="56"/>
      <c r="L45" s="56"/>
      <c r="M45" s="56"/>
      <c r="N45" s="56"/>
      <c r="O45" s="56"/>
    </row>
    <row r="46" spans="1:15" ht="20" x14ac:dyDescent="0.35">
      <c r="A46" s="76"/>
      <c r="B46" s="76"/>
      <c r="C46" s="78"/>
      <c r="D46" s="78"/>
      <c r="E46" s="56"/>
      <c r="F46" s="56"/>
      <c r="G46" s="56"/>
      <c r="H46" s="56"/>
      <c r="I46" s="56"/>
      <c r="J46" s="56"/>
      <c r="K46" s="56"/>
      <c r="L46" s="56"/>
      <c r="M46" s="56"/>
      <c r="N46" s="56"/>
      <c r="O46" s="56"/>
    </row>
    <row r="47" spans="1:15" ht="20" x14ac:dyDescent="0.35">
      <c r="A47" s="76"/>
      <c r="B47" s="76"/>
      <c r="C47" s="78"/>
      <c r="D47" s="78"/>
      <c r="E47" s="56"/>
      <c r="F47" s="56"/>
      <c r="G47" s="56"/>
      <c r="H47" s="56"/>
      <c r="I47" s="56"/>
      <c r="J47" s="56"/>
      <c r="K47" s="56"/>
      <c r="L47" s="56"/>
      <c r="M47" s="56"/>
      <c r="N47" s="56"/>
      <c r="O47" s="56"/>
    </row>
    <row r="48" spans="1:15" ht="20" x14ac:dyDescent="0.35">
      <c r="A48" s="76"/>
      <c r="B48" s="76"/>
      <c r="C48" s="78"/>
      <c r="D48" s="78"/>
      <c r="E48" s="56"/>
      <c r="F48" s="56"/>
      <c r="G48" s="56"/>
      <c r="H48" s="56"/>
      <c r="I48" s="56"/>
      <c r="J48" s="56"/>
      <c r="K48" s="56"/>
      <c r="L48" s="56"/>
      <c r="M48" s="56"/>
      <c r="N48" s="56"/>
      <c r="O48" s="56"/>
    </row>
    <row r="49" spans="1:15" ht="20" x14ac:dyDescent="0.35">
      <c r="A49" s="76"/>
      <c r="B49" s="76"/>
      <c r="C49" s="78"/>
      <c r="D49" s="78"/>
      <c r="E49" s="56"/>
      <c r="F49" s="56"/>
      <c r="G49" s="56"/>
      <c r="H49" s="56"/>
      <c r="I49" s="56"/>
      <c r="J49" s="56"/>
      <c r="K49" s="56"/>
      <c r="L49" s="56"/>
      <c r="M49" s="56"/>
      <c r="N49" s="56"/>
      <c r="O49" s="56"/>
    </row>
    <row r="50" spans="1:15" ht="20" x14ac:dyDescent="0.35">
      <c r="A50" s="76"/>
      <c r="B50" s="76"/>
      <c r="C50" s="78"/>
      <c r="D50" s="78"/>
      <c r="E50" s="56"/>
      <c r="F50" s="56"/>
      <c r="G50" s="56"/>
      <c r="H50" s="56"/>
      <c r="I50" s="56"/>
      <c r="J50" s="56"/>
      <c r="K50" s="56"/>
      <c r="L50" s="56"/>
      <c r="M50" s="56"/>
      <c r="N50" s="56"/>
      <c r="O50" s="56"/>
    </row>
    <row r="51" spans="1:15" ht="20" x14ac:dyDescent="0.35">
      <c r="A51" s="76"/>
      <c r="B51" s="76"/>
      <c r="C51" s="78"/>
      <c r="D51" s="78"/>
      <c r="E51" s="56"/>
      <c r="F51" s="56"/>
      <c r="G51" s="56"/>
      <c r="H51" s="56"/>
      <c r="I51" s="56"/>
      <c r="J51" s="56"/>
      <c r="K51" s="56"/>
      <c r="L51" s="56"/>
      <c r="M51" s="56"/>
      <c r="N51" s="56"/>
      <c r="O51" s="56"/>
    </row>
    <row r="52" spans="1:15" ht="20" x14ac:dyDescent="0.35">
      <c r="A52" s="76"/>
      <c r="B52" s="19"/>
      <c r="C52" s="28"/>
      <c r="D52" s="28"/>
    </row>
    <row r="53" spans="1:15" ht="20" x14ac:dyDescent="0.35">
      <c r="A53" s="76"/>
      <c r="B53" s="19"/>
      <c r="C53" s="28"/>
      <c r="D53" s="28"/>
    </row>
    <row r="54" spans="1:15" ht="20" x14ac:dyDescent="0.35">
      <c r="A54" s="76"/>
      <c r="B54" s="19"/>
      <c r="C54" s="28"/>
      <c r="D54" s="28"/>
    </row>
    <row r="55" spans="1:15" ht="20" x14ac:dyDescent="0.35">
      <c r="A55" s="76"/>
      <c r="B55" s="19"/>
      <c r="C55" s="28"/>
      <c r="D55" s="28"/>
    </row>
    <row r="56" spans="1:15" ht="20" x14ac:dyDescent="0.35">
      <c r="A56" s="76"/>
      <c r="B56" s="19"/>
      <c r="C56" s="28"/>
      <c r="D56" s="28"/>
    </row>
    <row r="57" spans="1:15" ht="20" x14ac:dyDescent="0.35">
      <c r="A57" s="76"/>
      <c r="B57" s="19"/>
      <c r="C57" s="28"/>
      <c r="D57" s="28"/>
    </row>
    <row r="58" spans="1:15" ht="20" x14ac:dyDescent="0.35">
      <c r="A58" s="76"/>
      <c r="B58" s="19"/>
      <c r="C58" s="28"/>
      <c r="D58" s="28"/>
    </row>
    <row r="59" spans="1:15" ht="20" x14ac:dyDescent="0.35">
      <c r="A59" s="76"/>
      <c r="B59" s="19"/>
      <c r="C59" s="28"/>
      <c r="D59" s="28"/>
    </row>
    <row r="60" spans="1:15" ht="20" x14ac:dyDescent="0.35">
      <c r="A60" s="76"/>
      <c r="B60" s="19"/>
      <c r="C60" s="28"/>
      <c r="D60" s="28"/>
    </row>
    <row r="61" spans="1:15" ht="20" x14ac:dyDescent="0.35">
      <c r="A61" s="76"/>
      <c r="B61" s="19"/>
      <c r="C61" s="28"/>
      <c r="D61" s="28"/>
    </row>
    <row r="62" spans="1:15" ht="20" x14ac:dyDescent="0.35">
      <c r="A62" s="76"/>
      <c r="B62" s="19"/>
      <c r="C62" s="28"/>
      <c r="D62" s="28"/>
    </row>
    <row r="63" spans="1:15" ht="20" x14ac:dyDescent="0.35">
      <c r="A63" s="76"/>
      <c r="B63" s="19"/>
      <c r="C63" s="28"/>
      <c r="D63" s="28"/>
    </row>
    <row r="64" spans="1:15" ht="20" x14ac:dyDescent="0.35">
      <c r="A64" s="76"/>
      <c r="B64" s="19"/>
      <c r="C64" s="28"/>
      <c r="D64" s="28"/>
    </row>
    <row r="65" spans="1:4" ht="20" x14ac:dyDescent="0.35">
      <c r="A65" s="76"/>
      <c r="B65" s="19"/>
      <c r="C65" s="28"/>
      <c r="D65" s="28"/>
    </row>
    <row r="66" spans="1:4" ht="20" x14ac:dyDescent="0.35">
      <c r="A66" s="76"/>
      <c r="B66" s="19"/>
      <c r="C66" s="28"/>
      <c r="D66" s="28"/>
    </row>
    <row r="67" spans="1:4" ht="20" x14ac:dyDescent="0.35">
      <c r="A67" s="76"/>
      <c r="B67" s="19"/>
      <c r="C67" s="28"/>
      <c r="D67" s="28"/>
    </row>
    <row r="68" spans="1:4" ht="20" x14ac:dyDescent="0.35">
      <c r="A68" s="76"/>
      <c r="B68" s="19"/>
      <c r="C68" s="28"/>
      <c r="D68" s="28"/>
    </row>
    <row r="69" spans="1:4" ht="20" x14ac:dyDescent="0.35">
      <c r="A69" s="76"/>
      <c r="B69" s="19"/>
      <c r="C69" s="28"/>
      <c r="D69" s="28"/>
    </row>
    <row r="70" spans="1:4" ht="20" x14ac:dyDescent="0.35">
      <c r="A70" s="76"/>
      <c r="B70" s="19"/>
      <c r="C70" s="28"/>
      <c r="D70" s="28"/>
    </row>
    <row r="71" spans="1:4" ht="20" x14ac:dyDescent="0.35">
      <c r="A71" s="76"/>
      <c r="B71" s="19"/>
      <c r="C71" s="28"/>
      <c r="D71" s="28"/>
    </row>
    <row r="72" spans="1:4" ht="20" x14ac:dyDescent="0.35">
      <c r="A72" s="76"/>
      <c r="B72" s="19"/>
      <c r="C72" s="28"/>
      <c r="D72" s="28"/>
    </row>
    <row r="73" spans="1:4" ht="20" x14ac:dyDescent="0.35">
      <c r="A73" s="76"/>
      <c r="B73" s="19"/>
      <c r="C73" s="28"/>
      <c r="D73" s="28"/>
    </row>
    <row r="74" spans="1:4" ht="20" x14ac:dyDescent="0.35">
      <c r="A74" s="76"/>
      <c r="B74" s="19"/>
      <c r="C74" s="28"/>
      <c r="D74" s="28"/>
    </row>
    <row r="75" spans="1:4" ht="20" x14ac:dyDescent="0.35">
      <c r="A75" s="76"/>
      <c r="B75" s="19"/>
      <c r="C75" s="28"/>
      <c r="D75" s="28"/>
    </row>
    <row r="76" spans="1:4" ht="20" x14ac:dyDescent="0.35">
      <c r="A76" s="76"/>
      <c r="B76" s="19"/>
      <c r="C76" s="28"/>
      <c r="D76" s="28"/>
    </row>
    <row r="77" spans="1:4" ht="20" x14ac:dyDescent="0.35">
      <c r="A77" s="76"/>
      <c r="B77" s="19"/>
      <c r="C77" s="28"/>
      <c r="D77" s="28"/>
    </row>
    <row r="78" spans="1:4" ht="20" x14ac:dyDescent="0.35">
      <c r="A78" s="76"/>
      <c r="B78" s="19"/>
      <c r="C78" s="28"/>
      <c r="D78" s="28"/>
    </row>
    <row r="79" spans="1:4" ht="20" x14ac:dyDescent="0.35">
      <c r="A79" s="76"/>
      <c r="B79" s="19"/>
      <c r="C79" s="28"/>
      <c r="D79" s="28"/>
    </row>
    <row r="80" spans="1:4" ht="20" x14ac:dyDescent="0.35">
      <c r="A80" s="76"/>
      <c r="B80" s="19"/>
      <c r="C80" s="28"/>
      <c r="D80" s="28"/>
    </row>
    <row r="81" spans="1:4" ht="20" x14ac:dyDescent="0.35">
      <c r="A81" s="76"/>
      <c r="B81" s="19"/>
      <c r="C81" s="28"/>
      <c r="D81" s="28"/>
    </row>
    <row r="82" spans="1:4" ht="20" x14ac:dyDescent="0.35">
      <c r="A82" s="76"/>
      <c r="B82" s="19"/>
      <c r="C82" s="28"/>
      <c r="D82" s="28"/>
    </row>
    <row r="83" spans="1:4" ht="20" x14ac:dyDescent="0.35">
      <c r="A83" s="76"/>
      <c r="B83" s="19"/>
      <c r="C83" s="28"/>
      <c r="D83" s="28"/>
    </row>
    <row r="84" spans="1:4" ht="20" x14ac:dyDescent="0.35">
      <c r="A84" s="76"/>
      <c r="B84" s="19"/>
      <c r="C84" s="28"/>
      <c r="D84" s="28"/>
    </row>
    <row r="85" spans="1:4" ht="20" x14ac:dyDescent="0.35">
      <c r="A85" s="76"/>
      <c r="B85" s="19"/>
      <c r="C85" s="28"/>
      <c r="D85" s="28"/>
    </row>
    <row r="86" spans="1:4" ht="20" x14ac:dyDescent="0.35">
      <c r="A86" s="76"/>
      <c r="B86" s="19"/>
      <c r="C86" s="28"/>
      <c r="D86" s="28"/>
    </row>
    <row r="87" spans="1:4" ht="20" x14ac:dyDescent="0.35">
      <c r="A87" s="76"/>
      <c r="B87" s="19"/>
      <c r="C87" s="28"/>
      <c r="D87" s="28"/>
    </row>
    <row r="88" spans="1:4" ht="20" x14ac:dyDescent="0.35">
      <c r="A88" s="76"/>
      <c r="B88" s="19"/>
      <c r="C88" s="28"/>
      <c r="D88" s="28"/>
    </row>
    <row r="89" spans="1:4" ht="20" x14ac:dyDescent="0.35">
      <c r="A89" s="76"/>
      <c r="B89" s="19"/>
      <c r="C89" s="28"/>
      <c r="D89" s="28"/>
    </row>
    <row r="90" spans="1:4" ht="20" x14ac:dyDescent="0.35">
      <c r="A90" s="76"/>
      <c r="B90" s="19"/>
      <c r="C90" s="28"/>
      <c r="D90" s="28"/>
    </row>
    <row r="91" spans="1:4" ht="20" x14ac:dyDescent="0.35">
      <c r="A91" s="76"/>
      <c r="B91" s="19"/>
      <c r="C91" s="28"/>
      <c r="D91" s="28"/>
    </row>
    <row r="92" spans="1:4" ht="20" x14ac:dyDescent="0.35">
      <c r="A92" s="76"/>
      <c r="B92" s="19"/>
      <c r="C92" s="28"/>
      <c r="D92" s="28"/>
    </row>
    <row r="93" spans="1:4" ht="20" x14ac:dyDescent="0.35">
      <c r="A93" s="76"/>
      <c r="B93" s="19"/>
      <c r="C93" s="28"/>
      <c r="D93" s="28"/>
    </row>
    <row r="94" spans="1:4" ht="20" x14ac:dyDescent="0.35">
      <c r="A94" s="76"/>
      <c r="B94" s="19"/>
      <c r="C94" s="28"/>
      <c r="D94" s="28"/>
    </row>
    <row r="95" spans="1:4" ht="20" x14ac:dyDescent="0.35">
      <c r="A95" s="76"/>
      <c r="B95" s="19"/>
      <c r="C95" s="28"/>
      <c r="D95" s="28"/>
    </row>
    <row r="96" spans="1:4" ht="20" x14ac:dyDescent="0.35">
      <c r="A96" s="76"/>
      <c r="B96" s="19"/>
      <c r="C96" s="28"/>
      <c r="D96" s="28"/>
    </row>
    <row r="97" spans="1:4" ht="20" x14ac:dyDescent="0.35">
      <c r="A97" s="76"/>
      <c r="B97" s="19"/>
      <c r="C97" s="28"/>
      <c r="D97" s="28"/>
    </row>
    <row r="98" spans="1:4" ht="20" x14ac:dyDescent="0.35">
      <c r="A98" s="76"/>
      <c r="B98" s="19"/>
      <c r="C98" s="28"/>
      <c r="D98" s="28"/>
    </row>
    <row r="99" spans="1:4" ht="20" x14ac:dyDescent="0.35">
      <c r="A99" s="76"/>
      <c r="B99" s="19"/>
      <c r="C99" s="28"/>
      <c r="D99" s="28"/>
    </row>
    <row r="100" spans="1:4" ht="20" x14ac:dyDescent="0.35">
      <c r="A100" s="76"/>
      <c r="B100" s="19"/>
      <c r="C100" s="28"/>
      <c r="D100" s="28"/>
    </row>
    <row r="101" spans="1:4" ht="20" x14ac:dyDescent="0.35">
      <c r="A101" s="76"/>
      <c r="B101" s="19"/>
      <c r="C101" s="28"/>
      <c r="D101" s="28"/>
    </row>
    <row r="102" spans="1:4" ht="20" x14ac:dyDescent="0.35">
      <c r="A102" s="76"/>
      <c r="B102" s="19"/>
      <c r="C102" s="28"/>
      <c r="D102" s="28"/>
    </row>
    <row r="103" spans="1:4" ht="20" x14ac:dyDescent="0.35">
      <c r="A103" s="76"/>
      <c r="B103" s="19"/>
      <c r="C103" s="28"/>
      <c r="D103" s="28"/>
    </row>
    <row r="104" spans="1:4" ht="20" x14ac:dyDescent="0.35">
      <c r="A104" s="76"/>
      <c r="B104" s="19"/>
      <c r="C104" s="28"/>
      <c r="D104" s="28"/>
    </row>
    <row r="105" spans="1:4" ht="20" x14ac:dyDescent="0.35">
      <c r="A105" s="76"/>
      <c r="B105" s="19"/>
      <c r="C105" s="28"/>
      <c r="D105" s="28"/>
    </row>
    <row r="106" spans="1:4" ht="20" x14ac:dyDescent="0.35">
      <c r="A106" s="76"/>
      <c r="B106" s="19"/>
      <c r="C106" s="28"/>
      <c r="D106" s="28"/>
    </row>
    <row r="107" spans="1:4" ht="20" x14ac:dyDescent="0.35">
      <c r="A107" s="76"/>
      <c r="B107" s="19"/>
      <c r="C107" s="28"/>
      <c r="D107" s="28"/>
    </row>
    <row r="108" spans="1:4" ht="20" x14ac:dyDescent="0.35">
      <c r="A108" s="76"/>
      <c r="B108" s="19"/>
      <c r="C108" s="28"/>
      <c r="D108" s="28"/>
    </row>
    <row r="109" spans="1:4" ht="20" x14ac:dyDescent="0.35">
      <c r="A109" s="76"/>
      <c r="B109" s="19"/>
      <c r="C109" s="28"/>
      <c r="D109" s="28"/>
    </row>
    <row r="110" spans="1:4" ht="20" x14ac:dyDescent="0.35">
      <c r="A110" s="76"/>
      <c r="B110" s="19"/>
      <c r="C110" s="28"/>
      <c r="D110" s="28"/>
    </row>
    <row r="111" spans="1:4" ht="20" x14ac:dyDescent="0.35">
      <c r="A111" s="76"/>
      <c r="B111" s="19"/>
      <c r="C111" s="28"/>
      <c r="D111" s="28"/>
    </row>
    <row r="112" spans="1:4" ht="20" x14ac:dyDescent="0.35">
      <c r="A112" s="76"/>
      <c r="B112" s="19"/>
      <c r="C112" s="28"/>
      <c r="D112" s="28"/>
    </row>
    <row r="113" spans="1:4" ht="20" x14ac:dyDescent="0.35">
      <c r="A113" s="76"/>
      <c r="B113" s="19"/>
      <c r="C113" s="28"/>
      <c r="D113" s="28"/>
    </row>
    <row r="114" spans="1:4" ht="20" x14ac:dyDescent="0.35">
      <c r="A114" s="76"/>
      <c r="B114" s="19"/>
      <c r="C114" s="28"/>
      <c r="D114" s="28"/>
    </row>
    <row r="115" spans="1:4" ht="20" x14ac:dyDescent="0.35">
      <c r="A115" s="76"/>
      <c r="B115" s="19"/>
      <c r="C115" s="28"/>
      <c r="D115" s="28"/>
    </row>
    <row r="116" spans="1:4" ht="20" x14ac:dyDescent="0.35">
      <c r="A116" s="76"/>
      <c r="B116" s="19"/>
      <c r="C116" s="28"/>
      <c r="D116" s="28"/>
    </row>
    <row r="117" spans="1:4" ht="20" x14ac:dyDescent="0.35">
      <c r="A117" s="76"/>
      <c r="B117" s="19"/>
      <c r="C117" s="28"/>
      <c r="D117" s="28"/>
    </row>
    <row r="118" spans="1:4" ht="20" x14ac:dyDescent="0.35">
      <c r="A118" s="76"/>
      <c r="B118" s="19"/>
      <c r="C118" s="28"/>
      <c r="D118" s="28"/>
    </row>
    <row r="119" spans="1:4" ht="20" x14ac:dyDescent="0.35">
      <c r="A119" s="76"/>
      <c r="B119" s="19"/>
      <c r="C119" s="28"/>
      <c r="D119" s="28"/>
    </row>
    <row r="120" spans="1:4" ht="20" x14ac:dyDescent="0.35">
      <c r="A120" s="76"/>
      <c r="B120" s="19"/>
      <c r="C120" s="28"/>
      <c r="D120" s="28"/>
    </row>
    <row r="121" spans="1:4" ht="20" x14ac:dyDescent="0.35">
      <c r="A121" s="76"/>
      <c r="B121" s="19"/>
      <c r="C121" s="28"/>
      <c r="D121" s="28"/>
    </row>
    <row r="122" spans="1:4" ht="20" x14ac:dyDescent="0.35">
      <c r="A122" s="76"/>
      <c r="B122" s="19"/>
      <c r="C122" s="28"/>
      <c r="D122" s="28"/>
    </row>
    <row r="123" spans="1:4" ht="20" x14ac:dyDescent="0.35">
      <c r="A123" s="76"/>
      <c r="B123" s="19"/>
      <c r="C123" s="28"/>
      <c r="D123" s="28"/>
    </row>
    <row r="124" spans="1:4" ht="20" x14ac:dyDescent="0.35">
      <c r="A124" s="76"/>
      <c r="B124" s="19"/>
      <c r="C124" s="28"/>
      <c r="D124" s="28"/>
    </row>
    <row r="125" spans="1:4" ht="20" x14ac:dyDescent="0.35">
      <c r="A125" s="76"/>
      <c r="B125" s="19"/>
      <c r="C125" s="28"/>
      <c r="D125" s="28"/>
    </row>
    <row r="126" spans="1:4" ht="20" x14ac:dyDescent="0.35">
      <c r="A126" s="76"/>
      <c r="B126" s="19"/>
      <c r="C126" s="28"/>
      <c r="D126" s="28"/>
    </row>
    <row r="127" spans="1:4" ht="20" x14ac:dyDescent="0.35">
      <c r="A127" s="76"/>
      <c r="B127" s="19"/>
      <c r="C127" s="28"/>
      <c r="D127" s="28"/>
    </row>
    <row r="128" spans="1:4" ht="20" x14ac:dyDescent="0.35">
      <c r="A128" s="76"/>
      <c r="B128" s="19"/>
      <c r="C128" s="28"/>
      <c r="D128" s="28"/>
    </row>
    <row r="129" spans="1:4" ht="20" x14ac:dyDescent="0.35">
      <c r="A129" s="76"/>
      <c r="B129" s="19"/>
      <c r="C129" s="28"/>
      <c r="D129" s="28"/>
    </row>
    <row r="130" spans="1:4" ht="20" x14ac:dyDescent="0.35">
      <c r="A130" s="76"/>
      <c r="B130" s="19"/>
      <c r="C130" s="28"/>
      <c r="D130" s="28"/>
    </row>
    <row r="131" spans="1:4" ht="20" x14ac:dyDescent="0.35">
      <c r="A131" s="76"/>
      <c r="B131" s="19"/>
      <c r="C131" s="28"/>
      <c r="D131" s="28"/>
    </row>
    <row r="132" spans="1:4" ht="20" x14ac:dyDescent="0.35">
      <c r="A132" s="76"/>
      <c r="B132" s="19"/>
      <c r="C132" s="28"/>
      <c r="D132" s="28"/>
    </row>
    <row r="133" spans="1:4" ht="20" x14ac:dyDescent="0.35">
      <c r="A133" s="76"/>
      <c r="B133" s="19"/>
      <c r="C133" s="28"/>
      <c r="D133" s="28"/>
    </row>
    <row r="134" spans="1:4" ht="20" x14ac:dyDescent="0.35">
      <c r="A134" s="76"/>
      <c r="B134" s="19"/>
      <c r="C134" s="28"/>
      <c r="D134" s="28"/>
    </row>
    <row r="135" spans="1:4" ht="20" x14ac:dyDescent="0.35">
      <c r="A135" s="76"/>
      <c r="B135" s="19"/>
      <c r="C135" s="28"/>
      <c r="D135" s="28"/>
    </row>
    <row r="136" spans="1:4" ht="20" x14ac:dyDescent="0.35">
      <c r="A136" s="76"/>
      <c r="B136" s="19"/>
      <c r="C136" s="28"/>
      <c r="D136" s="28"/>
    </row>
    <row r="137" spans="1:4" ht="20" x14ac:dyDescent="0.35">
      <c r="A137" s="76"/>
      <c r="B137" s="19"/>
      <c r="C137" s="28"/>
      <c r="D137" s="28"/>
    </row>
    <row r="138" spans="1:4" ht="20" x14ac:dyDescent="0.35">
      <c r="A138" s="76"/>
      <c r="B138" s="19"/>
      <c r="C138" s="28"/>
      <c r="D138" s="28"/>
    </row>
    <row r="139" spans="1:4" ht="20" x14ac:dyDescent="0.35">
      <c r="A139" s="76"/>
      <c r="B139" s="19"/>
      <c r="C139" s="28"/>
      <c r="D139" s="28"/>
    </row>
    <row r="140" spans="1:4" ht="20" x14ac:dyDescent="0.35">
      <c r="A140" s="76"/>
      <c r="B140" s="19"/>
      <c r="C140" s="28"/>
      <c r="D140" s="28"/>
    </row>
    <row r="141" spans="1:4" ht="20" x14ac:dyDescent="0.35">
      <c r="A141" s="76"/>
      <c r="B141" s="19"/>
      <c r="C141" s="28"/>
      <c r="D141" s="28"/>
    </row>
    <row r="142" spans="1:4" ht="20" x14ac:dyDescent="0.35">
      <c r="A142" s="76"/>
      <c r="B142" s="19"/>
      <c r="C142" s="28"/>
      <c r="D142" s="28"/>
    </row>
    <row r="143" spans="1:4" ht="20" x14ac:dyDescent="0.35">
      <c r="A143" s="76"/>
      <c r="B143" s="19"/>
      <c r="C143" s="28"/>
      <c r="D143" s="28"/>
    </row>
    <row r="144" spans="1:4" ht="20" x14ac:dyDescent="0.35">
      <c r="A144" s="76"/>
      <c r="B144" s="19"/>
      <c r="C144" s="28"/>
      <c r="D144" s="28"/>
    </row>
    <row r="145" spans="1:4" ht="20" x14ac:dyDescent="0.35">
      <c r="A145" s="76"/>
      <c r="B145" s="19"/>
      <c r="C145" s="28"/>
      <c r="D145" s="28"/>
    </row>
    <row r="146" spans="1:4" ht="20" x14ac:dyDescent="0.35">
      <c r="A146" s="76"/>
      <c r="B146" s="19"/>
      <c r="C146" s="28"/>
      <c r="D146" s="28"/>
    </row>
    <row r="147" spans="1:4" ht="20" x14ac:dyDescent="0.35">
      <c r="A147" s="76"/>
      <c r="B147" s="19"/>
      <c r="C147" s="28"/>
      <c r="D147" s="28"/>
    </row>
    <row r="148" spans="1:4" ht="20" x14ac:dyDescent="0.35">
      <c r="A148" s="76"/>
      <c r="B148" s="19"/>
      <c r="C148" s="28"/>
      <c r="D148" s="28"/>
    </row>
    <row r="149" spans="1:4" ht="20" x14ac:dyDescent="0.35">
      <c r="A149" s="76"/>
      <c r="B149" s="19"/>
      <c r="C149" s="28"/>
      <c r="D149" s="28"/>
    </row>
    <row r="150" spans="1:4" ht="20" x14ac:dyDescent="0.35">
      <c r="A150" s="76"/>
      <c r="B150" s="19"/>
      <c r="C150" s="28"/>
      <c r="D150" s="28"/>
    </row>
    <row r="151" spans="1:4" ht="20" x14ac:dyDescent="0.35">
      <c r="A151" s="76"/>
      <c r="B151" s="19"/>
      <c r="C151" s="28"/>
      <c r="D151" s="28"/>
    </row>
    <row r="152" spans="1:4" ht="20" x14ac:dyDescent="0.35">
      <c r="A152" s="76"/>
      <c r="B152" s="19"/>
      <c r="C152" s="28"/>
      <c r="D152" s="28"/>
    </row>
    <row r="153" spans="1:4" ht="20" x14ac:dyDescent="0.35">
      <c r="A153" s="76"/>
      <c r="B153" s="19"/>
      <c r="C153" s="28"/>
      <c r="D153" s="28"/>
    </row>
    <row r="154" spans="1:4" ht="20" x14ac:dyDescent="0.35">
      <c r="A154" s="76"/>
      <c r="B154" s="19"/>
      <c r="C154" s="28"/>
      <c r="D154" s="28"/>
    </row>
    <row r="155" spans="1:4" ht="20" x14ac:dyDescent="0.35">
      <c r="A155" s="76"/>
      <c r="B155" s="19"/>
      <c r="C155" s="28"/>
      <c r="D155" s="28"/>
    </row>
    <row r="156" spans="1:4" ht="20" x14ac:dyDescent="0.35">
      <c r="A156" s="76"/>
      <c r="B156" s="19"/>
      <c r="C156" s="28"/>
      <c r="D156" s="28"/>
    </row>
    <row r="157" spans="1:4" ht="20" x14ac:dyDescent="0.35">
      <c r="A157" s="76"/>
      <c r="B157" s="19"/>
      <c r="C157" s="28"/>
      <c r="D157" s="28"/>
    </row>
    <row r="158" spans="1:4" ht="20" x14ac:dyDescent="0.35">
      <c r="A158" s="76"/>
      <c r="B158" s="19"/>
      <c r="C158" s="28"/>
      <c r="D158" s="28"/>
    </row>
    <row r="159" spans="1:4" ht="20" x14ac:dyDescent="0.35">
      <c r="A159" s="76"/>
      <c r="B159" s="19"/>
      <c r="C159" s="28"/>
      <c r="D159" s="28"/>
    </row>
    <row r="160" spans="1:4" ht="20" x14ac:dyDescent="0.35">
      <c r="A160" s="76"/>
      <c r="B160" s="19"/>
      <c r="C160" s="28"/>
      <c r="D160" s="28"/>
    </row>
    <row r="161" spans="1:4" ht="20" x14ac:dyDescent="0.35">
      <c r="A161" s="76"/>
      <c r="B161" s="19"/>
      <c r="C161" s="28"/>
      <c r="D161" s="28"/>
    </row>
    <row r="162" spans="1:4" ht="20" x14ac:dyDescent="0.35">
      <c r="A162" s="76"/>
      <c r="B162" s="19"/>
      <c r="C162" s="28"/>
      <c r="D162" s="28"/>
    </row>
    <row r="163" spans="1:4" ht="20" x14ac:dyDescent="0.35">
      <c r="A163" s="76"/>
      <c r="B163" s="19"/>
      <c r="C163" s="28"/>
      <c r="D163" s="28"/>
    </row>
    <row r="164" spans="1:4" ht="20" x14ac:dyDescent="0.35">
      <c r="A164" s="76"/>
      <c r="B164" s="19"/>
      <c r="C164" s="28"/>
      <c r="D164" s="28"/>
    </row>
    <row r="165" spans="1:4" ht="20" x14ac:dyDescent="0.35">
      <c r="A165" s="76"/>
      <c r="B165" s="19"/>
      <c r="C165" s="28"/>
      <c r="D165" s="28"/>
    </row>
    <row r="166" spans="1:4" ht="20" x14ac:dyDescent="0.35">
      <c r="A166" s="76"/>
      <c r="B166" s="19"/>
      <c r="C166" s="28"/>
      <c r="D166" s="28"/>
    </row>
    <row r="167" spans="1:4" ht="20" x14ac:dyDescent="0.35">
      <c r="A167" s="76"/>
      <c r="B167" s="19"/>
      <c r="C167" s="28"/>
      <c r="D167" s="28"/>
    </row>
    <row r="168" spans="1:4" ht="20" x14ac:dyDescent="0.35">
      <c r="A168" s="76"/>
      <c r="B168" s="19"/>
      <c r="C168" s="28"/>
      <c r="D168" s="28"/>
    </row>
    <row r="169" spans="1:4" ht="20" x14ac:dyDescent="0.35">
      <c r="A169" s="76"/>
      <c r="B169" s="19"/>
      <c r="C169" s="28"/>
      <c r="D169" s="28"/>
    </row>
    <row r="170" spans="1:4" ht="20" x14ac:dyDescent="0.35">
      <c r="A170" s="76"/>
      <c r="B170" s="19"/>
      <c r="C170" s="28"/>
      <c r="D170" s="28"/>
    </row>
    <row r="171" spans="1:4" ht="20" x14ac:dyDescent="0.35">
      <c r="A171" s="76"/>
      <c r="B171" s="19"/>
      <c r="C171" s="28"/>
      <c r="D171" s="28"/>
    </row>
    <row r="172" spans="1:4" ht="20" x14ac:dyDescent="0.35">
      <c r="A172" s="76"/>
      <c r="B172" s="19"/>
      <c r="C172" s="28"/>
      <c r="D172" s="28"/>
    </row>
    <row r="173" spans="1:4" ht="20" x14ac:dyDescent="0.35">
      <c r="A173" s="76"/>
      <c r="B173" s="19"/>
      <c r="C173" s="28"/>
      <c r="D173" s="28"/>
    </row>
    <row r="174" spans="1:4" ht="20" x14ac:dyDescent="0.35">
      <c r="A174" s="76"/>
      <c r="B174" s="19"/>
      <c r="C174" s="28"/>
      <c r="D174" s="28"/>
    </row>
    <row r="175" spans="1:4" ht="20" x14ac:dyDescent="0.35">
      <c r="A175" s="76"/>
      <c r="B175" s="19"/>
      <c r="C175" s="28"/>
      <c r="D175" s="28"/>
    </row>
    <row r="176" spans="1:4" ht="20" x14ac:dyDescent="0.35">
      <c r="A176" s="76"/>
      <c r="B176" s="19"/>
      <c r="C176" s="28"/>
      <c r="D176" s="28"/>
    </row>
    <row r="177" spans="1:4" ht="20" x14ac:dyDescent="0.35">
      <c r="A177" s="76"/>
      <c r="B177" s="19"/>
      <c r="C177" s="28"/>
      <c r="D177" s="28"/>
    </row>
    <row r="178" spans="1:4" ht="20" x14ac:dyDescent="0.35">
      <c r="A178" s="76"/>
      <c r="B178" s="19"/>
      <c r="C178" s="28"/>
      <c r="D178" s="28"/>
    </row>
    <row r="179" spans="1:4" ht="20" x14ac:dyDescent="0.35">
      <c r="A179" s="76"/>
      <c r="B179" s="19"/>
      <c r="C179" s="28"/>
      <c r="D179" s="28"/>
    </row>
    <row r="180" spans="1:4" ht="20" x14ac:dyDescent="0.35">
      <c r="A180" s="76"/>
      <c r="B180" s="19"/>
      <c r="C180" s="28"/>
      <c r="D180" s="28"/>
    </row>
    <row r="181" spans="1:4" ht="20" x14ac:dyDescent="0.35">
      <c r="A181" s="76"/>
      <c r="B181" s="19"/>
      <c r="C181" s="28"/>
      <c r="D181" s="28"/>
    </row>
    <row r="182" spans="1:4" ht="20" x14ac:dyDescent="0.35">
      <c r="A182" s="76"/>
      <c r="B182" s="19"/>
      <c r="C182" s="28"/>
      <c r="D182" s="28"/>
    </row>
    <row r="183" spans="1:4" ht="20" x14ac:dyDescent="0.35">
      <c r="A183" s="76"/>
      <c r="B183" s="19"/>
      <c r="C183" s="28"/>
      <c r="D183" s="28"/>
    </row>
    <row r="184" spans="1:4" ht="20" x14ac:dyDescent="0.35">
      <c r="A184" s="76"/>
      <c r="B184" s="19"/>
      <c r="C184" s="28"/>
      <c r="D184" s="28"/>
    </row>
    <row r="185" spans="1:4" ht="20" x14ac:dyDescent="0.35">
      <c r="A185" s="76"/>
      <c r="B185" s="19"/>
      <c r="C185" s="28"/>
      <c r="D185" s="28"/>
    </row>
    <row r="186" spans="1:4" ht="20" x14ac:dyDescent="0.35">
      <c r="A186" s="76"/>
      <c r="B186" s="19"/>
      <c r="C186" s="28"/>
      <c r="D186" s="28"/>
    </row>
    <row r="187" spans="1:4" ht="20" x14ac:dyDescent="0.35">
      <c r="A187" s="76"/>
      <c r="B187" s="19"/>
      <c r="C187" s="28"/>
      <c r="D187" s="28"/>
    </row>
    <row r="188" spans="1:4" ht="20" x14ac:dyDescent="0.35">
      <c r="A188" s="76"/>
      <c r="B188" s="19"/>
      <c r="C188" s="28"/>
      <c r="D188" s="28"/>
    </row>
    <row r="189" spans="1:4" ht="20" x14ac:dyDescent="0.35">
      <c r="A189" s="76"/>
      <c r="B189" s="19"/>
      <c r="C189" s="28"/>
      <c r="D189" s="28"/>
    </row>
    <row r="190" spans="1:4" ht="20" x14ac:dyDescent="0.35">
      <c r="A190" s="76"/>
      <c r="B190" s="19"/>
      <c r="C190" s="28"/>
      <c r="D190" s="28"/>
    </row>
    <row r="191" spans="1:4" ht="20" x14ac:dyDescent="0.35">
      <c r="A191" s="76"/>
      <c r="B191" s="19"/>
      <c r="C191" s="28"/>
      <c r="D191" s="28"/>
    </row>
    <row r="192" spans="1:4" ht="20" x14ac:dyDescent="0.35">
      <c r="A192" s="76"/>
      <c r="B192" s="19"/>
      <c r="C192" s="28"/>
      <c r="D192" s="28"/>
    </row>
    <row r="193" spans="1:4" ht="20" x14ac:dyDescent="0.35">
      <c r="A193" s="76"/>
      <c r="B193" s="19"/>
      <c r="C193" s="28"/>
      <c r="D193" s="28"/>
    </row>
    <row r="194" spans="1:4" ht="20" x14ac:dyDescent="0.35">
      <c r="A194" s="76"/>
      <c r="B194" s="19"/>
      <c r="C194" s="28"/>
      <c r="D194" s="28"/>
    </row>
    <row r="195" spans="1:4" ht="20" x14ac:dyDescent="0.35">
      <c r="A195" s="76"/>
      <c r="B195" s="19"/>
      <c r="C195" s="28"/>
      <c r="D195" s="28"/>
    </row>
    <row r="196" spans="1:4" ht="20" x14ac:dyDescent="0.35">
      <c r="A196" s="76"/>
      <c r="B196" s="19"/>
      <c r="C196" s="28"/>
      <c r="D196" s="28"/>
    </row>
    <row r="197" spans="1:4" ht="20" x14ac:dyDescent="0.35">
      <c r="A197" s="76"/>
      <c r="B197" s="19"/>
      <c r="C197" s="28"/>
      <c r="D197" s="28"/>
    </row>
    <row r="198" spans="1:4" ht="20" x14ac:dyDescent="0.35">
      <c r="A198" s="76"/>
      <c r="B198" s="19"/>
      <c r="C198" s="28"/>
      <c r="D198" s="28"/>
    </row>
    <row r="199" spans="1:4" ht="20" x14ac:dyDescent="0.35">
      <c r="A199" s="76"/>
      <c r="B199" s="19"/>
      <c r="C199" s="28"/>
      <c r="D199" s="28"/>
    </row>
    <row r="200" spans="1:4" ht="20" x14ac:dyDescent="0.35">
      <c r="A200" s="76"/>
      <c r="B200" s="19"/>
      <c r="C200" s="28"/>
      <c r="D200" s="28"/>
    </row>
    <row r="201" spans="1:4" ht="20" x14ac:dyDescent="0.35">
      <c r="A201" s="76"/>
      <c r="B201" s="19"/>
      <c r="C201" s="28"/>
      <c r="D201" s="28"/>
    </row>
    <row r="202" spans="1:4" ht="20" x14ac:dyDescent="0.35">
      <c r="A202" s="76"/>
      <c r="B202" s="19"/>
      <c r="C202" s="28"/>
      <c r="D202" s="28"/>
    </row>
    <row r="203" spans="1:4" ht="20" x14ac:dyDescent="0.35">
      <c r="A203" s="76"/>
      <c r="B203" s="19"/>
      <c r="C203" s="28"/>
      <c r="D203" s="28"/>
    </row>
    <row r="204" spans="1:4" ht="20" x14ac:dyDescent="0.35">
      <c r="A204" s="76"/>
      <c r="B204" s="19"/>
      <c r="C204" s="28"/>
      <c r="D204" s="28"/>
    </row>
    <row r="205" spans="1:4" ht="20" x14ac:dyDescent="0.35">
      <c r="A205" s="76"/>
      <c r="B205" s="19"/>
      <c r="C205" s="28"/>
      <c r="D205" s="28"/>
    </row>
    <row r="206" spans="1:4" ht="20" x14ac:dyDescent="0.35">
      <c r="A206" s="76"/>
      <c r="B206" s="19"/>
      <c r="C206" s="28"/>
      <c r="D206" s="28"/>
    </row>
    <row r="207" spans="1:4" ht="20" x14ac:dyDescent="0.35">
      <c r="A207" s="76"/>
      <c r="B207" s="19"/>
      <c r="C207" s="28"/>
      <c r="D207" s="28"/>
    </row>
    <row r="208" spans="1:4" x14ac:dyDescent="0.35">
      <c r="A208" s="56"/>
      <c r="B208" s="19"/>
      <c r="C208" s="19"/>
      <c r="D208" s="19"/>
    </row>
    <row r="209" spans="1:8" ht="20" x14ac:dyDescent="0.35">
      <c r="A209" s="56"/>
      <c r="B209" s="24" t="s">
        <v>81</v>
      </c>
      <c r="C209" s="24" t="s">
        <v>129</v>
      </c>
      <c r="D209" s="27" t="s">
        <v>81</v>
      </c>
      <c r="E209" s="27" t="s">
        <v>129</v>
      </c>
    </row>
    <row r="210" spans="1:8" ht="21" x14ac:dyDescent="0.5">
      <c r="A210" s="56"/>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5">
      <c r="A211" s="56"/>
      <c r="B211" s="25" t="s">
        <v>83</v>
      </c>
      <c r="C211" s="25" t="s">
        <v>86</v>
      </c>
      <c r="E211" t="s">
        <v>52</v>
      </c>
      <c r="F211" t="str">
        <f t="shared" si="0"/>
        <v xml:space="preserve"> Afectación menor a 10 SMLMV .</v>
      </c>
    </row>
    <row r="212" spans="1:8" ht="21" x14ac:dyDescent="0.5">
      <c r="A212" s="56"/>
      <c r="B212" s="25" t="s">
        <v>83</v>
      </c>
      <c r="C212" s="25" t="s">
        <v>87</v>
      </c>
      <c r="E212" t="s">
        <v>86</v>
      </c>
      <c r="F212" t="str">
        <f t="shared" si="0"/>
        <v xml:space="preserve"> Entre 10 y 50 SMLMV </v>
      </c>
    </row>
    <row r="213" spans="1:8" ht="21" x14ac:dyDescent="0.5">
      <c r="A213" s="56"/>
      <c r="B213" s="25" t="s">
        <v>83</v>
      </c>
      <c r="C213" s="25" t="s">
        <v>88</v>
      </c>
      <c r="E213" t="s">
        <v>87</v>
      </c>
      <c r="F213" t="str">
        <f t="shared" si="0"/>
        <v xml:space="preserve"> Entre 50 y 100 SMLMV </v>
      </c>
    </row>
    <row r="214" spans="1:8" ht="21" x14ac:dyDescent="0.5">
      <c r="A214" s="56"/>
      <c r="B214" s="25" t="s">
        <v>83</v>
      </c>
      <c r="C214" s="25" t="s">
        <v>89</v>
      </c>
      <c r="E214" t="s">
        <v>88</v>
      </c>
      <c r="F214" t="str">
        <f t="shared" si="0"/>
        <v xml:space="preserve"> Entre 100 y 500 SMLMV </v>
      </c>
    </row>
    <row r="215" spans="1:8" ht="21" x14ac:dyDescent="0.5">
      <c r="A215" s="56"/>
      <c r="B215" s="25" t="s">
        <v>51</v>
      </c>
      <c r="C215" s="25" t="s">
        <v>90</v>
      </c>
      <c r="E215" t="s">
        <v>89</v>
      </c>
      <c r="F215" t="str">
        <f t="shared" si="0"/>
        <v xml:space="preserve"> Mayor a 500 SMLMV </v>
      </c>
    </row>
    <row r="216" spans="1:8" ht="21" x14ac:dyDescent="0.5">
      <c r="A216" s="56"/>
      <c r="B216" s="25" t="s">
        <v>51</v>
      </c>
      <c r="C216" s="25" t="s">
        <v>491</v>
      </c>
      <c r="D216" t="s">
        <v>51</v>
      </c>
      <c r="F216" t="str">
        <f t="shared" si="0"/>
        <v>Pérdida Reputacional</v>
      </c>
    </row>
    <row r="217" spans="1:8" ht="21" x14ac:dyDescent="0.5">
      <c r="A217" s="56"/>
      <c r="B217" s="25" t="s">
        <v>51</v>
      </c>
      <c r="C217" s="25" t="s">
        <v>91</v>
      </c>
      <c r="E217" t="s">
        <v>90</v>
      </c>
      <c r="F217" t="str">
        <f t="shared" si="0"/>
        <v xml:space="preserve"> El riesgo afecta la imagen de alguna área de la organización</v>
      </c>
    </row>
    <row r="218" spans="1:8" ht="21" x14ac:dyDescent="0.5">
      <c r="A218" s="56"/>
      <c r="B218" s="25" t="s">
        <v>51</v>
      </c>
      <c r="C218" s="25" t="s">
        <v>493</v>
      </c>
      <c r="E218" t="s">
        <v>491</v>
      </c>
      <c r="F218" t="str">
        <f t="shared" si="0"/>
        <v xml:space="preserve"> El riesgo afecta la imagen de la entidad internamente, de conocimiento general, nivel interno, de junta directiva y accionistas y/o de proveedores</v>
      </c>
    </row>
    <row r="219" spans="1:8" ht="21" x14ac:dyDescent="0.5">
      <c r="A219" s="56"/>
      <c r="B219" s="25" t="s">
        <v>51</v>
      </c>
      <c r="C219" s="25" t="s">
        <v>109</v>
      </c>
      <c r="E219" t="s">
        <v>91</v>
      </c>
      <c r="F219" t="str">
        <f t="shared" si="0"/>
        <v xml:space="preserve"> El riesgo afecta la imagen de la entidad con algunos usuarios de relevancia frente al logro de los objetivos</v>
      </c>
    </row>
    <row r="220" spans="1:8" x14ac:dyDescent="0.35">
      <c r="A220" s="56"/>
      <c r="B220" s="26"/>
      <c r="C220" s="26"/>
      <c r="E220" t="s">
        <v>493</v>
      </c>
      <c r="F220" t="str">
        <f t="shared" si="0"/>
        <v xml:space="preserve"> El riesgo afecta la imagen de la entidad con efecto publicitario sostenido a nivel de sector administrativo, nivel departamental o municipal</v>
      </c>
    </row>
    <row r="221" spans="1:8" x14ac:dyDescent="0.35">
      <c r="A221" s="56"/>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35">
      <c r="A222" s="56"/>
      <c r="B222" s="26" t="str">
        <v>Afectación Económica o presupuestal</v>
      </c>
      <c r="C222" s="26"/>
    </row>
    <row r="223" spans="1:8" x14ac:dyDescent="0.35">
      <c r="B223" s="26" t="str">
        <v>Pérdida Reputacional</v>
      </c>
      <c r="C223" s="26"/>
      <c r="F223" s="29" t="s">
        <v>130</v>
      </c>
    </row>
    <row r="224" spans="1:8" x14ac:dyDescent="0.35">
      <c r="B224" s="18"/>
      <c r="C224" s="18"/>
      <c r="F224" s="29" t="s">
        <v>131</v>
      </c>
    </row>
    <row r="225" spans="2:4" x14ac:dyDescent="0.35">
      <c r="B225" s="18"/>
      <c r="C225" s="18"/>
    </row>
    <row r="226" spans="2:4" x14ac:dyDescent="0.35">
      <c r="B226" s="18"/>
      <c r="C226" s="18"/>
    </row>
    <row r="227" spans="2:4" x14ac:dyDescent="0.35">
      <c r="B227" s="18"/>
      <c r="C227" s="18"/>
      <c r="D227" s="18"/>
    </row>
    <row r="228" spans="2:4" x14ac:dyDescent="0.35">
      <c r="B228" s="18"/>
      <c r="C228" s="18"/>
      <c r="D228" s="18"/>
    </row>
    <row r="229" spans="2:4" x14ac:dyDescent="0.35">
      <c r="B229" s="18"/>
      <c r="C229" s="18"/>
      <c r="D229" s="18"/>
    </row>
    <row r="230" spans="2:4" x14ac:dyDescent="0.35">
      <c r="B230" s="18"/>
      <c r="C230" s="18"/>
      <c r="D230" s="18"/>
    </row>
    <row r="231" spans="2:4" x14ac:dyDescent="0.35">
      <c r="B231" s="18"/>
      <c r="C231" s="18"/>
      <c r="D231" s="18"/>
    </row>
    <row r="232" spans="2:4" x14ac:dyDescent="0.3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6953125" defaultRowHeight="13" x14ac:dyDescent="0.3"/>
  <cols>
    <col min="1" max="2" width="14.26953125" style="61"/>
    <col min="3" max="3" width="17" style="61" customWidth="1"/>
    <col min="4" max="4" width="14.26953125" style="61"/>
    <col min="5" max="5" width="46" style="61" customWidth="1"/>
    <col min="6" max="16384" width="14.26953125" style="61"/>
  </cols>
  <sheetData>
    <row r="1" spans="2:6" ht="24" customHeight="1" thickBot="1" x14ac:dyDescent="0.35">
      <c r="B1" s="542" t="s">
        <v>72</v>
      </c>
      <c r="C1" s="543"/>
      <c r="D1" s="543"/>
      <c r="E1" s="543"/>
      <c r="F1" s="544"/>
    </row>
    <row r="2" spans="2:6" ht="16" thickBot="1" x14ac:dyDescent="0.4">
      <c r="B2" s="62"/>
      <c r="C2" s="62"/>
      <c r="D2" s="62"/>
      <c r="E2" s="62"/>
      <c r="F2" s="62"/>
    </row>
    <row r="3" spans="2:6" ht="16" thickBot="1" x14ac:dyDescent="0.35">
      <c r="B3" s="546" t="s">
        <v>58</v>
      </c>
      <c r="C3" s="547"/>
      <c r="D3" s="547"/>
      <c r="E3" s="74" t="s">
        <v>59</v>
      </c>
      <c r="F3" s="75" t="s">
        <v>60</v>
      </c>
    </row>
    <row r="4" spans="2:6" ht="31" x14ac:dyDescent="0.3">
      <c r="B4" s="548" t="s">
        <v>61</v>
      </c>
      <c r="C4" s="550" t="s">
        <v>13</v>
      </c>
      <c r="D4" s="63" t="s">
        <v>14</v>
      </c>
      <c r="E4" s="64" t="s">
        <v>62</v>
      </c>
      <c r="F4" s="65">
        <v>0.25</v>
      </c>
    </row>
    <row r="5" spans="2:6" ht="46.5" x14ac:dyDescent="0.3">
      <c r="B5" s="549"/>
      <c r="C5" s="551"/>
      <c r="D5" s="66" t="s">
        <v>15</v>
      </c>
      <c r="E5" s="67" t="s">
        <v>63</v>
      </c>
      <c r="F5" s="68">
        <v>0.15</v>
      </c>
    </row>
    <row r="6" spans="2:6" ht="46.5" x14ac:dyDescent="0.3">
      <c r="B6" s="549"/>
      <c r="C6" s="551"/>
      <c r="D6" s="66" t="s">
        <v>16</v>
      </c>
      <c r="E6" s="67" t="s">
        <v>64</v>
      </c>
      <c r="F6" s="68">
        <v>0.1</v>
      </c>
    </row>
    <row r="7" spans="2:6" ht="62" x14ac:dyDescent="0.3">
      <c r="B7" s="549"/>
      <c r="C7" s="551" t="s">
        <v>17</v>
      </c>
      <c r="D7" s="66" t="s">
        <v>10</v>
      </c>
      <c r="E7" s="67" t="s">
        <v>65</v>
      </c>
      <c r="F7" s="68">
        <v>0.25</v>
      </c>
    </row>
    <row r="8" spans="2:6" ht="31" x14ac:dyDescent="0.3">
      <c r="B8" s="549"/>
      <c r="C8" s="551"/>
      <c r="D8" s="66" t="s">
        <v>9</v>
      </c>
      <c r="E8" s="67" t="s">
        <v>66</v>
      </c>
      <c r="F8" s="68">
        <v>0.15</v>
      </c>
    </row>
    <row r="9" spans="2:6" ht="46.5" x14ac:dyDescent="0.3">
      <c r="B9" s="549" t="s">
        <v>136</v>
      </c>
      <c r="C9" s="551" t="s">
        <v>18</v>
      </c>
      <c r="D9" s="66" t="s">
        <v>19</v>
      </c>
      <c r="E9" s="67" t="s">
        <v>67</v>
      </c>
      <c r="F9" s="69" t="s">
        <v>68</v>
      </c>
    </row>
    <row r="10" spans="2:6" ht="46.5" x14ac:dyDescent="0.3">
      <c r="B10" s="549"/>
      <c r="C10" s="551"/>
      <c r="D10" s="66" t="s">
        <v>20</v>
      </c>
      <c r="E10" s="67" t="s">
        <v>69</v>
      </c>
      <c r="F10" s="69" t="s">
        <v>68</v>
      </c>
    </row>
    <row r="11" spans="2:6" ht="46.5" x14ac:dyDescent="0.3">
      <c r="B11" s="549"/>
      <c r="C11" s="551" t="s">
        <v>21</v>
      </c>
      <c r="D11" s="66" t="s">
        <v>22</v>
      </c>
      <c r="E11" s="67" t="s">
        <v>70</v>
      </c>
      <c r="F11" s="69" t="s">
        <v>68</v>
      </c>
    </row>
    <row r="12" spans="2:6" ht="46.5" x14ac:dyDescent="0.3">
      <c r="B12" s="549"/>
      <c r="C12" s="551"/>
      <c r="D12" s="66" t="s">
        <v>23</v>
      </c>
      <c r="E12" s="67" t="s">
        <v>71</v>
      </c>
      <c r="F12" s="69" t="s">
        <v>68</v>
      </c>
    </row>
    <row r="13" spans="2:6" ht="31" x14ac:dyDescent="0.3">
      <c r="B13" s="549"/>
      <c r="C13" s="551" t="s">
        <v>24</v>
      </c>
      <c r="D13" s="66" t="s">
        <v>110</v>
      </c>
      <c r="E13" s="67" t="s">
        <v>113</v>
      </c>
      <c r="F13" s="69" t="s">
        <v>68</v>
      </c>
    </row>
    <row r="14" spans="2:6" ht="16" thickBot="1" x14ac:dyDescent="0.35">
      <c r="B14" s="552"/>
      <c r="C14" s="553"/>
      <c r="D14" s="70" t="s">
        <v>111</v>
      </c>
      <c r="E14" s="71" t="s">
        <v>112</v>
      </c>
      <c r="F14" s="72" t="s">
        <v>68</v>
      </c>
    </row>
    <row r="15" spans="2:6" ht="49.5" customHeight="1" x14ac:dyDescent="0.3">
      <c r="B15" s="545" t="s">
        <v>133</v>
      </c>
      <c r="C15" s="545"/>
      <c r="D15" s="545"/>
      <c r="E15" s="545"/>
      <c r="F15" s="545"/>
    </row>
    <row r="16" spans="2:6" ht="27" customHeight="1" x14ac:dyDescent="0.3">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31</v>
      </c>
      <c r="E2" t="s">
        <v>119</v>
      </c>
    </row>
    <row r="3" spans="2:5" x14ac:dyDescent="0.35">
      <c r="B3" t="s">
        <v>32</v>
      </c>
      <c r="E3" t="s">
        <v>118</v>
      </c>
    </row>
    <row r="4" spans="2:5" x14ac:dyDescent="0.35">
      <c r="B4" t="s">
        <v>123</v>
      </c>
      <c r="E4" t="s">
        <v>120</v>
      </c>
    </row>
    <row r="5" spans="2:5" x14ac:dyDescent="0.35">
      <c r="B5" t="s">
        <v>122</v>
      </c>
    </row>
    <row r="8" spans="2:5" x14ac:dyDescent="0.35">
      <c r="B8" t="s">
        <v>495</v>
      </c>
    </row>
    <row r="9" spans="2:5" x14ac:dyDescent="0.35">
      <c r="B9" t="s">
        <v>36</v>
      </c>
    </row>
    <row r="10" spans="2:5" x14ac:dyDescent="0.35">
      <c r="B10" t="s">
        <v>37</v>
      </c>
    </row>
    <row r="13" spans="2:5" x14ac:dyDescent="0.35">
      <c r="B13" t="s">
        <v>331</v>
      </c>
    </row>
    <row r="14" spans="2:5" x14ac:dyDescent="0.35">
      <c r="B14" t="s">
        <v>329</v>
      </c>
    </row>
    <row r="15" spans="2:5" x14ac:dyDescent="0.35">
      <c r="B15" t="s">
        <v>337</v>
      </c>
    </row>
    <row r="16" spans="2:5" x14ac:dyDescent="0.35">
      <c r="B16" t="s">
        <v>114</v>
      </c>
    </row>
    <row r="17" spans="2:2" x14ac:dyDescent="0.35">
      <c r="B17" t="s">
        <v>115</v>
      </c>
    </row>
    <row r="18" spans="2:2" x14ac:dyDescent="0.35">
      <c r="B18" t="s">
        <v>116</v>
      </c>
    </row>
    <row r="19" spans="2:2" x14ac:dyDescent="0.3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81640625" style="5" customWidth="1"/>
    <col min="2" max="16384" width="11.453125" style="5"/>
  </cols>
  <sheetData>
    <row r="3" spans="1:1" x14ac:dyDescent="0.3">
      <c r="A3" s="6" t="s">
        <v>14</v>
      </c>
    </row>
    <row r="4" spans="1:1" x14ac:dyDescent="0.3">
      <c r="A4" s="6" t="s">
        <v>15</v>
      </c>
    </row>
    <row r="5" spans="1:1" x14ac:dyDescent="0.3">
      <c r="A5" s="6" t="s">
        <v>16</v>
      </c>
    </row>
    <row r="6" spans="1:1" x14ac:dyDescent="0.3">
      <c r="A6" s="6" t="s">
        <v>10</v>
      </c>
    </row>
    <row r="7" spans="1:1" x14ac:dyDescent="0.3">
      <c r="A7" s="6" t="s">
        <v>9</v>
      </c>
    </row>
    <row r="8" spans="1:1" x14ac:dyDescent="0.3">
      <c r="A8" s="6" t="s">
        <v>19</v>
      </c>
    </row>
    <row r="9" spans="1:1" x14ac:dyDescent="0.3">
      <c r="A9" s="6" t="s">
        <v>20</v>
      </c>
    </row>
    <row r="10" spans="1:1" x14ac:dyDescent="0.3">
      <c r="A10" s="6" t="s">
        <v>22</v>
      </c>
    </row>
    <row r="11" spans="1:1" x14ac:dyDescent="0.3">
      <c r="A11" s="6" t="s">
        <v>23</v>
      </c>
    </row>
    <row r="12" spans="1:1" x14ac:dyDescent="0.3">
      <c r="A12" s="6" t="s">
        <v>25</v>
      </c>
    </row>
    <row r="13" spans="1:1" x14ac:dyDescent="0.3">
      <c r="A13" s="6" t="s">
        <v>26</v>
      </c>
    </row>
    <row r="14" spans="1:1" x14ac:dyDescent="0.3">
      <c r="A14" s="6" t="s">
        <v>27</v>
      </c>
    </row>
    <row r="16" spans="1:1" x14ac:dyDescent="0.3">
      <c r="A16" s="6" t="s">
        <v>30</v>
      </c>
    </row>
    <row r="17" spans="1:1" x14ac:dyDescent="0.3">
      <c r="A17" s="6" t="s">
        <v>31</v>
      </c>
    </row>
    <row r="18" spans="1:1" x14ac:dyDescent="0.3">
      <c r="A18" s="6" t="s">
        <v>32</v>
      </c>
    </row>
    <row r="20" spans="1:1" x14ac:dyDescent="0.3">
      <c r="A20" s="6" t="s">
        <v>36</v>
      </c>
    </row>
    <row r="21" spans="1:1" x14ac:dyDescent="0.3">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Luis Jorge Rosso Suescun</cp:lastModifiedBy>
  <cp:lastPrinted>2021-10-13T03:54:14Z</cp:lastPrinted>
  <dcterms:created xsi:type="dcterms:W3CDTF">2020-03-24T23:12:47Z</dcterms:created>
  <dcterms:modified xsi:type="dcterms:W3CDTF">2022-11-04T02:49:16Z</dcterms:modified>
</cp:coreProperties>
</file>